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Pay &amp; Benefits" sheetId="2" state="visible" r:id="rId2"/>
    <sheet xmlns:r="http://schemas.openxmlformats.org/officeDocument/2006/relationships" name="Your Year" sheetId="3" state="visible" r:id="rId3"/>
    <sheet xmlns:r="http://schemas.openxmlformats.org/officeDocument/2006/relationships" name="Changes &amp; Events" sheetId="4" state="visible" r:id="rId4"/>
    <sheet xmlns:r="http://schemas.openxmlformats.org/officeDocument/2006/relationships" name="Second Earner" sheetId="5" state="visible" r:id="rId5"/>
    <sheet xmlns:r="http://schemas.openxmlformats.org/officeDocument/2006/relationships" name="Your Year — Earner 2" sheetId="6" state="visible" r:id="rId6"/>
    <sheet xmlns:r="http://schemas.openxmlformats.org/officeDocument/2006/relationships" name="Changes — Earner 2" sheetId="7" state="visible" r:id="rId7"/>
    <sheet xmlns:r="http://schemas.openxmlformats.org/officeDocument/2006/relationships" name="Household" sheetId="8" state="visible" r:id="rId8"/>
    <sheet xmlns:r="http://schemas.openxmlformats.org/officeDocument/2006/relationships" name="Your Goals" sheetId="9" state="visible" r:id="rId9"/>
    <sheet xmlns:r="http://schemas.openxmlformats.org/officeDocument/2006/relationships" name="Tax Levers" sheetId="10" state="visible" r:id="rId10"/>
    <sheet xmlns:r="http://schemas.openxmlformats.org/officeDocument/2006/relationships" name="Year-End True-Up" sheetId="11" state="visible" r:id="rId11"/>
    <sheet xmlns:r="http://schemas.openxmlformats.org/officeDocument/2006/relationships" name="W-4 Guide" sheetId="12" state="visible" r:id="rId12"/>
    <sheet xmlns:r="http://schemas.openxmlformats.org/officeDocument/2006/relationships" name="How This Works &amp; Sources" sheetId="13" state="visible" r:id="rId13"/>
    <sheet xmlns:r="http://schemas.openxmlformats.org/officeDocument/2006/relationships" name="StateTables" sheetId="14" state="veryHidden" r:id="rId14"/>
  </sheets>
  <definedNames>
    <definedName name="_xlnm.Print_Titles" localSheetId="2">'Your Year'!$5:$5</definedName>
    <definedName name="_xlnm.Print_Titles" localSheetId="5">'Your Year — Earner 2'!$5:$5</definedName>
  </definedNames>
  <calcPr calcId="124519" fullCalcOnLoad="1"/>
</workbook>
</file>

<file path=xl/styles.xml><?xml version="1.0" encoding="utf-8"?>
<styleSheet xmlns="http://schemas.openxmlformats.org/spreadsheetml/2006/main">
  <numFmts count="6">
    <numFmt numFmtId="164" formatCode="yyyy-mm-dd"/>
    <numFmt numFmtId="165" formatCode="0.0000"/>
    <numFmt numFmtId="166" formatCode="0.0000%"/>
    <numFmt numFmtId="167" formatCode="&quot;$&quot;#,##0"/>
    <numFmt numFmtId="168" formatCode="0.0%"/>
    <numFmt numFmtId="169" formatCode="&quot;$&quot;#,##0.00"/>
  </numFmts>
  <fonts count="25">
    <font>
      <name val="Calibri"/>
      <family val="2"/>
      <color theme="1"/>
      <sz val="11"/>
      <scheme val="minor"/>
    </font>
    <font>
      <b val="1"/>
      <sz val="15"/>
    </font>
    <font>
      <i val="1"/>
      <color rgb="00595959"/>
      <sz val="9"/>
    </font>
    <font>
      <b val="1"/>
      <sz val="12"/>
    </font>
    <font>
      <b val="1"/>
    </font>
    <font>
      <b val="1"/>
      <color rgb="00C00000"/>
    </font>
    <font>
      <b val="1"/>
      <color rgb="001F4E79"/>
      <sz val="11"/>
    </font>
    <font>
      <b val="1"/>
      <color rgb="00FFFFFF"/>
    </font>
    <font>
      <sz val="10.5"/>
    </font>
    <font>
      <b val="1"/>
      <color rgb="001F4E79"/>
      <sz val="16"/>
    </font>
    <font>
      <b val="1"/>
      <color rgb="001F4E79"/>
      <sz val="12"/>
    </font>
    <font>
      <color rgb="00595959"/>
      <sz val="9"/>
    </font>
    <font>
      <sz val="11"/>
    </font>
    <font>
      <b val="1"/>
      <color rgb="00FFFFFF"/>
      <sz val="11"/>
    </font>
    <font>
      <color rgb="00404040"/>
      <sz val="9"/>
    </font>
    <font>
      <b val="1"/>
      <color rgb="00595959"/>
      <sz val="10"/>
    </font>
    <font>
      <b val="1"/>
      <color rgb="001F4E79"/>
      <sz val="15"/>
    </font>
    <font>
      <b val="1"/>
      <color rgb="009C0006"/>
      <sz val="10"/>
    </font>
    <font>
      <sz val="10"/>
    </font>
    <font>
      <sz val="9"/>
    </font>
    <font>
      <b val="1"/>
      <color rgb="001F4E79"/>
      <sz val="10"/>
    </font>
    <font>
      <i val="1"/>
      <color rgb="00404040"/>
      <sz val="11"/>
    </font>
    <font>
      <b val="1"/>
      <sz val="10"/>
    </font>
    <font>
      <b val="1"/>
      <sz val="11"/>
    </font>
    <font>
      <b val="1"/>
      <color rgb="00FFFFFF"/>
      <sz val="10"/>
    </font>
  </fonts>
  <fills count="6">
    <fill>
      <patternFill/>
    </fill>
    <fill>
      <patternFill patternType="gray125"/>
    </fill>
    <fill>
      <patternFill patternType="solid">
        <fgColor rgb="00FFF2CC"/>
      </patternFill>
    </fill>
    <fill>
      <patternFill patternType="solid">
        <fgColor rgb="004472C4"/>
      </patternFill>
    </fill>
    <fill>
      <patternFill patternType="solid">
        <fgColor rgb="001F4E79"/>
      </patternFill>
    </fill>
    <fill>
      <patternFill patternType="solid">
        <fgColor rgb="00DDEBF7"/>
      </patternFill>
    </fill>
  </fills>
  <borders count="7">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83">
    <xf numFmtId="0" fontId="0" fillId="0" borderId="0" pivotButton="0" quotePrefix="0" xfId="0"/>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0"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pivotButton="0" quotePrefix="0" xfId="0"/>
    <xf numFmtId="1" fontId="0" fillId="0" borderId="0" pivotButton="0" quotePrefix="0" xfId="0"/>
    <xf numFmtId="4" fontId="0" fillId="0" borderId="0" pivotButton="0" quotePrefix="0" xfId="0"/>
    <xf numFmtId="0" fontId="5" fillId="0" borderId="0" applyAlignment="1" pivotButton="0" quotePrefix="0" xfId="0">
      <alignment horizontal="left" vertical="top" wrapText="1"/>
    </xf>
    <xf numFmtId="0" fontId="1" fillId="0" borderId="0" pivotButton="0" quotePrefix="0" xfId="0"/>
    <xf numFmtId="0" fontId="6" fillId="0" borderId="0" pivotButton="0" quotePrefix="0" xfId="0"/>
    <xf numFmtId="0" fontId="0" fillId="2" borderId="1" pivotButton="0" quotePrefix="0" xfId="0"/>
    <xf numFmtId="4" fontId="0" fillId="2" borderId="1" pivotButton="0" quotePrefix="0" xfId="0"/>
    <xf numFmtId="0" fontId="0" fillId="0" borderId="1" pivotButton="0" quotePrefix="0" xfId="0"/>
    <xf numFmtId="164" fontId="0" fillId="2" borderId="1" pivotButton="0" quotePrefix="0" xfId="0"/>
    <xf numFmtId="1" fontId="0" fillId="2" borderId="1" pivotButton="0" quotePrefix="0" xfId="0"/>
    <xf numFmtId="4" fontId="0" fillId="0" borderId="1" pivotButton="0" quotePrefix="0" xfId="0"/>
    <xf numFmtId="0" fontId="2" fillId="0" borderId="0" pivotButton="0" quotePrefix="0" xfId="0"/>
    <xf numFmtId="165" fontId="0" fillId="2" borderId="1" pivotButton="0" quotePrefix="0" xfId="0"/>
    <xf numFmtId="0" fontId="7" fillId="3" borderId="1" applyAlignment="1" pivotButton="0" quotePrefix="0" xfId="0">
      <alignment horizontal="left" vertical="top" wrapText="1"/>
    </xf>
    <xf numFmtId="1" fontId="0" fillId="0" borderId="1" pivotButton="0" quotePrefix="0" xfId="0"/>
    <xf numFmtId="164" fontId="0" fillId="0" borderId="0" pivotButton="0" quotePrefix="0" xfId="0"/>
    <xf numFmtId="4" fontId="4" fillId="0" borderId="0" pivotButton="0" quotePrefix="0" xfId="0"/>
    <xf numFmtId="4" fontId="0" fillId="2" borderId="0" pivotButton="0" quotePrefix="0" xfId="0"/>
    <xf numFmtId="10" fontId="0" fillId="0" borderId="0" pivotButton="0" quotePrefix="0" xfId="0"/>
    <xf numFmtId="0" fontId="7" fillId="3" borderId="1" pivotButton="0" quotePrefix="0" xfId="0"/>
    <xf numFmtId="164" fontId="0" fillId="0" borderId="1" pivotButton="0" quotePrefix="0" xfId="0"/>
    <xf numFmtId="166" fontId="0" fillId="0" borderId="1" pivotButton="0" quotePrefix="0" xfId="0"/>
    <xf numFmtId="0" fontId="0" fillId="0" borderId="1" applyAlignment="1" pivotButton="0" quotePrefix="0" xfId="0">
      <alignment horizontal="left" vertical="top" wrapText="1"/>
    </xf>
    <xf numFmtId="10" fontId="0" fillId="0" borderId="1" pivotButton="0" quotePrefix="0" xfId="0"/>
    <xf numFmtId="0" fontId="4" fillId="0" borderId="0" applyAlignment="1" pivotButton="0" quotePrefix="0" xfId="0">
      <alignment horizontal="left" vertical="top" wrapText="1"/>
    </xf>
    <xf numFmtId="0" fontId="0" fillId="0" borderId="4" pivotButton="0" quotePrefix="0" xfId="0"/>
    <xf numFmtId="0" fontId="0" fillId="0" borderId="5" pivotButton="0" quotePrefix="0" xfId="0"/>
    <xf numFmtId="165" fontId="0" fillId="0" borderId="1" pivotButton="0" quotePrefix="0" xfId="0"/>
    <xf numFmtId="0" fontId="6" fillId="0" borderId="0" applyAlignment="1" pivotButton="0" quotePrefix="0" xfId="0">
      <alignment horizontal="left" vertical="top" wrapText="1"/>
    </xf>
    <xf numFmtId="0" fontId="8" fillId="0" borderId="0" applyAlignment="1" pivotButton="0" quotePrefix="0" xfId="0">
      <alignment horizontal="left" vertical="top" wrapText="1"/>
    </xf>
    <xf numFmtId="0" fontId="0" fillId="2" borderId="1" applyProtection="1" pivotButton="0" quotePrefix="0" xfId="0">
      <protection locked="0" hidden="0"/>
    </xf>
    <xf numFmtId="4" fontId="0" fillId="2" borderId="1" applyProtection="1" pivotButton="0" quotePrefix="0" xfId="0">
      <protection locked="0" hidden="0"/>
    </xf>
    <xf numFmtId="164" fontId="0" fillId="2" borderId="1" applyProtection="1" pivotButton="0" quotePrefix="0" xfId="0">
      <protection locked="0" hidden="0"/>
    </xf>
    <xf numFmtId="1" fontId="0" fillId="2" borderId="1" applyProtection="1" pivotButton="0" quotePrefix="0" xfId="0">
      <protection locked="0" hidden="0"/>
    </xf>
    <xf numFmtId="165" fontId="0" fillId="2" borderId="1" applyProtection="1" pivotButton="0" quotePrefix="0" xfId="0">
      <protection locked="0" hidden="0"/>
    </xf>
    <xf numFmtId="4" fontId="0" fillId="2" borderId="0" applyProtection="1" pivotButton="0" quotePrefix="0" xfId="0">
      <protection locked="0" hidden="0"/>
    </xf>
    <xf numFmtId="0" fontId="0" fillId="0" borderId="0" applyAlignment="1" pivotButton="0" quotePrefix="0" xfId="0">
      <alignment horizontal="left" vertical="center"/>
    </xf>
    <xf numFmtId="0" fontId="9" fillId="0" borderId="0" applyAlignment="1" pivotButton="0" quotePrefix="0" xfId="0">
      <alignment horizontal="left" vertical="top" wrapText="1"/>
    </xf>
    <xf numFmtId="0" fontId="10" fillId="0" borderId="0" applyAlignment="1" pivotButton="0" quotePrefix="0" xfId="0">
      <alignment horizontal="left" vertical="top" wrapText="1"/>
    </xf>
    <xf numFmtId="0" fontId="11" fillId="0" borderId="0" pivotButton="0" quotePrefix="0" xfId="0"/>
    <xf numFmtId="0" fontId="12" fillId="0" borderId="0" applyAlignment="1" pivotButton="0" quotePrefix="0" xfId="0">
      <alignment vertical="top" wrapText="1"/>
    </xf>
    <xf numFmtId="0" fontId="13" fillId="4" borderId="0" applyAlignment="1" pivotButton="0" quotePrefix="0" xfId="0">
      <alignment vertical="center"/>
    </xf>
    <xf numFmtId="0" fontId="0" fillId="4" borderId="0" pivotButton="0" quotePrefix="0" xfId="0"/>
    <xf numFmtId="0" fontId="12" fillId="0" borderId="0" applyAlignment="1" pivotButton="0" quotePrefix="0" xfId="0">
      <alignment vertical="center"/>
    </xf>
    <xf numFmtId="167" fontId="12" fillId="2" borderId="6" pivotButton="0" quotePrefix="0" xfId="0"/>
    <xf numFmtId="0" fontId="14" fillId="0" borderId="0" applyAlignment="1" pivotButton="0" quotePrefix="0" xfId="0">
      <alignment vertical="top" wrapText="1"/>
    </xf>
    <xf numFmtId="0" fontId="12" fillId="2" borderId="6" pivotButton="0" quotePrefix="0" xfId="0"/>
    <xf numFmtId="168" fontId="12" fillId="2" borderId="6" pivotButton="0" quotePrefix="0" xfId="0"/>
    <xf numFmtId="164" fontId="12" fillId="2" borderId="6" pivotButton="0" quotePrefix="0" xfId="0"/>
    <xf numFmtId="0" fontId="6" fillId="0" borderId="0" applyAlignment="1" pivotButton="0" quotePrefix="0" xfId="0">
      <alignment vertical="top" wrapText="1"/>
    </xf>
    <xf numFmtId="0" fontId="15" fillId="0" borderId="0" applyAlignment="1" pivotButton="0" quotePrefix="0" xfId="0">
      <alignment vertical="top" wrapText="1"/>
    </xf>
    <xf numFmtId="4" fontId="15" fillId="0" borderId="0" applyAlignment="1" pivotButton="0" quotePrefix="0" xfId="0">
      <alignment vertical="top" wrapText="1"/>
    </xf>
    <xf numFmtId="169" fontId="16" fillId="0" borderId="0" pivotButton="0" quotePrefix="0" xfId="0"/>
    <xf numFmtId="4" fontId="11" fillId="0" borderId="0" pivotButton="0" quotePrefix="0" xfId="0"/>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pivotButton="0" quotePrefix="0" xfId="0"/>
    <xf numFmtId="0" fontId="12" fillId="0" borderId="0" pivotButton="0" quotePrefix="0" xfId="0"/>
    <xf numFmtId="0" fontId="14" fillId="0" borderId="0" pivotButton="0" quotePrefix="0" xfId="0"/>
    <xf numFmtId="0" fontId="12" fillId="0" borderId="0" applyAlignment="1" pivotButton="0" quotePrefix="0" xfId="0">
      <alignment horizontal="left" vertical="top" wrapText="1"/>
    </xf>
    <xf numFmtId="0" fontId="13" fillId="4" borderId="0" pivotButton="0" quotePrefix="0" xfId="0"/>
    <xf numFmtId="0" fontId="0" fillId="2" borderId="6" applyProtection="1" pivotButton="0" quotePrefix="0" xfId="0">
      <protection locked="0" hidden="0"/>
    </xf>
    <xf numFmtId="4" fontId="21" fillId="5" borderId="6" applyProtection="1" pivotButton="0" quotePrefix="0" xfId="0">
      <protection locked="0" hidden="0"/>
    </xf>
    <xf numFmtId="4" fontId="0" fillId="2" borderId="6" applyProtection="1" pivotButton="0" quotePrefix="0" xfId="0">
      <protection locked="0" hidden="0"/>
    </xf>
    <xf numFmtId="0" fontId="21" fillId="5" borderId="6" applyProtection="1" pivotButton="0" quotePrefix="0" xfId="0">
      <protection locked="0" hidden="0"/>
    </xf>
    <xf numFmtId="164" fontId="21" fillId="5" borderId="6" applyProtection="1" pivotButton="0" quotePrefix="0" xfId="0">
      <protection locked="0" hidden="0"/>
    </xf>
    <xf numFmtId="1" fontId="0" fillId="2" borderId="6" applyProtection="1" pivotButton="0" quotePrefix="0" xfId="0">
      <protection locked="0" hidden="0"/>
    </xf>
    <xf numFmtId="164" fontId="0" fillId="2" borderId="6" applyProtection="1" pivotButton="0" quotePrefix="0" xfId="0">
      <protection locked="0" hidden="0"/>
    </xf>
    <xf numFmtId="165" fontId="0" fillId="2" borderId="6" applyProtection="1" pivotButton="0" quotePrefix="0" xfId="0">
      <protection locked="0" hidden="0"/>
    </xf>
    <xf numFmtId="0" fontId="22" fillId="0" borderId="0" pivotButton="0" quotePrefix="0" xfId="0"/>
    <xf numFmtId="169" fontId="12" fillId="2" borderId="6" pivotButton="0" quotePrefix="0" xfId="0"/>
    <xf numFmtId="169" fontId="12" fillId="0" borderId="0" pivotButton="0" quotePrefix="0" xfId="0"/>
    <xf numFmtId="0" fontId="23" fillId="0" borderId="0" pivotButton="0" quotePrefix="0" xfId="0"/>
    <xf numFmtId="0" fontId="22" fillId="0" borderId="0" applyAlignment="1" pivotButton="0" quotePrefix="0" xfId="0">
      <alignment vertical="top" wrapText="1"/>
    </xf>
    <xf numFmtId="0" fontId="24" fillId="4" borderId="1" applyAlignment="1" pivotButton="0" quotePrefix="0" xfId="0">
      <alignment horizontal="left" vertical="top" wrapText="1"/>
    </xf>
    <xf numFmtId="0" fontId="10" fillId="0" borderId="0" pivotButton="0" quotePrefix="0" xfId="0"/>
  </cellXfs>
  <cellStyles count="1">
    <cellStyle name="Normal" xfId="0" builtinId="0" hidden="0"/>
  </cellStyles>
  <dxfs count="2">
    <dxf>
      <font>
        <b val="1"/>
        <i val="1"/>
        <color rgb="009C0006"/>
        <sz val="9"/>
      </font>
      <fill>
        <patternFill patternType="solid">
          <fgColor rgb="00FCE4E4"/>
          <bgColor rgb="00FCE4E4"/>
        </patternFill>
      </fill>
    </dxf>
    <dxf>
      <font>
        <b val="1"/>
        <color rgb="009C0006"/>
        <sz val="10"/>
      </font>
      <fill>
        <patternFill patternType="solid">
          <fgColor rgb="00FCE4E4"/>
          <bgColor rgb="00FCE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A1:E45"/>
  <sheetViews>
    <sheetView showGridLines="0" zoomScale="100" workbookViewId="0">
      <pane ySplit="4" topLeftCell="A5" activePane="bottomLeft" state="frozen"/>
      <selection pane="bottomLeft" activeCell="A1" sqref="A1"/>
    </sheetView>
  </sheetViews>
  <sheetFormatPr baseColWidth="8" defaultRowHeight="15"/>
  <cols>
    <col width="2" customWidth="1" min="1" max="1"/>
    <col width="27" customWidth="1" min="2" max="2"/>
    <col width="27" customWidth="1" min="3" max="3"/>
    <col width="27" customWidth="1" min="4" max="4"/>
    <col width="27" customWidth="1" min="5" max="5"/>
    <col width="2" customWidth="1" min="6" max="6"/>
  </cols>
  <sheetData>
    <row r="1">
      <c r="B1" s="43" t="inlineStr">
        <is>
          <t>Figmetric Take-Home Pay Year Planner</t>
        </is>
      </c>
    </row>
    <row r="2">
      <c r="B2" s="44" t="inlineStr">
        <is>
          <t>Start here. Enter six numbers. See your year.</t>
        </is>
      </c>
    </row>
    <row r="3">
      <c r="B3" s="45" t="inlineStr">
        <is>
          <t>Planner v1.1 engine · D3 layout — parameters as of 2026-10-13 · A projection of your year, paycheck by paycheck.</t>
        </is>
      </c>
    </row>
    <row r="4" ht="42" customHeight="1">
      <c r="B4" s="46" t="inlineStr">
        <is>
          <t>Your paycheck has seasons. Bonuses land, Social Security stops mid-year, 401(k)s fill up — and every one of those moments changes what you actually take home. This planner maps the whole year so you can see them coming.</t>
        </is>
      </c>
    </row>
    <row r="5"/>
    <row r="6" ht="20" customHeight="1">
      <c r="B6" s="47" t="inlineStr">
        <is>
          <t>STEP 1 — THE QUICK SIX · the only numbers you need</t>
        </is>
      </c>
      <c r="C6" s="48" t="n"/>
      <c r="D6" s="48" t="n"/>
      <c r="E6" s="48" t="n"/>
    </row>
    <row r="7" ht="34" customHeight="1">
      <c r="B7" s="49" t="inlineStr">
        <is>
          <t>1 · Annual salary ($)</t>
        </is>
      </c>
      <c r="C7" s="50" t="n"/>
      <c r="D7" s="51">
        <f>IF('Your Pay &amp; Benefits'!C4="Annual salary","Your full-year pay before anything is taken out — what your offer letter or HR page calls your salary.","⚠ Pay basis on Your Pay &amp; Benefits is 'Per-check gross' — this box is not in use; the per-check gross lives there.")</f>
      </c>
    </row>
    <row r="8" ht="34" customHeight="1">
      <c r="B8" s="49" t="inlineStr">
        <is>
          <t>2 · Pay frequency</t>
        </is>
      </c>
      <c r="C8" s="52" t="n"/>
      <c r="D8" s="51" t="inlineStr">
        <is>
          <t>How often a paycheck lands: Weekly, Biweekly, Semimonthly (twice a month), or Monthly.</t>
        </is>
      </c>
    </row>
    <row r="9" ht="34" customHeight="1">
      <c r="B9" s="49" t="inlineStr">
        <is>
          <t>3 · Work state</t>
        </is>
      </c>
      <c r="C9" s="52" t="n"/>
      <c r="D9" s="51" t="inlineStr">
        <is>
          <t>The state your pay is taxed in. A few states are manual-entry — if yours is, a warning appears below and nothing is silently set to $0.</t>
        </is>
      </c>
    </row>
    <row r="10" ht="34" customHeight="1">
      <c r="B10" s="49" t="inlineStr">
        <is>
          <t>4 · Filing status (W-4 Step 1c)</t>
        </is>
      </c>
      <c r="C10" s="52" t="n"/>
      <c r="D10" s="51" t="inlineStr">
        <is>
          <t>Exactly as on your W-4: Single, MFJ (married filing jointly), or HoH (head of household).</t>
        </is>
      </c>
    </row>
    <row r="11" ht="34" customHeight="1">
      <c r="B11" s="49" t="inlineStr">
        <is>
          <t>5 · 401(k) pre-tax (% of pay)</t>
        </is>
      </c>
      <c r="C11" s="53" t="n"/>
      <c r="D11" s="51">
        <f>IF('Your Pay &amp; Benefits'!C30="Percent","Your pre-tax 401(k) / 403(b) / 457 election as a share of gross pay — type 6% as 0.06. Leave blank if you don't contribute.","⚠ 401(k) mode on Your Pay &amp; Benefits is 'Fixed $' — this % box is not in use.")</f>
      </c>
    </row>
    <row r="12" ht="34" customHeight="1">
      <c r="B12" s="49" t="inlineStr">
        <is>
          <t>6 · First payday of the year</t>
        </is>
      </c>
      <c r="C12" s="54" t="n"/>
      <c r="D12" s="51" t="inlineStr">
        <is>
          <t>The first payday of the planning year on your employer's cycle — everything is dated from here.</t>
        </is>
      </c>
    </row>
    <row r="13" ht="28" customHeight="1">
      <c r="B13" s="55">
        <f>IF(COUNTA(C7:C12)=6,"✓ All six in — your year is live below.","You've filled "&amp;COUNTA(C7:C12)&amp;" of the 6. Your year builds as you go — nothing is guessed for you: a blank box stays blank.")</f>
      </c>
    </row>
    <row r="14">
      <c r="B14" s="4" t="n"/>
    </row>
    <row r="15" ht="20" customHeight="1">
      <c r="B15" s="47" t="inlineStr">
        <is>
          <t>YOUR YEAR AT A GLANCE — live from Your Year</t>
        </is>
      </c>
      <c r="C15" s="48" t="n"/>
      <c r="D15" s="48" t="n"/>
      <c r="E15" s="48" t="n"/>
    </row>
    <row r="16">
      <c r="B16" s="56" t="inlineStr">
        <is>
          <t>First paycheck</t>
        </is>
      </c>
      <c r="C16" s="57" t="inlineStr">
        <is>
          <t>Biggest REGULAR paycheck</t>
        </is>
      </c>
      <c r="D16" s="56" t="inlineStr">
        <is>
          <t>Biggest paycheck (incl. one-offs)</t>
        </is>
      </c>
      <c r="E16" s="56" t="inlineStr">
        <is>
          <t>Take-home for the year</t>
        </is>
      </c>
    </row>
    <row r="17">
      <c r="B17" s="58">
        <f>IF('Your Year'!Y6="","—",'Your Year'!Y6)</f>
      </c>
      <c r="C17" s="58">
        <f>IF(SUM('Your Year'!Y6:Y68)=0,"—",IF(COUNT('Your Year'!CF6:CF68)=0,"—",MAX('Your Year'!CF6:CF68)))</f>
      </c>
      <c r="D17" s="58">
        <f>IF(SUM('Your Year'!Y6:Y68)=0,"—",MAX('Your Year'!Y6:Y68))</f>
      </c>
      <c r="E17" s="58">
        <f>IF(SUM('Your Year'!Y6:Y68)=0,"—",SUM('Your Year'!Y6:Y68))</f>
      </c>
    </row>
    <row r="18">
      <c r="B18" s="45">
        <f>IF('Your Year'!B6="","","on "&amp;TEXT('Your Year'!B6,"mmm d, yyyy"))</f>
      </c>
      <c r="C18" s="59" t="inlineStr">
        <is>
          <t>a normal payday — one-off payments not counted</t>
        </is>
      </c>
      <c r="D18" s="45">
        <f>IF(SUM('Your Year'!D6:D68)&gt;0,"includes one-off pay — look for the ★ notes in Your Year","no one-off payments entered")</f>
      </c>
      <c r="E18" s="45">
        <f>IF(SUM('Your Year'!BF6:BF68)=0,"",SUM('Your Year'!BF6:BF68)&amp;" paydays · avg "&amp;TEXT(IFERROR(AVERAGE('Your Year'!Y6:Y68),0),"$#,##0")&amp;" per check")</f>
      </c>
    </row>
    <row r="19" ht="40" customHeight="1">
      <c r="B19" s="60">
        <f>IF(OR('Your Pay &amp; Benefits'!$C$4&lt;&gt;"Annual salary",SUM('Your Year'!BF6:BF68)='Your Pay &amp; Benefits'!$C$8),"","⚠ This pay cycle produces "&amp;SUM('Your Year'!BF6:BF68)&amp;" paydays in "&amp;'Your Pay &amp; Benefits'!$C$10&amp;" instead of the standard "&amp;'Your Pay &amp; Benefits'!$C$8&amp;". "&amp;IF('Your Pay &amp; Benefits'!$C$88="Actual paydays","Your salary is divided by "&amp;SUM('Your Year'!BF6:BF68)&amp;" so the year totals your salary (Your Pay &amp; Benefits, row 88).","Your salary is divided by the standard "&amp;'Your Pay &amp; Benefits'!$C$8&amp;" (payroll-style), so the year gross runs over the salary figure (Your Pay &amp; Benefits, row 88)."))</f>
      </c>
    </row>
    <row r="20" ht="58" customHeight="1">
      <c r="B20" s="60">
        <f>IF(OR(AND(ISNUMBER(SEARCH("MANUAL",IFERROR(VLOOKUP('Your Pay &amp; Benefits'!$C$21,StateTables!$A$6:$AB$56,5,FALSE),""))),NOT('Your Pay &amp; Benefits'!$C$26),OR('Your Pay &amp; Benefits'!$C$28="",'Your Pay &amp; Benefits'!$C$28&lt;=0)),AND(ISNUMBER(SEARCH("MANUAL",IFERROR(VLOOKUP('Second Earner'!$C$21,StateTables!$A$6:$AB$56,5,FALSE),""))),NOT('Second Earner'!$C$26),OR('Second Earner'!$C$28="",'Second Earner'!$C$28&lt;=0))),"⚠ STATE TAX NOT ENTERED — "&amp;IF(AND(ISNUMBER(SEARCH("MANUAL",IFERROR(VLOOKUP('Your Pay &amp; Benefits'!$C$21,StateTables!$A$6:$AB$56,5,FALSE),""))),NOT('Your Pay &amp; Benefits'!$C$26),OR('Your Pay &amp; Benefits'!$C$28="",'Your Pay &amp; Benefits'!$C$28&lt;=0)),"Earner 1's state ("&amp;'Your Pay &amp; Benefits'!$C$21&amp;") is manual-entry with no per-check amount entered (Your Pay &amp; Benefits, row 28, 'State withholding per check'). ","")&amp;IF(AND(ISNUMBER(SEARCH("MANUAL",IFERROR(VLOOKUP('Second Earner'!$C$21,StateTables!$A$6:$AB$56,5,FALSE),""))),NOT('Second Earner'!$C$26),OR('Second Earner'!$C$28="",'Second Earner'!$C$28&lt;=0)),"Earner 2's state ("&amp;'Second Earner'!$C$21&amp;") is manual-entry with no per-check amount entered (Second Earner, row 28, 'State withholding per check'). ","")&amp;"Until the amount from a recent pay stub is entered, this workbook projects $0 state withholding for that earner and overstates take-home pay.","")</f>
      </c>
    </row>
    <row r="21" ht="20" customHeight="1">
      <c r="B21" s="47" t="inlineStr">
        <is>
          <t>WHAT THIS ASSUMES — every default, in the open</t>
        </is>
      </c>
      <c r="C21" s="48" t="n"/>
      <c r="D21" s="48" t="n"/>
      <c r="E21" s="48" t="n"/>
    </row>
    <row r="22" ht="40" customHeight="1">
      <c r="B22" s="61">
        <f>"Pay — "&amp;IF(OR('Your Pay &amp; Benefits'!C5="",'Your Pay &amp; Benefits'!C5=0),"salary not entered yet",TEXT('Your Pay &amp; Benefits'!C5,"$#,##0")&amp;" a year")&amp;", "&amp;IF(OR('Your Pay &amp; Benefits'!C7="",'Your Pay &amp; Benefits'!C7=0),"frequency not set",'Your Pay &amp; Benefits'!C7)&amp;", first payday "&amp;IF(OR('Your Pay &amp; Benefits'!C9="",'Your Pay &amp; Benefits'!C9=0),"not set",TEXT('Your Pay &amp; Benefits'!C9,"mmm d, yyyy"))&amp;". Pay basis: "&amp;'Your Pay &amp; Benefits'!C4&amp;". → change on Your Pay &amp; Benefits, section 1."</f>
      </c>
    </row>
    <row r="23" ht="40" customHeight="1">
      <c r="B23" s="61">
        <f>"W-4 as filed — "&amp;IF(OR('Your Pay &amp; Benefits'!C12="",'Your Pay &amp; Benefits'!C12=0),"filing status not set",'Your Pay &amp; Benefits'!C12)&amp;" · Step 2 box "&amp;IF('Your Pay &amp; Benefits'!C13,"checked","not checked")&amp;" · Step 3 credits "&amp;TEXT('Your Pay &amp; Benefits'!C14,"$#,##0")&amp;" · 4(a) other income "&amp;TEXT('Your Pay &amp; Benefits'!C15,"$#,##0")&amp;" · 4(b) deductions "&amp;TEXT('Your Pay &amp; Benefits'!C16,"$#,##0")&amp;" · 4(c) extra "&amp;TEXT('Your Pay &amp; Benefits'!C17,"$#,##0")&amp;"/check · exempt: "&amp;IF('Your Pay &amp; Benefits'!C18,"YES","no")&amp;" · age at year-end "&amp;'Your Pay &amp; Benefits'!C19&amp;" (drives the 401(k) catch-up cap). → section 2."</f>
      </c>
    </row>
    <row r="24" ht="40" customHeight="1">
      <c r="B24" s="61">
        <f>"State — "&amp;IF(OR('Your Pay &amp; Benefits'!C21="",'Your Pay &amp; Benefits'!C21=0),"not set yet",'Your Pay &amp; Benefits'!C21&amp;" · "&amp;'Your Pay &amp; Benefits'!C22&amp;" · "&amp;'Your Pay &amp; Benefits'!C23&amp;" regular allowance(s), "&amp;'Your Pay &amp; Benefits'!C24&amp;" estimated-deduction allowance(s) · extra "&amp;TEXT('Your Pay &amp; Benefits'!C25,"$#,##0")&amp;"/check · method: "&amp;IF(ISNUMBER(SEARCH("MANUAL",IFERROR(VLOOKUP('Your Pay &amp; Benefits'!C21,StateTables!$A$6:$AB$56,5,FALSE),""))),"MANUAL — you enter the per-check amount from your paystub (row 28); leave it blank and the projection uses $0 state tax and says so above","automatic — computed from the state's published method"))&amp;". → section 3."</f>
      </c>
    </row>
    <row r="25" ht="52" customHeight="1">
      <c r="B25" s="61">
        <f>"Deductions — 401(k) pre-tax: "&amp;IF('Your Pay &amp; Benefits'!C30="Percent",TEXT('Your Pay &amp; Benefits'!D31,"0.0%")&amp;" of gross",TEXT('Your Pay &amp; Benefits'!D31,"$#,##0")&amp;"/check")&amp;" · Roth: "&amp;IF('Your Pay &amp; Benefits'!C32="Percent",TEXT('Your Pay &amp; Benefits'!D32,"0.0%")&amp;" of gross",TEXT('Your Pay &amp; Benefits'!D32,"$#,##0")&amp;"/check")&amp;" · HSA "&amp;TEXT('Your Pay &amp; Benefits'!D35,"$#,##0")&amp;"/check ("&amp;'Your Pay &amp; Benefits'!C36&amp;") · health FSA "&amp;TEXT('Your Pay &amp; Benefits'!D38,"$#,##0")&amp;"/yr · dependent-care FSA "&amp;TEXT('Your Pay &amp; Benefits'!D39,"$#,##0")&amp;"/yr · premiums "&amp;TEXT('Your Pay &amp; Benefits'!D40+'Your Pay &amp; Benefits'!D41+'Your Pay &amp; Benefits'!D42,"$#,##0")&amp;"/check · other pre-tax "&amp;TEXT('Your Pay &amp; Benefits'!D43+'Your Pay &amp; Benefits'!D44,"$#,##0")&amp;" · post-tax "&amp;TEXT('Your Pay &amp; Benefits'!D45,"$#,##0")&amp;" · imputed income "&amp;TEXT('Your Pay &amp; Benefits'!D46,"$#,##0")&amp;". → section 4."</f>
      </c>
    </row>
    <row r="26" ht="40" customHeight="1">
      <c r="B26" s="61">
        <f>"Starting balances — "&amp;IF(SUM('Your Pay &amp; Benefits'!C48:C56)=0,"all zero: a January 1 start at this job is assumed. Starting mid-year? Enter your year-to-date numbers in section 5, or the caps will land late.","year-to-date entered (gross "&amp;TEXT('Your Pay &amp; Benefits'!C48,"$#,##0")&amp;" · 401(k) "&amp;TEXT('Your Pay &amp; Benefits'!C51,"$#,##0")&amp;" · federal withheld "&amp;TEXT('Your Pay &amp; Benefits'!C55,"$#,##0")&amp;")")&amp;" · In-year changes: "&amp;IF(COUNTA('Changes &amp; Events'!C6:C17)=0,"none — no raise assumed.",COUNTA('Changes &amp; Events'!C6:C17)&amp;" entered on Changes &amp; Events.")</f>
      </c>
    </row>
    <row r="27" ht="40" customHeight="1">
      <c r="B27" s="61">
        <f>"Second earner — "&amp;IF(OR('Second Earner'!C5="",'Second Earner'!C5=0),"none entered: the household numbers are Earner 1 alone.","Earner 2 earns "&amp;TEXT('Second Earner'!C5,"$#,##0")&amp;" ("&amp;'Second Earner'!C21&amp;") — see Second Earner and Household.")&amp;" · One-off payments: "&amp;IF(SUM('Your Pay &amp; Benefits'!D58:D67)=0,"none entered.",TEXT(SUM('Your Pay &amp; Benefits'!D58:D67),"$#,##0")&amp;" across "&amp;COUNT('Your Pay &amp; Benefits'!C58:C67)&amp;" dated payment(s) in section 6.")</f>
      </c>
    </row>
    <row r="28" ht="20" customHeight="1">
      <c r="B28" s="47" t="inlineStr">
        <is>
          <t>STEP 2 — MAKE IT EXACT (optional, when you're ready)</t>
        </is>
      </c>
      <c r="C28" s="48" t="n"/>
      <c r="D28" s="48" t="n"/>
      <c r="E28" s="48" t="n"/>
    </row>
    <row r="29" ht="30" customHeight="1">
      <c r="B29" s="61" t="inlineStr">
        <is>
          <t>Your benefits — premiums, HSA, FSA elections:  Your Pay &amp; Benefits, section 4. They re-price every check honestly (premiums and HSA also lower FICA; a 401(k) does not).</t>
        </is>
      </c>
    </row>
    <row r="30" ht="30" customHeight="1">
      <c r="B30" s="61" t="inlineStr">
        <is>
          <t>A bonus or other one-off pay:  Your Pay &amp; Benefits, section 6 — it gets its own dated row in Your Year, taxed the way payroll taxes it.</t>
        </is>
      </c>
    </row>
    <row r="31" ht="30" customHeight="1">
      <c r="B31" s="61" t="inlineStr">
        <is>
          <t>Check the planner against your real paystub:  Your Pay &amp; Benefits, section 9 (paystub check) — five lines, side by side, differences explained.</t>
        </is>
      </c>
    </row>
    <row r="32" ht="30" customHeight="1">
      <c r="B32" s="61" t="inlineStr">
        <is>
          <t>A raise, a move, a new job, a re-filed W-4 mid-year:  Changes &amp; Events — each change starts on its own pay date.</t>
        </is>
      </c>
    </row>
    <row r="33" ht="30" customHeight="1">
      <c r="B33" s="61" t="inlineStr">
        <is>
          <t>A second earner:  the Second Earner tab (start with its Yes/No switch). Household merges both calendars; Your Goals reads the combined stream.</t>
        </is>
      </c>
    </row>
    <row r="34" ht="30" customHeight="1">
      <c r="B34" s="61" t="inlineStr">
        <is>
          <t>Go further:  Tax Levers (what each break is worth per check) · Your Goals (can we afford it, and by when) · Year-End True-Up (withholding vs. the real bill) · W-4 Guide (the forms, in plain English) · How This Works &amp; Sources (method, tables, sources).</t>
        </is>
      </c>
    </row>
    <row r="35" ht="20" customHeight="1">
      <c r="B35" s="47" t="inlineStr">
        <is>
          <t>TRY THE EXAMPLE (optional — see a finished year in 20 seconds)</t>
        </is>
      </c>
      <c r="C35" s="48" t="n"/>
      <c r="D35" s="48" t="n"/>
      <c r="E35" s="48" t="n"/>
    </row>
    <row r="36" ht="52" customHeight="1">
      <c r="B36" s="61" t="inlineStr">
        <is>
          <t>Type these six into the gold boxes above:  salary 95000 · Biweekly · CA · Single · 401(k) 0 · first payday 2026-01-02.  You should see: first paycheck $2,668.41 · take-home for the year $69,378.66. Then change the 401(k) box to 0.06 and watch the year re-price — that's the planner working. RESET: clear the six gold boxes — blank is how this file ships, and blank is a valid state.</t>
        </is>
      </c>
    </row>
    <row r="38" ht="20" customHeight="1">
      <c r="B38" s="47" t="inlineStr">
        <is>
          <t>PLEASE READ — ACCURACY &amp; LIMITS</t>
        </is>
      </c>
      <c r="C38" s="48" t="n"/>
      <c r="D38" s="48" t="n"/>
      <c r="E38" s="48" t="n"/>
    </row>
    <row r="39" ht="34" customHeight="1">
      <c r="B39" s="62" t="inlineStr">
        <is>
          <t>A projection, not payroll and not tax advice. Withholding is an estimate collected during the year; your final tax is settled when you file.</t>
        </is>
      </c>
    </row>
    <row r="40" ht="34" customHeight="1">
      <c r="B40" s="62" t="inlineStr">
        <is>
          <t>Precise on mechanics, not 100% precise in outcome. Known drift sources: bonuses/equity withheld at supplemental rates, mid-year raises or job changes (re-run the planner when they happen), and employer payroll quirks (some employers use cumulative/YTD-aware withholding, which can differ from the standard annualized method used here).</t>
        </is>
      </c>
    </row>
    <row r="41" ht="34" customHeight="1">
      <c r="B41" s="62" t="inlineStr">
        <is>
          <t>Assumes one employer and work state = tax state. The Social Security wage cap applies per employer in real payroll.</t>
        </is>
      </c>
    </row>
    <row r="42" ht="34" customHeight="1">
      <c r="B42" s="62" t="inlineStr">
        <is>
          <t>Guidance in this workbook is educational — how the forms work, never what you should claim.</t>
        </is>
      </c>
    </row>
    <row r="43">
      <c r="B43" s="63" t="inlineStr">
        <is>
          <t>LICENSE &amp; BUILD</t>
        </is>
      </c>
    </row>
    <row r="44" ht="58" customHeight="1">
      <c r="B44" s="62" t="inlineStr">
        <is>
          <t>© 2026 Figmetric. All rights reserved. This workbook is free for your personal use: plan with it, keep it, and open it in Excel or Google Sheets. Please do not re-upload, redistribute, resell, or publish modified copies — send people to figmetric.com instead. Tax rates, brackets, and statutory facts are public information; this workbook's design, text, and formulas are protected expression. Formula cells are locked so the math cannot be broken by accident; every yellow cell stays editable. The protection has no password — if you want to look under the hood, use Review → Unprotect Sheet.</t>
        </is>
      </c>
    </row>
    <row r="45">
      <c r="B45" s="45" t="inlineStr">
        <is>
          <t>Engine: certified fixbv3 line (values identical to build FM-YP-2026-1013-D2) + 401(k) wiring fix · D3 experience layout · October 13, 2026 · figmetric.com</t>
        </is>
      </c>
    </row>
  </sheetData>
  <sheetProtection selectLockedCells="0" selectUnlockedCells="0" sheet="1" objects="0" insertRows="1" insertHyperlinks="1" autoFilter="1" scenarios="0" formatColumns="1" deleteColumns="1" insertColumns="1" pivotTables="1" deleteRows="1" formatCells="1" formatRows="1" sort="1"/>
  <mergeCells count="38">
    <mergeCell ref="B40:E40"/>
    <mergeCell ref="D10:E10"/>
    <mergeCell ref="B6:E6"/>
    <mergeCell ref="B30:E30"/>
    <mergeCell ref="B15:E15"/>
    <mergeCell ref="B33:E33"/>
    <mergeCell ref="B24:E24"/>
    <mergeCell ref="B20:E20"/>
    <mergeCell ref="B36:E36"/>
    <mergeCell ref="B32:E32"/>
    <mergeCell ref="B45:E45"/>
    <mergeCell ref="B26:E26"/>
    <mergeCell ref="B41:E41"/>
    <mergeCell ref="B35:E35"/>
    <mergeCell ref="B4:E4"/>
    <mergeCell ref="D11:E11"/>
    <mergeCell ref="B25:E25"/>
    <mergeCell ref="B3:E3"/>
    <mergeCell ref="B22:E22"/>
    <mergeCell ref="B31:E31"/>
    <mergeCell ref="B27:E27"/>
    <mergeCell ref="D7:E7"/>
    <mergeCell ref="B21:E21"/>
    <mergeCell ref="B39:E39"/>
    <mergeCell ref="B2:E2"/>
    <mergeCell ref="D9:E9"/>
    <mergeCell ref="B42:E42"/>
    <mergeCell ref="D12:E12"/>
    <mergeCell ref="D8:E8"/>
    <mergeCell ref="B23:E23"/>
    <mergeCell ref="B1:E1"/>
    <mergeCell ref="B13:E13"/>
    <mergeCell ref="B38:E38"/>
    <mergeCell ref="B44:E44"/>
    <mergeCell ref="B29:E29"/>
    <mergeCell ref="B19:E19"/>
    <mergeCell ref="B34:E34"/>
    <mergeCell ref="B28:E28"/>
  </mergeCells>
  <dataValidations count="3">
    <dataValidation sqref="C8" showDropDown="0" showInputMessage="0" showErrorMessage="0" allowBlank="1" type="list">
      <formula1>"Weekly,Biweekly,Semimonthly,Monthly"</formula1>
    </dataValidation>
    <dataValidation sqref="C9" showDropDown="0" showInputMessage="0" showErrorMessage="0" allowBlank="1" type="list">
      <formula1>"AK,AL,AR,AZ,CA,CO,CT,DC,DE,FL,GA,HI,IA,ID,IL,IN,KS,KY,LA,MA,MD,ME,MI,MN,MO,MS,MT,NC,ND,NE,NH,NJ,NM,NV,NY,OH,OK,OR,PA,RI,SC,SD,TN,TX,UT,VA,VT,WA,WI,WV,WY"</formula1>
    </dataValidation>
    <dataValidation sqref="C10" showDropDown="0" showInputMessage="0" showErrorMessage="0" allowBlank="1" type="list">
      <formula1>"Single,MFJ,HoH"</formula1>
    </dataValidation>
  </dataValidations>
  <pageMargins left="0.75" right="0.75" top="1" bottom="1" header="0.5" footer="0.5"/>
  <pageSetup orientation="portrait" fitToHeight="1" fitToWidth="1"/>
</worksheet>
</file>

<file path=xl/worksheets/sheet2.xml><?xml version="1.0" encoding="utf-8"?>
<worksheet xmlns="http://schemas.openxmlformats.org/spreadsheetml/2006/main">
  <sheetPr>
    <tabColor rgb="00FFC000"/>
    <outlinePr summaryBelow="1" summaryRight="1"/>
    <pageSetUpPr/>
  </sheetPr>
  <dimension ref="A1:F102"/>
  <sheetViews>
    <sheetView zoomScale="100" workbookViewId="0">
      <selection activeCell="A1" sqref="A1"/>
    </sheetView>
  </sheetViews>
  <sheetFormatPr baseColWidth="8" defaultRowHeight="15"/>
  <cols>
    <col width="2" customWidth="1" min="1" max="1"/>
    <col width="46" customWidth="1" min="2" max="2"/>
    <col width="17" customWidth="1" min="3" max="3"/>
    <col width="15" customWidth="1" min="4" max="4"/>
    <col width="74" customWidth="1" min="5" max="5"/>
    <col width="52" customWidth="1" min="6" max="6"/>
  </cols>
  <sheetData>
    <row r="1">
      <c r="B1" s="64" t="inlineStr">
        <is>
          <t>Your Pay &amp; Benefits — Earner 1</t>
        </is>
      </c>
      <c r="E1" s="65" t="inlineStr">
        <is>
          <t>Two earners? Earner 2 has their own tab: Second Earner →</t>
        </is>
      </c>
    </row>
    <row r="2">
      <c r="B2" s="66" t="inlineStr">
        <is>
          <t>Start Here drives the six blue cells (change them there). Everything else on this tab is the detail behind them: W-4, state certificate, benefits, starting balances, one-off pay — and the paystub check in section 9.</t>
        </is>
      </c>
    </row>
    <row r="3">
      <c r="B3" s="67" t="inlineStr">
        <is>
          <t>1 · Pay &amp; schedule</t>
        </is>
      </c>
      <c r="C3" s="48" t="n"/>
      <c r="D3" s="48" t="n"/>
      <c r="E3" s="48" t="n"/>
    </row>
    <row r="4">
      <c r="B4" t="inlineStr">
        <is>
          <t>Pay basis</t>
        </is>
      </c>
      <c r="C4" s="68" t="inlineStr">
        <is>
          <t>Annual salary</t>
        </is>
      </c>
      <c r="E4" s="2" t="inlineStr">
        <is>
          <t>Choose 'Annual salary' or 'Per-check gross'.</t>
        </is>
      </c>
    </row>
    <row r="5">
      <c r="B5" t="inlineStr">
        <is>
          <t>Annual salary ($)</t>
        </is>
      </c>
      <c r="C5" s="69">
        <f>'Start Here'!C7</f>
      </c>
      <c r="E5" s="65" t="inlineStr">
        <is>
          <t>← set on Start Here (quick six)</t>
        </is>
      </c>
    </row>
    <row r="6">
      <c r="B6" t="inlineStr">
        <is>
          <t>OR gross pay per check ($)</t>
        </is>
      </c>
      <c r="C6" s="70" t="n">
        <v>0</v>
      </c>
      <c r="E6" s="2" t="inlineStr">
        <is>
          <t>Used only when pay basis is 'Per-check gross'.</t>
        </is>
      </c>
    </row>
    <row r="7">
      <c r="B7" t="inlineStr">
        <is>
          <t>Pay frequency</t>
        </is>
      </c>
      <c r="C7" s="71">
        <f>'Start Here'!C8</f>
      </c>
      <c r="E7" s="2" t="inlineStr">
        <is>
          <t>Weekly / Biweekly / Semimonthly / Monthly.</t>
        </is>
      </c>
    </row>
    <row r="8">
      <c r="B8" t="inlineStr">
        <is>
          <t>Pay periods per year (auto)</t>
        </is>
      </c>
      <c r="C8" s="13">
        <f>IF(C7="Weekly",52,IF(C7="Biweekly",26,IF(C7="Semimonthly",24,12)))</f>
      </c>
    </row>
    <row r="9">
      <c r="B9" t="inlineStr">
        <is>
          <t>First pay date of the year</t>
        </is>
      </c>
      <c r="C9" s="72">
        <f>'Start Here'!C12</f>
      </c>
      <c r="E9" s="2" t="inlineStr">
        <is>
          <t>The first payday of the planning year on your employer's cycle. A biweekly cycle can produce 27 paydays in a year — the schedule handles that naturally.</t>
        </is>
      </c>
    </row>
    <row r="10">
      <c r="B10" t="inlineStr">
        <is>
          <t>Planning year</t>
        </is>
      </c>
      <c r="C10" s="73" t="n">
        <v>2026</v>
      </c>
    </row>
    <row r="11">
      <c r="B11" s="67" t="inlineStr">
        <is>
          <t>2 · Federal Form W-4 (as filed)</t>
        </is>
      </c>
      <c r="C11" s="48" t="n"/>
      <c r="D11" s="48" t="n"/>
      <c r="E11" s="48" t="n"/>
    </row>
    <row r="12">
      <c r="B12" t="inlineStr">
        <is>
          <t>Filing status (Step 1c)</t>
        </is>
      </c>
      <c r="C12" s="71">
        <f>'Start Here'!C10</f>
      </c>
      <c r="E12" s="2" t="inlineStr">
        <is>
          <t>Single / MFJ / HoH — exactly as on your W-4.</t>
        </is>
      </c>
    </row>
    <row r="13">
      <c r="B13" t="inlineStr">
        <is>
          <t>Step 2 box checked?</t>
        </is>
      </c>
      <c r="C13" s="68" t="b">
        <v>0</v>
      </c>
      <c r="E13" s="2" t="inlineStr">
        <is>
          <t>Only if you checked the multiple-jobs box in Step 2(c).</t>
        </is>
      </c>
    </row>
    <row r="14">
      <c r="B14" t="inlineStr">
        <is>
          <t>Step 3 — dependents &amp; credits ($/yr)</t>
        </is>
      </c>
      <c r="C14" s="70" t="n">
        <v>0</v>
      </c>
    </row>
    <row r="15">
      <c r="B15" t="inlineStr">
        <is>
          <t>Step 4(a) — other income ($/yr)</t>
        </is>
      </c>
      <c r="C15" s="70" t="n">
        <v>0</v>
      </c>
    </row>
    <row r="16">
      <c r="B16" t="inlineStr">
        <is>
          <t>Step 4(b) — deductions ($/yr)</t>
        </is>
      </c>
      <c r="C16" s="70" t="n">
        <v>0</v>
      </c>
      <c r="E16" s="2" t="inlineStr">
        <is>
          <t>Amount above the standard deduction, from the W-4 Deductions Worksheet.</t>
        </is>
      </c>
    </row>
    <row r="17">
      <c r="B17" t="inlineStr">
        <is>
          <t>Step 4(c) — extra withholding ($/check)</t>
        </is>
      </c>
      <c r="C17" s="70" t="n">
        <v>0</v>
      </c>
    </row>
    <row r="18">
      <c r="B18" t="inlineStr">
        <is>
          <t>Exempt from federal withholding?</t>
        </is>
      </c>
      <c r="C18" s="68" t="b">
        <v>0</v>
      </c>
    </row>
    <row r="19">
      <c r="B19" t="inlineStr">
        <is>
          <t>Your age at year-end</t>
        </is>
      </c>
      <c r="C19" s="73" t="n">
        <v>40</v>
      </c>
      <c r="E19" s="2" t="inlineStr">
        <is>
          <t>Drives the 401(k) catch-up cap (50+: +$8,000; 60–63: +$11,250).</t>
        </is>
      </c>
    </row>
    <row r="20">
      <c r="B20" s="67" t="inlineStr">
        <is>
          <t>3 · State withholding certificate</t>
        </is>
      </c>
      <c r="C20" s="48" t="n"/>
      <c r="D20" s="48" t="n"/>
      <c r="E20" s="48" t="n"/>
    </row>
    <row r="21">
      <c r="B21" t="inlineStr">
        <is>
          <t>State</t>
        </is>
      </c>
      <c r="C21" s="71">
        <f>'Start Here'!C9</f>
      </c>
      <c r="E21" s="2" t="inlineStr">
        <is>
          <t>Most states compute live in v0.2 — see StateTables for which, and for the state-specific meaning of the allowance fields below.</t>
        </is>
      </c>
    </row>
    <row r="22">
      <c r="B22" t="inlineStr">
        <is>
          <t>State filing status</t>
        </is>
      </c>
      <c r="C22" s="68" t="inlineStr">
        <is>
          <t>Single</t>
        </is>
      </c>
      <c r="E22" s="2" t="inlineStr">
        <is>
          <t>Single / Married / Head of household (as your state defines them).</t>
        </is>
      </c>
    </row>
    <row r="23">
      <c r="B23" t="inlineStr">
        <is>
          <t>State regular allowances / exemptions</t>
        </is>
      </c>
      <c r="C23" s="73" t="n">
        <v>1</v>
      </c>
    </row>
    <row r="24">
      <c r="B24" t="inlineStr">
        <is>
          <t>State estimated-deduction allowances</t>
        </is>
      </c>
      <c r="C24" s="73" t="n">
        <v>0</v>
      </c>
      <c r="E24" s="2" t="inlineStr">
        <is>
          <t>CA DE 4 line 1b (Worksheet B) — one allowance per $1,000 of expected deductions above the standard deduction.</t>
        </is>
      </c>
    </row>
    <row r="25">
      <c r="B25" t="inlineStr">
        <is>
          <t>Extra state withholding ($/check)</t>
        </is>
      </c>
      <c r="C25" s="70" t="n">
        <v>0</v>
      </c>
    </row>
    <row r="26">
      <c r="B26" t="inlineStr">
        <is>
          <t>Exempt from state withholding?</t>
        </is>
      </c>
      <c r="C26" s="68" t="b">
        <v>0</v>
      </c>
    </row>
    <row r="27">
      <c r="B27" t="inlineStr">
        <is>
          <t>Local withholding ($/check, if any)</t>
        </is>
      </c>
      <c r="C27" s="70" t="n">
        <v>0</v>
      </c>
      <c r="E27" s="2" t="inlineStr">
        <is>
          <t>Flat per-check local tax (e.g., a city tax your employer withholds). NYC, Yonkers and Philadelphia compute from the section-8 settings below; a generic local rate is also there.</t>
        </is>
      </c>
    </row>
    <row r="28">
      <c r="B28" t="inlineStr">
        <is>
          <t>State withholding per check — copy from your paystub ($/check, manual-entry states only)</t>
        </is>
      </c>
      <c r="C28" s="70" t="n">
        <v>0</v>
      </c>
      <c r="E28" s="2">
        <f>IF(AND(ISNUMBER(SEARCH("MANUAL",IFERROR(VLOOKUP($C$21,StateTables!$A$6:$AB$56,5,FALSE),""))),NOT($C$26),OR($C$28="",$C$28&lt;=0)),"⚠⚠ STATE TAX NOT ENTERED — "&amp;$C$21&amp;" is a manual-entry state and the 'State withholding per check' field in row 28 of this tab is blank or $0, so this plan currently shows $0 state withholding and take-home pay that is too high. Copy the amount from one regular pay stub — the line labeled 'State Tax', 'State WH' or 'ST W/H' beside your state code — into the yellow row-28 field now; until you do, treat every state and net figure in this workbook as INCOMPLETE.",IF(AND(ISNUMBER(SEARCH("MANUAL",IFERROR(VLOOKUP($C$21,StateTables!$A$6:$AB$56,5,FALSE),""))),NOT($C$26)),"✓ Manual-entry state: this plan uses the "&amp;TEXT($C$28,"$#,##0.00")&amp;" per check you copied from your pay stub into row 28 as the "&amp;$C$21&amp;" withholding on every paycheck — update it whenever your stub amount changes.","Manual-entry states only (CT, DC, GA, ME, NC, NM, UT): copy your state withholding per check from a regular pay stub — the line labeled 'State Tax', 'State WH' or 'ST W/H' beside your state code. Every other state ignores this field and computes automatically."))</f>
      </c>
    </row>
    <row r="29">
      <c r="B29" s="67" t="inlineStr">
        <is>
          <t>4 · Your deductions</t>
        </is>
      </c>
      <c r="C29" s="48" t="n"/>
      <c r="D29" s="48" t="n"/>
      <c r="E29" s="48" t="n"/>
    </row>
    <row r="30">
      <c r="B30" t="inlineStr">
        <is>
          <t>401(k)/403(b)/457 pre-tax — mode</t>
        </is>
      </c>
      <c r="C30" s="68" t="inlineStr">
        <is>
          <t>Percent</t>
        </is>
      </c>
      <c r="D30" s="70" t="n">
        <v>0</v>
      </c>
      <c r="E30" s="2" t="inlineStr">
        <is>
          <t>Percent = a decimal (0.05 = 5% of gross). Fixed = $ per check. Pre-tax 401(k) lowers income tax but NOT Social Security/Medicare tax.</t>
        </is>
      </c>
    </row>
    <row r="31">
      <c r="B31" t="inlineStr">
        <is>
          <t>401(k)/403(b)/457 pre-tax — value</t>
        </is>
      </c>
      <c r="D31" s="69">
        <f>'Start Here'!C11</f>
      </c>
      <c r="E31" s="65" t="inlineStr">
        <is>
          <t>← % set on Start Here (quick six)</t>
        </is>
      </c>
    </row>
    <row r="32">
      <c r="B32" t="inlineStr">
        <is>
          <t>Roth 401(k) — mode</t>
        </is>
      </c>
      <c r="C32" s="68" t="inlineStr">
        <is>
          <t>Percent</t>
        </is>
      </c>
      <c r="D32" s="70" t="n">
        <v>0</v>
      </c>
      <c r="E32" s="2" t="inlineStr">
        <is>
          <t>Roth is post-tax but counts toward the same IRS deferral cap as pre-tax.</t>
        </is>
      </c>
    </row>
    <row r="33">
      <c r="B33" t="inlineStr">
        <is>
          <t>Roth 401(k) — value</t>
        </is>
      </c>
    </row>
    <row r="34">
      <c r="B34" t="inlineStr">
        <is>
          <t>401(k) deferral cap for you (auto)</t>
        </is>
      </c>
      <c r="C34" s="16">
        <f>24500+IF(AND(C19&gt;=60,C19&lt;=63),11250,IF(C19&gt;=50,8000,0))</f>
      </c>
      <c r="E34" s="17" t="inlineStr">
        <is>
          <t>2026 IRS cap $24,500 + catch-up by your age.</t>
        </is>
      </c>
    </row>
    <row r="35">
      <c r="B35" t="inlineStr">
        <is>
          <t>HSA contribution ($/check, through payroll)</t>
        </is>
      </c>
      <c r="D35" s="70" t="n">
        <v>0</v>
      </c>
      <c r="E35" s="2" t="inlineStr">
        <is>
          <t>Through payroll it lowers income tax AND FICA. Requires an HDHP.</t>
        </is>
      </c>
    </row>
    <row r="36">
      <c r="B36" t="inlineStr">
        <is>
          <t>HSA coverage tier</t>
        </is>
      </c>
      <c r="C36" s="68" t="inlineStr">
        <is>
          <t>Self-only</t>
        </is>
      </c>
      <c r="E36" s="2" t="inlineStr">
        <is>
          <t>Self-only / Family.</t>
        </is>
      </c>
    </row>
    <row r="37">
      <c r="B37" t="inlineStr">
        <is>
          <t>HSA annual limit for you (auto)</t>
        </is>
      </c>
      <c r="C37" s="16">
        <f>(IF(C36="Family",'How This Works &amp; Sources'!$C$12,'How This Works &amp; Sources'!$C$11))+IF(C19&gt;=55,1000,0)</f>
      </c>
    </row>
    <row r="38">
      <c r="B38" t="inlineStr">
        <is>
          <t>Health FSA — annual election ($/yr)</t>
        </is>
      </c>
      <c r="D38" s="70" t="n">
        <v>0</v>
      </c>
      <c r="E38" s="2" t="inlineStr">
        <is>
          <t>Spread evenly across checks; the IRS limit is enforced. Use-it-or-lose-it: elect what you will actually spend.</t>
        </is>
      </c>
    </row>
    <row r="39">
      <c r="B39" t="inlineStr">
        <is>
          <t>Dependent-care FSA — annual election ($/yr)</t>
        </is>
      </c>
      <c r="D39" s="70" t="n">
        <v>0</v>
      </c>
      <c r="E39" s="2" t="inlineStr">
        <is>
          <t>Spread evenly; IRS limit enforced. Both spouses need earned income.</t>
        </is>
      </c>
    </row>
    <row r="40">
      <c r="B40" t="inlineStr">
        <is>
          <t>Medical premium ($/check, pre-tax §125)</t>
        </is>
      </c>
      <c r="D40" s="70" t="n">
        <v>0</v>
      </c>
    </row>
    <row r="41">
      <c r="B41" t="inlineStr">
        <is>
          <t>Dental premium ($/check, pre-tax §125)</t>
        </is>
      </c>
      <c r="D41" s="70" t="n">
        <v>0</v>
      </c>
    </row>
    <row r="42">
      <c r="B42" t="inlineStr">
        <is>
          <t>Vision premium ($/check, pre-tax §125)</t>
        </is>
      </c>
      <c r="D42" s="70" t="n">
        <v>0</v>
      </c>
    </row>
    <row r="43">
      <c r="B43" t="inlineStr">
        <is>
          <t>Commuter/parking ($/check, pre-tax)</t>
        </is>
      </c>
      <c r="D43" s="70" t="n">
        <v>0</v>
      </c>
    </row>
    <row r="44">
      <c r="B44" t="inlineStr">
        <is>
          <t>Other pre-tax deduction ($/check)</t>
        </is>
      </c>
      <c r="D44" s="70" t="n">
        <v>0</v>
      </c>
    </row>
    <row r="45">
      <c r="B45" t="inlineStr">
        <is>
          <t>Other post-tax deduction ($/check)</t>
        </is>
      </c>
      <c r="D45" s="70" t="n">
        <v>0</v>
      </c>
      <c r="E45" s="2" t="inlineStr">
        <is>
          <t>Flat voluntary deductions that do not reduce any tax.</t>
        </is>
      </c>
    </row>
    <row r="46">
      <c r="B46" t="inlineStr">
        <is>
          <t>Imputed income ($/check)</t>
        </is>
      </c>
      <c r="D46" s="70" t="n">
        <v>0</v>
      </c>
      <c r="E46" s="2" t="inlineStr">
        <is>
          <t>Taxable but not paid in cash (e.g., group-term life over $50K). It raises taxable wages without raising gross pay.</t>
        </is>
      </c>
    </row>
    <row r="47">
      <c r="B47" s="67" t="inlineStr">
        <is>
          <t>5 · Starting balances (skip if you start Jan 1 at this job)</t>
        </is>
      </c>
      <c r="C47" s="48" t="n"/>
      <c r="D47" s="48" t="n"/>
      <c r="E47" s="48" t="n"/>
    </row>
    <row r="48">
      <c r="B48" t="inlineStr">
        <is>
          <t>Gross wages already paid this year ($)</t>
        </is>
      </c>
      <c r="C48" s="70" t="n">
        <v>0</v>
      </c>
    </row>
    <row r="49">
      <c r="B49" t="inlineStr">
        <is>
          <t>Social Security wages already taxed ($)</t>
        </is>
      </c>
      <c r="C49" s="70" t="n">
        <v>0</v>
      </c>
      <c r="E49" s="2" t="inlineStr">
        <is>
          <t>From your last pay stub's YTD figures. Drives when the SS cap bites.</t>
        </is>
      </c>
    </row>
    <row r="50">
      <c r="B50" t="inlineStr">
        <is>
          <t>Medicare wages already taxed ($)</t>
        </is>
      </c>
      <c r="C50" s="70" t="n">
        <v>0</v>
      </c>
      <c r="E50" s="2" t="inlineStr">
        <is>
          <t>Drives the $200,000 Additional Medicare threshold.</t>
        </is>
      </c>
    </row>
    <row r="51">
      <c r="B51" t="inlineStr">
        <is>
          <t>401(k) already deferred this year ($)</t>
        </is>
      </c>
      <c r="C51" s="70" t="n">
        <v>0</v>
      </c>
    </row>
    <row r="52">
      <c r="B52" t="inlineStr">
        <is>
          <t>Health FSA already deferred ($)</t>
        </is>
      </c>
      <c r="C52" s="70" t="n">
        <v>0</v>
      </c>
    </row>
    <row r="53">
      <c r="B53" t="inlineStr">
        <is>
          <t>Dependent-care FSA already deferred ($)</t>
        </is>
      </c>
      <c r="C53" s="70" t="n">
        <v>0</v>
      </c>
    </row>
    <row r="54">
      <c r="B54" t="inlineStr">
        <is>
          <t>HSA already contributed ($)</t>
        </is>
      </c>
      <c r="C54" s="70" t="n">
        <v>0</v>
      </c>
    </row>
    <row r="55">
      <c r="B55" t="inlineStr">
        <is>
          <t>Federal withholding already taken ($, info)</t>
        </is>
      </c>
      <c r="C55" s="70" t="n">
        <v>0</v>
      </c>
      <c r="E55" s="2" t="inlineStr">
        <is>
          <t>For your Year-End Year-End True-Up view; not used in the per-check math.</t>
        </is>
      </c>
    </row>
    <row r="56">
      <c r="B56" t="inlineStr">
        <is>
          <t>State withholding already taken ($, info)</t>
        </is>
      </c>
      <c r="C56" s="70" t="n">
        <v>0</v>
      </c>
    </row>
    <row r="57">
      <c r="B57" s="5" t="inlineStr">
        <is>
          <t>Date</t>
        </is>
      </c>
      <c r="D57" s="5" t="inlineStr">
        <is>
          <t>Amount ($)</t>
        </is>
      </c>
      <c r="E57" s="10" t="inlineStr">
        <is>
          <t>6 · One-off payments (bonuses, commissions, other one-time pay)</t>
        </is>
      </c>
    </row>
    <row r="58">
      <c r="B58" t="inlineStr">
        <is>
          <t>One-off #1</t>
        </is>
      </c>
      <c r="C58" s="74" t="n"/>
      <c r="D58" s="70" t="n">
        <v>0</v>
      </c>
      <c r="E58" s="2" t="inlineStr">
        <is>
          <t>Each one-off gets its own row in the schedule on its date (or rides the row if it falls on a pay date). Federal withholding follows the method in row 89; states apply their published supplemental rule where one exists. Dates outside the planning year cannot be scheduled — see the warning under the table.</t>
        </is>
      </c>
    </row>
    <row r="59">
      <c r="B59" t="inlineStr">
        <is>
          <t>One-off #2</t>
        </is>
      </c>
      <c r="C59" s="74" t="n"/>
      <c r="D59" s="70" t="n">
        <v>0</v>
      </c>
    </row>
    <row r="60">
      <c r="B60" t="inlineStr">
        <is>
          <t>One-off #3</t>
        </is>
      </c>
      <c r="C60" s="74" t="n"/>
      <c r="D60" s="70" t="n">
        <v>0</v>
      </c>
    </row>
    <row r="61">
      <c r="B61" t="inlineStr">
        <is>
          <t>One-off #4</t>
        </is>
      </c>
      <c r="C61" s="74" t="n"/>
      <c r="D61" s="70" t="n">
        <v>0</v>
      </c>
    </row>
    <row r="62">
      <c r="B62" t="inlineStr">
        <is>
          <t>One-off #5</t>
        </is>
      </c>
      <c r="C62" s="74" t="n"/>
      <c r="D62" s="70" t="n">
        <v>0</v>
      </c>
    </row>
    <row r="63">
      <c r="B63" t="inlineStr">
        <is>
          <t>One-off #6</t>
        </is>
      </c>
      <c r="C63" s="74" t="n"/>
      <c r="D63" s="70" t="n">
        <v>0</v>
      </c>
    </row>
    <row r="64">
      <c r="B64" t="inlineStr">
        <is>
          <t>One-off #7</t>
        </is>
      </c>
      <c r="C64" s="74" t="n"/>
      <c r="D64" s="70" t="n">
        <v>0</v>
      </c>
    </row>
    <row r="65">
      <c r="B65" t="inlineStr">
        <is>
          <t>One-off #8</t>
        </is>
      </c>
      <c r="C65" s="74" t="n"/>
      <c r="D65" s="70" t="n">
        <v>0</v>
      </c>
    </row>
    <row r="66">
      <c r="B66" t="inlineStr">
        <is>
          <t>One-off #9</t>
        </is>
      </c>
      <c r="C66" s="74" t="n"/>
      <c r="D66" s="70" t="n">
        <v>0</v>
      </c>
    </row>
    <row r="67">
      <c r="B67" t="inlineStr">
        <is>
          <t>One-off #10</t>
        </is>
      </c>
      <c r="C67" s="74" t="n"/>
      <c r="D67" s="70" t="n">
        <v>0</v>
      </c>
    </row>
    <row r="68">
      <c r="B68" t="inlineStr">
        <is>
          <t>One-off total entered</t>
        </is>
      </c>
      <c r="C68" s="16">
        <f>SUM(D58:D67)</f>
      </c>
    </row>
    <row r="69">
      <c r="B69" t="inlineStr">
        <is>
          <t>One-off total scheduled</t>
        </is>
      </c>
      <c r="C69" s="16">
        <f>SUM('Your Year'!D6:D68)</f>
      </c>
      <c r="E69" s="2" t="inlineStr">
        <is>
          <t>If these two totals differ, a one-off date falls outside the planning year and could not be scheduled.</t>
        </is>
      </c>
    </row>
    <row r="70">
      <c r="B70" s="8">
        <f>IF(SUMPRODUCT((C58:C67&lt;&gt;"")*(YEAR(C58:C67)&lt;&gt;C10))&gt;0,"⚠ WARNING: a one-off date falls OUTSIDE the planning year — it cannot be scheduled and is excluded above. ","")&amp;IF(SUMPRODUCT((C58:C67&lt;&gt;"")*(COUNTIF(C58:C67,C58:C67)&gt;1))&gt;0,"⚠ NOTE: duplicate one-off dates are combined into a single schedule row.","")</f>
      </c>
    </row>
    <row r="71">
      <c r="B71" s="67" t="inlineStr">
        <is>
          <t>7 · In-year changes (raises, moves, new employer, new W-4)</t>
        </is>
      </c>
      <c r="C71" s="48" t="n"/>
      <c r="D71" s="48" t="n"/>
      <c r="E71" s="48" t="n"/>
    </row>
    <row r="72">
      <c r="B72" s="3" t="inlineStr">
        <is>
          <t>Life happens mid-year: use the Changes &amp; Changes &amp; Events tab. Each event takes effect on a pay date and the schedule resolves salary, 401(k), state, W-4, and employer (Social Security cap) changes from that date forward.</t>
        </is>
      </c>
    </row>
    <row r="73">
      <c r="B73" s="67" t="inlineStr">
        <is>
          <t>8 · State-specific settings (only the row for your state matters)</t>
        </is>
      </c>
      <c r="C73" s="48" t="n"/>
      <c r="D73" s="48" t="n"/>
      <c r="E73" s="48" t="n"/>
    </row>
    <row r="74">
      <c r="B74" t="inlineStr">
        <is>
          <t>MD county tax rate (decimal)</t>
        </is>
      </c>
      <c r="C74" s="75" t="n">
        <v>0.032</v>
      </c>
      <c r="E74" s="2" t="inlineStr">
        <is>
          <t>Maryland: your county's flat rate from the MD guide (2.25%–3.30%; Anne Arundel &amp; Frederick are graduated — enter an approximate flat rate). Also used for MD lump-sum bonuses.</t>
        </is>
      </c>
    </row>
    <row r="75">
      <c r="B75" t="inlineStr">
        <is>
          <t>MA — number of blind exemptions (you + spouse)</t>
        </is>
      </c>
      <c r="C75" s="73" t="n">
        <v>0</v>
      </c>
      <c r="E75" s="2" t="inlineStr">
        <is>
          <t>Massachusetts: each blind person subtracts $110/yr of tax.</t>
        </is>
      </c>
    </row>
    <row r="76">
      <c r="B76" t="inlineStr">
        <is>
          <t>IN county tax rate (decimal)</t>
        </is>
      </c>
      <c r="C76" s="75" t="n">
        <v>0</v>
      </c>
      <c r="E76" s="2" t="inlineStr">
        <is>
          <t>Indiana: your Jan-1 county of residence rate (0.50%–3.00%, Departmental Notice #1 county table).</t>
        </is>
      </c>
    </row>
    <row r="77">
      <c r="B77" t="inlineStr">
        <is>
          <t>NJ rate table letter (from your NJ-W4)</t>
        </is>
      </c>
      <c r="C77" s="68" t="inlineStr">
        <is>
          <t>A</t>
        </is>
      </c>
      <c r="E77" s="2" t="inlineStr">
        <is>
          <t>New Jersey: the rate table (A–E) you selected on Form NJ-W4.</t>
        </is>
      </c>
    </row>
    <row r="78">
      <c r="B78" t="inlineStr">
        <is>
          <t>NYC resident?</t>
        </is>
      </c>
      <c r="C78" s="68" t="b">
        <v>0</v>
      </c>
      <c r="E78" s="2" t="inlineStr">
        <is>
          <t>New York City resident tax applies if you live in NYC.</t>
        </is>
      </c>
    </row>
    <row r="79">
      <c r="B79" t="inlineStr">
        <is>
          <t>Yonkers status</t>
        </is>
      </c>
      <c r="C79" s="68" t="inlineStr">
        <is>
          <t>None</t>
        </is>
      </c>
      <c r="E79" s="2" t="inlineStr">
        <is>
          <t>Resident: 16.75% of your NY State tax. Nonresident: 0.50% earnings tax on Yonkers wages.</t>
        </is>
      </c>
    </row>
    <row r="80">
      <c r="B80" t="inlineStr">
        <is>
          <t>Philadelphia status</t>
        </is>
      </c>
      <c r="C80" s="68" t="inlineStr">
        <is>
          <t>None</t>
        </is>
      </c>
      <c r="E80" s="2" t="inlineStr">
        <is>
          <t>Philadelphia wage tax on gross pay: resident 3.74% → 3.735% from Jul 1, 2026; nonresident 3.43% → 3.425%.</t>
        </is>
      </c>
    </row>
    <row r="81">
      <c r="B81" t="inlineStr">
        <is>
          <t>Local income-tax rate (decimal, generic)</t>
        </is>
      </c>
      <c r="C81" s="75" t="n">
        <v>0</v>
      </c>
      <c r="E81" s="2" t="inlineStr">
        <is>
          <t>Any other local wage tax your employer withholds as a % of gross pay (e.g., a PA Act 32 EIT or an Ohio/Kentucky city tax). Added to row 27's flat amount; not used for NYC/Yonkers/Philadelphia.</t>
        </is>
      </c>
    </row>
    <row r="82">
      <c r="B82" t="inlineStr">
        <is>
          <t>AZ elected withholding % (decimal)</t>
        </is>
      </c>
      <c r="C82" s="75" t="n">
        <v>0.02</v>
      </c>
      <c r="E82" s="2" t="inlineStr">
        <is>
          <t>Arizona: the percentage you elected on Form A-4 (menu 0.5%–3.5% of federal taxable wages; 2.0% is the no-form default).</t>
        </is>
      </c>
    </row>
    <row r="83">
      <c r="B83" t="inlineStr">
        <is>
          <t>Spouse works? (two-earner household)</t>
        </is>
      </c>
      <c r="C83" s="68" t="b">
        <v>0</v>
      </c>
      <c r="E83" s="2" t="inlineStr">
        <is>
          <t>Missouri: married with a working spouse uses the $16,100 standard deduction; spouse not working uses $32,200.</t>
        </is>
      </c>
    </row>
    <row r="84">
      <c r="B84" t="inlineStr">
        <is>
          <t>LA standard-deduction claim (0 / 1 / 2)</t>
        </is>
      </c>
      <c r="C84" s="68" t="inlineStr">
        <is>
          <t>1</t>
        </is>
      </c>
      <c r="E84" s="2" t="inlineStr">
        <is>
          <t>Louisiana Form L-4 Block A: 0 = none, 1 = single/MFS amount ($12,875), 2 = joint/HoH amount ($25,750).</t>
        </is>
      </c>
    </row>
    <row r="85">
      <c r="B85" t="inlineStr">
        <is>
          <t>MS total exemption claimed ($/yr)</t>
        </is>
      </c>
      <c r="C85" s="70" t="n">
        <v>6000</v>
      </c>
      <c r="E85" s="2" t="inlineStr">
        <is>
          <t>Mississippi Form 89-350 Line 6 total: e.g. Single $6,000; Married $12,000; plus $1,500 per dependent; +$1,500 per age-65/blind condition.</t>
        </is>
      </c>
    </row>
    <row r="86">
      <c r="B86" t="inlineStr">
        <is>
          <t>IN adopted-child exemptions (count)</t>
        </is>
      </c>
      <c r="C86" s="73" t="n">
        <v>0</v>
      </c>
      <c r="E86" s="2" t="inlineStr">
        <is>
          <t>Indiana WH-4 line 8: $3,000/yr each (other dependents use row 24 at $1,500/yr each).</t>
        </is>
      </c>
    </row>
    <row r="87">
      <c r="B87" s="2" t="inlineStr">
        <is>
          <t>How rows 23–24 are read, by state: CA — DE 4 lines 1a/1b. KS — row 23 counts $9,160 personal exemptions (MFJ = 2 built in), row 24 counts $2,320 dependents. GA — row 24 counts $5,000 dependents. IA — row 23 counts $40 allowance units from your IA W-4 dollar total. VA — row 23 counts $930 exemptions, row 24 counts $800 age-65/blind exemptions. IN — rows 23/24/86 as labeled. Most other states: row 23 = exemptions/allowances on your state certificate, row 24 unused.</t>
        </is>
      </c>
    </row>
    <row r="88">
      <c r="B88" t="inlineStr">
        <is>
          <t>Salary split in a 27/53-payday year</t>
        </is>
      </c>
      <c r="C88" s="68" t="inlineStr">
        <is>
          <t>Actual paydays</t>
        </is>
      </c>
      <c r="E88" s="2" t="inlineStr">
        <is>
          <t>Some years have 27 biweekly (or 53 weekly) paydays. 'Actual paydays' divides your annual salary by the real count so the year totals your salary; 'Standard periods' divides by 26/52 the way payroll does, so gross runs over salary. Applies only when the schedule starts in January (mid-year starters keep the standard split — use 'Per-check gross' for an exact check amount). Withholding annualization always uses standard periods.</t>
        </is>
      </c>
    </row>
    <row r="89">
      <c r="B89" t="inlineStr">
        <is>
          <t>One-off (bonus) federal withholding method</t>
        </is>
      </c>
      <c r="C89" s="68" t="inlineStr">
        <is>
          <t>Flat 22%</t>
        </is>
      </c>
      <c r="E89" s="2" t="inlineStr">
        <is>
          <t>Flat 22%: the IRS optional flat rate on supplemental wages — available only when federal tax was withheld from your regular wages in the current or prior year (Pub 15). Aggregate: the bonus is taxed as extra annual wages at your marginal bracket. States keep their own published supplemental rules either way.</t>
        </is>
      </c>
    </row>
    <row r="90"/>
    <row r="91" ht="20" customHeight="1">
      <c r="B91" s="47" t="inlineStr">
        <is>
          <t>9 · Paystub check — calibrate against your last real check (optional)</t>
        </is>
      </c>
      <c r="C91" s="48" t="n"/>
      <c r="D91" s="48" t="n"/>
      <c r="E91" s="48" t="n"/>
      <c r="F91" s="48" t="n"/>
    </row>
    <row r="92" ht="40" customHeight="1">
      <c r="B92" s="61" t="inlineStr">
        <is>
          <t>Copy the lines from ONE recent, ordinary paystub (no bonus, no arrears) for Earner 1. The planner puts its own first scheduled check beside yours. This check changes NOTHING by itself — any fix is entered by you, in the open, as the labeled adjustment in row 101.</t>
        </is>
      </c>
    </row>
    <row r="93">
      <c r="B93" s="76" t="inlineStr">
        <is>
          <t>Line from your paystub</t>
        </is>
      </c>
      <c r="C93" s="76" t="inlineStr">
        <is>
          <t>Your last stub</t>
        </is>
      </c>
      <c r="D93" s="76" t="inlineStr">
        <is>
          <t>Planner's first check</t>
        </is>
      </c>
      <c r="E93" s="76" t="inlineStr">
        <is>
          <t>Difference</t>
        </is>
      </c>
      <c r="F93" s="76" t="inlineStr">
        <is>
          <t>What a difference usually means</t>
        </is>
      </c>
    </row>
    <row r="94">
      <c r="B94" s="64" t="inlineStr">
        <is>
          <t>Gross pay</t>
        </is>
      </c>
      <c r="C94" s="77" t="n"/>
      <c r="D94" s="78">
        <f>IF('Your Year'!$B$6="","",'Your Year'!C6)</f>
      </c>
      <c r="E94" s="78">
        <f>IF(OR($C94="",$D94=""),"",$C94-$D94)</f>
      </c>
      <c r="F94" s="51" t="inlineStr">
        <is>
          <t>A different salary or frequency — re-check quick six 1–2.</t>
        </is>
      </c>
    </row>
    <row r="95">
      <c r="B95" s="64" t="inlineStr">
        <is>
          <t>Federal withholding</t>
        </is>
      </c>
      <c r="C95" s="77" t="n"/>
      <c r="D95" s="78">
        <f>IF('Your Year'!$B$6="","",'Your Year'!P6)</f>
      </c>
      <c r="E95" s="78">
        <f>IF(OR($C95="",$D95=""),"",$C95-$D95)</f>
      </c>
      <c r="F95" s="51" t="inlineStr">
        <is>
          <t>The W-4 on file differs from section 2 (credits, 4(a)–4(c)).</t>
        </is>
      </c>
    </row>
    <row r="96">
      <c r="B96" s="64" t="inlineStr">
        <is>
          <t>Social Security</t>
        </is>
      </c>
      <c r="C96" s="77" t="n"/>
      <c r="D96" s="78">
        <f>IF('Your Year'!$B$6="","",'Your Year'!Q6)</f>
      </c>
      <c r="E96" s="78">
        <f>IF(OR($C96="",$D96=""),"",$C96-$D96)</f>
      </c>
      <c r="F96" s="51" t="inlineStr">
        <is>
          <t>Year-to-date wages (section 5) move the wage-base cap.</t>
        </is>
      </c>
    </row>
    <row r="97">
      <c r="B97" s="64" t="inlineStr">
        <is>
          <t>Medicare (incl. additional)</t>
        </is>
      </c>
      <c r="C97" s="77" t="n"/>
      <c r="D97" s="78">
        <f>IF('Your Year'!$B$6="","",'Your Year'!R6+'Your Year'!S6)</f>
      </c>
      <c r="E97" s="78">
        <f>IF(OR($C97="",$D97=""),"",$C97-$D97)</f>
      </c>
      <c r="F97" s="51" t="inlineStr">
        <is>
          <t>Includes the 0.9% additional Medicare tax once wages pass $200,000 (single) / $250,000 (MFJ).</t>
        </is>
      </c>
    </row>
    <row r="98">
      <c r="B98" s="64" t="inlineStr">
        <is>
          <t>State withholding (incl. state programs)</t>
        </is>
      </c>
      <c r="C98" s="77" t="n"/>
      <c r="D98" s="78">
        <f>IF('Your Year'!$B$6="","",'Your Year'!T6+'Your Year'!U6)</f>
      </c>
      <c r="E98" s="78">
        <f>IF(OR($C98="",$D98=""),"",$C98-$D98)</f>
      </c>
      <c r="F98" s="51" t="inlineStr">
        <is>
          <t>State certificate (section 3) — or a manual-state amount (row 28).</t>
        </is>
      </c>
    </row>
    <row r="99">
      <c r="B99" s="79" t="inlineStr">
        <is>
          <t>NET PAY</t>
        </is>
      </c>
      <c r="C99" s="77" t="n"/>
      <c r="D99" s="78">
        <f>IF('Your Year'!$B$6="","",'Your Year'!Y6)</f>
      </c>
      <c r="E99" s="78">
        <f>IF(OR($C99="",$D99=""),"",$C99-$D99)</f>
      </c>
      <c r="F99" s="51" t="inlineStr">
        <is>
          <t>The line that matters — see the verdict below.</t>
        </is>
      </c>
    </row>
    <row r="100" ht="44" customHeight="1">
      <c r="B100" s="80">
        <f>IF(OR($C$99="",$D$99=""),"Enter your stub's net pay (row 99) — and the lines above — to see the verdict.",IF(ABS($E$99)&lt;=MAX(5,0.01*ABS($C$99)),"✓ CLOSE ENOUGH — your stub and the planner agree within "&amp;TEXT(ABS($E$99),"$#,##0.00")&amp;" on the net line. Small gaps are normal: rounding, or a deduction that lands unevenly.","⚠ THE FIVE NUMBERS DON'T RECONCILE — net differs by "&amp;TEXT(ABS($E$99),"$#,##0.00")&amp;". Work down the Difference column: the biggest gap names the cause — a wrong frequency, a deduction not yet in section 4, or a mid-year start that needs section 5 balances. Fix the cause; don't paper over it."))</f>
      </c>
    </row>
    <row r="101" ht="40" customHeight="1">
      <c r="B101" s="61" t="inlineStr">
        <is>
          <t>LABELED ADJUSTMENT — "Paystub calibration": if one line differs by the same amount every check and you cannot find the cause, enter the federal difference as extra withholding (Step 4(c), row 17) and the state difference as extra state withholding (row 25), and note it as paystub calibration. The difference is filed under that label — never blended silently into the tax math, and the engine's own numbers stay untouched.</t>
        </is>
      </c>
    </row>
    <row r="102" ht="28" customHeight="1">
      <c r="B102" s="62" t="inlineStr">
        <is>
          <t>One-check disclaimer: a single stub is a sample of one. Bonuses, arrears, benefit catch-ups, and 27-payday years all distort one check. Calibrate on a plain, regular check — and re-check after any change in pay or elections.</t>
        </is>
      </c>
    </row>
  </sheetData>
  <sheetProtection selectLockedCells="0" selectUnlockedCells="0" sheet="1" objects="0" insertRows="1" insertHyperlinks="1" autoFilter="1" scenarios="0" formatColumns="1" deleteColumns="1" insertColumns="1" pivotTables="1" deleteRows="1" formatCells="1" formatRows="1" sort="1"/>
  <mergeCells count="8">
    <mergeCell ref="B91:F91"/>
    <mergeCell ref="B100:F100"/>
    <mergeCell ref="B70:E70"/>
    <mergeCell ref="B72:E72"/>
    <mergeCell ref="B87:E87"/>
    <mergeCell ref="B101:F101"/>
    <mergeCell ref="B102:F102"/>
    <mergeCell ref="B92:F92"/>
  </mergeCells>
  <conditionalFormatting sqref="E28">
    <cfRule type="expression" priority="1" dxfId="0">
      <formula>AND(ISNUMBER(SEARCH("MANUAL",IFERROR(VLOOKUP($C$21,StateTables!$A$6:$AB$56,5,FALSE),""))),NOT($C$26),OR($C$28="",$C$28&lt;=0))</formula>
    </cfRule>
  </conditionalFormatting>
  <dataValidations count="19">
    <dataValidation sqref="C4" showDropDown="0" showInputMessage="0" showErrorMessage="0" allowBlank="0" type="list">
      <formula1>"Annual salary,Per-check gross"</formula1>
    </dataValidation>
    <dataValidation sqref="C7" showDropDown="0" showInputMessage="0" showErrorMessage="0" allowBlank="0" type="list">
      <formula1>"Weekly,Biweekly,Semimonthly,Monthly"</formula1>
    </dataValidation>
    <dataValidation sqref="C12" showDropDown="0" showInputMessage="0" showErrorMessage="0" allowBlank="0" type="list">
      <formula1>"Single,MFJ,HoH"</formula1>
    </dataValidation>
    <dataValidation sqref="C13" showDropDown="0" showInputMessage="0" showErrorMessage="0" allowBlank="0" type="list">
      <formula1>"TRUE,FALSE"</formula1>
    </dataValidation>
    <dataValidation sqref="C18" showDropDown="0" showInputMessage="0" showErrorMessage="0" allowBlank="0" type="list">
      <formula1>"TRUE,FALSE"</formula1>
    </dataValidation>
    <dataValidation sqref="C21" showDropDown="0" showInputMessage="0" showErrorMessage="0" allowBlank="0" type="list">
      <formula1>"AK,AL,AR,AZ,CA,CO,CT,DC,DE,FL,GA,HI,IA,ID,IL,IN,KS,KY,LA,MA,MD,ME,MI,MN,MO,MS,MT,NC,ND,NE,NH,NJ,NM,NV,NY,OH,OK,OR,PA,RI,SC,SD,TN,TX,UT,VA,VT,WA,WI,WV,WY"</formula1>
    </dataValidation>
    <dataValidation sqref="C22" showDropDown="0" showInputMessage="0" showErrorMessage="0" allowBlank="0" type="list">
      <formula1>"Single,Married,Head of household"</formula1>
    </dataValidation>
    <dataValidation sqref="C26" showDropDown="0" showInputMessage="0" showErrorMessage="0" allowBlank="0" type="list">
      <formula1>"TRUE,FALSE"</formula1>
    </dataValidation>
    <dataValidation sqref="C30" showDropDown="0" showInputMessage="0" showErrorMessage="0" allowBlank="0" type="list">
      <formula1>"Percent,Fixed"</formula1>
    </dataValidation>
    <dataValidation sqref="C32" showDropDown="0" showInputMessage="0" showErrorMessage="0" allowBlank="0" type="list">
      <formula1>"Percent,Fixed"</formula1>
    </dataValidation>
    <dataValidation sqref="C36" showDropDown="0" showInputMessage="0" showErrorMessage="0" allowBlank="0" type="list">
      <formula1>"Self-only,Family"</formula1>
    </dataValidation>
    <dataValidation sqref="C78" showDropDown="0" showInputMessage="0" showErrorMessage="0" allowBlank="0" type="list">
      <formula1>"TRUE,FALSE"</formula1>
    </dataValidation>
    <dataValidation sqref="C83" showDropDown="0" showInputMessage="0" showErrorMessage="0" allowBlank="0" type="list">
      <formula1>"TRUE,FALSE"</formula1>
    </dataValidation>
    <dataValidation sqref="C79" showDropDown="0" showInputMessage="0" showErrorMessage="0" allowBlank="0" type="list">
      <formula1>"None,Resident,Nonresident"</formula1>
    </dataValidation>
    <dataValidation sqref="C80" showDropDown="0" showInputMessage="0" showErrorMessage="0" allowBlank="0" type="list">
      <formula1>"None,Resident,Nonresident"</formula1>
    </dataValidation>
    <dataValidation sqref="C77" showDropDown="0" showInputMessage="0" showErrorMessage="0" allowBlank="0" type="list">
      <formula1>"A,B,C,D,E"</formula1>
    </dataValidation>
    <dataValidation sqref="C84" showDropDown="0" showInputMessage="0" showErrorMessage="0" allowBlank="0" type="list">
      <formula1>"0,1,2"</formula1>
    </dataValidation>
    <dataValidation sqref="C88" showDropDown="0" showInputMessage="0" showErrorMessage="0" allowBlank="0" type="list">
      <formula1>"Actual paydays,Standard periods"</formula1>
    </dataValidation>
    <dataValidation sqref="C89" showDropDown="0" showInputMessage="0" showErrorMessage="0" allowBlank="0" type="list">
      <formula1>"Flat 22%,Aggregate"</formula1>
    </dataValidation>
  </dataValidations>
  <pageMargins left="0.75" right="0.75" top="1" bottom="1" header="0.5" footer="0.5"/>
</worksheet>
</file>

<file path=xl/worksheets/sheet3.xml><?xml version="1.0" encoding="utf-8"?>
<worksheet xmlns="http://schemas.openxmlformats.org/spreadsheetml/2006/main">
  <sheetPr>
    <tabColor rgb="001F4E79"/>
    <outlinePr summaryBelow="1" summaryRight="1"/>
    <pageSetUpPr fitToPage="1"/>
  </sheetPr>
  <dimension ref="A1:CF68"/>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2" customWidth="1" min="2" max="2"/>
    <col width="12" customWidth="1" min="3" max="3"/>
    <col width="11" customWidth="1" min="4" max="4"/>
    <col width="12" customWidth="1" min="5" max="5"/>
    <col width="11" customWidth="1" min="6" max="6"/>
    <col width="10" customWidth="1" min="7" max="7"/>
    <col width="11" customWidth="1" min="8" max="8"/>
    <col width="11" customWidth="1" min="9" max="9"/>
    <col width="12" customWidth="1" min="10" max="10"/>
    <col width="11" customWidth="1" min="11" max="11"/>
    <col width="11" customWidth="1" min="12" max="12"/>
    <col width="13" customWidth="1" min="13" max="13"/>
    <col width="12" customWidth="1" min="14" max="14"/>
    <col width="13" customWidth="1" min="15" max="15"/>
    <col width="11" customWidth="1" min="16" max="16"/>
    <col width="11" customWidth="1" min="17" max="17"/>
    <col width="10" customWidth="1" min="18" max="18"/>
    <col width="11" customWidth="1" min="19" max="19"/>
    <col width="11" customWidth="1" min="20" max="20"/>
    <col width="11" customWidth="1" min="21" max="21"/>
    <col width="10" customWidth="1" min="22" max="22"/>
    <col width="11" customWidth="1" min="23" max="23"/>
    <col width="12" customWidth="1" min="24" max="24"/>
    <col width="12" customWidth="1" min="25" max="25"/>
    <col width="12" customWidth="1" min="26" max="26"/>
    <col width="12" customWidth="1" min="27" max="27"/>
    <col width="12" customWidth="1" min="28" max="28"/>
    <col width="11" customWidth="1" min="29" max="29"/>
    <col width="62" customWidth="1" min="30" max="30"/>
    <col width="13" customWidth="1" min="31" max="31"/>
    <col width="10" customWidth="1" min="32" max="32"/>
    <col hidden="1" width="12" customWidth="1" min="33" max="33"/>
    <col hidden="1" width="13" customWidth="1" min="34" max="34"/>
    <col hidden="1" width="13" customWidth="1" min="35" max="35"/>
    <col hidden="1" width="13" customWidth="1" min="36" max="36"/>
    <col hidden="1" width="12" customWidth="1" min="37" max="37"/>
    <col hidden="1" width="11" customWidth="1" min="38" max="38"/>
    <col hidden="1" width="12" customWidth="1" min="39" max="39"/>
    <col hidden="1" width="9" customWidth="1" min="40" max="40"/>
    <col hidden="1" width="11" customWidth="1" min="41" max="41"/>
    <col hidden="1" width="11" customWidth="1" min="42" max="42"/>
    <col hidden="1" width="11" customWidth="1" min="43" max="43"/>
    <col hidden="1" width="11" customWidth="1" min="44" max="44"/>
    <col hidden="1" width="11" customWidth="1" min="45" max="45"/>
    <col hidden="1" width="11" customWidth="1" min="46" max="46"/>
    <col hidden="1" width="13" customWidth="1" min="47" max="47"/>
    <col hidden="1" width="9" customWidth="1" min="48" max="48"/>
    <col hidden="1" width="12" customWidth="1" min="49" max="49"/>
    <col hidden="1" width="12" customWidth="1" min="50" max="50"/>
    <col hidden="1" width="13" customWidth="1" min="51" max="51"/>
    <col hidden="1" width="13" customWidth="1" min="52" max="52"/>
    <col hidden="1" width="13" customWidth="1" min="53" max="53"/>
    <col hidden="1" width="13" customWidth="1" min="54" max="54"/>
    <col hidden="1" width="12" customWidth="1" min="55" max="55"/>
    <col hidden="1" width="12" customWidth="1" min="56" max="56"/>
    <col hidden="1" width="10" customWidth="1" min="57" max="57"/>
    <col hidden="1" width="10" customWidth="1" min="58" max="58"/>
    <col hidden="1" width="12" customWidth="1" min="59" max="59"/>
    <col hidden="1" width="12" customWidth="1" min="60" max="60"/>
    <col hidden="1" width="12" customWidth="1" min="61" max="61"/>
    <col hidden="1" width="13" customWidth="1" min="62" max="62"/>
    <col hidden="1" width="13" customWidth="1" min="63" max="63"/>
    <col hidden="1" width="12" customWidth="1" min="64" max="64"/>
    <col hidden="1" width="12" customWidth="1" min="65" max="65"/>
    <col hidden="1" width="12" customWidth="1" min="66" max="66"/>
    <col hidden="1" width="12" customWidth="1" min="67" max="67"/>
    <col hidden="1" width="12" customWidth="1" min="68" max="68"/>
    <col hidden="1" width="10" customWidth="1" min="69" max="69"/>
    <col hidden="1" width="10" customWidth="1" min="70" max="70"/>
    <col hidden="1" width="10" customWidth="1" min="71" max="71"/>
    <col hidden="1" width="10" customWidth="1" min="72" max="72"/>
    <col hidden="1" width="11" customWidth="1" min="73" max="73"/>
    <col hidden="1" width="11" customWidth="1" min="74" max="74"/>
    <col hidden="1" width="11" customWidth="1" min="75" max="75"/>
    <col hidden="1" width="11" customWidth="1" min="76" max="76"/>
    <col hidden="1" width="11" customWidth="1" min="77" max="77"/>
    <col hidden="1" width="11" customWidth="1" min="78" max="78"/>
    <col hidden="1" width="11" customWidth="1" min="79" max="79"/>
    <col hidden="1" width="11" customWidth="1" min="80" max="80"/>
    <col hidden="1" width="11" customWidth="1" min="81" max="81"/>
    <col hidden="1" width="11" customWidth="1" min="82" max="82"/>
    <col hidden="1" width="11" customWidth="1" min="83" max="83"/>
    <col hidden="1" width="13" customWidth="1" min="84" max="84"/>
  </cols>
  <sheetData>
    <row r="1">
      <c r="B1" s="9" t="inlineStr">
        <is>
          <t>Your Year — Earner 1, paycheck by paycheck</t>
        </is>
      </c>
    </row>
    <row r="2">
      <c r="B2" s="5" t="inlineStr">
        <is>
          <t>Paydays projected:</t>
        </is>
      </c>
      <c r="C2" s="6">
        <f>SUM(BF6:BF68)</f>
      </c>
      <c r="D2" s="5" t="inlineStr">
        <is>
          <t>Total gross:</t>
        </is>
      </c>
      <c r="E2" s="7">
        <f>SUM(C6:C68)+SUM(D6:D68)</f>
      </c>
      <c r="F2" s="5" t="inlineStr">
        <is>
          <t>Projected annual take-home:</t>
        </is>
      </c>
      <c r="G2" s="7">
        <f>SUM(Y6:Y68)</f>
      </c>
    </row>
    <row r="3">
      <c r="B3" s="5" t="inlineStr">
        <is>
          <t>Total federal WH:</t>
        </is>
      </c>
      <c r="C3" s="7">
        <f>SUM(P6:P68)</f>
      </c>
      <c r="D3" s="5" t="inlineStr">
        <is>
          <t>Total FICA:</t>
        </is>
      </c>
      <c r="E3" s="7">
        <f>SUM(Q6:Q68)+SUM(R6:R68)+SUM(S6:S68)</f>
      </c>
      <c r="F3" s="5" t="inlineStr">
        <is>
          <t>Total state WH:</t>
        </is>
      </c>
      <c r="G3" s="7">
        <f>SUM(T6:T68)</f>
      </c>
    </row>
    <row r="4">
      <c r="B4" s="2" t="inlineStr">
        <is>
          <t>★ notes appear on the exact checks where a cap or threshold changes your pay. Type each real net into 'Actual net' as the year unfolds. ⚠ Manual-entry states: if the per-check amount on Your Pay &amp; Benefits row 28 is blank, the State WH column is shaded red and shows $0 — that is missing data, not a real zero.</t>
        </is>
      </c>
    </row>
    <row r="5">
      <c r="A5" s="19" t="inlineStr">
        <is>
          <t>#</t>
        </is>
      </c>
      <c r="B5" s="19" t="inlineStr">
        <is>
          <t>Pay date</t>
        </is>
      </c>
      <c r="C5" s="19" t="inlineStr">
        <is>
          <t>Gross pay</t>
        </is>
      </c>
      <c r="D5" s="19" t="inlineStr">
        <is>
          <t>One-off pay</t>
        </is>
      </c>
      <c r="E5" s="19" t="inlineStr">
        <is>
          <t>401(k) pre-tax</t>
        </is>
      </c>
      <c r="F5" s="19" t="inlineStr">
        <is>
          <t>Roth 401(k)</t>
        </is>
      </c>
      <c r="G5" s="19" t="inlineStr">
        <is>
          <t>HSA</t>
        </is>
      </c>
      <c r="H5" s="19" t="inlineStr">
        <is>
          <t>Health FSA</t>
        </is>
      </c>
      <c r="I5" s="19" t="inlineStr">
        <is>
          <t>Dep-care FSA</t>
        </is>
      </c>
      <c r="J5" s="19" t="inlineStr">
        <is>
          <t>Premiums (§125)</t>
        </is>
      </c>
      <c r="K5" s="19" t="inlineStr">
        <is>
          <t>Other pre-tax</t>
        </is>
      </c>
      <c r="L5" s="19" t="inlineStr">
        <is>
          <t>Imputed income</t>
        </is>
      </c>
      <c r="M5" s="19" t="inlineStr">
        <is>
          <t>Federal taxable wages</t>
        </is>
      </c>
      <c r="N5" s="19" t="inlineStr">
        <is>
          <t>FICA wages</t>
        </is>
      </c>
      <c r="O5" s="19" t="inlineStr">
        <is>
          <t>State taxable wages</t>
        </is>
      </c>
      <c r="P5" s="19" t="inlineStr">
        <is>
          <t>Federal WH</t>
        </is>
      </c>
      <c r="Q5" s="19" t="inlineStr">
        <is>
          <t>Social Security</t>
        </is>
      </c>
      <c r="R5" s="19" t="inlineStr">
        <is>
          <t>Medicare</t>
        </is>
      </c>
      <c r="S5" s="19" t="inlineStr">
        <is>
          <t>Addl Medicare</t>
        </is>
      </c>
      <c r="T5" s="19" t="inlineStr">
        <is>
          <t>State WH</t>
        </is>
      </c>
      <c r="U5" s="19" t="inlineStr">
        <is>
          <t>State programs</t>
        </is>
      </c>
      <c r="V5" s="19" t="inlineStr">
        <is>
          <t>Local WH</t>
        </is>
      </c>
      <c r="W5" s="19" t="inlineStr">
        <is>
          <t>Other post-tax</t>
        </is>
      </c>
      <c r="X5" s="19" t="inlineStr">
        <is>
          <t>Total deducted</t>
        </is>
      </c>
      <c r="Y5" s="19" t="inlineStr">
        <is>
          <t>NET PAY</t>
        </is>
      </c>
      <c r="Z5" s="19" t="inlineStr">
        <is>
          <t>YTD gross</t>
        </is>
      </c>
      <c r="AA5" s="19" t="inlineStr">
        <is>
          <t>YTD net</t>
        </is>
      </c>
      <c r="AB5" s="19" t="inlineStr">
        <is>
          <t>SS wages YTD</t>
        </is>
      </c>
      <c r="AC5" s="19" t="inlineStr">
        <is>
          <t>401(k) YTD</t>
        </is>
      </c>
      <c r="AD5" s="19" t="inlineStr">
        <is>
          <t>★ Cap events</t>
        </is>
      </c>
      <c r="AE5" s="19" t="inlineStr">
        <is>
          <t>Actual net (you fill in)</t>
        </is>
      </c>
      <c r="AF5" s="19" t="inlineStr">
        <is>
          <t>Variance</t>
        </is>
      </c>
      <c r="AG5" s="19" t="inlineStr">
        <is>
          <t>Medicare wages YTD</t>
        </is>
      </c>
      <c r="AH5" s="19" t="inlineStr">
        <is>
          <t>Fed adj. annual wage (engine)</t>
        </is>
      </c>
      <c r="AI5" s="19" t="inlineStr">
        <is>
          <t>State annual wages (engine)</t>
        </is>
      </c>
      <c r="AJ5" s="19" t="inlineStr">
        <is>
          <t>State taxable, annual (engine)</t>
        </is>
      </c>
      <c r="AK5" s="19" t="inlineStr">
        <is>
          <t>Salary basis (resolved)</t>
        </is>
      </c>
      <c r="AL5" s="19" t="inlineStr">
        <is>
          <t>401(k) mode (resolved)</t>
        </is>
      </c>
      <c r="AM5" s="19" t="inlineStr">
        <is>
          <t>401(k) value (resolved)</t>
        </is>
      </c>
      <c r="AN5" s="19" t="inlineStr">
        <is>
          <t>State (resolved)</t>
        </is>
      </c>
      <c r="AO5" s="19" t="inlineStr">
        <is>
          <t>W-4 Step 3 (resolved)</t>
        </is>
      </c>
      <c r="AP5" s="19" t="inlineStr">
        <is>
          <t>W-4 4(a) (resolved)</t>
        </is>
      </c>
      <c r="AQ5" s="19" t="inlineStr">
        <is>
          <t>W-4 4(b) (resolved)</t>
        </is>
      </c>
      <c r="AR5" s="19" t="inlineStr">
        <is>
          <t>W-4 4(c) (resolved)</t>
        </is>
      </c>
      <c r="AS5" s="19" t="inlineStr">
        <is>
          <t>State reg allow. (resolved)</t>
        </is>
      </c>
      <c r="AT5" s="19" t="inlineStr">
        <is>
          <t>State est allow. (resolved)</t>
        </is>
      </c>
      <c r="AU5" s="19" t="inlineStr">
        <is>
          <t>State status (resolved)</t>
        </is>
      </c>
      <c r="AV5" s="19" t="inlineStr">
        <is>
          <t>Employer segment</t>
        </is>
      </c>
      <c r="AW5" s="19" t="inlineStr">
        <is>
          <t>Seg. SS marker (engine)</t>
        </is>
      </c>
      <c r="AX5" s="19" t="inlineStr">
        <is>
          <t>Seg. SS start balance (engine)</t>
        </is>
      </c>
      <c r="AY5" s="19" t="inlineStr">
        <is>
          <t>State annual wages, regular (engine)</t>
        </is>
      </c>
      <c r="AZ5" s="19" t="inlineStr">
        <is>
          <t>State taxable wages, annual (engine)</t>
        </is>
      </c>
      <c r="BA5" s="19" t="inlineStr">
        <is>
          <t>State bracket tax, annual (engine)</t>
        </is>
      </c>
      <c r="BB5" s="19" t="inlineStr">
        <is>
          <t>State direct tax / credits, annual (engine)</t>
        </is>
      </c>
      <c r="BC5" s="19" t="inlineStr">
        <is>
          <t>State one-off tax (engine)</t>
        </is>
      </c>
      <c r="BD5" s="19" t="inlineStr">
        <is>
          <t>FICA $ YTD (engine)</t>
        </is>
      </c>
      <c r="BE5" s="19" t="inlineStr">
        <is>
          <t>Payday count (engine)</t>
        </is>
      </c>
      <c r="BF5" s="19" t="inlineStr">
        <is>
          <t>Is payday row (engine)</t>
        </is>
      </c>
      <c r="BG5" s="19" t="inlineStr">
        <is>
          <t>Health FSA YTD (engine)</t>
        </is>
      </c>
      <c r="BH5" s="19" t="inlineStr">
        <is>
          <t>Dep-care FSA YTD (engine)</t>
        </is>
      </c>
      <c r="BI5" s="19" t="inlineStr">
        <is>
          <t>HSA YTD (engine)</t>
        </is>
      </c>
      <c r="BJ5" s="19" t="inlineStr">
        <is>
          <t>Health FSA election (resolved)</t>
        </is>
      </c>
      <c r="BK5" s="19" t="inlineStr">
        <is>
          <t>Dep-care FSA election (resolved)</t>
        </is>
      </c>
      <c r="BL5" s="19" t="inlineStr">
        <is>
          <t>HSA $/check (resolved)</t>
        </is>
      </c>
      <c r="BM5" s="19" t="inlineStr">
        <is>
          <t>Premiums $/check (resolved)</t>
        </is>
      </c>
      <c r="BN5" s="19" t="inlineStr">
        <is>
          <t>Commuter $/check (resolved)</t>
        </is>
      </c>
      <c r="BO5" s="19" t="inlineStr">
        <is>
          <t>Other pre-tax $/check (resolved)</t>
        </is>
      </c>
      <c r="BP5" s="19" t="inlineStr">
        <is>
          <t>Other post-tax $/check (resolved)</t>
        </is>
      </c>
      <c r="BQ5" s="19" t="inlineStr">
        <is>
          <t>Health FSA stopped (engine)</t>
        </is>
      </c>
      <c r="BR5" s="19" t="inlineStr">
        <is>
          <t>Dep-care FSA stopped (engine)</t>
        </is>
      </c>
      <c r="BS5" s="19" t="inlineStr">
        <is>
          <t>Health FSA event-started (engine)</t>
        </is>
      </c>
      <c r="BT5" s="19" t="inlineStr">
        <is>
          <t>Dep-care FSA event-started (engine)</t>
        </is>
      </c>
      <c r="BU5" s="19" t="inlineStr">
        <is>
          <t>Federal marginal rate (engine)</t>
        </is>
      </c>
      <c r="BV5" s="19" t="inlineStr">
        <is>
          <t>State marginal rate (engine)</t>
        </is>
      </c>
      <c r="BW5" s="19" t="inlineStr">
        <is>
          <t>State bracket tax, annual (engine) — part 1 of 3</t>
        </is>
      </c>
      <c r="BX5" s="19" t="inlineStr">
        <is>
          <t>State bracket tax, annual (engine) — part 2 of 3</t>
        </is>
      </c>
      <c r="BY5" s="19" t="inlineStr">
        <is>
          <t>State bracket tax, annual (engine) — part 3 of 3</t>
        </is>
      </c>
      <c r="BZ5" s="19" t="inlineStr">
        <is>
          <t>State marginal rate (engine) — part 1 of 4</t>
        </is>
      </c>
      <c r="CA5" s="19" t="inlineStr">
        <is>
          <t>State marginal rate (engine) — part 2 of 4</t>
        </is>
      </c>
      <c r="CB5" s="19" t="inlineStr">
        <is>
          <t>State marginal rate (engine) — part 3 of 4</t>
        </is>
      </c>
      <c r="CC5" s="19" t="inlineStr">
        <is>
          <t>State marginal rate (engine) — part 4 of 4</t>
        </is>
      </c>
      <c r="CD5" s="19" t="inlineStr">
        <is>
          <t>Next scheduled pay date (engine)</t>
        </is>
      </c>
      <c r="CE5" s="19" t="inlineStr">
        <is>
          <t>Next one-off date (engine)</t>
        </is>
      </c>
      <c r="CF5" t="inlineStr">
        <is>
          <t>Regular net (strip helper)</t>
        </is>
      </c>
    </row>
    <row r="6">
      <c r="A6" t="n">
        <v>1</v>
      </c>
      <c r="B6" s="21">
        <f>IF(AND($CD6="",$CE6=""),"",IF($CE6="",$CD6,IF($CD6="",$CE6,MIN($CD6,$CE6))))</f>
      </c>
      <c r="C6" s="7">
        <f>IF($B6="","",IF($BF6=0,0,IF('Your Pay &amp; Benefits'!$C$4="Annual salary",ROUND($AK6/IF(AND('Your Pay &amp; Benefits'!$C$88="Actual paydays",MONTH('Your Pay &amp; Benefits'!$C$9)=1),MAX(1,MAX($BE$6:$BE$68)),'Your Pay &amp; Benefits'!$C$8),2),$AK6)))</f>
      </c>
      <c r="D6" s="7">
        <f>IF($B6="","",SUMIF('Your Pay &amp; Benefits'!$C$58:$C$67,$B6,'Your Pay &amp; Benefits'!$D$58:$D$67))</f>
      </c>
      <c r="E6" s="7">
        <f>IF($B6="","",ROUND(MAX(0,MIN(IF($AL6="Percent",$AM6*($C6+$D6),$AM6),MAX(0,'Your Pay &amp; Benefits'!$C$34-'Your Pay &amp; Benefits'!$C$51))),2))</f>
      </c>
      <c r="F6" s="7">
        <f>IF($B6="","",ROUND(MAX(0,MIN(IF('Your Pay &amp; Benefits'!$C$32="Percent",'Your Pay &amp; Benefits'!$D$32*($C6+$D6),'Your Pay &amp; Benefits'!$D$32),MAX(0,'Your Pay &amp; Benefits'!$C$34-'Your Pay &amp; Benefits'!$C$51-$E6))),2))</f>
      </c>
      <c r="G6" s="7">
        <f>IF($B6="","",IF($BF6=0,0,ROUND(MAX(0,MIN($BL6,'Your Pay &amp; Benefits'!$C$37-'Your Pay &amp; Benefits'!$C$54-0)),2)))</f>
      </c>
      <c r="H6" s="7">
        <f>IF($B6="","",IF(OR($BF6=0,$BQ6=1),0,ROUND(MAX(0,MIN(IF($BS6=1,ROUND(MAX(0,MIN($BJ6,'How This Works &amp; Sources'!$C$13)-'Your Pay &amp; Benefits'!$C$52)/MAX(1,MAX($BE$6:$BE$68)-(0)),2),ROUND(MIN($BJ6,'How This Works &amp; Sources'!$C$13)/'Your Pay &amp; Benefits'!$C$8,2)),MIN($BJ6,'How This Works &amp; Sources'!$C$13)-'Your Pay &amp; Benefits'!$C$52)),2)))</f>
      </c>
      <c r="I6" s="7">
        <f>IF($B6="","",IF(OR($BF6=0,$BR6=1),0,ROUND(MAX(0,MIN(IF($BT6=1,ROUND(MAX(0,MIN($BK6,IF('Your Pay &amp; Benefits'!$C$12="MFJ",'How This Works &amp; Sources'!$C$14,'How This Works &amp; Sources'!$C$15))-'Your Pay &amp; Benefits'!$C$53)/MAX(1,MAX($BE$6:$BE$68)-(0)),2),ROUND(MIN($BK6,IF('Your Pay &amp; Benefits'!$C$12="MFJ",'How This Works &amp; Sources'!$C$14,'How This Works &amp; Sources'!$C$15))/'Your Pay &amp; Benefits'!$C$8,2)),MIN($BK6,IF('Your Pay &amp; Benefits'!$C$12="MFJ",'How This Works &amp; Sources'!$C$14,'How This Works &amp; Sources'!$C$15))-'Your Pay &amp; Benefits'!$C$53)),2)))</f>
      </c>
      <c r="J6" s="7">
        <f>IF($B6="","",IF($BF6=0,0,$BM6))</f>
      </c>
      <c r="K6" s="7">
        <f>IF($B6="","",IF($BF6=0,0,$BN6+$BO6))</f>
      </c>
      <c r="L6" s="7">
        <f>IF($B6="","",IF($BF6=0,0,'Your Pay &amp; Benefits'!$D$46))</f>
      </c>
      <c r="M6" s="7">
        <f>IF($B6="","",$C6+$D6+$L6-$E6-$G6-$H6-$I6-$J6-$K6)</f>
      </c>
      <c r="N6" s="7">
        <f>IF($B6="","",$C6+$D6+$L6-$G6-$H6-$I6-$J6-$K6)</f>
      </c>
      <c r="O6" s="7">
        <f>IF($B6="","",$C6+$D6+$L6-$E6-$H6-$I6-$J6-$K6-IF(OR($AN6="CA",$AN6="NJ"),0,$G6))</f>
      </c>
      <c r="P6" s="7">
        <f>IF($B6="","",IF('Your Pay &amp; Benefits'!$C$18,0,ROUND(MAX(0,IF('Your Pay &amp; Benefits'!$C$13,SUMPRODUCT(($AH6&gt;INDEX('How This Works &amp; Sources'!$B$29:$J$36,0,IF('Your Pay &amp; Benefits'!$C$12="MFJ",1,IF('Your Pay &amp; Benefits'!$C$12="HoH",7,4))))*($AH6-INDEX('How This Works &amp; Sources'!$B$29:$J$36,0,IF('Your Pay &amp; Benefits'!$C$12="MFJ",1,IF('Your Pay &amp; Benefits'!$C$12="HoH",7,4))))*INDEX('How This Works &amp; Sources'!$B$29:$J$36,0,IF('Your Pay &amp; Benefits'!$C$12="MFJ",1,IF('Your Pay &amp; Benefits'!$C$12="HoH",7,4))+2)),SUMPRODUCT(($AH6&gt;INDEX('How This Works &amp; Sources'!$B$19:$J$26,0,IF('Your Pay &amp; Benefits'!$C$12="MFJ",1,IF('Your Pay &amp; Benefits'!$C$12="HoH",7,4))))*($AH6-INDEX('How This Works &amp; Sources'!$B$19:$J$26,0,IF('Your Pay &amp; Benefits'!$C$12="MFJ",1,IF('Your Pay &amp; Benefits'!$C$12="HoH",7,4))))*INDEX('How This Works &amp; Sources'!$B$19:$J$26,0,IF('Your Pay &amp; Benefits'!$C$12="MFJ",1,IF('Your Pay &amp; Benefits'!$C$12="HoH",7,4))+2)))/'Your Pay &amp; Benefits'!$C$8-$AO6/'Your Pay &amp; Benefits'!$C$8)+$AR6+IF('Your Pay &amp; Benefits'!$C$89="Aggregate",MAX(0,IF('Your Pay &amp; Benefits'!$C$13,SUMPRODUCT((($AH6+$D6)&gt;INDEX('How This Works &amp; Sources'!$B$29:$J$36,0,IF('Your Pay &amp; Benefits'!$C$12="MFJ",1,IF('Your Pay &amp; Benefits'!$C$12="HoH",7,4))))*(($AH6+$D6)-INDEX('How This Works &amp; Sources'!$B$29:$J$36,0,IF('Your Pay &amp; Benefits'!$C$12="MFJ",1,IF('Your Pay &amp; Benefits'!$C$12="HoH",7,4))))*INDEX('How This Works &amp; Sources'!$B$29:$J$36,0,IF('Your Pay &amp; Benefits'!$C$12="MFJ",1,IF('Your Pay &amp; Benefits'!$C$12="HoH",7,4))+2)),SUMPRODUCT((($AH6+$D6)&gt;INDEX('How This Works &amp; Sources'!$B$19:$J$26,0,IF('Your Pay &amp; Benefits'!$C$12="MFJ",1,IF('Your Pay &amp; Benefits'!$C$12="HoH",7,4))))*(($AH6+$D6)-INDEX('How This Works &amp; Sources'!$B$19:$J$26,0,IF('Your Pay &amp; Benefits'!$C$12="MFJ",1,IF('Your Pay &amp; Benefits'!$C$12="HoH",7,4))))*INDEX('How This Works &amp; Sources'!$B$19:$J$26,0,IF('Your Pay &amp; Benefits'!$C$12="MFJ",1,IF('Your Pay &amp; Benefits'!$C$12="HoH",7,4))+2)))-IF('Your Pay &amp; Benefits'!$C$13,SUMPRODUCT(($AH6&gt;INDEX('How This Works &amp; Sources'!$B$29:$J$36,0,IF('Your Pay &amp; Benefits'!$C$12="MFJ",1,IF('Your Pay &amp; Benefits'!$C$12="HoH",7,4))))*($AH6-INDEX('How This Works &amp; Sources'!$B$29:$J$36,0,IF('Your Pay &amp; Benefits'!$C$12="MFJ",1,IF('Your Pay &amp; Benefits'!$C$12="HoH",7,4))))*INDEX('How This Works &amp; Sources'!$B$29:$J$36,0,IF('Your Pay &amp; Benefits'!$C$12="MFJ",1,IF('Your Pay &amp; Benefits'!$C$12="HoH",7,4))+2)),SUMPRODUCT(($AH6&gt;INDEX('How This Works &amp; Sources'!$B$19:$J$26,0,IF('Your Pay &amp; Benefits'!$C$12="MFJ",1,IF('Your Pay &amp; Benefits'!$C$12="HoH",7,4))))*($AH6-INDEX('How This Works &amp; Sources'!$B$19:$J$26,0,IF('Your Pay &amp; Benefits'!$C$12="MFJ",1,IF('Your Pay &amp; Benefits'!$C$12="HoH",7,4))))*INDEX('How This Works &amp; Sources'!$B$19:$J$26,0,IF('Your Pay &amp; Benefits'!$C$12="MFJ",1,IF('Your Pay &amp; Benefits'!$C$12="HoH",7,4))+2)))),'How This Works &amp; Sources'!$C$10*$D6),2)))</f>
      </c>
      <c r="Q6" s="7">
        <f>IF($B6="","",ROUND('How This Works &amp; Sources'!$C$4*MIN($N6,MAX(0,'How This Works &amp; Sources'!$C$3-($AX6+'Your Pay &amp; Benefits'!$C$49-$AW6))),2))</f>
      </c>
      <c r="R6" s="7">
        <f>IF($B6="","",ROUND('How This Works &amp; Sources'!$C$5*$N6,2))</f>
      </c>
      <c r="S6" s="7">
        <f>IF($B6="","",ROUND('How This Works &amp; Sources'!$C$6*MAX(0,MIN($N6,'Your Pay &amp; Benefits'!$C$50+$N6-'How This Works &amp; Sources'!$C$7)),2))</f>
      </c>
      <c r="T6" s="7">
        <f>IF($B6="","",IF('Your Pay &amp; Benefits'!$C$26,0,IF($AN6="CA",ROUND(IF($AI6&lt;=IF(($AS6+$AT6)&gt;=2,VLOOKUP($AN6,StateTables!$A$6:$AB$56,10,FALSE),VLOOKUP($AN6,StateTables!$A$6:$AB$56,9,FALSE)),0,MAX(0,SUMPRODUCT(($AJ6&gt;INDEX('How This Works &amp; Sources'!$B$39:$J$48,0,IF($AU6="Married",4,IF($AU6="Head of household",7,1))))*($AJ6-INDEX('How This Works &amp; Sources'!$B$39:$J$48,0,IF($AU6="Married",4,IF($AU6="Head of household",7,1))))*INDEX('How This Works &amp; Sources'!$B$39:$J$48,0,IF($AU6="Married",4,IF($AU6="Head of household",7,1))+2))-VLOOKUP($AN6,StateTables!$A$6:$AB$56,11,FALSE)*$AS6)/'Your Pay &amp; Benefits'!$C$8)+'Your Pay &amp; Benefits'!$C$25+VLOOKUP($AN6,StateTables!$A$6:$AB$56,13,FALSE)*$D6,2),IF(VLOOKUP($AN6,StateTables!$A$6:$AB$56,4,FALSE)="None",0,IF(ISNUMBER(SEARCH("MANUAL",VLOOKUP($AN6,StateTables!$A$6:$AB$56,5,FALSE))),'Your Pay &amp; Benefits'!$C$28,ROUND(MAX(0,$BA6+$BB6)/'Your Pay &amp; Benefits'!$C$8+'Your Pay &amp; Benefits'!$C$25+$BC6,2))))))</f>
      </c>
      <c r="U6" s="7">
        <f>IF($B6="","",IF(VLOOKUP($AN6,StateTables!$A$6:$AB$56,24,FALSE)="flatq",IF(OR(MONTH($B6)=1,MONTH($B6)=4,MONTH($B6)=7,MONTH($B6)=10),VLOOKUP($AN6,StateTables!$A$6:$AB$56,25,FALSE),0),IF(VLOOKUP($AN6,StateTables!$A$6:$AB$56,24,FALSE)="dbl",MIN(ROUND(0.005*$N6,2),ROUND(0.6*52/'Your Pay &amp; Benefits'!$C$8,2)),IF(OR(VLOOKUP($AN6,StateTables!$A$6:$AB$56,15,FALSE)="",VLOOKUP($AN6,StateTables!$A$6:$AB$56,15,FALSE)=0),0,ROUND(VLOOKUP($AN6,StateTables!$A$6:$AB$56,15,FALSE)*IF(OR(VLOOKUP($AN6,StateTables!$A$6:$AB$56,16,FALSE)="",VLOOKUP($AN6,StateTables!$A$6:$AB$56,16,FALSE)=0),$N6,MIN($N6,MAX(0,VLOOKUP($AN6,StateTables!$A$6:$AB$56,16,FALSE)-($AX6+'Your Pay &amp; Benefits'!$C$49-$AW6)))),2))))+IF(VLOOKUP($AN6,StateTables!$A$6:$AB$56,27,FALSE)="flatq",IF(OR(MONTH($B6)=1,MONTH($B6)=4,MONTH($B6)=7,MONTH($B6)=10),VLOOKUP($AN6,StateTables!$A$6:$AB$56,28,FALSE),0),IF(VLOOKUP($AN6,StateTables!$A$6:$AB$56,27,FALSE)="dbl",MIN(ROUND(0.005*$N6,2),ROUND(0.6*52/'Your Pay &amp; Benefits'!$C$8,2)),IF(OR(VLOOKUP($AN6,StateTables!$A$6:$AB$56,18,FALSE)="",VLOOKUP($AN6,StateTables!$A$6:$AB$56,18,FALSE)=0),0,ROUND(VLOOKUP($AN6,StateTables!$A$6:$AB$56,18,FALSE)*IF(OR(VLOOKUP($AN6,StateTables!$A$6:$AB$56,19,FALSE)="",VLOOKUP($AN6,StateTables!$A$6:$AB$56,19,FALSE)=0),$N6,MIN($N6,MAX(0,VLOOKUP($AN6,StateTables!$A$6:$AB$56,19,FALSE)-($AX6+'Your Pay &amp; Benefits'!$C$49-$AW6)))),2)))))</f>
      </c>
      <c r="V6" s="7">
        <f>IF($B6="","",IF($AN6="NY",IF('Your Pay &amp; Benefits'!$C$78,ROUND(SUMPRODUCT((MAX(0,($O6-$D6)*'Your Pay &amp; Benefits'!$C$8-(IF($AU6="Married",5500,5000)+1000*$AS6))&gt;INDEX('How This Works &amp; Sources'!$B$184:$J$198,0,4))*(MAX(0,($O6-$D6)*'Your Pay &amp; Benefits'!$C$8-(IF($AU6="Married",5500,5000)+1000*$AS6))-INDEX('How This Works &amp; Sources'!$B$184:$J$198,0,4))*INDEX('How This Works &amp; Sources'!$B$184:$J$198,0,4+2))/'Your Pay &amp; Benefits'!$C$8+0.0425*$D6,2),0)+IF('Your Pay &amp; Benefits'!$C$79="Resident",ROUND(0.1675*$T6,2),IF('Your Pay &amp; Benefits'!$C$79="Nonresident",ROUND(0.005*MAX(0,($O6-$D6)-(IF($AU6="Married",7950,7400)+1000*$AS6)/'Your Pay &amp; Benefits'!$C$8),2),0)),IF($AN6="PA",IF('Your Pay &amp; Benefits'!$C$80="None",'Your Pay &amp; Benefits'!$C$27+ROUND('Your Pay &amp; Benefits'!$C$81*($C6+$D6),2),ROUND(IF('Your Pay &amp; Benefits'!$C$80="Resident",IF($B6&lt;DATE(2026,7,1),0.0374,0.03735),IF($B6&lt;DATE(2026,7,1),0.0343,0.03425))*($C6+$D6),2)),IF($BF6=0,ROUND('Your Pay &amp; Benefits'!$C$81*($C6+$D6),2),'Your Pay &amp; Benefits'!$C$27+ROUND('Your Pay &amp; Benefits'!$C$81*($C6+$D6),2)))))</f>
      </c>
      <c r="W6" s="7">
        <f>IF($B6="","",IF($BF6=0,0,$BP6))</f>
      </c>
      <c r="X6" s="7">
        <f>IF($B6="","",SUM($E6:$K6)+$P6+$Q6+$R6+$S6+$T6+$U6+$V6+$W6)</f>
      </c>
      <c r="Y6" s="22">
        <f>IF($B6="","",$C6+$D6-$X6)</f>
      </c>
      <c r="Z6" s="7">
        <f>IF($B6="","",'Your Pay &amp; Benefits'!$C$48+$C6+$D6)</f>
      </c>
      <c r="AA6" s="7">
        <f>IF($B6="","",0+$Y6)</f>
      </c>
      <c r="AB6" s="7">
        <f>IF($B6="","",'Your Pay &amp; Benefits'!$C$49+MIN($N6,MAX(0,'How This Works &amp; Sources'!$C$3-($AX6+'Your Pay &amp; Benefits'!$C$49-$AW6))))</f>
      </c>
      <c r="AC6" s="7">
        <f>IF($B6="","",'Your Pay &amp; Benefits'!$C$51+$E6+$F6)</f>
      </c>
      <c r="AD6" s="3">
        <f>IF($B6="","",IF(AND('Your Pay &amp; Benefits'!$C$49&lt;'How This Works &amp; Sources'!$C$3,$AB6&gt;='How This Works &amp; Sources'!$C$3),"★ Social Security maxed on this check — from the next check your net rises by about $"&amp;TEXT(ROUND('How This Works &amp; Sources'!$C$4*$N6,2),"#,##0.00")&amp;". ","")&amp;IF(AND('Your Pay &amp; Benefits'!$C$51&lt;'Your Pay &amp; Benefits'!$C$34,$AC6&gt;='Your Pay &amp; Benefits'!$C$34),"★ 401(k) reaches the $"&amp;TEXT('Your Pay &amp; Benefits'!$C$34,"#,##0")&amp;" cap on this check — deferrals stop and net pay rises. ","")&amp;IF(AND('Your Pay &amp; Benefits'!$C$50&lt;'How This Works &amp; Sources'!$C$7,$AG6&gt;='How This Works &amp; Sources'!$C$7),"★ Wages pass $200,000 — the 0.9% Additional Medicare Tax starts here. ","")&amp;IF(AND($BJ6&gt;0,$H6&gt;0,'Your Pay &amp; Benefits'!$C$52&lt;MIN($BJ6,'How This Works &amp; Sources'!$C$13),'Your Pay &amp; Benefits'!$C$52+$H6&gt;=MIN($BJ6,'How This Works &amp; Sources'!$C$13)),"★ Health FSA election is now fully deferred for the year. ",""))</f>
      </c>
      <c r="AE6" s="41" t="n"/>
      <c r="AF6" s="7">
        <f>IF(OR($B6="",$AE6=""),"",$AE6-$Y6)</f>
      </c>
      <c r="AG6" s="7">
        <f>IF($B6="","",'Your Pay &amp; Benefits'!$C$50+$N6)</f>
      </c>
      <c r="AH6" s="7">
        <f>IF($B6="","",MAX(0,($M6-$D6)*'Your Pay &amp; Benefits'!$C$8+$AP6-$AQ6-IF('Your Pay &amp; Benefits'!$C$13,0,IF('Your Pay &amp; Benefits'!$C$12="MFJ",'How This Works &amp; Sources'!$C$8,'How This Works &amp; Sources'!$C$9))))</f>
      </c>
      <c r="AI6" s="7">
        <f>IF($B6="","",$O6*'Your Pay &amp; Benefits'!$C$8)</f>
      </c>
      <c r="AJ6" s="7">
        <f>IF($B6="","",MAX(0,$AI6-VLOOKUP($AN6,StateTables!$A$6:$AB$56,12,FALSE)*$AT6-IF(($AS6+$AT6)&gt;=2,VLOOKUP($AN6,StateTables!$A$6:$AB$56,8,FALSE),VLOOKUP($AN6,StateTables!$A$6:$AB$56,7,FALSE))))</f>
      </c>
      <c r="AK6" s="7">
        <f>IF($B6="","",IFERROR(LOOKUP(2,1/(('Changes &amp; Events'!$C$6:$C$17="Salary change")*('Changes &amp; Events'!$B$6:$B$17&lt;=$B6)*('Changes &amp; Events'!$B$6:$B$17&lt;&gt;"")),'Changes &amp; Events'!$D$6:$D$17),IF('Your Pay &amp; Benefits'!$C$4="Annual salary",'Your Pay &amp; Benefits'!$C$5,'Your Pay &amp; Benefits'!$C$6)))</f>
      </c>
      <c r="AL6">
        <f>IF($B6="","",IFERROR(LOOKUP(2,1/(('Changes &amp; Events'!$C$6:$C$17="401(k) change")*('Changes &amp; Events'!$B$6:$B$17&lt;=$B6)*('Changes &amp; Events'!$B$6:$B$17&lt;&gt;"")),'Changes &amp; Events'!$D$6:$D$17),'Your Pay &amp; Benefits'!$C$30))</f>
      </c>
      <c r="AM6" s="7">
        <f>IF($B6="","",IFERROR(LOOKUP(2,1/(('Changes &amp; Events'!$C$6:$C$17="401(k) change")*('Changes &amp; Events'!$B$6:$B$17&lt;=$B6)*('Changes &amp; Events'!$B$6:$B$17&lt;&gt;"")),'Changes &amp; Events'!$E$6:$E$17),'Your Pay &amp; Benefits'!$D$31))</f>
      </c>
      <c r="AN6">
        <f>IF($B6="","",IFERROR(LOOKUP(2,1/(('Changes &amp; Events'!$C$6:$C$17="State move")*('Changes &amp; Events'!$B$6:$B$17&lt;=$B6)*('Changes &amp; Events'!$B$6:$B$17&lt;&gt;"")),'Changes &amp; Events'!$D$6:$D$17),'Your Pay &amp; Benefits'!$C$21))</f>
      </c>
      <c r="AO6" s="7">
        <f>IF($B6="","",IFERROR(LOOKUP(2,1/(('Changes &amp; Events'!$C$6:$C$17="W-4 change")*('Changes &amp; Events'!$B$6:$B$17&lt;=$B6)*('Changes &amp; Events'!$B$6:$B$17&lt;&gt;"")),'Changes &amp; Events'!$D$6:$D$17),'Your Pay &amp; Benefits'!$C$14))</f>
      </c>
      <c r="AP6" s="7">
        <f>IF($B6="","",IFERROR(LOOKUP(2,1/(('Changes &amp; Events'!$C$6:$C$17="W-4 change")*('Changes &amp; Events'!$B$6:$B$17&lt;=$B6)*('Changes &amp; Events'!$B$6:$B$17&lt;&gt;"")),'Changes &amp; Events'!$E$6:$E$17),'Your Pay &amp; Benefits'!$C$15))</f>
      </c>
      <c r="AQ6" s="7">
        <f>IF($B6="","",IFERROR(LOOKUP(2,1/(('Changes &amp; Events'!$C$6:$C$17="W-4 change")*('Changes &amp; Events'!$B$6:$B$17&lt;=$B6)*('Changes &amp; Events'!$B$6:$B$17&lt;&gt;"")),'Changes &amp; Events'!$F$6:$F$17),'Your Pay &amp; Benefits'!$C$16))</f>
      </c>
      <c r="AR6" s="7">
        <f>IF($B6="","",IFERROR(LOOKUP(2,1/(('Changes &amp; Events'!$C$6:$C$17="W-4 change")*('Changes &amp; Events'!$B$6:$B$17&lt;=$B6)*('Changes &amp; Events'!$B$6:$B$17&lt;&gt;"")),'Changes &amp; Events'!$G$6:$G$17),'Your Pay &amp; Benefits'!$C$17))</f>
      </c>
      <c r="AS6" s="6">
        <f>IF($B6="","",IFERROR(LOOKUP(2,1/((('Changes &amp; Events'!$C$6:$C$17="State move")+('Changes &amp; Events'!$C$6:$C$17="State cert change"))*('Changes &amp; Events'!$B$6:$B$17&lt;=$B6)*('Changes &amp; Events'!$B$6:$B$17&lt;&gt;"")),'Changes &amp; Events'!$F$6:$F$17),'Your Pay &amp; Benefits'!$C$23))</f>
      </c>
      <c r="AT6" s="6">
        <f>IF($B6="","",IFERROR(LOOKUP(2,1/((('Changes &amp; Events'!$C$6:$C$17="State move")+('Changes &amp; Events'!$C$6:$C$17="State cert change"))*('Changes &amp; Events'!$B$6:$B$17&lt;=$B6)*('Changes &amp; Events'!$B$6:$B$17&lt;&gt;"")),'Changes &amp; Events'!$G$6:$G$17),'Your Pay &amp; Benefits'!$C$24))</f>
      </c>
      <c r="AU6">
        <f>IF($B6="","",IFERROR(LOOKUP(2,1/(('Changes &amp; Events'!$C$6:$C$17="State move")*('Changes &amp; Events'!$B$6:$B$17&lt;=$B6)*('Changes &amp; Events'!$B$6:$B$17&lt;&gt;"")),'Changes &amp; Events'!$E$6:$E$17),'Your Pay &amp; Benefits'!$C$22))</f>
      </c>
      <c r="AV6" s="6">
        <f>IF($B6="","",1+COUNTIFS('Changes &amp; Events'!$C$6:$C$17,"Employer change",'Changes &amp; Events'!$B$6:$B$17,"&lt;="&amp;$B6,'Changes &amp; Events'!$B$6:$B$17,"&lt;&gt;"))</f>
      </c>
      <c r="AW6" s="7">
        <f>IF($B6="","",IF($AV6=1,'Your Pay &amp; Benefits'!$C$49,IF(IFERROR(MATCH(IFERROR(LOOKUP(2,1/(('Changes &amp; Events'!$C$6:$C$17="Employer change")*('Changes &amp; Events'!$B$6:$B$17&lt;=$B6)*('Changes &amp; Events'!$B$6:$B$17&lt;&gt;"")),'Changes &amp; Events'!$B$6:$B$17),""),$B$6:$B$68,1),1)&lt;=1,'Your Pay &amp; Benefits'!$C$49,INDEX($AB$6:$AB$68,MATCH(IFERROR(LOOKUP(2,1/(('Changes &amp; Events'!$C$6:$C$17="Employer change")*('Changes &amp; Events'!$B$6:$B$17&lt;=$B6)*('Changes &amp; Events'!$B$6:$B$17&lt;&gt;"")),'Changes &amp; Events'!$B$6:$B$17),""),$B$6:$B$68,1)-1))))</f>
      </c>
      <c r="AX6" s="7">
        <f>IF($B6="","",IF($AV6=1,'Your Pay &amp; Benefits'!$C$49,IFERROR(LOOKUP(2,1/(('Changes &amp; Events'!$C$6:$C$17="Employer change")*('Changes &amp; Events'!$B$6:$B$17&lt;=$B6)*('Changes &amp; Events'!$B$6:$B$17&lt;&gt;"")),'Changes &amp; Events'!$D$6:$D$17),0)))</f>
      </c>
      <c r="AY6" s="7">
        <f>IF($B6="","",($O6-$D6)*'Your Pay &amp; Benefits'!$C$8)</f>
      </c>
      <c r="AZ6" s="7">
        <f>IF($B6="","",IF($AN6="AL",MAX(0,$AY6-IF($AU6="Married",IF($AY6&lt;=25999,8500,MAX(5000,8500-175*CEILING(($AY6-25999)/500,1))),IF($AU6="Head of household",IF($AY6&lt;=25999,5200,MAX(2500,5200-135*CEILING(($AY6-25999)/500,1))),IF($AY6&lt;=25999,3000,MAX(2500,3000-25*CEILING(($AY6-25999)/500,1)))))-($P6-'How This Works &amp; Sources'!$C$10*$D6)*'Your Pay &amp; Benefits'!$C$8-IF(OR($AU6="Married",$AU6="Head of household"),3000,1500)-$AT6*IF($AY6&lt;=50000,1000,IF($AY6&lt;=100000,500,300))),IF($AN6="AR",IF(MAX(0,$AY6-2470)&lt;97701,INT(MAX(0,$AY6-2470)/100)*100+50,MAX(0,$AY6-2470)),IF($AN6="DE",MAX(0,$AI6-3250),IF($AN6="HI",MAX(0,$AI6-1144*$AS6-4350),IF($AN6="KS",MAX(0,$AI6-(9160*IF($AU6="Married",2,1)+2320*$AT6+IF($AU6="Head of household",2320,0))),IF($AN6="MD",MAX(0,$AI6-3400-3200*$AS6),IF($AN6="MN",MAX(0,$AY6-5300*$AS6),IF($AN6="MO",MAX(0,$AI6-IF($AU6="Head of household",24150,IF($AU6="Married",IF('Your Pay &amp; Benefits'!$C$83,16100,32200),16100))),IF($AN6="MT",$AY6,IF($AN6="ND",($C6+$L6)*'Your Pay &amp; Benefits'!$C$8,IF($AN6="NE",MAX(0,$AY6-2440*$AS6),IF($AN6="NJ",MAX(0,$AY6-1000*$AS6),IF($AN6="NY",MAX(0,$AY6-(IF($AU6="Married",7950,7400)+1000*$AS6)),IF($AN6="OH",MAX(0,$AY6-650*$AS6),IF($AN6="OK",MAX(0,$AY6-1000*$AS6),IF($AN6="RI",MAX(0,$AI6-1000*$AS6),IF($AN6="SC",MAX(0,$AI6-5000*$AS6-IF($AS6=0,0,MIN(0.1*$AI6,7500))),IF($AN6="VA",MAX(0,$AI6-IF($AU6="Married",17500,8750)-930*$AS6-800*$AT6),IF($AN6="VT",MAX(0,$AI6-5400*$AS6),IF($AN6="WI",MAX(0,$AI6-MAX(0,IF($AU6="Married",9461-0.2*MAX(0,$AI6-25727),6702-0.12*MAX(0,$AI6-17780)))-400*$AS6),IF($AN6="WV",MAX(0,$AI6-2000*$AS6),$AI6))))))))))))))))))))))</f>
      </c>
      <c r="BA6" s="7">
        <f>IF($B6="","",IF($BW6&lt;&gt;"",$BW6,IF($BX6&lt;&gt;"",$BX6,IF($BY6&lt;&gt;"",$BY6,0))))</f>
      </c>
      <c r="BB6" s="7">
        <f>IF($B6="","",IF($AN6="AR",-29*$AS6,IF($AN6="DE",-110*$AS6,IF($AN6="MD",$AZ6*'Your Pay &amp; Benefits'!$C$74,IF($AN6="AZ",'Your Pay &amp; Benefits'!$C$82*($M6-$D6)*'Your Pay &amp; Benefits'!$C$8,IF($AN6="CO",0.044*MAX(0,$AY6-IF($AU6="Married",10000,5000)),IF($AN6="IA",MAX(0,0.038*MAX(0,$AY6-IF($AU6="Head of household",19500,IF($AU6="Married",26000,13000)))-40*$AS6),IF($AN6="ID",0.053*MAX(0,$AY6-IF($AU6="Married",32000,16094)),IF($AN6="IL",0.0495*MAX(0,$AY6-(2925*$AS6+1000*$AT6)),IF($AN6="IN",(0.0295+'Your Pay &amp; Benefits'!$C$76)*MAX(0,$AY6-(1000*$AS6+1500*$AT6+3000*'Your Pay &amp; Benefits'!$C$86)),IF($AN6="KY",0.035*MAX(0,$AI6-3360),IF($AN6="LA",IF('Your Pay &amp; Benefits'!$C$84="0",0.0309*$AI6,0.0309*MAX(0,$AI6-IF('Your Pay &amp; Benefits'!$C$84="2",25750,12875))),IF($AN6="MA",0.05*MIN(MAX(0,$AY6-MIN((0+$Q6+$R6+$S6),2000)-IF($AS6=0,0,IF($AS6=1,4400,1000*$AS6+3400))),1107750)+0.09*MAX(0,MAX(0,$AY6-MIN((0+$Q6+$R6+$S6),2000)-IF($AS6=0,0,IF($AS6=1,4400,1000*$AS6+3400)))-1107750)-IF($AU6="Head of household",120,0)-110*'Your Pay &amp; Benefits'!$C$75,IF($AN6="MI",0.0425*MAX(0,$AY6-5900*$AS6),IF($AN6="MS",0.04*MAX(0,$AI6-IF($AU6="Head of household",3400,IF($AU6="Married",4600,2300))-'Your Pay &amp; Benefits'!$C$85-10000),IF($AN6="OR",IF(OR($AU6="Married",AND($AU6="Single",$AS6&gt;=3)),SUMPRODUCT((MAX(0,$AY6-MIN(($P6-'How This Works &amp; Sources'!$C$10*$D6)*'Your Pay &amp; Benefits'!$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Sources'!$B$211:$J$214,0,4))*(MAX(0,$AY6-MIN(($P6-'How This Works &amp; Sources'!$C$10*$D6)*'Your Pay &amp; Benefits'!$C$8,IF(OR($AU6="Married",AND($AU6="Single",$AS6&gt;=3)),IF($AY6&lt;250000,8750,IF($AY6&lt;260000,7000,IF($AY6&lt;270000,5250,IF($AY6&lt;280000,3500,IF($AY6&lt;290000,1750,0))))),IF($AY6&lt;125000,8750,IF($AY6&lt;130000,7000,IF($AY6&lt;135000,5250,IF($AY6&lt;140000,3500,IF($AY6&lt;145000,1750,0)))))))-IF(OR($AU6="Married",AND($AU6="Single",$AS6&gt;=3)),5820,2910))-INDEX('How This Works &amp; Sources'!$B$211:$J$214,0,4))*INDEX('How This Works &amp; Sources'!$B$211:$J$214,0,4+2)),SUMPRODUCT((MAX(0,$AY6-MIN(($P6-'How This Works &amp; Sources'!$C$10*$D6)*'Your Pay &amp; Benefits'!$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Sources'!$B$211:$J$214,0,1))*(MAX(0,$AY6-MIN(($P6-'How This Works &amp; Sources'!$C$10*$D6)*'Your Pay &amp; Benefits'!$C$8,IF(OR($AU6="Married",AND($AU6="Single",$AS6&gt;=3)),IF($AY6&lt;250000,8750,IF($AY6&lt;260000,7000,IF($AY6&lt;270000,5250,IF($AY6&lt;280000,3500,IF($AY6&lt;290000,1750,0))))),IF($AY6&lt;125000,8750,IF($AY6&lt;130000,7000,IF($AY6&lt;135000,5250,IF($AY6&lt;140000,3500,IF($AY6&lt;145000,1750,0)))))))-IF(OR($AU6="Married",AND($AU6="Single",$AS6&gt;=3)),5820,2910))-INDEX('How This Works &amp; Sources'!$B$211:$J$214,0,1))*INDEX('How This Works &amp; Sources'!$B$211:$J$214,0,1+2)))+263-263*IF(IF($AU6="Married",$AY6&gt;200000,$AY6&gt;100000),0,$AS6),IF($AN6="PA",0.0307*(($O6+$E6+$G6)*'Your Pay &amp; Benefits'!$C$8),IF($AN6="NY",IF($AU6="Married",IF($AZ6&gt;=2155350,0,IF($AZ6&gt;=1077550,0.48,IF($AZ6&gt;=373200,1.21,IF($AZ6&gt;=323200,0.21,IF($AZ6&gt;=211550,-0.19,IF($AZ6&gt;=157650,-2.8,IF($AZ6&gt;=107650,-0.8,IF($AZ6&gt;=96800,0.05,IF($AZ6&gt;=80650,-0.1,IF($AZ6&gt;=13900,0.4,IF($AZ6&gt;=11700,-0.3,IF($AZ6&gt;=8500,0.5,0)))))))))))),IF($AZ6&gt;=1077550,0,IF($AZ6&gt;=265400,4.29,IF($AZ6&gt;=215400,2.29,IF($AZ6&gt;=157650,2.29,IF($AZ6&gt;=107650,0.29,IF($AZ6&gt;=96800,0.05,IF($AZ6&gt;=80650,-0.1,IF($AZ6&gt;=13900,0.4,IF($AZ6&gt;=11700,-0.3,IF($AZ6&gt;=8500,0.5,0))))))))))),0))))))))))))))))))</f>
      </c>
      <c r="BC6" s="7">
        <f>IF($B6="","",IF($AN6="AL",0.05*$D6,IF($AN6="AR",0.039*$D6,IF($AN6="ID",0.053*$D6,IF($AN6="IN",(0.0295+'Your Pay &amp; Benefits'!$C$76)*$D6,IF($AN6="KS",0.05*$D6,IF($AN6="MA",0.09*MIN($D6,MAX(0,MAX(0,$AY6-MIN((0+$Q6+$R6+$S6),2000)-IF($AS6=0,0,IF($AS6=1,4400,1000*$AS6+3400)))+$D6-1107750))+0.05*($D6-MIN($D6,MAX(0,MAX(0,$AY6-MIN((0+$Q6+$R6+$S6),2000)-IF($AS6=0,0,IF($AS6=1,4400,1000*$AS6+3400)))+$D6-1107750))),IF($AN6="MD",(0.065+'Your Pay &amp; Benefits'!$C$74)*$D6,IF($AN6="MI",0.0425*$D6,IF($AN6="MN",0.0625*$D6,IF($AN6="MO",0.047*$D6,IF($AN6="MT",0.05*$D6,IF($AN6="ND",0.015*$D6,IF($AN6="NE",0.035*$D6,IF($AN6="NJ",IF('Your Pay &amp; Benefits'!$C$77="B",SUMPRODUCT(($D6*'Your Pay &amp; Benefits'!$C$8&gt;INDEX('How This Works &amp; Sources'!$B$155:$J$162,0,4))*($D6*'Your Pay &amp; Benefits'!$C$8-INDEX('How This Works &amp; Sources'!$B$155:$J$162,0,4))*INDEX('How This Works &amp; Sources'!$B$155:$J$162,0,4+2)),IF('Your Pay &amp; Benefits'!$C$77="C",SUMPRODUCT(($D6*'Your Pay &amp; Benefits'!$C$8&gt;INDEX('How This Works &amp; Sources'!$B$155:$J$162,0,7))*($D6*'Your Pay &amp; Benefits'!$C$8-INDEX('How This Works &amp; Sources'!$B$155:$J$162,0,7))*INDEX('How This Works &amp; Sources'!$B$155:$J$162,0,7+2)),IF('Your Pay &amp; Benefits'!$C$77="D",SUMPRODUCT(($D6*'Your Pay &amp; Benefits'!$C$8&gt;INDEX('How This Works &amp; Sources'!$B$167:$J$179,0,1))*($D6*'Your Pay &amp; Benefits'!$C$8-INDEX('How This Works &amp; Sources'!$B$167:$J$179,0,1))*INDEX('How This Works &amp; Sources'!$B$167:$J$179,0,1+2)),IF('Your Pay &amp; Benefits'!$C$77="E",SUMPRODUCT(($D6*'Your Pay &amp; Benefits'!$C$8&gt;INDEX('How This Works &amp; Sources'!$B$167:$J$179,0,4))*($D6*'Your Pay &amp; Benefits'!$C$8-INDEX('How This Works &amp; Sources'!$B$167:$J$179,0,4))*INDEX('How This Works &amp; Sources'!$B$167:$J$179,0,4+2)),SUMPRODUCT(($D6*'Your Pay &amp; Benefits'!$C$8&gt;INDEX('How This Works &amp; Sources'!$B$155:$J$162,0,1))*($D6*'Your Pay &amp; Benefits'!$C$8-INDEX('How This Works &amp; Sources'!$B$155:$J$162,0,1))*INDEX('How This Works &amp; Sources'!$B$155:$J$162,0,1+2))))))/'Your Pay &amp; Benefits'!$C$8,IF($AN6="NY",0.117*$D6,IF($AN6="OH",0.0275*$D6,IF($AN6="OK",0.045*$D6,IF($AN6="OR",0.08*$D6,IF($AN6="WI",IF($AY6&lt;12760,0.0354,IF($AY6&lt;25520,0.0465,IF($AY6&lt;280950,0.053,0.0765)))*$D6,0))))))))))))))))))))</f>
      </c>
      <c r="BD6" s="7">
        <f>IF($B6="","",0+$Q6+$R6+$S6)</f>
      </c>
      <c r="BE6" s="6">
        <f>IF($B6="",0,0+$BF6)</f>
      </c>
      <c r="BF6" s="6">
        <f>IF($B6="","",IF(AND(IF(YEAR(IF('Your Pay &amp; Benefits'!$C$7="Weekly",'Your Pay &amp; Benefits'!$C$9+7*((0+1)-1),IF('Your Pay &amp; Benefits'!$C$7="Biweekly",'Your Pay &amp; Benefits'!$C$9+14*((0+1)-1),IF('Your Pay &amp; Benefits'!$C$7="Semimonthly",DATE(YEAR('Your Pay &amp; Benefits'!$C$9),MONTH('Your Pay &amp; Benefits'!$C$9)+INT(((0+1)-1)/2),MIN(DAY('Your Pay &amp; Benefits'!$C$9),DAY(EOMONTH(DATE(YEAR('Your Pay &amp; Benefits'!$C$9),MONTH('Your Pay &amp; Benefits'!$C$9)+INT(((0+1)-1)/2),1),0))))+IF(MOD((0+1)-1,2)=1,15,0),EDATE('Your Pay &amp; Benefits'!$C$9,(0+1)-1)))))&lt;&gt;'Your Pay &amp; Benefits'!$C$10,"",IF('Your Pay &amp; Benefits'!$C$7="Weekly",'Your Pay &amp; Benefits'!$C$9+7*((0+1)-1),IF('Your Pay &amp; Benefits'!$C$7="Biweekly",'Your Pay &amp; Benefits'!$C$9+14*((0+1)-1),IF('Your Pay &amp; Benefits'!$C$7="Semimonthly",DATE(YEAR('Your Pay &amp; Benefits'!$C$9),MONTH('Your Pay &amp; Benefits'!$C$9)+INT(((0+1)-1)/2),MIN(DAY('Your Pay &amp; Benefits'!$C$9),DAY(EOMONTH(DATE(YEAR('Your Pay &amp; Benefits'!$C$9),MONTH('Your Pay &amp; Benefits'!$C$9)+INT(((0+1)-1)/2),1),0))))+IF(MOD((0+1)-1,2)=1,15,0),EDATE('Your Pay &amp; Benefits'!$C$9,(0+1)-1)))))&lt;&gt;"",$B6=IF(YEAR(IF('Your Pay &amp; Benefits'!$C$7="Weekly",'Your Pay &amp; Benefits'!$C$9+7*((0+1)-1),IF('Your Pay &amp; Benefits'!$C$7="Biweekly",'Your Pay &amp; Benefits'!$C$9+14*((0+1)-1),IF('Your Pay &amp; Benefits'!$C$7="Semimonthly",DATE(YEAR('Your Pay &amp; Benefits'!$C$9),MONTH('Your Pay &amp; Benefits'!$C$9)+INT(((0+1)-1)/2),MIN(DAY('Your Pay &amp; Benefits'!$C$9),DAY(EOMONTH(DATE(YEAR('Your Pay &amp; Benefits'!$C$9),MONTH('Your Pay &amp; Benefits'!$C$9)+INT(((0+1)-1)/2),1),0))))+IF(MOD((0+1)-1,2)=1,15,0),EDATE('Your Pay &amp; Benefits'!$C$9,(0+1)-1)))))&lt;&gt;'Your Pay &amp; Benefits'!$C$10,"",IF('Your Pay &amp; Benefits'!$C$7="Weekly",'Your Pay &amp; Benefits'!$C$9+7*((0+1)-1),IF('Your Pay &amp; Benefits'!$C$7="Biweekly",'Your Pay &amp; Benefits'!$C$9+14*((0+1)-1),IF('Your Pay &amp; Benefits'!$C$7="Semimonthly",DATE(YEAR('Your Pay &amp; Benefits'!$C$9),MONTH('Your Pay &amp; Benefits'!$C$9)+INT(((0+1)-1)/2),MIN(DAY('Your Pay &amp; Benefits'!$C$9),DAY(EOMONTH(DATE(YEAR('Your Pay &amp; Benefits'!$C$9),MONTH('Your Pay &amp; Benefits'!$C$9)+INT(((0+1)-1)/2),1),0))))+IF(MOD((0+1)-1,2)=1,15,0),EDATE('Your Pay &amp; Benefits'!$C$9,(0+1)-1)))))),1,0))</f>
      </c>
      <c r="BG6" s="7">
        <f>IF($B6="","",'Your Pay &amp; Benefits'!$C$52+$H6)</f>
      </c>
      <c r="BH6" s="7">
        <f>IF($B6="","",'Your Pay &amp; Benefits'!$C$53+$I6)</f>
      </c>
      <c r="BI6" s="7">
        <f>IF($B6="","",0+$G6)</f>
      </c>
      <c r="BJ6" s="7">
        <f>IF($B6="","",IFERROR(LOOKUP(2,1/(((('Changes &amp; Events'!$C$6:$C$17="Deduction start"))*('Changes &amp; Events'!$D$6:$D$17="Health FSA"))*('Changes &amp; Events'!$B$6:$B$17&lt;=$B6)*('Changes &amp; Events'!$B$6:$B$17&lt;&gt;"")),'Changes &amp; Events'!$E$6:$E$17),'Your Pay &amp; Benefits'!$D$38))</f>
      </c>
      <c r="BK6" s="7">
        <f>IF($B6="","",IFERROR(LOOKUP(2,1/(((('Changes &amp; Events'!$C$6:$C$17="Deduction start"))*('Changes &amp; Events'!$D$6:$D$17="Dependent-care FSA"))*('Changes &amp; Events'!$B$6:$B$17&lt;=$B6)*('Changes &amp; Events'!$B$6:$B$17&lt;&gt;"")),'Changes &amp; Events'!$E$6:$E$17),'Your Pay &amp; Benefits'!$D$39))</f>
      </c>
      <c r="BL6" s="7">
        <f>IF($B6="","",IFERROR(LOOKUP(2,1/(((('Changes &amp; Events'!$C$6:$C$17="Deduction start")+('Changes &amp; Events'!$C$6:$C$17="Deduction stop"))*('Changes &amp; Events'!$D$6:$D$17="HSA"))*('Changes &amp; Events'!$B$6:$B$17&lt;=$B6)*('Changes &amp; Events'!$B$6:$B$17&lt;&gt;"")),'Changes &amp; Events'!$I$6:$I$17),'Your Pay &amp; Benefits'!$D$35))</f>
      </c>
      <c r="BM6" s="7">
        <f>IF($B6="","",IFERROR(LOOKUP(2,1/(((('Changes &amp; Events'!$C$6:$C$17="Deduction start")+('Changes &amp; Events'!$C$6:$C$17="Deduction stop"))*('Changes &amp; Events'!$D$6:$D$17="Premiums"))*('Changes &amp; Events'!$B$6:$B$17&lt;=$B6)*('Changes &amp; Events'!$B$6:$B$17&lt;&gt;"")),'Changes &amp; Events'!$I$6:$I$17),'Your Pay &amp; Benefits'!$D$40+'Your Pay &amp; Benefits'!$D$41+'Your Pay &amp; Benefits'!$D$42))</f>
      </c>
      <c r="BN6" s="7">
        <f>IF($B6="","",IFERROR(LOOKUP(2,1/(((('Changes &amp; Events'!$C$6:$C$17="Deduction start")+('Changes &amp; Events'!$C$6:$C$17="Deduction stop"))*('Changes &amp; Events'!$D$6:$D$17="Commuter"))*('Changes &amp; Events'!$B$6:$B$17&lt;=$B6)*('Changes &amp; Events'!$B$6:$B$17&lt;&gt;"")),'Changes &amp; Events'!$I$6:$I$17),'Your Pay &amp; Benefits'!$D$43))</f>
      </c>
      <c r="BO6" s="7">
        <f>IF($B6="","",IFERROR(LOOKUP(2,1/(((('Changes &amp; Events'!$C$6:$C$17="Deduction start")+('Changes &amp; Events'!$C$6:$C$17="Deduction stop"))*('Changes &amp; Events'!$D$6:$D$17="Other pre-tax"))*('Changes &amp; Events'!$B$6:$B$17&lt;=$B6)*('Changes &amp; Events'!$B$6:$B$17&lt;&gt;"")),'Changes &amp; Events'!$I$6:$I$17),'Your Pay &amp; Benefits'!$D$44))</f>
      </c>
      <c r="BP6" s="7">
        <f>IF($B6="","",IFERROR(LOOKUP(2,1/(((('Changes &amp; Events'!$C$6:$C$17="Deduction start")+('Changes &amp; Events'!$C$6:$C$17="Deduction stop"))*('Changes &amp; Events'!$D$6:$D$17="Other post-tax"))*('Changes &amp; Events'!$B$6:$B$17&lt;=$B6)*('Changes &amp; Events'!$B$6:$B$17&lt;&gt;"")),'Changes &amp; Events'!$I$6:$I$17),'Your Pay &amp; Benefits'!$D$45))</f>
      </c>
      <c r="BQ6" s="6">
        <f>IF($B6="","",IFERROR(LOOKUP(2,1/(((('Changes &amp; Events'!$C$6:$C$17="Deduction start")+('Changes &amp; Events'!$C$6:$C$17="Deduction stop"))*('Changes &amp; Events'!$D$6:$D$17="Health FSA"))*('Changes &amp; Events'!$B$6:$B$17&lt;=$B6)*('Changes &amp; Events'!$B$6:$B$17&lt;&gt;"")),'Changes &amp; Events'!$J$6:$J$17),0))</f>
      </c>
      <c r="BR6" s="6">
        <f>IF($B6="","",IFERROR(LOOKUP(2,1/(((('Changes &amp; Events'!$C$6:$C$17="Deduction start")+('Changes &amp; Events'!$C$6:$C$17="Deduction stop"))*('Changes &amp; Events'!$D$6:$D$17="Dependent-care FSA"))*('Changes &amp; Events'!$B$6:$B$17&lt;=$B6)*('Changes &amp; Events'!$B$6:$B$17&lt;&gt;"")),'Changes &amp; Events'!$J$6:$J$17),0))</f>
      </c>
      <c r="BS6" s="6">
        <f>IF($B6="","",IF(SUMPRODUCT(('Changes &amp; Events'!$C$6:$C$17="Deduction start")*('Changes &amp; Events'!$B$6:$B$17&lt;=$B6)*('Changes &amp; Events'!$B$6:$B$17&lt;&gt;"")*('Changes &amp; Events'!$D$6:$D$17="Health FSA"))&gt;0,1,0))</f>
      </c>
      <c r="BT6" s="6">
        <f>IF($B6="","",IF(SUMPRODUCT(('Changes &amp; Events'!$C$6:$C$17="Deduction start")*('Changes &amp; Events'!$B$6:$B$17&lt;=$B6)*('Changes &amp; Events'!$B$6:$B$17&lt;&gt;"")*('Changes &amp; Events'!$D$6:$D$17="Dependent-care FSA"))&gt;0,1,0))</f>
      </c>
      <c r="BU6" s="24">
        <f>IF($B6="","",IF('Your Pay &amp; Benefits'!$C$13,SUMPRODUCT(($AH6&gt;=INDEX('How This Works &amp; Sources'!$B$29:$J$36,0,IF('Your Pay &amp; Benefits'!$C$12="MFJ",1,IF('Your Pay &amp; Benefits'!$C$12="HoH",7,4))))*INDEX('How This Works &amp; Sources'!$B$29:$J$36,0,IF('Your Pay &amp; Benefits'!$C$12="MFJ",1,IF('Your Pay &amp; Benefits'!$C$12="HoH",7,4))+2)),SUMPRODUCT(($AH6&gt;=INDEX('How This Works &amp; Sources'!$B$19:$J$26,0,IF('Your Pay &amp; Benefits'!$C$12="MFJ",1,IF('Your Pay &amp; Benefits'!$C$12="HoH",7,4))))*INDEX('How This Works &amp; Sources'!$B$19:$J$26,0,IF('Your Pay &amp; Benefits'!$C$12="MFJ",1,IF('Your Pay &amp; Benefits'!$C$12="HoH",7,4))+2))))</f>
      </c>
      <c r="BV6" s="24">
        <f>IF($B6="","",IF($BZ6&lt;&gt;"",$BZ6,IF($CA6&lt;&gt;"",$CA6,IF($CB6&lt;&gt;"",$CB6,IF($CC6&lt;&gt;"",$CC6,0)))))</f>
      </c>
      <c r="BW6" s="7">
        <f>IF($B6="","",IF($AN6="MD",IF(OR($AU6="Married",$AU6="Head of household"),SUMPRODUCT(($AZ6&gt;INDEX('How This Works &amp; Sources'!$B$114:$J$120,0,1))*($AZ6-INDEX('How This Works &amp; Sources'!$B$114:$J$120,0,1))*INDEX('How This Works &amp; Sources'!$B$114:$J$120,0,1+2)),SUMPRODUCT(($AZ6&gt;INDEX('How This Works &amp; Sources'!$B$103:$J$109,0,7))*($AZ6-INDEX('How This Works &amp; Sources'!$B$103:$J$109,0,7))*INDEX('How This Works &amp; Sources'!$B$103:$J$109,0,7+2))),IF($AN6="MO",SUMPRODUCT(($AZ6&gt;INDEX('How This Works &amp; Sources'!$B$125:$J$132,0,1))*($AZ6-INDEX('How This Works &amp; Sources'!$B$125:$J$132,0,1))*INDEX('How This Works &amp; Sources'!$B$125:$J$132,0,1+2)),IF($AN6="MT",IF($AU6="Head of household",SUMPRODUCT(($AZ6&gt;INDEX('How This Works &amp; Sources'!$B$137:$J$139,0,1))*($AZ6-INDEX('How This Works &amp; Sources'!$B$137:$J$139,0,1))*INDEX('How This Works &amp; Sources'!$B$137:$J$139,0,1+2)),IF($AU6="Married",SUMPRODUCT(($AZ6&gt;INDEX('How This Works &amp; Sources'!$B$125:$J$132,0,7))*($AZ6-INDEX('How This Works &amp; Sources'!$B$125:$J$132,0,7))*INDEX('How This Works &amp; Sources'!$B$125:$J$132,0,7+2)),SUMPRODUCT(($AZ6&gt;INDEX('How This Works &amp; Sources'!$B$125:$J$132,0,4))*($AZ6-INDEX('How This Works &amp; Sources'!$B$125:$J$132,0,4))*INDEX('How This Works &amp; Sources'!$B$125:$J$132,0,4+2)))),IF($AN6="ND",IF($AU6="Head of household",SUMPRODUCT(($AZ6&gt;INDEX('How This Works &amp; Sources'!$B$144:$J$150,0,1))*($AZ6-INDEX('How This Works &amp; Sources'!$B$144:$J$150,0,1))*INDEX('How This Works &amp; Sources'!$B$144:$J$150,0,1+2)),IF($AU6="Married",SUMPRODUCT(($AZ6&gt;INDEX('How This Works &amp; Sources'!$B$137:$J$139,0,7))*($AZ6-INDEX('How This Works &amp; Sources'!$B$137:$J$139,0,7))*INDEX('How This Works &amp; Sources'!$B$137:$J$139,0,7+2)),SUMPRODUCT(($AZ6&gt;INDEX('How This Works &amp; Sources'!$B$137:$J$139,0,4))*($AZ6-INDEX('How This Works &amp; Sources'!$B$137:$J$139,0,4))*INDEX('How This Works &amp; Sources'!$B$137:$J$139,0,4+2)))),IF($AN6="NJ",IF('Your Pay &amp; Benefits'!$C$77="B",SUMPRODUCT(($AZ6&gt;INDEX('How This Works &amp; Sources'!$B$155:$J$162,0,4))*($AZ6-INDEX('How This Works &amp; Sources'!$B$155:$J$162,0,4))*INDEX('How This Works &amp; Sources'!$B$155:$J$162,0,4+2)),IF('Your Pay &amp; Benefits'!$C$77="C",SUMPRODUCT(($AZ6&gt;INDEX('How This Works &amp; Sources'!$B$155:$J$162,0,7))*($AZ6-INDEX('How This Works &amp; Sources'!$B$155:$J$162,0,7))*INDEX('How This Works &amp; Sources'!$B$155:$J$162,0,7+2)),IF('Your Pay &amp; Benefits'!$C$77="D",SUMPRODUCT(($AZ6&gt;INDEX('How This Works &amp; Sources'!$B$167:$J$179,0,1))*($AZ6-INDEX('How This Works &amp; Sources'!$B$167:$J$179,0,1))*INDEX('How This Works &amp; Sources'!$B$167:$J$179,0,1+2)),IF('Your Pay &amp; Benefits'!$C$77="E",SUMPRODUCT(($AZ6&gt;INDEX('How This Works &amp; Sources'!$B$167:$J$179,0,4))*($AZ6-INDEX('How This Works &amp; Sources'!$B$167:$J$179,0,4))*INDEX('How This Works &amp; Sources'!$B$167:$J$179,0,4+2)),SUMPRODUCT(($AZ6&gt;INDEX('How This Works &amp; Sources'!$B$155:$J$162,0,1))*($AZ6-INDEX('How This Works &amp; Sources'!$B$155:$J$162,0,1))*INDEX('How This Works &amp; Sources'!$B$155:$J$162,0,1+2)))))),IF($AN6="NY",IF($AU6="Married",IF($AZ6&gt;=2155350,$AZ6*IF($AZ6&gt;25000000,0.117,IF($AZ6&gt;5000000,0.111,0.1045)),SUMPRODUCT(($AZ6&gt;INDEX('How This Works &amp; Sources'!$B$184:$J$198,0,1))*($AZ6-INDEX('How This Works &amp; Sources'!$B$184:$J$198,0,1))*INDEX('How This Works &amp; Sources'!$B$184:$J$198,0,1+2))),IF($AZ6&gt;=1077550,$AZ6*IF($AZ6&gt;25000000,0.117,IF($AZ6&gt;5000000,0.111,0.1045)),SUMPRODUCT(($AZ6&gt;INDEX('How This Works &amp; Sources'!$B$167:$J$179,0,7))*($AZ6-INDEX('How This Works &amp; Sources'!$B$167:$J$179,0,7))*INDEX('How This Works &amp; Sources'!$B$167:$J$179,0,7+2)))),"")))))))</f>
      </c>
      <c r="BX6" s="7">
        <f>IF($B6="","",IF($AN6="AL",IF(OR($AU6="Married",$AU6="Head of household"),SUMPRODUCT(($AZ6&gt;INDEX('How This Works &amp; Sources'!$B$82:$J$86,0,4))*($AZ6-INDEX('How This Works &amp; Sources'!$B$82:$J$86,0,4))*INDEX('How This Works &amp; Sources'!$B$82:$J$86,0,4+2)),SUMPRODUCT(($AZ6&gt;INDEX('How This Works &amp; Sources'!$B$82:$J$86,0,1))*($AZ6-INDEX('How This Works &amp; Sources'!$B$82:$J$86,0,1))*INDEX('How This Works &amp; Sources'!$B$82:$J$86,0,1+2))),IF($AN6="KS",IF($AU6="Married",SUMPRODUCT(($AZ6&gt;INDEX('How This Works &amp; Sources'!$B$103:$J$109,0,4))*($AZ6-INDEX('How This Works &amp; Sources'!$B$103:$J$109,0,4))*INDEX('How This Works &amp; Sources'!$B$103:$J$109,0,4+2)),SUMPRODUCT(($AZ6&gt;INDEX('How This Works &amp; Sources'!$B$103:$J$109,0,1))*($AZ6-INDEX('How This Works &amp; Sources'!$B$103:$J$109,0,1))*INDEX('How This Works &amp; Sources'!$B$103:$J$109,0,1+2))),IF($AN6="MN",IF($AU6="Married",SUMPRODUCT(($AZ6&gt;INDEX('How This Works &amp; Sources'!$B$114:$J$120,0,7))*($AZ6-INDEX('How This Works &amp; Sources'!$B$114:$J$120,0,7))*INDEX('How This Works &amp; Sources'!$B$114:$J$120,0,7+2)),SUMPRODUCT(($AZ6&gt;INDEX('How This Works &amp; Sources'!$B$114:$J$120,0,4))*($AZ6-INDEX('How This Works &amp; Sources'!$B$114:$J$120,0,4))*INDEX('How This Works &amp; Sources'!$B$114:$J$120,0,4+2))),IF($AN6="NE",MAX(IF($AU6="Married",SUMPRODUCT(($AZ6&gt;INDEX('How This Works &amp; Sources'!$B$144:$J$150,0,7))*($AZ6-INDEX('How This Works &amp; Sources'!$B$144:$J$150,0,7))*INDEX('How This Works &amp; Sources'!$B$144:$J$150,0,7+2)),SUMPRODUCT(($AZ6&gt;INDEX('How This Works &amp; Sources'!$B$144:$J$150,0,4))*($AZ6-INDEX('How This Works &amp; Sources'!$B$144:$J$150,0,4))*INDEX('How This Works &amp; Sources'!$B$144:$J$150,0,4+2))),0.015*$AZ6),IF($AN6="OH",IF($B6&gt;=DATE(2026,8,1),SUMPRODUCT(($AZ6&gt;INDEX('How This Works &amp; Sources'!$B$203:$J$206,0,1))*($AZ6-INDEX('How This Works &amp; Sources'!$B$203:$J$206,0,1))*INDEX('How This Works &amp; Sources'!$B$203:$J$206,0,1+2)),SUMPRODUCT(($AZ6&gt;INDEX('How This Works &amp; Sources'!$B$184:$J$198,0,7))*($AZ6-INDEX('How This Works &amp; Sources'!$B$184:$J$198,0,7))*INDEX('How This Works &amp; Sources'!$B$184:$J$198,0,7+2))),IF($AN6="OK",IF($AU6="Married",SUMPRODUCT(($AZ6&gt;INDEX('How This Works &amp; Sources'!$B$203:$J$206,0,7))*($AZ6-INDEX('How This Works &amp; Sources'!$B$203:$J$206,0,7))*INDEX('How This Works &amp; Sources'!$B$203:$J$206,0,7+2)),SUMPRODUCT(($AZ6&gt;INDEX('How This Works &amp; Sources'!$B$203:$J$206,0,4))*($AZ6-INDEX('How This Works &amp; Sources'!$B$203:$J$206,0,4))*INDEX('How This Works &amp; Sources'!$B$203:$J$206,0,4+2))),IF($AN6="RI",SUMPRODUCT(($AZ6&gt;INDEX('How This Works &amp; Sources'!$B$211:$J$214,0,7))*($AZ6-INDEX('How This Works &amp; Sources'!$B$211:$J$214,0,7))*INDEX('How This Works &amp; Sources'!$B$211:$J$214,0,7+2)),IF($AN6="VT",IF($AU6="Married",SUMPRODUCT(($AZ6&gt;INDEX('How This Works &amp; Sources'!$B$228:$J$232,0,1))*($AZ6-INDEX('How This Works &amp; Sources'!$B$228:$J$232,0,1))*INDEX('How This Works &amp; Sources'!$B$228:$J$232,0,1+2)),SUMPRODUCT(($AZ6&gt;INDEX('How This Works &amp; Sources'!$B$219:$J$223,0,7))*($AZ6-INDEX('How This Works &amp; Sources'!$B$219:$J$223,0,7))*INDEX('How This Works &amp; Sources'!$B$219:$J$223,0,7+2))),IF($AN6="WV",IF($AU6="Married",SUMPRODUCT(($AZ6&gt;INDEX('How This Works &amp; Sources'!$B$237:$J$241,0,7))*($AZ6-INDEX('How This Works &amp; Sources'!$B$237:$J$241,0,7))*INDEX('How This Works &amp; Sources'!$B$237:$J$241,0,7+2)),SUMPRODUCT(($AZ6&gt;INDEX('How This Works &amp; Sources'!$B$228:$J$232,0,7))*($AZ6-INDEX('How This Works &amp; Sources'!$B$228:$J$232,0,7))*INDEX('How This Works &amp; Sources'!$B$228:$J$232,0,7+2))),""))))))))))</f>
      </c>
      <c r="BY6" s="7">
        <f>IF($B6="","",IF($AN6="AR",SUMPRODUCT(($AZ6&gt;INDEX('How This Works &amp; Sources'!$B$82:$J$86,0,7))*($AZ6-INDEX('How This Works &amp; Sources'!$B$82:$J$86,0,7))*INDEX('How This Works &amp; Sources'!$B$82:$J$86,0,7+2)),IF($AN6="DE",SUMPRODUCT(($AZ6&gt;INDEX('How This Works &amp; Sources'!$B$91:$J$98,0,1))*($AZ6-INDEX('How This Works &amp; Sources'!$B$91:$J$98,0,1))*INDEX('How This Works &amp; Sources'!$B$91:$J$98,0,1+2)),IF($AN6="HI",IF($AU6="Married",SUMPRODUCT(($AZ6&gt;INDEX('How This Works &amp; Sources'!$B$91:$J$98,0,7))*($AZ6-INDEX('How This Works &amp; Sources'!$B$91:$J$98,0,7))*INDEX('How This Works &amp; Sources'!$B$91:$J$98,0,7+2)),SUMPRODUCT(($AZ6&gt;INDEX('How This Works &amp; Sources'!$B$91:$J$98,0,4))*($AZ6-INDEX('How This Works &amp; Sources'!$B$91:$J$98,0,4))*INDEX('How This Works &amp; Sources'!$B$91:$J$98,0,4+2))),IF($AN6="SC",SUMPRODUCT(($AZ6&gt;INDEX('How This Works &amp; Sources'!$B$219:$J$223,0,1))*($AZ6-INDEX('How This Works &amp; Sources'!$B$219:$J$223,0,1))*INDEX('How This Works &amp; Sources'!$B$219:$J$223,0,1+2)),IF($AN6="VA",SUMPRODUCT(($AZ6&gt;INDEX('How This Works &amp; Sources'!$B$219:$J$223,0,4))*($AZ6-INDEX('How This Works &amp; Sources'!$B$219:$J$223,0,4))*INDEX('How This Works &amp; Sources'!$B$219:$J$223,0,4+2)),IF($AN6="WI",SUMPRODUCT(($AZ6&gt;INDEX('How This Works &amp; Sources'!$B$228:$J$232,0,4))*($AZ6-INDEX('How This Works &amp; Sources'!$B$228:$J$232,0,4))*INDEX('How This Works &amp; Sources'!$B$228:$J$232,0,4+2)),"")))))))</f>
      </c>
      <c r="BZ6" s="24">
        <f>IF($B6="","",IF($AN6="NJ",IF('Your Pay &amp; Benefits'!$C$77="B",SUMPRODUCT(($AZ6&gt;=INDEX('How This Works &amp; Sources'!$B$155:$J$162,0,4))*INDEX('How This Works &amp; Sources'!$B$155:$J$162,0,4+2)),IF('Your Pay &amp; Benefits'!$C$77="C",SUMPRODUCT(($AZ6&gt;=INDEX('How This Works &amp; Sources'!$B$155:$J$162,0,7))*INDEX('How This Works &amp; Sources'!$B$155:$J$162,0,7+2)),IF('Your Pay &amp; Benefits'!$C$77="D",SUMPRODUCT(($AZ6&gt;=INDEX('How This Works &amp; Sources'!$B$167:$J$179,0,1))*INDEX('How This Works &amp; Sources'!$B$167:$J$179,0,1+2)),IF('Your Pay &amp; Benefits'!$C$77="E",SUMPRODUCT(($AZ6&gt;=INDEX('How This Works &amp; Sources'!$B$167:$J$179,0,4))*INDEX('How This Works &amp; Sources'!$B$167:$J$179,0,4+2)),SUMPRODUCT(($AZ6&gt;=INDEX('How This Works &amp; Sources'!$B$155:$J$162,0,1))*INDEX('How This Works &amp; Sources'!$B$155:$J$162,0,1+2)))))),IF($AN6="OR",IF(OR($AU6="Married",AND($AU6="Single",$AS6&gt;=3)),SUMPRODUCT((MAX(0,$AY6-MIN(($P6-'How This Works &amp; Sources'!$C$10*$D6)*'Your Pay &amp; Benefits'!$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Sources'!$B$211:$J$214,0,4))*INDEX('How This Works &amp; Sources'!$B$211:$J$214,0,4+2)),SUMPRODUCT((MAX(0,$AY6-MIN(($P6-'How This Works &amp; Sources'!$C$10*$D6)*'Your Pay &amp; Benefits'!$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Sources'!$B$211:$J$214,0,1))*INDEX('How This Works &amp; Sources'!$B$211:$J$214,0,1+2)))*IF(($P6-'How This Works &amp; Sources'!$C$10*$D6)*'Your Pay &amp; Benefits'!$C$8&gt;=IF(OR($AU6="Married",AND($AU6="Single",$AS6&gt;=3)),IF($AY6&lt;250000,8750,IF($AY6&lt;260000,7000,IF($AY6&lt;270000,5250,IF($AY6&lt;280000,3500,IF($AY6&lt;290000,1750,0))))),IF($AY6&lt;125000,8750,IF($AY6&lt;130000,7000,IF($AY6&lt;135000,5250,IF($AY6&lt;140000,3500,IF($AY6&lt;145000,1750,0)))))),1,1-IF('Your Pay &amp; Benefits'!$C$13,SUMPRODUCT(($AH6&gt;=INDEX('How This Works &amp; Sources'!$B$29:$J$36,0,IF('Your Pay &amp; Benefits'!$C$12="MFJ",1,IF('Your Pay &amp; Benefits'!$C$12="HoH",7,4))))*INDEX('How This Works &amp; Sources'!$B$29:$J$36,0,IF('Your Pay &amp; Benefits'!$C$12="MFJ",1,IF('Your Pay &amp; Benefits'!$C$12="HoH",7,4))+2)),SUMPRODUCT(($AH6&gt;=INDEX('How This Works &amp; Sources'!$B$19:$J$26,0,IF('Your Pay &amp; Benefits'!$C$12="MFJ",1,IF('Your Pay &amp; Benefits'!$C$12="HoH",7,4))))*INDEX('How This Works &amp; Sources'!$B$19:$J$26,0,IF('Your Pay &amp; Benefits'!$C$12="MFJ",1,IF('Your Pay &amp; Benefits'!$C$12="HoH",7,4))+2)))),IF($AN6="MI",IF($AY6&gt;5900*$AS6,0.0425,0),""))))</f>
      </c>
      <c r="CA6" s="24">
        <f>IF($B6="","",IF($AN6="AL",IF(OR($AU6="Married",$AU6="Head of household"),SUMPRODUCT(($AZ6&gt;=INDEX('How This Works &amp; Sources'!$B$82:$J$86,0,4))*INDEX('How This Works &amp; Sources'!$B$82:$J$86,0,4+2)),SUMPRODUCT(($AZ6&gt;=INDEX('How This Works &amp; Sources'!$B$82:$J$86,0,1))*INDEX('How This Works &amp; Sources'!$B$82:$J$86,0,1+2)))*(1-IF('Your Pay &amp; Benefits'!$C$13,SUMPRODUCT(($AH6&gt;=INDEX('How This Works &amp; Sources'!$B$29:$J$36,0,IF('Your Pay &amp; Benefits'!$C$12="MFJ",1,IF('Your Pay &amp; Benefits'!$C$12="HoH",7,4))))*INDEX('How This Works &amp; Sources'!$B$29:$J$36,0,IF('Your Pay &amp; Benefits'!$C$12="MFJ",1,IF('Your Pay &amp; Benefits'!$C$12="HoH",7,4))+2)),SUMPRODUCT(($AH6&gt;=INDEX('How This Works &amp; Sources'!$B$19:$J$26,0,IF('Your Pay &amp; Benefits'!$C$12="MFJ",1,IF('Your Pay &amp; Benefits'!$C$12="HoH",7,4))))*INDEX('How This Works &amp; Sources'!$B$19:$J$26,0,IF('Your Pay &amp; Benefits'!$C$12="MFJ",1,IF('Your Pay &amp; Benefits'!$C$12="HoH",7,4))+2)))),IF($AN6="KS",IF($AU6="Married",SUMPRODUCT(($AZ6&gt;=INDEX('How This Works &amp; Sources'!$B$103:$J$109,0,4))*INDEX('How This Works &amp; Sources'!$B$103:$J$109,0,4+2)),SUMPRODUCT(($AZ6&gt;=INDEX('How This Works &amp; Sources'!$B$103:$J$109,0,1))*INDEX('How This Works &amp; Sources'!$B$103:$J$109,0,1+2))),IF($AN6="MD",IF(OR($AU6="Married",$AU6="Head of household"),SUMPRODUCT(($AZ6&gt;=INDEX('How This Works &amp; Sources'!$B$114:$J$120,0,1))*INDEX('How This Works &amp; Sources'!$B$114:$J$120,0,1+2)),SUMPRODUCT(($AZ6&gt;=INDEX('How This Works &amp; Sources'!$B$103:$J$109,0,7))*INDEX('How This Works &amp; Sources'!$B$103:$J$109,0,7+2)))+'Your Pay &amp; Benefits'!$C$74,IF($AN6="MT",IF($AU6="Head of household",SUMPRODUCT(($AZ6&gt;=INDEX('How This Works &amp; Sources'!$B$137:$J$139,0,1))*INDEX('How This Works &amp; Sources'!$B$137:$J$139,0,1+2)),IF($AU6="Married",SUMPRODUCT(($AZ6&gt;=INDEX('How This Works &amp; Sources'!$B$125:$J$132,0,7))*INDEX('How This Works &amp; Sources'!$B$125:$J$132,0,7+2)),SUMPRODUCT(($AZ6&gt;=INDEX('How This Works &amp; Sources'!$B$125:$J$132,0,4))*INDEX('How This Works &amp; Sources'!$B$125:$J$132,0,4+2)))),IF($AN6="ND",IF($AU6="Head of household",SUMPRODUCT(($AZ6&gt;=INDEX('How This Works &amp; Sources'!$B$144:$J$150,0,1))*INDEX('How This Works &amp; Sources'!$B$144:$J$150,0,1+2)),IF($AU6="Married",SUMPRODUCT(($AZ6&gt;=INDEX('How This Works &amp; Sources'!$B$137:$J$139,0,7))*INDEX('How This Works &amp; Sources'!$B$137:$J$139,0,7+2)),SUMPRODUCT(($AZ6&gt;=INDEX('How This Works &amp; Sources'!$B$137:$J$139,0,4))*INDEX('How This Works &amp; Sources'!$B$137:$J$139,0,4+2)))),IF($AN6="NY",IF($AU6="Married",IF($AZ6&gt;=2155350,IF($AZ6&gt;25000000,0.117,IF($AZ6&gt;5000000,0.111,0.1045)),SUMPRODUCT(($AZ6&gt;=INDEX('How This Works &amp; Sources'!$B$184:$J$198,0,1))*INDEX('How This Works &amp; Sources'!$B$184:$J$198,0,1+2))),IF($AZ6&gt;=1077550,IF($AZ6&gt;25000000,0.117,IF($AZ6&gt;5000000,0.111,0.1045)),SUMPRODUCT(($AZ6&gt;=INDEX('How This Works &amp; Sources'!$B$167:$J$179,0,7))*INDEX('How This Works &amp; Sources'!$B$167:$J$179,0,7+2)))),"")))))))</f>
      </c>
      <c r="CB6" s="24">
        <f>IF($B6="","",IF($AN6="CA",SUMPRODUCT(($AJ6&gt;=INDEX('How This Works &amp; Sources'!$B$39:$J$48,0,IF($AU6="Married",4,IF($AU6="Head of household",7,1))))*INDEX('How This Works &amp; Sources'!$B$39:$J$48,0,IF($AU6="Married",4,IF($AU6="Head of household",7,1))+2)),IF($AN6="HI",IF($AU6="Married",SUMPRODUCT(($AZ6&gt;=INDEX('How This Works &amp; Sources'!$B$91:$J$98,0,7))*INDEX('How This Works &amp; Sources'!$B$91:$J$98,0,7+2)),SUMPRODUCT(($AZ6&gt;=INDEX('How This Works &amp; Sources'!$B$91:$J$98,0,4))*INDEX('How This Works &amp; Sources'!$B$91:$J$98,0,4+2))),IF($AN6="MN",IF($AU6="Married",SUMPRODUCT(($AZ6&gt;=INDEX('How This Works &amp; Sources'!$B$114:$J$120,0,7))*INDEX('How This Works &amp; Sources'!$B$114:$J$120,0,7+2)),SUMPRODUCT(($AZ6&gt;=INDEX('How This Works &amp; Sources'!$B$114:$J$120,0,4))*INDEX('How This Works &amp; Sources'!$B$114:$J$120,0,4+2))),IF($AN6="MO",SUMPRODUCT(($AZ6&gt;=INDEX('How This Works &amp; Sources'!$B$125:$J$132,0,1))*INDEX('How This Works &amp; Sources'!$B$125:$J$132,0,1+2)),IF($AN6="NE",MAX(IF($AU6="Married",SUMPRODUCT(($AZ6&gt;=INDEX('How This Works &amp; Sources'!$B$144:$J$150,0,7))*INDEX('How This Works &amp; Sources'!$B$144:$J$150,0,7+2)),SUMPRODUCT(($AZ6&gt;=INDEX('How This Works &amp; Sources'!$B$144:$J$150,0,4))*INDEX('How This Works &amp; Sources'!$B$144:$J$150,0,4+2))),0.015),IF($AN6="OH",IF($B6&gt;=DATE(2026,8,1),SUMPRODUCT(($AZ6&gt;=INDEX('How This Works &amp; Sources'!$B$203:$J$206,0,1))*INDEX('How This Works &amp; Sources'!$B$203:$J$206,0,1+2)),SUMPRODUCT(($AZ6&gt;=INDEX('How This Works &amp; Sources'!$B$184:$J$198,0,7))*INDEX('How This Works &amp; Sources'!$B$184:$J$198,0,7+2))),IF($AN6="OK",IF($AU6="Married",SUMPRODUCT(($AZ6&gt;=INDEX('How This Works &amp; Sources'!$B$203:$J$206,0,7))*INDEX('How This Works &amp; Sources'!$B$203:$J$206,0,7+2)),SUMPRODUCT(($AZ6&gt;=INDEX('How This Works &amp; Sources'!$B$203:$J$206,0,4))*INDEX('How This Works &amp; Sources'!$B$203:$J$206,0,4+2))),IF($AN6="RI",SUMPRODUCT(($AZ6&gt;=INDEX('How This Works &amp; Sources'!$B$211:$J$214,0,7))*INDEX('How This Works &amp; Sources'!$B$211:$J$214,0,7+2)),IF($AN6="SC",SUMPRODUCT(($AZ6&gt;=INDEX('How This Works &amp; Sources'!$B$219:$J$223,0,1))*INDEX('How This Works &amp; Sources'!$B$219:$J$223,0,1+2)),IF($AN6="VT",IF($AU6="Married",SUMPRODUCT(($AZ6&gt;=INDEX('How This Works &amp; Sources'!$B$228:$J$232,0,1))*INDEX('How This Works &amp; Sources'!$B$228:$J$232,0,1+2)),SUMPRODUCT(($AZ6&gt;=INDEX('How This Works &amp; Sources'!$B$219:$J$223,0,7))*INDEX('How This Works &amp; Sources'!$B$219:$J$223,0,7+2))),IF($AN6="WV",IF($AU6="Married",SUMPRODUCT(($AZ6&gt;=INDEX('How This Works &amp; Sources'!$B$237:$J$241,0,7))*INDEX('How This Works &amp; Sources'!$B$237:$J$241,0,7+2)),SUMPRODUCT(($AZ6&gt;=INDEX('How This Works &amp; Sources'!$B$228:$J$232,0,7))*INDEX('How This Works &amp; Sources'!$B$228:$J$232,0,7+2))),IF($AN6="IN",(0.0295+'Your Pay &amp; Benefits'!$C$76),"")))))))))))))</f>
      </c>
      <c r="CC6" s="24">
        <f>IF($B6="","",IF($AN6="AR",SUMPRODUCT(($AZ6&gt;=INDEX('How This Works &amp; Sources'!$B$82:$J$86,0,7))*INDEX('How This Works &amp; Sources'!$B$82:$J$86,0,7+2)),IF($AN6="DE",SUMPRODUCT(($AZ6&gt;=INDEX('How This Works &amp; Sources'!$B$91:$J$98,0,1))*INDEX('How This Works &amp; Sources'!$B$91:$J$98,0,1+2)),IF($AN6="VA",SUMPRODUCT(($AZ6&gt;=INDEX('How This Works &amp; Sources'!$B$219:$J$223,0,4))*INDEX('How This Works &amp; Sources'!$B$219:$J$223,0,4+2)),IF($AN6="WI",SUMPRODUCT(($AZ6&gt;=INDEX('How This Works &amp; Sources'!$B$228:$J$232,0,4))*INDEX('How This Works &amp; Sources'!$B$228:$J$232,0,4+2)),IF($AN6="AZ",'Your Pay &amp; Benefits'!$C$82,IF($AN6="CO",IF($AY6&gt;IF($AU6="Married",10000,5000),0.044,0),IF($AN6="IA",IF($AY6&gt;IF($AU6="Head of household",19500,IF($AU6="Married",26000,13000)),0.038,0),IF($AN6="ID",IF($AY6&gt;IF($AU6="Married",32000,16094),0.053,0),IF($AN6="IL",IF($AY6&gt;(2925*$AS6+1000*$AT6),0.0495,0),IF($AN6="KY",IF($AI6&gt;3360,0.035,0),IF($AN6="LA",0.0309,IF($AN6="MA",IF(MAX(0,$AY6-MIN((0+$Q6+$R6+$S6),2000)-IF($AS6=0,0,IF($AS6=1,4400,1000*$AS6+3400)))&gt;=1107750,0.09,0.05),IF($AN6="MS",IF($AI6-IF($AU6="Head of household",3400,IF($AU6="Married",4600,2300))-'Your Pay &amp; Benefits'!$C$85&gt;10000,0.04,0),IF($AN6="PA",0.0307,"")))))))))))))))</f>
      </c>
      <c r="CD6" s="21">
        <f>IF(YEAR(IF('Your Pay &amp; Benefits'!$C$7="Weekly",'Your Pay &amp; Benefits'!$C$9+7*((0+1)-1),IF('Your Pay &amp; Benefits'!$C$7="Biweekly",'Your Pay &amp; Benefits'!$C$9+14*((0+1)-1),IF('Your Pay &amp; Benefits'!$C$7="Semimonthly",DATE(YEAR('Your Pay &amp; Benefits'!$C$9),MONTH('Your Pay &amp; Benefits'!$C$9)+INT(((0+1)-1)/2),MIN(DAY('Your Pay &amp; Benefits'!$C$9),DAY(EOMONTH(DATE(YEAR('Your Pay &amp; Benefits'!$C$9),MONTH('Your Pay &amp; Benefits'!$C$9)+INT(((0+1)-1)/2),1),0))))+IF(MOD((0+1)-1,2)=1,15,0),EDATE('Your Pay &amp; Benefits'!$C$9,(0+1)-1)))))&lt;&gt;'Your Pay &amp; Benefits'!$C$10,"",IF('Your Pay &amp; Benefits'!$C$7="Weekly",'Your Pay &amp; Benefits'!$C$9+7*((0+1)-1),IF('Your Pay &amp; Benefits'!$C$7="Biweekly",'Your Pay &amp; Benefits'!$C$9+14*((0+1)-1),IF('Your Pay &amp; Benefits'!$C$7="Semimonthly",DATE(YEAR('Your Pay &amp; Benefits'!$C$9),MONTH('Your Pay &amp; Benefits'!$C$9)+INT(((0+1)-1)/2),MIN(DAY('Your Pay &amp; Benefits'!$C$9),DAY(EOMONTH(DATE(YEAR('Your Pay &amp; Benefits'!$C$9),MONTH('Your Pay &amp; Benefits'!$C$9)+INT(((0+1)-1)/2),1),0))))+IF(MOD((0+1)-1,2)=1,15,0),EDATE('Your Pay &amp; Benefits'!$C$9,(0+1)-1)))))</f>
      </c>
      <c r="CE6" s="21">
        <f>IF(MIN(IF(AND('Your Pay &amp; Benefits'!$C$58&gt;0,'Your Pay &amp; Benefits'!$C$58&gt;=DATE('Your Pay &amp; Benefits'!$C$10,1,1),'Your Pay &amp; Benefits'!$C$58&lt;=DATE('Your Pay &amp; Benefits'!$C$10,12,31)),'Your Pay &amp; Benefits'!$C$58,999999),IF(AND('Your Pay &amp; Benefits'!$C$59&gt;0,'Your Pay &amp; Benefits'!$C$59&gt;=DATE('Your Pay &amp; Benefits'!$C$10,1,1),'Your Pay &amp; Benefits'!$C$59&lt;=DATE('Your Pay &amp; Benefits'!$C$10,12,31)),'Your Pay &amp; Benefits'!$C$59,999999),IF(AND('Your Pay &amp; Benefits'!$C$60&gt;0,'Your Pay &amp; Benefits'!$C$60&gt;=DATE('Your Pay &amp; Benefits'!$C$10,1,1),'Your Pay &amp; Benefits'!$C$60&lt;=DATE('Your Pay &amp; Benefits'!$C$10,12,31)),'Your Pay &amp; Benefits'!$C$60,999999),IF(AND('Your Pay &amp; Benefits'!$C$61&gt;0,'Your Pay &amp; Benefits'!$C$61&gt;=DATE('Your Pay &amp; Benefits'!$C$10,1,1),'Your Pay &amp; Benefits'!$C$61&lt;=DATE('Your Pay &amp; Benefits'!$C$10,12,31)),'Your Pay &amp; Benefits'!$C$61,999999),IF(AND('Your Pay &amp; Benefits'!$C$62&gt;0,'Your Pay &amp; Benefits'!$C$62&gt;=DATE('Your Pay &amp; Benefits'!$C$10,1,1),'Your Pay &amp; Benefits'!$C$62&lt;=DATE('Your Pay &amp; Benefits'!$C$10,12,31)),'Your Pay &amp; Benefits'!$C$62,999999),IF(AND('Your Pay &amp; Benefits'!$C$63&gt;0,'Your Pay &amp; Benefits'!$C$63&gt;=DATE('Your Pay &amp; Benefits'!$C$10,1,1),'Your Pay &amp; Benefits'!$C$63&lt;=DATE('Your Pay &amp; Benefits'!$C$10,12,31)),'Your Pay &amp; Benefits'!$C$63,999999),IF(AND('Your Pay &amp; Benefits'!$C$64&gt;0,'Your Pay &amp; Benefits'!$C$64&gt;=DATE('Your Pay &amp; Benefits'!$C$10,1,1),'Your Pay &amp; Benefits'!$C$64&lt;=DATE('Your Pay &amp; Benefits'!$C$10,12,31)),'Your Pay &amp; Benefits'!$C$64,999999),IF(AND('Your Pay &amp; Benefits'!$C$65&gt;0,'Your Pay &amp; Benefits'!$C$65&gt;=DATE('Your Pay &amp; Benefits'!$C$10,1,1),'Your Pay &amp; Benefits'!$C$65&lt;=DATE('Your Pay &amp; Benefits'!$C$10,12,31)),'Your Pay &amp; Benefits'!$C$65,999999),IF(AND('Your Pay &amp; Benefits'!$C$66&gt;0,'Your Pay &amp; Benefits'!$C$66&gt;=DATE('Your Pay &amp; Benefits'!$C$10,1,1),'Your Pay &amp; Benefits'!$C$66&lt;=DATE('Your Pay &amp; Benefits'!$C$10,12,31)),'Your Pay &amp; Benefits'!$C$66,999999),IF(AND('Your Pay &amp; Benefits'!$C$67&gt;0,'Your Pay &amp; Benefits'!$C$67&gt;=DATE('Your Pay &amp; Benefits'!$C$10,1,1),'Your Pay &amp; Benefits'!$C$67&lt;=DATE('Your Pay &amp; Benefits'!$C$10,12,31)),'Your Pay &amp; Benefits'!$C$67,999999))=999999,"",MIN(IF(AND('Your Pay &amp; Benefits'!$C$58&gt;0,'Your Pay &amp; Benefits'!$C$58&gt;=DATE('Your Pay &amp; Benefits'!$C$10,1,1),'Your Pay &amp; Benefits'!$C$58&lt;=DATE('Your Pay &amp; Benefits'!$C$10,12,31)),'Your Pay &amp; Benefits'!$C$58,999999),IF(AND('Your Pay &amp; Benefits'!$C$59&gt;0,'Your Pay &amp; Benefits'!$C$59&gt;=DATE('Your Pay &amp; Benefits'!$C$10,1,1),'Your Pay &amp; Benefits'!$C$59&lt;=DATE('Your Pay &amp; Benefits'!$C$10,12,31)),'Your Pay &amp; Benefits'!$C$59,999999),IF(AND('Your Pay &amp; Benefits'!$C$60&gt;0,'Your Pay &amp; Benefits'!$C$60&gt;=DATE('Your Pay &amp; Benefits'!$C$10,1,1),'Your Pay &amp; Benefits'!$C$60&lt;=DATE('Your Pay &amp; Benefits'!$C$10,12,31)),'Your Pay &amp; Benefits'!$C$60,999999),IF(AND('Your Pay &amp; Benefits'!$C$61&gt;0,'Your Pay &amp; Benefits'!$C$61&gt;=DATE('Your Pay &amp; Benefits'!$C$10,1,1),'Your Pay &amp; Benefits'!$C$61&lt;=DATE('Your Pay &amp; Benefits'!$C$10,12,31)),'Your Pay &amp; Benefits'!$C$61,999999),IF(AND('Your Pay &amp; Benefits'!$C$62&gt;0,'Your Pay &amp; Benefits'!$C$62&gt;=DATE('Your Pay &amp; Benefits'!$C$10,1,1),'Your Pay &amp; Benefits'!$C$62&lt;=DATE('Your Pay &amp; Benefits'!$C$10,12,31)),'Your Pay &amp; Benefits'!$C$62,999999),IF(AND('Your Pay &amp; Benefits'!$C$63&gt;0,'Your Pay &amp; Benefits'!$C$63&gt;=DATE('Your Pay &amp; Benefits'!$C$10,1,1),'Your Pay &amp; Benefits'!$C$63&lt;=DATE('Your Pay &amp; Benefits'!$C$10,12,31)),'Your Pay &amp; Benefits'!$C$63,999999),IF(AND('Your Pay &amp; Benefits'!$C$64&gt;0,'Your Pay &amp; Benefits'!$C$64&gt;=DATE('Your Pay &amp; Benefits'!$C$10,1,1),'Your Pay &amp; Benefits'!$C$64&lt;=DATE('Your Pay &amp; Benefits'!$C$10,12,31)),'Your Pay &amp; Benefits'!$C$64,999999),IF(AND('Your Pay &amp; Benefits'!$C$65&gt;0,'Your Pay &amp; Benefits'!$C$65&gt;=DATE('Your Pay &amp; Benefits'!$C$10,1,1),'Your Pay &amp; Benefits'!$C$65&lt;=DATE('Your Pay &amp; Benefits'!$C$10,12,31)),'Your Pay &amp; Benefits'!$C$65,999999),IF(AND('Your Pay &amp; Benefits'!$C$66&gt;0,'Your Pay &amp; Benefits'!$C$66&gt;=DATE('Your Pay &amp; Benefits'!$C$10,1,1),'Your Pay &amp; Benefits'!$C$66&lt;=DATE('Your Pay &amp; Benefits'!$C$10,12,31)),'Your Pay &amp; Benefits'!$C$66,999999),IF(AND('Your Pay &amp; Benefits'!$C$67&gt;0,'Your Pay &amp; Benefits'!$C$67&gt;=DATE('Your Pay &amp; Benefits'!$C$10,1,1),'Your Pay &amp; Benefits'!$C$67&lt;=DATE('Your Pay &amp; Benefits'!$C$10,12,31)),'Your Pay &amp; Benefits'!$C$67,999999)))</f>
      </c>
      <c r="CF6">
        <f>IF($B6="","",IF($D6=0,$Y6,""))</f>
      </c>
    </row>
    <row r="7">
      <c r="A7" t="n">
        <v>2</v>
      </c>
      <c r="B7" s="21">
        <f>IF(AND($CD7="",$CE7=""),"",IF($CE7="",$CD7,IF($CD7="",$CE7,MIN($CD7,$CE7))))</f>
      </c>
      <c r="C7" s="7">
        <f>IF($B7="","",IF($BF7=0,0,IF('Your Pay &amp; Benefits'!$C$4="Annual salary",ROUND($AK7/IF(AND('Your Pay &amp; Benefits'!$C$88="Actual paydays",MONTH('Your Pay &amp; Benefits'!$C$9)=1),MAX(1,MAX($BE$6:$BE$68)),'Your Pay &amp; Benefits'!$C$8),2),$AK7)))</f>
      </c>
      <c r="D7" s="7">
        <f>IF($B7="","",SUMIF('Your Pay &amp; Benefits'!$C$58:$C$67,$B7,'Your Pay &amp; Benefits'!$D$58:$D$67))</f>
      </c>
      <c r="E7" s="7">
        <f>IF($B7="","",ROUND(MAX(0,MIN(IF($AL7="Percent",$AM7*($C7+$D7),$AM7),MAX(0,'Your Pay &amp; Benefits'!$C$34-$AC6))),2))</f>
      </c>
      <c r="F7" s="7">
        <f>IF($B7="","",ROUND(MAX(0,MIN(IF('Your Pay &amp; Benefits'!$C$32="Percent",'Your Pay &amp; Benefits'!$D$32*($C7+$D7),'Your Pay &amp; Benefits'!$D$32),MAX(0,'Your Pay &amp; Benefits'!$C$34-$AC6-$E7))),2))</f>
      </c>
      <c r="G7" s="7">
        <f>IF($B7="","",IF($BF7=0,0,ROUND(MAX(0,MIN($BL7,'Your Pay &amp; Benefits'!$C$37-'Your Pay &amp; Benefits'!$C$54-$BI6)),2)))</f>
      </c>
      <c r="H7" s="7">
        <f>IF($B7="","",IF(OR($BF7=0,$BQ7=1),0,ROUND(MAX(0,MIN(IF($BS7=1,ROUND(MAX(0,MIN($BJ7,'How This Works &amp; Sources'!$C$13)-$BG6)/MAX(1,MAX($BE$6:$BE$68)-($BE6)),2),ROUND(MIN($BJ7,'How This Works &amp; Sources'!$C$13)/'Your Pay &amp; Benefits'!$C$8,2)),MIN($BJ7,'How This Works &amp; Sources'!$C$13)-$BG6)),2)))</f>
      </c>
      <c r="I7" s="7">
        <f>IF($B7="","",IF(OR($BF7=0,$BR7=1),0,ROUND(MAX(0,MIN(IF($BT7=1,ROUND(MAX(0,MIN($BK7,IF('Your Pay &amp; Benefits'!$C$12="MFJ",'How This Works &amp; Sources'!$C$14,'How This Works &amp; Sources'!$C$15))-$BH6)/MAX(1,MAX($BE$6:$BE$68)-($BE6)),2),ROUND(MIN($BK7,IF('Your Pay &amp; Benefits'!$C$12="MFJ",'How This Works &amp; Sources'!$C$14,'How This Works &amp; Sources'!$C$15))/'Your Pay &amp; Benefits'!$C$8,2)),MIN($BK7,IF('Your Pay &amp; Benefits'!$C$12="MFJ",'How This Works &amp; Sources'!$C$14,'How This Works &amp; Sources'!$C$15))-$BH6)),2)))</f>
      </c>
      <c r="J7" s="7">
        <f>IF($B7="","",IF($BF7=0,0,$BM7))</f>
      </c>
      <c r="K7" s="7">
        <f>IF($B7="","",IF($BF7=0,0,$BN7+$BO7))</f>
      </c>
      <c r="L7" s="7">
        <f>IF($B7="","",IF($BF7=0,0,'Your Pay &amp; Benefits'!$D$46))</f>
      </c>
      <c r="M7" s="7">
        <f>IF($B7="","",$C7+$D7+$L7-$E7-$G7-$H7-$I7-$J7-$K7)</f>
      </c>
      <c r="N7" s="7">
        <f>IF($B7="","",$C7+$D7+$L7-$G7-$H7-$I7-$J7-$K7)</f>
      </c>
      <c r="O7" s="7">
        <f>IF($B7="","",$C7+$D7+$L7-$E7-$H7-$I7-$J7-$K7-IF(OR($AN7="CA",$AN7="NJ"),0,$G7))</f>
      </c>
      <c r="P7" s="7">
        <f>IF($B7="","",IF('Your Pay &amp; Benefits'!$C$18,0,ROUND(MAX(0,IF('Your Pay &amp; Benefits'!$C$13,SUMPRODUCT(($AH7&gt;INDEX('How This Works &amp; Sources'!$B$29:$J$36,0,IF('Your Pay &amp; Benefits'!$C$12="MFJ",1,IF('Your Pay &amp; Benefits'!$C$12="HoH",7,4))))*($AH7-INDEX('How This Works &amp; Sources'!$B$29:$J$36,0,IF('Your Pay &amp; Benefits'!$C$12="MFJ",1,IF('Your Pay &amp; Benefits'!$C$12="HoH",7,4))))*INDEX('How This Works &amp; Sources'!$B$29:$J$36,0,IF('Your Pay &amp; Benefits'!$C$12="MFJ",1,IF('Your Pay &amp; Benefits'!$C$12="HoH",7,4))+2)),SUMPRODUCT(($AH7&gt;INDEX('How This Works &amp; Sources'!$B$19:$J$26,0,IF('Your Pay &amp; Benefits'!$C$12="MFJ",1,IF('Your Pay &amp; Benefits'!$C$12="HoH",7,4))))*($AH7-INDEX('How This Works &amp; Sources'!$B$19:$J$26,0,IF('Your Pay &amp; Benefits'!$C$12="MFJ",1,IF('Your Pay &amp; Benefits'!$C$12="HoH",7,4))))*INDEX('How This Works &amp; Sources'!$B$19:$J$26,0,IF('Your Pay &amp; Benefits'!$C$12="MFJ",1,IF('Your Pay &amp; Benefits'!$C$12="HoH",7,4))+2)))/'Your Pay &amp; Benefits'!$C$8-$AO7/'Your Pay &amp; Benefits'!$C$8)+$AR7+IF('Your Pay &amp; Benefits'!$C$89="Aggregate",MAX(0,IF('Your Pay &amp; Benefits'!$C$13,SUMPRODUCT((($AH7+$D7)&gt;INDEX('How This Works &amp; Sources'!$B$29:$J$36,0,IF('Your Pay &amp; Benefits'!$C$12="MFJ",1,IF('Your Pay &amp; Benefits'!$C$12="HoH",7,4))))*(($AH7+$D7)-INDEX('How This Works &amp; Sources'!$B$29:$J$36,0,IF('Your Pay &amp; Benefits'!$C$12="MFJ",1,IF('Your Pay &amp; Benefits'!$C$12="HoH",7,4))))*INDEX('How This Works &amp; Sources'!$B$29:$J$36,0,IF('Your Pay &amp; Benefits'!$C$12="MFJ",1,IF('Your Pay &amp; Benefits'!$C$12="HoH",7,4))+2)),SUMPRODUCT((($AH7+$D7)&gt;INDEX('How This Works &amp; Sources'!$B$19:$J$26,0,IF('Your Pay &amp; Benefits'!$C$12="MFJ",1,IF('Your Pay &amp; Benefits'!$C$12="HoH",7,4))))*(($AH7+$D7)-INDEX('How This Works &amp; Sources'!$B$19:$J$26,0,IF('Your Pay &amp; Benefits'!$C$12="MFJ",1,IF('Your Pay &amp; Benefits'!$C$12="HoH",7,4))))*INDEX('How This Works &amp; Sources'!$B$19:$J$26,0,IF('Your Pay &amp; Benefits'!$C$12="MFJ",1,IF('Your Pay &amp; Benefits'!$C$12="HoH",7,4))+2)))-IF('Your Pay &amp; Benefits'!$C$13,SUMPRODUCT(($AH7&gt;INDEX('How This Works &amp; Sources'!$B$29:$J$36,0,IF('Your Pay &amp; Benefits'!$C$12="MFJ",1,IF('Your Pay &amp; Benefits'!$C$12="HoH",7,4))))*($AH7-INDEX('How This Works &amp; Sources'!$B$29:$J$36,0,IF('Your Pay &amp; Benefits'!$C$12="MFJ",1,IF('Your Pay &amp; Benefits'!$C$12="HoH",7,4))))*INDEX('How This Works &amp; Sources'!$B$29:$J$36,0,IF('Your Pay &amp; Benefits'!$C$12="MFJ",1,IF('Your Pay &amp; Benefits'!$C$12="HoH",7,4))+2)),SUMPRODUCT(($AH7&gt;INDEX('How This Works &amp; Sources'!$B$19:$J$26,0,IF('Your Pay &amp; Benefits'!$C$12="MFJ",1,IF('Your Pay &amp; Benefits'!$C$12="HoH",7,4))))*($AH7-INDEX('How This Works &amp; Sources'!$B$19:$J$26,0,IF('Your Pay &amp; Benefits'!$C$12="MFJ",1,IF('Your Pay &amp; Benefits'!$C$12="HoH",7,4))))*INDEX('How This Works &amp; Sources'!$B$19:$J$26,0,IF('Your Pay &amp; Benefits'!$C$12="MFJ",1,IF('Your Pay &amp; Benefits'!$C$12="HoH",7,4))+2)))),'How This Works &amp; Sources'!$C$10*$D7),2)))</f>
      </c>
      <c r="Q7" s="7">
        <f>IF($B7="","",ROUND('How This Works &amp; Sources'!$C$4*MIN($N7,MAX(0,'How This Works &amp; Sources'!$C$3-($AX7+$AB6-$AW7))),2))</f>
      </c>
      <c r="R7" s="7">
        <f>IF($B7="","",ROUND('How This Works &amp; Sources'!$C$5*$N7,2))</f>
      </c>
      <c r="S7" s="7">
        <f>IF($B7="","",ROUND('How This Works &amp; Sources'!$C$6*MAX(0,MIN($N7,$AG6+$N7-'How This Works &amp; Sources'!$C$7)),2))</f>
      </c>
      <c r="T7" s="7">
        <f>IF($B7="","",IF('Your Pay &amp; Benefits'!$C$26,0,IF($AN7="CA",ROUND(IF($AI7&lt;=IF(($AS7+$AT7)&gt;=2,VLOOKUP($AN7,StateTables!$A$6:$AB$56,10,FALSE),VLOOKUP($AN7,StateTables!$A$6:$AB$56,9,FALSE)),0,MAX(0,SUMPRODUCT(($AJ7&gt;INDEX('How This Works &amp; Sources'!$B$39:$J$48,0,IF($AU7="Married",4,IF($AU7="Head of household",7,1))))*($AJ7-INDEX('How This Works &amp; Sources'!$B$39:$J$48,0,IF($AU7="Married",4,IF($AU7="Head of household",7,1))))*INDEX('How This Works &amp; Sources'!$B$39:$J$48,0,IF($AU7="Married",4,IF($AU7="Head of household",7,1))+2))-VLOOKUP($AN7,StateTables!$A$6:$AB$56,11,FALSE)*$AS7)/'Your Pay &amp; Benefits'!$C$8)+'Your Pay &amp; Benefits'!$C$25+VLOOKUP($AN7,StateTables!$A$6:$AB$56,13,FALSE)*$D7,2),IF(VLOOKUP($AN7,StateTables!$A$6:$AB$56,4,FALSE)="None",0,IF(ISNUMBER(SEARCH("MANUAL",VLOOKUP($AN7,StateTables!$A$6:$AB$56,5,FALSE))),'Your Pay &amp; Benefits'!$C$28,ROUND(MAX(0,$BA7+$BB7)/'Your Pay &amp; Benefits'!$C$8+'Your Pay &amp; Benefits'!$C$25+$BC7,2))))))</f>
      </c>
      <c r="U7" s="7">
        <f>IF($B7="","",IF(VLOOKUP($AN7,StateTables!$A$6:$AB$56,24,FALSE)="flatq",IF(OR(MONTH($B7)=1,MONTH($B7)=4,MONTH($B7)=7,MONTH($B7)=10),VLOOKUP($AN7,StateTables!$A$6:$AB$56,25,FALSE),0),IF(VLOOKUP($AN7,StateTables!$A$6:$AB$56,24,FALSE)="dbl",MIN(ROUND(0.005*$N7,2),ROUND(0.6*52/'Your Pay &amp; Benefits'!$C$8,2)),IF(OR(VLOOKUP($AN7,StateTables!$A$6:$AB$56,15,FALSE)="",VLOOKUP($AN7,StateTables!$A$6:$AB$56,15,FALSE)=0),0,ROUND(VLOOKUP($AN7,StateTables!$A$6:$AB$56,15,FALSE)*IF(OR(VLOOKUP($AN7,StateTables!$A$6:$AB$56,16,FALSE)="",VLOOKUP($AN7,StateTables!$A$6:$AB$56,16,FALSE)=0),$N7,MIN($N7,MAX(0,VLOOKUP($AN7,StateTables!$A$6:$AB$56,16,FALSE)-($AX7+$AB6-$AW7)))),2))))+IF(VLOOKUP($AN7,StateTables!$A$6:$AB$56,27,FALSE)="flatq",IF(OR(MONTH($B7)=1,MONTH($B7)=4,MONTH($B7)=7,MONTH($B7)=10),VLOOKUP($AN7,StateTables!$A$6:$AB$56,28,FALSE),0),IF(VLOOKUP($AN7,StateTables!$A$6:$AB$56,27,FALSE)="dbl",MIN(ROUND(0.005*$N7,2),ROUND(0.6*52/'Your Pay &amp; Benefits'!$C$8,2)),IF(OR(VLOOKUP($AN7,StateTables!$A$6:$AB$56,18,FALSE)="",VLOOKUP($AN7,StateTables!$A$6:$AB$56,18,FALSE)=0),0,ROUND(VLOOKUP($AN7,StateTables!$A$6:$AB$56,18,FALSE)*IF(OR(VLOOKUP($AN7,StateTables!$A$6:$AB$56,19,FALSE)="",VLOOKUP($AN7,StateTables!$A$6:$AB$56,19,FALSE)=0),$N7,MIN($N7,MAX(0,VLOOKUP($AN7,StateTables!$A$6:$AB$56,19,FALSE)-($AX7+$AB6-$AW7)))),2)))))</f>
      </c>
      <c r="V7" s="7">
        <f>IF($B7="","",IF($AN7="NY",IF('Your Pay &amp; Benefits'!$C$78,ROUND(SUMPRODUCT((MAX(0,($O7-$D7)*'Your Pay &amp; Benefits'!$C$8-(IF($AU7="Married",5500,5000)+1000*$AS7))&gt;INDEX('How This Works &amp; Sources'!$B$184:$J$198,0,4))*(MAX(0,($O7-$D7)*'Your Pay &amp; Benefits'!$C$8-(IF($AU7="Married",5500,5000)+1000*$AS7))-INDEX('How This Works &amp; Sources'!$B$184:$J$198,0,4))*INDEX('How This Works &amp; Sources'!$B$184:$J$198,0,4+2))/'Your Pay &amp; Benefits'!$C$8+0.0425*$D7,2),0)+IF('Your Pay &amp; Benefits'!$C$79="Resident",ROUND(0.1675*$T7,2),IF('Your Pay &amp; Benefits'!$C$79="Nonresident",ROUND(0.005*MAX(0,($O7-$D7)-(IF($AU7="Married",7950,7400)+1000*$AS7)/'Your Pay &amp; Benefits'!$C$8),2),0)),IF($AN7="PA",IF('Your Pay &amp; Benefits'!$C$80="None",'Your Pay &amp; Benefits'!$C$27+ROUND('Your Pay &amp; Benefits'!$C$81*($C7+$D7),2),ROUND(IF('Your Pay &amp; Benefits'!$C$80="Resident",IF($B7&lt;DATE(2026,7,1),0.0374,0.03735),IF($B7&lt;DATE(2026,7,1),0.0343,0.03425))*($C7+$D7),2)),IF($BF7=0,ROUND('Your Pay &amp; Benefits'!$C$81*($C7+$D7),2),'Your Pay &amp; Benefits'!$C$27+ROUND('Your Pay &amp; Benefits'!$C$81*($C7+$D7),2)))))</f>
      </c>
      <c r="W7" s="7">
        <f>IF($B7="","",IF($BF7=0,0,$BP7))</f>
      </c>
      <c r="X7" s="7">
        <f>IF($B7="","",SUM($E7:$K7)+$P7+$Q7+$R7+$S7+$T7+$U7+$V7+$W7)</f>
      </c>
      <c r="Y7" s="22">
        <f>IF($B7="","",$C7+$D7-$X7)</f>
      </c>
      <c r="Z7" s="7">
        <f>IF($B7="","",$Z6+$C7+$D7)</f>
      </c>
      <c r="AA7" s="7">
        <f>IF($B7="","",$AA6+$Y7)</f>
      </c>
      <c r="AB7" s="7">
        <f>IF($B7="","",$AB6+MIN($N7,MAX(0,'How This Works &amp; Sources'!$C$3-($AX7+$AB6-$AW7))))</f>
      </c>
      <c r="AC7" s="7">
        <f>IF($B7="","",$AC6+$E7+$F7)</f>
      </c>
      <c r="AD7" s="3">
        <f>IF($B7="","",IF(AND($AB6&lt;'How This Works &amp; Sources'!$C$3,$AB7&gt;='How This Works &amp; Sources'!$C$3),"★ Social Security maxed on this check — from the next check your net rises by about $"&amp;TEXT(ROUND('How This Works &amp; Sources'!$C$4*$N7,2),"#,##0.00")&amp;". ","")&amp;IF(AND($AC6&lt;'Your Pay &amp; Benefits'!$C$34,$AC7&gt;='Your Pay &amp; Benefits'!$C$34),"★ 401(k) reaches the $"&amp;TEXT('Your Pay &amp; Benefits'!$C$34,"#,##0")&amp;" cap on this check — deferrals stop and net pay rises. ","")&amp;IF(AND($AG6&lt;'How This Works &amp; Sources'!$C$7,$AG7&gt;='How This Works &amp; Sources'!$C$7),"★ Wages pass $200,000 — the 0.9% Additional Medicare Tax starts here. ","")&amp;IF(AND($BJ7&gt;0,$H7&gt;0,$BG6&lt;MIN($BJ7,'How This Works &amp; Sources'!$C$13),$BG6+$H7&gt;=MIN($BJ7,'How This Works &amp; Sources'!$C$13)),"★ Health FSA election is now fully deferred for the year. ",""))</f>
      </c>
      <c r="AE7" s="41" t="n"/>
      <c r="AF7" s="7">
        <f>IF(OR($B7="",$AE7=""),"",$AE7-$Y7)</f>
      </c>
      <c r="AG7" s="7">
        <f>IF($B7="","",$AG6+$N7)</f>
      </c>
      <c r="AH7" s="7">
        <f>IF($B7="","",MAX(0,($M7-$D7)*'Your Pay &amp; Benefits'!$C$8+$AP7-$AQ7-IF('Your Pay &amp; Benefits'!$C$13,0,IF('Your Pay &amp; Benefits'!$C$12="MFJ",'How This Works &amp; Sources'!$C$8,'How This Works &amp; Sources'!$C$9))))</f>
      </c>
      <c r="AI7" s="7">
        <f>IF($B7="","",$O7*'Your Pay &amp; Benefits'!$C$8)</f>
      </c>
      <c r="AJ7" s="7">
        <f>IF($B7="","",MAX(0,$AI7-VLOOKUP($AN7,StateTables!$A$6:$AB$56,12,FALSE)*$AT7-IF(($AS7+$AT7)&gt;=2,VLOOKUP($AN7,StateTables!$A$6:$AB$56,8,FALSE),VLOOKUP($AN7,StateTables!$A$6:$AB$56,7,FALSE))))</f>
      </c>
      <c r="AK7" s="7">
        <f>IF($B7="","",IFERROR(LOOKUP(2,1/(('Changes &amp; Events'!$C$6:$C$17="Salary change")*('Changes &amp; Events'!$B$6:$B$17&lt;=$B7)*('Changes &amp; Events'!$B$6:$B$17&lt;&gt;"")),'Changes &amp; Events'!$D$6:$D$17),IF('Your Pay &amp; Benefits'!$C$4="Annual salary",'Your Pay &amp; Benefits'!$C$5,'Your Pay &amp; Benefits'!$C$6)))</f>
      </c>
      <c r="AL7">
        <f>IF($B7="","",IFERROR(LOOKUP(2,1/(('Changes &amp; Events'!$C$6:$C$17="401(k) change")*('Changes &amp; Events'!$B$6:$B$17&lt;=$B7)*('Changes &amp; Events'!$B$6:$B$17&lt;&gt;"")),'Changes &amp; Events'!$D$6:$D$17),'Your Pay &amp; Benefits'!$C$30))</f>
      </c>
      <c r="AM7" s="7">
        <f>IF($B7="","",IFERROR(LOOKUP(2,1/(('Changes &amp; Events'!$C$6:$C$17="401(k) change")*('Changes &amp; Events'!$B$6:$B$17&lt;=$B7)*('Changes &amp; Events'!$B$6:$B$17&lt;&gt;"")),'Changes &amp; Events'!$E$6:$E$17),'Your Pay &amp; Benefits'!$D$31))</f>
      </c>
      <c r="AN7">
        <f>IF($B7="","",IFERROR(LOOKUP(2,1/(('Changes &amp; Events'!$C$6:$C$17="State move")*('Changes &amp; Events'!$B$6:$B$17&lt;=$B7)*('Changes &amp; Events'!$B$6:$B$17&lt;&gt;"")),'Changes &amp; Events'!$D$6:$D$17),'Your Pay &amp; Benefits'!$C$21))</f>
      </c>
      <c r="AO7" s="7">
        <f>IF($B7="","",IFERROR(LOOKUP(2,1/(('Changes &amp; Events'!$C$6:$C$17="W-4 change")*('Changes &amp; Events'!$B$6:$B$17&lt;=$B7)*('Changes &amp; Events'!$B$6:$B$17&lt;&gt;"")),'Changes &amp; Events'!$D$6:$D$17),'Your Pay &amp; Benefits'!$C$14))</f>
      </c>
      <c r="AP7" s="7">
        <f>IF($B7="","",IFERROR(LOOKUP(2,1/(('Changes &amp; Events'!$C$6:$C$17="W-4 change")*('Changes &amp; Events'!$B$6:$B$17&lt;=$B7)*('Changes &amp; Events'!$B$6:$B$17&lt;&gt;"")),'Changes &amp; Events'!$E$6:$E$17),'Your Pay &amp; Benefits'!$C$15))</f>
      </c>
      <c r="AQ7" s="7">
        <f>IF($B7="","",IFERROR(LOOKUP(2,1/(('Changes &amp; Events'!$C$6:$C$17="W-4 change")*('Changes &amp; Events'!$B$6:$B$17&lt;=$B7)*('Changes &amp; Events'!$B$6:$B$17&lt;&gt;"")),'Changes &amp; Events'!$F$6:$F$17),'Your Pay &amp; Benefits'!$C$16))</f>
      </c>
      <c r="AR7" s="7">
        <f>IF($B7="","",IFERROR(LOOKUP(2,1/(('Changes &amp; Events'!$C$6:$C$17="W-4 change")*('Changes &amp; Events'!$B$6:$B$17&lt;=$B7)*('Changes &amp; Events'!$B$6:$B$17&lt;&gt;"")),'Changes &amp; Events'!$G$6:$G$17),'Your Pay &amp; Benefits'!$C$17))</f>
      </c>
      <c r="AS7" s="6">
        <f>IF($B7="","",IFERROR(LOOKUP(2,1/((('Changes &amp; Events'!$C$6:$C$17="State move")+('Changes &amp; Events'!$C$6:$C$17="State cert change"))*('Changes &amp; Events'!$B$6:$B$17&lt;=$B7)*('Changes &amp; Events'!$B$6:$B$17&lt;&gt;"")),'Changes &amp; Events'!$F$6:$F$17),'Your Pay &amp; Benefits'!$C$23))</f>
      </c>
      <c r="AT7" s="6">
        <f>IF($B7="","",IFERROR(LOOKUP(2,1/((('Changes &amp; Events'!$C$6:$C$17="State move")+('Changes &amp; Events'!$C$6:$C$17="State cert change"))*('Changes &amp; Events'!$B$6:$B$17&lt;=$B7)*('Changes &amp; Events'!$B$6:$B$17&lt;&gt;"")),'Changes &amp; Events'!$G$6:$G$17),'Your Pay &amp; Benefits'!$C$24))</f>
      </c>
      <c r="AU7">
        <f>IF($B7="","",IFERROR(LOOKUP(2,1/(('Changes &amp; Events'!$C$6:$C$17="State move")*('Changes &amp; Events'!$B$6:$B$17&lt;=$B7)*('Changes &amp; Events'!$B$6:$B$17&lt;&gt;"")),'Changes &amp; Events'!$E$6:$E$17),'Your Pay &amp; Benefits'!$C$22))</f>
      </c>
      <c r="AV7" s="6">
        <f>IF($B7="","",1+COUNTIFS('Changes &amp; Events'!$C$6:$C$17,"Employer change",'Changes &amp; Events'!$B$6:$B$17,"&lt;="&amp;$B7,'Changes &amp; Events'!$B$6:$B$17,"&lt;&gt;"))</f>
      </c>
      <c r="AW7" s="7">
        <f>IF($B7="","",IF($AV7=1,'Your Pay &amp; Benefits'!$C$49,IF(IFERROR(MATCH(IFERROR(LOOKUP(2,1/(('Changes &amp; Events'!$C$6:$C$17="Employer change")*('Changes &amp; Events'!$B$6:$B$17&lt;=$B7)*('Changes &amp; Events'!$B$6:$B$17&lt;&gt;"")),'Changes &amp; Events'!$B$6:$B$17),""),$B$6:$B$68,1),1)&lt;=1,'Your Pay &amp; Benefits'!$C$49,INDEX($AB$6:$AB$68,MATCH(IFERROR(LOOKUP(2,1/(('Changes &amp; Events'!$C$6:$C$17="Employer change")*('Changes &amp; Events'!$B$6:$B$17&lt;=$B7)*('Changes &amp; Events'!$B$6:$B$17&lt;&gt;"")),'Changes &amp; Events'!$B$6:$B$17),""),$B$6:$B$68,1)-1))))</f>
      </c>
      <c r="AX7" s="7">
        <f>IF($B7="","",IF($AV7=1,'Your Pay &amp; Benefits'!$C$49,IFERROR(LOOKUP(2,1/(('Changes &amp; Events'!$C$6:$C$17="Employer change")*('Changes &amp; Events'!$B$6:$B$17&lt;=$B7)*('Changes &amp; Events'!$B$6:$B$17&lt;&gt;"")),'Changes &amp; Events'!$D$6:$D$17),0)))</f>
      </c>
      <c r="AY7" s="7">
        <f>IF($B7="","",($O7-$D7)*'Your Pay &amp; Benefits'!$C$8)</f>
      </c>
      <c r="AZ7" s="7">
        <f>IF($B7="","",IF($AN7="AL",MAX(0,$AY7-IF($AU7="Married",IF($AY7&lt;=25999,8500,MAX(5000,8500-175*CEILING(($AY7-25999)/500,1))),IF($AU7="Head of household",IF($AY7&lt;=25999,5200,MAX(2500,5200-135*CEILING(($AY7-25999)/500,1))),IF($AY7&lt;=25999,3000,MAX(2500,3000-25*CEILING(($AY7-25999)/500,1)))))-($P7-'How This Works &amp; Sources'!$C$10*$D7)*'Your Pay &amp; Benefits'!$C$8-IF(OR($AU7="Married",$AU7="Head of household"),3000,1500)-$AT7*IF($AY7&lt;=50000,1000,IF($AY7&lt;=100000,500,300))),IF($AN7="AR",IF(MAX(0,$AY7-2470)&lt;97701,INT(MAX(0,$AY7-2470)/100)*100+50,MAX(0,$AY7-2470)),IF($AN7="DE",MAX(0,$AI7-3250),IF($AN7="HI",MAX(0,$AI7-1144*$AS7-4350),IF($AN7="KS",MAX(0,$AI7-(9160*IF($AU7="Married",2,1)+2320*$AT7+IF($AU7="Head of household",2320,0))),IF($AN7="MD",MAX(0,$AI7-3400-3200*$AS7),IF($AN7="MN",MAX(0,$AY7-5300*$AS7),IF($AN7="MO",MAX(0,$AI7-IF($AU7="Head of household",24150,IF($AU7="Married",IF('Your Pay &amp; Benefits'!$C$83,16100,32200),16100))),IF($AN7="MT",$AY7,IF($AN7="ND",($C7+$L7)*'Your Pay &amp; Benefits'!$C$8,IF($AN7="NE",MAX(0,$AY7-2440*$AS7),IF($AN7="NJ",MAX(0,$AY7-1000*$AS7),IF($AN7="NY",MAX(0,$AY7-(IF($AU7="Married",7950,7400)+1000*$AS7)),IF($AN7="OH",MAX(0,$AY7-650*$AS7),IF($AN7="OK",MAX(0,$AY7-1000*$AS7),IF($AN7="RI",MAX(0,$AI7-1000*$AS7),IF($AN7="SC",MAX(0,$AI7-5000*$AS7-IF($AS7=0,0,MIN(0.1*$AI7,7500))),IF($AN7="VA",MAX(0,$AI7-IF($AU7="Married",17500,8750)-930*$AS7-800*$AT7),IF($AN7="VT",MAX(0,$AI7-5400*$AS7),IF($AN7="WI",MAX(0,$AI7-MAX(0,IF($AU7="Married",9461-0.2*MAX(0,$AI7-25727),6702-0.12*MAX(0,$AI7-17780)))-400*$AS7),IF($AN7="WV",MAX(0,$AI7-2000*$AS7),$AI7))))))))))))))))))))))</f>
      </c>
      <c r="BA7" s="7">
        <f>IF($B7="","",IF($BW7&lt;&gt;"",$BW7,IF($BX7&lt;&gt;"",$BX7,IF($BY7&lt;&gt;"",$BY7,0))))</f>
      </c>
      <c r="BB7" s="7">
        <f>IF($B7="","",IF($AN7="AR",-29*$AS7,IF($AN7="DE",-110*$AS7,IF($AN7="MD",$AZ7*'Your Pay &amp; Benefits'!$C$74,IF($AN7="AZ",'Your Pay &amp; Benefits'!$C$82*($M7-$D7)*'Your Pay &amp; Benefits'!$C$8,IF($AN7="CO",0.044*MAX(0,$AY7-IF($AU7="Married",10000,5000)),IF($AN7="IA",MAX(0,0.038*MAX(0,$AY7-IF($AU7="Head of household",19500,IF($AU7="Married",26000,13000)))-40*$AS7),IF($AN7="ID",0.053*MAX(0,$AY7-IF($AU7="Married",32000,16094)),IF($AN7="IL",0.0495*MAX(0,$AY7-(2925*$AS7+1000*$AT7)),IF($AN7="IN",(0.0295+'Your Pay &amp; Benefits'!$C$76)*MAX(0,$AY7-(1000*$AS7+1500*$AT7+3000*'Your Pay &amp; Benefits'!$C$86)),IF($AN7="KY",0.035*MAX(0,$AI7-3360),IF($AN7="LA",IF('Your Pay &amp; Benefits'!$C$84="0",0.0309*$AI7,0.0309*MAX(0,$AI7-IF('Your Pay &amp; Benefits'!$C$84="2",25750,12875))),IF($AN7="MA",0.05*MIN(MAX(0,$AY7-MIN(($BD6+$Q7+$R7+$S7),2000)-IF($AS7=0,0,IF($AS7=1,4400,1000*$AS7+3400))),1107750)+0.09*MAX(0,MAX(0,$AY7-MIN(($BD6+$Q7+$R7+$S7),2000)-IF($AS7=0,0,IF($AS7=1,4400,1000*$AS7+3400)))-1107750)-IF($AU7="Head of household",120,0)-110*'Your Pay &amp; Benefits'!$C$75,IF($AN7="MI",0.0425*MAX(0,$AY7-5900*$AS7),IF($AN7="MS",0.04*MAX(0,$AI7-IF($AU7="Head of household",3400,IF($AU7="Married",4600,2300))-'Your Pay &amp; Benefits'!$C$85-10000),IF($AN7="OR",IF(OR($AU7="Married",AND($AU7="Single",$AS7&gt;=3)),SUMPRODUCT((MAX(0,$AY7-MIN(($P7-'How This Works &amp; Sources'!$C$10*$D7)*'Your Pay &amp; Benefits'!$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Sources'!$B$211:$J$214,0,4))*(MAX(0,$AY7-MIN(($P7-'How This Works &amp; Sources'!$C$10*$D7)*'Your Pay &amp; Benefits'!$C$8,IF(OR($AU7="Married",AND($AU7="Single",$AS7&gt;=3)),IF($AY7&lt;250000,8750,IF($AY7&lt;260000,7000,IF($AY7&lt;270000,5250,IF($AY7&lt;280000,3500,IF($AY7&lt;290000,1750,0))))),IF($AY7&lt;125000,8750,IF($AY7&lt;130000,7000,IF($AY7&lt;135000,5250,IF($AY7&lt;140000,3500,IF($AY7&lt;145000,1750,0)))))))-IF(OR($AU7="Married",AND($AU7="Single",$AS7&gt;=3)),5820,2910))-INDEX('How This Works &amp; Sources'!$B$211:$J$214,0,4))*INDEX('How This Works &amp; Sources'!$B$211:$J$214,0,4+2)),SUMPRODUCT((MAX(0,$AY7-MIN(($P7-'How This Works &amp; Sources'!$C$10*$D7)*'Your Pay &amp; Benefits'!$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Sources'!$B$211:$J$214,0,1))*(MAX(0,$AY7-MIN(($P7-'How This Works &amp; Sources'!$C$10*$D7)*'Your Pay &amp; Benefits'!$C$8,IF(OR($AU7="Married",AND($AU7="Single",$AS7&gt;=3)),IF($AY7&lt;250000,8750,IF($AY7&lt;260000,7000,IF($AY7&lt;270000,5250,IF($AY7&lt;280000,3500,IF($AY7&lt;290000,1750,0))))),IF($AY7&lt;125000,8750,IF($AY7&lt;130000,7000,IF($AY7&lt;135000,5250,IF($AY7&lt;140000,3500,IF($AY7&lt;145000,1750,0)))))))-IF(OR($AU7="Married",AND($AU7="Single",$AS7&gt;=3)),5820,2910))-INDEX('How This Works &amp; Sources'!$B$211:$J$214,0,1))*INDEX('How This Works &amp; Sources'!$B$211:$J$214,0,1+2)))+263-263*IF(IF($AU7="Married",$AY7&gt;200000,$AY7&gt;100000),0,$AS7),IF($AN7="PA",0.0307*(($O7+$E7+$G7)*'Your Pay &amp; Benefits'!$C$8),IF($AN7="NY",IF($AU7="Married",IF($AZ7&gt;=2155350,0,IF($AZ7&gt;=1077550,0.48,IF($AZ7&gt;=373200,1.21,IF($AZ7&gt;=323200,0.21,IF($AZ7&gt;=211550,-0.19,IF($AZ7&gt;=157650,-2.8,IF($AZ7&gt;=107650,-0.8,IF($AZ7&gt;=96800,0.05,IF($AZ7&gt;=80650,-0.1,IF($AZ7&gt;=13900,0.4,IF($AZ7&gt;=11700,-0.3,IF($AZ7&gt;=8500,0.5,0)))))))))))),IF($AZ7&gt;=1077550,0,IF($AZ7&gt;=265400,4.29,IF($AZ7&gt;=215400,2.29,IF($AZ7&gt;=157650,2.29,IF($AZ7&gt;=107650,0.29,IF($AZ7&gt;=96800,0.05,IF($AZ7&gt;=80650,-0.1,IF($AZ7&gt;=13900,0.4,IF($AZ7&gt;=11700,-0.3,IF($AZ7&gt;=8500,0.5,0))))))))))),0))))))))))))))))))</f>
      </c>
      <c r="BC7" s="7">
        <f>IF($B7="","",IF($AN7="AL",0.05*$D7,IF($AN7="AR",0.039*$D7,IF($AN7="ID",0.053*$D7,IF($AN7="IN",(0.0295+'Your Pay &amp; Benefits'!$C$76)*$D7,IF($AN7="KS",0.05*$D7,IF($AN7="MA",0.09*MIN($D7,MAX(0,MAX(0,$AY7-MIN(($BD6+$Q7+$R7+$S7),2000)-IF($AS7=0,0,IF($AS7=1,4400,1000*$AS7+3400)))+$D7-1107750))+0.05*($D7-MIN($D7,MAX(0,MAX(0,$AY7-MIN(($BD6+$Q7+$R7+$S7),2000)-IF($AS7=0,0,IF($AS7=1,4400,1000*$AS7+3400)))+$D7-1107750))),IF($AN7="MD",(0.065+'Your Pay &amp; Benefits'!$C$74)*$D7,IF($AN7="MI",0.0425*$D7,IF($AN7="MN",0.0625*$D7,IF($AN7="MO",0.047*$D7,IF($AN7="MT",0.05*$D7,IF($AN7="ND",0.015*$D7,IF($AN7="NE",0.035*$D7,IF($AN7="NJ",IF('Your Pay &amp; Benefits'!$C$77="B",SUMPRODUCT(($D7*'Your Pay &amp; Benefits'!$C$8&gt;INDEX('How This Works &amp; Sources'!$B$155:$J$162,0,4))*($D7*'Your Pay &amp; Benefits'!$C$8-INDEX('How This Works &amp; Sources'!$B$155:$J$162,0,4))*INDEX('How This Works &amp; Sources'!$B$155:$J$162,0,4+2)),IF('Your Pay &amp; Benefits'!$C$77="C",SUMPRODUCT(($D7*'Your Pay &amp; Benefits'!$C$8&gt;INDEX('How This Works &amp; Sources'!$B$155:$J$162,0,7))*($D7*'Your Pay &amp; Benefits'!$C$8-INDEX('How This Works &amp; Sources'!$B$155:$J$162,0,7))*INDEX('How This Works &amp; Sources'!$B$155:$J$162,0,7+2)),IF('Your Pay &amp; Benefits'!$C$77="D",SUMPRODUCT(($D7*'Your Pay &amp; Benefits'!$C$8&gt;INDEX('How This Works &amp; Sources'!$B$167:$J$179,0,1))*($D7*'Your Pay &amp; Benefits'!$C$8-INDEX('How This Works &amp; Sources'!$B$167:$J$179,0,1))*INDEX('How This Works &amp; Sources'!$B$167:$J$179,0,1+2)),IF('Your Pay &amp; Benefits'!$C$77="E",SUMPRODUCT(($D7*'Your Pay &amp; Benefits'!$C$8&gt;INDEX('How This Works &amp; Sources'!$B$167:$J$179,0,4))*($D7*'Your Pay &amp; Benefits'!$C$8-INDEX('How This Works &amp; Sources'!$B$167:$J$179,0,4))*INDEX('How This Works &amp; Sources'!$B$167:$J$179,0,4+2)),SUMPRODUCT(($D7*'Your Pay &amp; Benefits'!$C$8&gt;INDEX('How This Works &amp; Sources'!$B$155:$J$162,0,1))*($D7*'Your Pay &amp; Benefits'!$C$8-INDEX('How This Works &amp; Sources'!$B$155:$J$162,0,1))*INDEX('How This Works &amp; Sources'!$B$155:$J$162,0,1+2))))))/'Your Pay &amp; Benefits'!$C$8,IF($AN7="NY",0.117*$D7,IF($AN7="OH",0.0275*$D7,IF($AN7="OK",0.045*$D7,IF($AN7="OR",0.08*$D7,IF($AN7="WI",IF($AY7&lt;12760,0.0354,IF($AY7&lt;25520,0.0465,IF($AY7&lt;280950,0.053,0.0765)))*$D7,0))))))))))))))))))))</f>
      </c>
      <c r="BD7" s="7">
        <f>IF($B7="","",$BD6+$Q7+$R7+$S7)</f>
      </c>
      <c r="BE7" s="6">
        <f>IF($B7="",$BE6,$BE6+$BF7)</f>
      </c>
      <c r="BF7" s="6">
        <f>IF($B7="","",IF(AND(IF(YEAR(IF('Your Pay &amp; Benefits'!$C$7="Weekly",'Your Pay &amp; Benefits'!$C$9+7*(($BE6+1)-1),IF('Your Pay &amp; Benefits'!$C$7="Biweekly",'Your Pay &amp; Benefits'!$C$9+14*(($BE6+1)-1),IF('Your Pay &amp; Benefits'!$C$7="Semimonthly",DATE(YEAR('Your Pay &amp; Benefits'!$C$9),MONTH('Your Pay &amp; Benefits'!$C$9)+INT((($BE6+1)-1)/2),MIN(DAY('Your Pay &amp; Benefits'!$C$9),DAY(EOMONTH(DATE(YEAR('Your Pay &amp; Benefits'!$C$9),MONTH('Your Pay &amp; Benefits'!$C$9)+INT((($BE6+1)-1)/2),1),0))))+IF(MOD(($BE6+1)-1,2)=1,15,0),EDATE('Your Pay &amp; Benefits'!$C$9,($BE6+1)-1)))))&lt;&gt;'Your Pay &amp; Benefits'!$C$10,"",IF('Your Pay &amp; Benefits'!$C$7="Weekly",'Your Pay &amp; Benefits'!$C$9+7*(($BE6+1)-1),IF('Your Pay &amp; Benefits'!$C$7="Biweekly",'Your Pay &amp; Benefits'!$C$9+14*(($BE6+1)-1),IF('Your Pay &amp; Benefits'!$C$7="Semimonthly",DATE(YEAR('Your Pay &amp; Benefits'!$C$9),MONTH('Your Pay &amp; Benefits'!$C$9)+INT((($BE6+1)-1)/2),MIN(DAY('Your Pay &amp; Benefits'!$C$9),DAY(EOMONTH(DATE(YEAR('Your Pay &amp; Benefits'!$C$9),MONTH('Your Pay &amp; Benefits'!$C$9)+INT((($BE6+1)-1)/2),1),0))))+IF(MOD(($BE6+1)-1,2)=1,15,0),EDATE('Your Pay &amp; Benefits'!$C$9,($BE6+1)-1)))))&lt;&gt;"",$B7=IF(YEAR(IF('Your Pay &amp; Benefits'!$C$7="Weekly",'Your Pay &amp; Benefits'!$C$9+7*(($BE6+1)-1),IF('Your Pay &amp; Benefits'!$C$7="Biweekly",'Your Pay &amp; Benefits'!$C$9+14*(($BE6+1)-1),IF('Your Pay &amp; Benefits'!$C$7="Semimonthly",DATE(YEAR('Your Pay &amp; Benefits'!$C$9),MONTH('Your Pay &amp; Benefits'!$C$9)+INT((($BE6+1)-1)/2),MIN(DAY('Your Pay &amp; Benefits'!$C$9),DAY(EOMONTH(DATE(YEAR('Your Pay &amp; Benefits'!$C$9),MONTH('Your Pay &amp; Benefits'!$C$9)+INT((($BE6+1)-1)/2),1),0))))+IF(MOD(($BE6+1)-1,2)=1,15,0),EDATE('Your Pay &amp; Benefits'!$C$9,($BE6+1)-1)))))&lt;&gt;'Your Pay &amp; Benefits'!$C$10,"",IF('Your Pay &amp; Benefits'!$C$7="Weekly",'Your Pay &amp; Benefits'!$C$9+7*(($BE6+1)-1),IF('Your Pay &amp; Benefits'!$C$7="Biweekly",'Your Pay &amp; Benefits'!$C$9+14*(($BE6+1)-1),IF('Your Pay &amp; Benefits'!$C$7="Semimonthly",DATE(YEAR('Your Pay &amp; Benefits'!$C$9),MONTH('Your Pay &amp; Benefits'!$C$9)+INT((($BE6+1)-1)/2),MIN(DAY('Your Pay &amp; Benefits'!$C$9),DAY(EOMONTH(DATE(YEAR('Your Pay &amp; Benefits'!$C$9),MONTH('Your Pay &amp; Benefits'!$C$9)+INT((($BE6+1)-1)/2),1),0))))+IF(MOD(($BE6+1)-1,2)=1,15,0),EDATE('Your Pay &amp; Benefits'!$C$9,($BE6+1)-1)))))),1,0))</f>
      </c>
      <c r="BG7" s="7">
        <f>IF($B7="","",$BG6+$H7)</f>
      </c>
      <c r="BH7" s="7">
        <f>IF($B7="","",$BH6+$I7)</f>
      </c>
      <c r="BI7" s="7">
        <f>IF($B7="","",$BI6+$G7)</f>
      </c>
      <c r="BJ7" s="7">
        <f>IF($B7="","",IFERROR(LOOKUP(2,1/(((('Changes &amp; Events'!$C$6:$C$17="Deduction start"))*('Changes &amp; Events'!$D$6:$D$17="Health FSA"))*('Changes &amp; Events'!$B$6:$B$17&lt;=$B7)*('Changes &amp; Events'!$B$6:$B$17&lt;&gt;"")),'Changes &amp; Events'!$E$6:$E$17),'Your Pay &amp; Benefits'!$D$38))</f>
      </c>
      <c r="BK7" s="7">
        <f>IF($B7="","",IFERROR(LOOKUP(2,1/(((('Changes &amp; Events'!$C$6:$C$17="Deduction start"))*('Changes &amp; Events'!$D$6:$D$17="Dependent-care FSA"))*('Changes &amp; Events'!$B$6:$B$17&lt;=$B7)*('Changes &amp; Events'!$B$6:$B$17&lt;&gt;"")),'Changes &amp; Events'!$E$6:$E$17),'Your Pay &amp; Benefits'!$D$39))</f>
      </c>
      <c r="BL7" s="7">
        <f>IF($B7="","",IFERROR(LOOKUP(2,1/(((('Changes &amp; Events'!$C$6:$C$17="Deduction start")+('Changes &amp; Events'!$C$6:$C$17="Deduction stop"))*('Changes &amp; Events'!$D$6:$D$17="HSA"))*('Changes &amp; Events'!$B$6:$B$17&lt;=$B7)*('Changes &amp; Events'!$B$6:$B$17&lt;&gt;"")),'Changes &amp; Events'!$I$6:$I$17),'Your Pay &amp; Benefits'!$D$35))</f>
      </c>
      <c r="BM7" s="7">
        <f>IF($B7="","",IFERROR(LOOKUP(2,1/(((('Changes &amp; Events'!$C$6:$C$17="Deduction start")+('Changes &amp; Events'!$C$6:$C$17="Deduction stop"))*('Changes &amp; Events'!$D$6:$D$17="Premiums"))*('Changes &amp; Events'!$B$6:$B$17&lt;=$B7)*('Changes &amp; Events'!$B$6:$B$17&lt;&gt;"")),'Changes &amp; Events'!$I$6:$I$17),'Your Pay &amp; Benefits'!$D$40+'Your Pay &amp; Benefits'!$D$41+'Your Pay &amp; Benefits'!$D$42))</f>
      </c>
      <c r="BN7" s="7">
        <f>IF($B7="","",IFERROR(LOOKUP(2,1/(((('Changes &amp; Events'!$C$6:$C$17="Deduction start")+('Changes &amp; Events'!$C$6:$C$17="Deduction stop"))*('Changes &amp; Events'!$D$6:$D$17="Commuter"))*('Changes &amp; Events'!$B$6:$B$17&lt;=$B7)*('Changes &amp; Events'!$B$6:$B$17&lt;&gt;"")),'Changes &amp; Events'!$I$6:$I$17),'Your Pay &amp; Benefits'!$D$43))</f>
      </c>
      <c r="BO7" s="7">
        <f>IF($B7="","",IFERROR(LOOKUP(2,1/(((('Changes &amp; Events'!$C$6:$C$17="Deduction start")+('Changes &amp; Events'!$C$6:$C$17="Deduction stop"))*('Changes &amp; Events'!$D$6:$D$17="Other pre-tax"))*('Changes &amp; Events'!$B$6:$B$17&lt;=$B7)*('Changes &amp; Events'!$B$6:$B$17&lt;&gt;"")),'Changes &amp; Events'!$I$6:$I$17),'Your Pay &amp; Benefits'!$D$44))</f>
      </c>
      <c r="BP7" s="7">
        <f>IF($B7="","",IFERROR(LOOKUP(2,1/(((('Changes &amp; Events'!$C$6:$C$17="Deduction start")+('Changes &amp; Events'!$C$6:$C$17="Deduction stop"))*('Changes &amp; Events'!$D$6:$D$17="Other post-tax"))*('Changes &amp; Events'!$B$6:$B$17&lt;=$B7)*('Changes &amp; Events'!$B$6:$B$17&lt;&gt;"")),'Changes &amp; Events'!$I$6:$I$17),'Your Pay &amp; Benefits'!$D$45))</f>
      </c>
      <c r="BQ7" s="6">
        <f>IF($B7="","",IFERROR(LOOKUP(2,1/(((('Changes &amp; Events'!$C$6:$C$17="Deduction start")+('Changes &amp; Events'!$C$6:$C$17="Deduction stop"))*('Changes &amp; Events'!$D$6:$D$17="Health FSA"))*('Changes &amp; Events'!$B$6:$B$17&lt;=$B7)*('Changes &amp; Events'!$B$6:$B$17&lt;&gt;"")),'Changes &amp; Events'!$J$6:$J$17),0))</f>
      </c>
      <c r="BR7" s="6">
        <f>IF($B7="","",IFERROR(LOOKUP(2,1/(((('Changes &amp; Events'!$C$6:$C$17="Deduction start")+('Changes &amp; Events'!$C$6:$C$17="Deduction stop"))*('Changes &amp; Events'!$D$6:$D$17="Dependent-care FSA"))*('Changes &amp; Events'!$B$6:$B$17&lt;=$B7)*('Changes &amp; Events'!$B$6:$B$17&lt;&gt;"")),'Changes &amp; Events'!$J$6:$J$17),0))</f>
      </c>
      <c r="BS7" s="6">
        <f>IF($B7="","",IF(SUMPRODUCT(('Changes &amp; Events'!$C$6:$C$17="Deduction start")*('Changes &amp; Events'!$B$6:$B$17&lt;=$B7)*('Changes &amp; Events'!$B$6:$B$17&lt;&gt;"")*('Changes &amp; Events'!$D$6:$D$17="Health FSA"))&gt;0,1,0))</f>
      </c>
      <c r="BT7" s="6">
        <f>IF($B7="","",IF(SUMPRODUCT(('Changes &amp; Events'!$C$6:$C$17="Deduction start")*('Changes &amp; Events'!$B$6:$B$17&lt;=$B7)*('Changes &amp; Events'!$B$6:$B$17&lt;&gt;"")*('Changes &amp; Events'!$D$6:$D$17="Dependent-care FSA"))&gt;0,1,0))</f>
      </c>
      <c r="BU7" s="24">
        <f>IF($B7="","",IF('Your Pay &amp; Benefits'!$C$13,SUMPRODUCT(($AH7&gt;=INDEX('How This Works &amp; Sources'!$B$29:$J$36,0,IF('Your Pay &amp; Benefits'!$C$12="MFJ",1,IF('Your Pay &amp; Benefits'!$C$12="HoH",7,4))))*INDEX('How This Works &amp; Sources'!$B$29:$J$36,0,IF('Your Pay &amp; Benefits'!$C$12="MFJ",1,IF('Your Pay &amp; Benefits'!$C$12="HoH",7,4))+2)),SUMPRODUCT(($AH7&gt;=INDEX('How This Works &amp; Sources'!$B$19:$J$26,0,IF('Your Pay &amp; Benefits'!$C$12="MFJ",1,IF('Your Pay &amp; Benefits'!$C$12="HoH",7,4))))*INDEX('How This Works &amp; Sources'!$B$19:$J$26,0,IF('Your Pay &amp; Benefits'!$C$12="MFJ",1,IF('Your Pay &amp; Benefits'!$C$12="HoH",7,4))+2))))</f>
      </c>
      <c r="BV7" s="24">
        <f>IF($B7="","",IF($BZ7&lt;&gt;"",$BZ7,IF($CA7&lt;&gt;"",$CA7,IF($CB7&lt;&gt;"",$CB7,IF($CC7&lt;&gt;"",$CC7,0)))))</f>
      </c>
      <c r="BW7" s="7">
        <f>IF($B7="","",IF($AN7="MD",IF(OR($AU7="Married",$AU7="Head of household"),SUMPRODUCT(($AZ7&gt;INDEX('How This Works &amp; Sources'!$B$114:$J$120,0,1))*($AZ7-INDEX('How This Works &amp; Sources'!$B$114:$J$120,0,1))*INDEX('How This Works &amp; Sources'!$B$114:$J$120,0,1+2)),SUMPRODUCT(($AZ7&gt;INDEX('How This Works &amp; Sources'!$B$103:$J$109,0,7))*($AZ7-INDEX('How This Works &amp; Sources'!$B$103:$J$109,0,7))*INDEX('How This Works &amp; Sources'!$B$103:$J$109,0,7+2))),IF($AN7="MO",SUMPRODUCT(($AZ7&gt;INDEX('How This Works &amp; Sources'!$B$125:$J$132,0,1))*($AZ7-INDEX('How This Works &amp; Sources'!$B$125:$J$132,0,1))*INDEX('How This Works &amp; Sources'!$B$125:$J$132,0,1+2)),IF($AN7="MT",IF($AU7="Head of household",SUMPRODUCT(($AZ7&gt;INDEX('How This Works &amp; Sources'!$B$137:$J$139,0,1))*($AZ7-INDEX('How This Works &amp; Sources'!$B$137:$J$139,0,1))*INDEX('How This Works &amp; Sources'!$B$137:$J$139,0,1+2)),IF($AU7="Married",SUMPRODUCT(($AZ7&gt;INDEX('How This Works &amp; Sources'!$B$125:$J$132,0,7))*($AZ7-INDEX('How This Works &amp; Sources'!$B$125:$J$132,0,7))*INDEX('How This Works &amp; Sources'!$B$125:$J$132,0,7+2)),SUMPRODUCT(($AZ7&gt;INDEX('How This Works &amp; Sources'!$B$125:$J$132,0,4))*($AZ7-INDEX('How This Works &amp; Sources'!$B$125:$J$132,0,4))*INDEX('How This Works &amp; Sources'!$B$125:$J$132,0,4+2)))),IF($AN7="ND",IF($AU7="Head of household",SUMPRODUCT(($AZ7&gt;INDEX('How This Works &amp; Sources'!$B$144:$J$150,0,1))*($AZ7-INDEX('How This Works &amp; Sources'!$B$144:$J$150,0,1))*INDEX('How This Works &amp; Sources'!$B$144:$J$150,0,1+2)),IF($AU7="Married",SUMPRODUCT(($AZ7&gt;INDEX('How This Works &amp; Sources'!$B$137:$J$139,0,7))*($AZ7-INDEX('How This Works &amp; Sources'!$B$137:$J$139,0,7))*INDEX('How This Works &amp; Sources'!$B$137:$J$139,0,7+2)),SUMPRODUCT(($AZ7&gt;INDEX('How This Works &amp; Sources'!$B$137:$J$139,0,4))*($AZ7-INDEX('How This Works &amp; Sources'!$B$137:$J$139,0,4))*INDEX('How This Works &amp; Sources'!$B$137:$J$139,0,4+2)))),IF($AN7="NJ",IF('Your Pay &amp; Benefits'!$C$77="B",SUMPRODUCT(($AZ7&gt;INDEX('How This Works &amp; Sources'!$B$155:$J$162,0,4))*($AZ7-INDEX('How This Works &amp; Sources'!$B$155:$J$162,0,4))*INDEX('How This Works &amp; Sources'!$B$155:$J$162,0,4+2)),IF('Your Pay &amp; Benefits'!$C$77="C",SUMPRODUCT(($AZ7&gt;INDEX('How This Works &amp; Sources'!$B$155:$J$162,0,7))*($AZ7-INDEX('How This Works &amp; Sources'!$B$155:$J$162,0,7))*INDEX('How This Works &amp; Sources'!$B$155:$J$162,0,7+2)),IF('Your Pay &amp; Benefits'!$C$77="D",SUMPRODUCT(($AZ7&gt;INDEX('How This Works &amp; Sources'!$B$167:$J$179,0,1))*($AZ7-INDEX('How This Works &amp; Sources'!$B$167:$J$179,0,1))*INDEX('How This Works &amp; Sources'!$B$167:$J$179,0,1+2)),IF('Your Pay &amp; Benefits'!$C$77="E",SUMPRODUCT(($AZ7&gt;INDEX('How This Works &amp; Sources'!$B$167:$J$179,0,4))*($AZ7-INDEX('How This Works &amp; Sources'!$B$167:$J$179,0,4))*INDEX('How This Works &amp; Sources'!$B$167:$J$179,0,4+2)),SUMPRODUCT(($AZ7&gt;INDEX('How This Works &amp; Sources'!$B$155:$J$162,0,1))*($AZ7-INDEX('How This Works &amp; Sources'!$B$155:$J$162,0,1))*INDEX('How This Works &amp; Sources'!$B$155:$J$162,0,1+2)))))),IF($AN7="NY",IF($AU7="Married",IF($AZ7&gt;=2155350,$AZ7*IF($AZ7&gt;25000000,0.117,IF($AZ7&gt;5000000,0.111,0.1045)),SUMPRODUCT(($AZ7&gt;INDEX('How This Works &amp; Sources'!$B$184:$J$198,0,1))*($AZ7-INDEX('How This Works &amp; Sources'!$B$184:$J$198,0,1))*INDEX('How This Works &amp; Sources'!$B$184:$J$198,0,1+2))),IF($AZ7&gt;=1077550,$AZ7*IF($AZ7&gt;25000000,0.117,IF($AZ7&gt;5000000,0.111,0.1045)),SUMPRODUCT(($AZ7&gt;INDEX('How This Works &amp; Sources'!$B$167:$J$179,0,7))*($AZ7-INDEX('How This Works &amp; Sources'!$B$167:$J$179,0,7))*INDEX('How This Works &amp; Sources'!$B$167:$J$179,0,7+2)))),"")))))))</f>
      </c>
      <c r="BX7" s="7">
        <f>IF($B7="","",IF($AN7="AL",IF(OR($AU7="Married",$AU7="Head of household"),SUMPRODUCT(($AZ7&gt;INDEX('How This Works &amp; Sources'!$B$82:$J$86,0,4))*($AZ7-INDEX('How This Works &amp; Sources'!$B$82:$J$86,0,4))*INDEX('How This Works &amp; Sources'!$B$82:$J$86,0,4+2)),SUMPRODUCT(($AZ7&gt;INDEX('How This Works &amp; Sources'!$B$82:$J$86,0,1))*($AZ7-INDEX('How This Works &amp; Sources'!$B$82:$J$86,0,1))*INDEX('How This Works &amp; Sources'!$B$82:$J$86,0,1+2))),IF($AN7="KS",IF($AU7="Married",SUMPRODUCT(($AZ7&gt;INDEX('How This Works &amp; Sources'!$B$103:$J$109,0,4))*($AZ7-INDEX('How This Works &amp; Sources'!$B$103:$J$109,0,4))*INDEX('How This Works &amp; Sources'!$B$103:$J$109,0,4+2)),SUMPRODUCT(($AZ7&gt;INDEX('How This Works &amp; Sources'!$B$103:$J$109,0,1))*($AZ7-INDEX('How This Works &amp; Sources'!$B$103:$J$109,0,1))*INDEX('How This Works &amp; Sources'!$B$103:$J$109,0,1+2))),IF($AN7="MN",IF($AU7="Married",SUMPRODUCT(($AZ7&gt;INDEX('How This Works &amp; Sources'!$B$114:$J$120,0,7))*($AZ7-INDEX('How This Works &amp; Sources'!$B$114:$J$120,0,7))*INDEX('How This Works &amp; Sources'!$B$114:$J$120,0,7+2)),SUMPRODUCT(($AZ7&gt;INDEX('How This Works &amp; Sources'!$B$114:$J$120,0,4))*($AZ7-INDEX('How This Works &amp; Sources'!$B$114:$J$120,0,4))*INDEX('How This Works &amp; Sources'!$B$114:$J$120,0,4+2))),IF($AN7="NE",MAX(IF($AU7="Married",SUMPRODUCT(($AZ7&gt;INDEX('How This Works &amp; Sources'!$B$144:$J$150,0,7))*($AZ7-INDEX('How This Works &amp; Sources'!$B$144:$J$150,0,7))*INDEX('How This Works &amp; Sources'!$B$144:$J$150,0,7+2)),SUMPRODUCT(($AZ7&gt;INDEX('How This Works &amp; Sources'!$B$144:$J$150,0,4))*($AZ7-INDEX('How This Works &amp; Sources'!$B$144:$J$150,0,4))*INDEX('How This Works &amp; Sources'!$B$144:$J$150,0,4+2))),0.015*$AZ7),IF($AN7="OH",IF($B7&gt;=DATE(2026,8,1),SUMPRODUCT(($AZ7&gt;INDEX('How This Works &amp; Sources'!$B$203:$J$206,0,1))*($AZ7-INDEX('How This Works &amp; Sources'!$B$203:$J$206,0,1))*INDEX('How This Works &amp; Sources'!$B$203:$J$206,0,1+2)),SUMPRODUCT(($AZ7&gt;INDEX('How This Works &amp; Sources'!$B$184:$J$198,0,7))*($AZ7-INDEX('How This Works &amp; Sources'!$B$184:$J$198,0,7))*INDEX('How This Works &amp; Sources'!$B$184:$J$198,0,7+2))),IF($AN7="OK",IF($AU7="Married",SUMPRODUCT(($AZ7&gt;INDEX('How This Works &amp; Sources'!$B$203:$J$206,0,7))*($AZ7-INDEX('How This Works &amp; Sources'!$B$203:$J$206,0,7))*INDEX('How This Works &amp; Sources'!$B$203:$J$206,0,7+2)),SUMPRODUCT(($AZ7&gt;INDEX('How This Works &amp; Sources'!$B$203:$J$206,0,4))*($AZ7-INDEX('How This Works &amp; Sources'!$B$203:$J$206,0,4))*INDEX('How This Works &amp; Sources'!$B$203:$J$206,0,4+2))),IF($AN7="RI",SUMPRODUCT(($AZ7&gt;INDEX('How This Works &amp; Sources'!$B$211:$J$214,0,7))*($AZ7-INDEX('How This Works &amp; Sources'!$B$211:$J$214,0,7))*INDEX('How This Works &amp; Sources'!$B$211:$J$214,0,7+2)),IF($AN7="VT",IF($AU7="Married",SUMPRODUCT(($AZ7&gt;INDEX('How This Works &amp; Sources'!$B$228:$J$232,0,1))*($AZ7-INDEX('How This Works &amp; Sources'!$B$228:$J$232,0,1))*INDEX('How This Works &amp; Sources'!$B$228:$J$232,0,1+2)),SUMPRODUCT(($AZ7&gt;INDEX('How This Works &amp; Sources'!$B$219:$J$223,0,7))*($AZ7-INDEX('How This Works &amp; Sources'!$B$219:$J$223,0,7))*INDEX('How This Works &amp; Sources'!$B$219:$J$223,0,7+2))),IF($AN7="WV",IF($AU7="Married",SUMPRODUCT(($AZ7&gt;INDEX('How This Works &amp; Sources'!$B$237:$J$241,0,7))*($AZ7-INDEX('How This Works &amp; Sources'!$B$237:$J$241,0,7))*INDEX('How This Works &amp; Sources'!$B$237:$J$241,0,7+2)),SUMPRODUCT(($AZ7&gt;INDEX('How This Works &amp; Sources'!$B$228:$J$232,0,7))*($AZ7-INDEX('How This Works &amp; Sources'!$B$228:$J$232,0,7))*INDEX('How This Works &amp; Sources'!$B$228:$J$232,0,7+2))),""))))))))))</f>
      </c>
      <c r="BY7" s="7">
        <f>IF($B7="","",IF($AN7="AR",SUMPRODUCT(($AZ7&gt;INDEX('How This Works &amp; Sources'!$B$82:$J$86,0,7))*($AZ7-INDEX('How This Works &amp; Sources'!$B$82:$J$86,0,7))*INDEX('How This Works &amp; Sources'!$B$82:$J$86,0,7+2)),IF($AN7="DE",SUMPRODUCT(($AZ7&gt;INDEX('How This Works &amp; Sources'!$B$91:$J$98,0,1))*($AZ7-INDEX('How This Works &amp; Sources'!$B$91:$J$98,0,1))*INDEX('How This Works &amp; Sources'!$B$91:$J$98,0,1+2)),IF($AN7="HI",IF($AU7="Married",SUMPRODUCT(($AZ7&gt;INDEX('How This Works &amp; Sources'!$B$91:$J$98,0,7))*($AZ7-INDEX('How This Works &amp; Sources'!$B$91:$J$98,0,7))*INDEX('How This Works &amp; Sources'!$B$91:$J$98,0,7+2)),SUMPRODUCT(($AZ7&gt;INDEX('How This Works &amp; Sources'!$B$91:$J$98,0,4))*($AZ7-INDEX('How This Works &amp; Sources'!$B$91:$J$98,0,4))*INDEX('How This Works &amp; Sources'!$B$91:$J$98,0,4+2))),IF($AN7="SC",SUMPRODUCT(($AZ7&gt;INDEX('How This Works &amp; Sources'!$B$219:$J$223,0,1))*($AZ7-INDEX('How This Works &amp; Sources'!$B$219:$J$223,0,1))*INDEX('How This Works &amp; Sources'!$B$219:$J$223,0,1+2)),IF($AN7="VA",SUMPRODUCT(($AZ7&gt;INDEX('How This Works &amp; Sources'!$B$219:$J$223,0,4))*($AZ7-INDEX('How This Works &amp; Sources'!$B$219:$J$223,0,4))*INDEX('How This Works &amp; Sources'!$B$219:$J$223,0,4+2)),IF($AN7="WI",SUMPRODUCT(($AZ7&gt;INDEX('How This Works &amp; Sources'!$B$228:$J$232,0,4))*($AZ7-INDEX('How This Works &amp; Sources'!$B$228:$J$232,0,4))*INDEX('How This Works &amp; Sources'!$B$228:$J$232,0,4+2)),"")))))))</f>
      </c>
      <c r="BZ7" s="24">
        <f>IF($B7="","",IF($AN7="NJ",IF('Your Pay &amp; Benefits'!$C$77="B",SUMPRODUCT(($AZ7&gt;=INDEX('How This Works &amp; Sources'!$B$155:$J$162,0,4))*INDEX('How This Works &amp; Sources'!$B$155:$J$162,0,4+2)),IF('Your Pay &amp; Benefits'!$C$77="C",SUMPRODUCT(($AZ7&gt;=INDEX('How This Works &amp; Sources'!$B$155:$J$162,0,7))*INDEX('How This Works &amp; Sources'!$B$155:$J$162,0,7+2)),IF('Your Pay &amp; Benefits'!$C$77="D",SUMPRODUCT(($AZ7&gt;=INDEX('How This Works &amp; Sources'!$B$167:$J$179,0,1))*INDEX('How This Works &amp; Sources'!$B$167:$J$179,0,1+2)),IF('Your Pay &amp; Benefits'!$C$77="E",SUMPRODUCT(($AZ7&gt;=INDEX('How This Works &amp; Sources'!$B$167:$J$179,0,4))*INDEX('How This Works &amp; Sources'!$B$167:$J$179,0,4+2)),SUMPRODUCT(($AZ7&gt;=INDEX('How This Works &amp; Sources'!$B$155:$J$162,0,1))*INDEX('How This Works &amp; Sources'!$B$155:$J$162,0,1+2)))))),IF($AN7="OR",IF(OR($AU7="Married",AND($AU7="Single",$AS7&gt;=3)),SUMPRODUCT((MAX(0,$AY7-MIN(($P7-'How This Works &amp; Sources'!$C$10*$D7)*'Your Pay &amp; Benefits'!$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Sources'!$B$211:$J$214,0,4))*INDEX('How This Works &amp; Sources'!$B$211:$J$214,0,4+2)),SUMPRODUCT((MAX(0,$AY7-MIN(($P7-'How This Works &amp; Sources'!$C$10*$D7)*'Your Pay &amp; Benefits'!$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Sources'!$B$211:$J$214,0,1))*INDEX('How This Works &amp; Sources'!$B$211:$J$214,0,1+2)))*IF(($P7-'How This Works &amp; Sources'!$C$10*$D7)*'Your Pay &amp; Benefits'!$C$8&gt;=IF(OR($AU7="Married",AND($AU7="Single",$AS7&gt;=3)),IF($AY7&lt;250000,8750,IF($AY7&lt;260000,7000,IF($AY7&lt;270000,5250,IF($AY7&lt;280000,3500,IF($AY7&lt;290000,1750,0))))),IF($AY7&lt;125000,8750,IF($AY7&lt;130000,7000,IF($AY7&lt;135000,5250,IF($AY7&lt;140000,3500,IF($AY7&lt;145000,1750,0)))))),1,1-IF('Your Pay &amp; Benefits'!$C$13,SUMPRODUCT(($AH7&gt;=INDEX('How This Works &amp; Sources'!$B$29:$J$36,0,IF('Your Pay &amp; Benefits'!$C$12="MFJ",1,IF('Your Pay &amp; Benefits'!$C$12="HoH",7,4))))*INDEX('How This Works &amp; Sources'!$B$29:$J$36,0,IF('Your Pay &amp; Benefits'!$C$12="MFJ",1,IF('Your Pay &amp; Benefits'!$C$12="HoH",7,4))+2)),SUMPRODUCT(($AH7&gt;=INDEX('How This Works &amp; Sources'!$B$19:$J$26,0,IF('Your Pay &amp; Benefits'!$C$12="MFJ",1,IF('Your Pay &amp; Benefits'!$C$12="HoH",7,4))))*INDEX('How This Works &amp; Sources'!$B$19:$J$26,0,IF('Your Pay &amp; Benefits'!$C$12="MFJ",1,IF('Your Pay &amp; Benefits'!$C$12="HoH",7,4))+2)))),IF($AN7="MI",IF($AY7&gt;5900*$AS7,0.0425,0),""))))</f>
      </c>
      <c r="CA7" s="24">
        <f>IF($B7="","",IF($AN7="AL",IF(OR($AU7="Married",$AU7="Head of household"),SUMPRODUCT(($AZ7&gt;=INDEX('How This Works &amp; Sources'!$B$82:$J$86,0,4))*INDEX('How This Works &amp; Sources'!$B$82:$J$86,0,4+2)),SUMPRODUCT(($AZ7&gt;=INDEX('How This Works &amp; Sources'!$B$82:$J$86,0,1))*INDEX('How This Works &amp; Sources'!$B$82:$J$86,0,1+2)))*(1-IF('Your Pay &amp; Benefits'!$C$13,SUMPRODUCT(($AH7&gt;=INDEX('How This Works &amp; Sources'!$B$29:$J$36,0,IF('Your Pay &amp; Benefits'!$C$12="MFJ",1,IF('Your Pay &amp; Benefits'!$C$12="HoH",7,4))))*INDEX('How This Works &amp; Sources'!$B$29:$J$36,0,IF('Your Pay &amp; Benefits'!$C$12="MFJ",1,IF('Your Pay &amp; Benefits'!$C$12="HoH",7,4))+2)),SUMPRODUCT(($AH7&gt;=INDEX('How This Works &amp; Sources'!$B$19:$J$26,0,IF('Your Pay &amp; Benefits'!$C$12="MFJ",1,IF('Your Pay &amp; Benefits'!$C$12="HoH",7,4))))*INDEX('How This Works &amp; Sources'!$B$19:$J$26,0,IF('Your Pay &amp; Benefits'!$C$12="MFJ",1,IF('Your Pay &amp; Benefits'!$C$12="HoH",7,4))+2)))),IF($AN7="KS",IF($AU7="Married",SUMPRODUCT(($AZ7&gt;=INDEX('How This Works &amp; Sources'!$B$103:$J$109,0,4))*INDEX('How This Works &amp; Sources'!$B$103:$J$109,0,4+2)),SUMPRODUCT(($AZ7&gt;=INDEX('How This Works &amp; Sources'!$B$103:$J$109,0,1))*INDEX('How This Works &amp; Sources'!$B$103:$J$109,0,1+2))),IF($AN7="MD",IF(OR($AU7="Married",$AU7="Head of household"),SUMPRODUCT(($AZ7&gt;=INDEX('How This Works &amp; Sources'!$B$114:$J$120,0,1))*INDEX('How This Works &amp; Sources'!$B$114:$J$120,0,1+2)),SUMPRODUCT(($AZ7&gt;=INDEX('How This Works &amp; Sources'!$B$103:$J$109,0,7))*INDEX('How This Works &amp; Sources'!$B$103:$J$109,0,7+2)))+'Your Pay &amp; Benefits'!$C$74,IF($AN7="MT",IF($AU7="Head of household",SUMPRODUCT(($AZ7&gt;=INDEX('How This Works &amp; Sources'!$B$137:$J$139,0,1))*INDEX('How This Works &amp; Sources'!$B$137:$J$139,0,1+2)),IF($AU7="Married",SUMPRODUCT(($AZ7&gt;=INDEX('How This Works &amp; Sources'!$B$125:$J$132,0,7))*INDEX('How This Works &amp; Sources'!$B$125:$J$132,0,7+2)),SUMPRODUCT(($AZ7&gt;=INDEX('How This Works &amp; Sources'!$B$125:$J$132,0,4))*INDEX('How This Works &amp; Sources'!$B$125:$J$132,0,4+2)))),IF($AN7="ND",IF($AU7="Head of household",SUMPRODUCT(($AZ7&gt;=INDEX('How This Works &amp; Sources'!$B$144:$J$150,0,1))*INDEX('How This Works &amp; Sources'!$B$144:$J$150,0,1+2)),IF($AU7="Married",SUMPRODUCT(($AZ7&gt;=INDEX('How This Works &amp; Sources'!$B$137:$J$139,0,7))*INDEX('How This Works &amp; Sources'!$B$137:$J$139,0,7+2)),SUMPRODUCT(($AZ7&gt;=INDEX('How This Works &amp; Sources'!$B$137:$J$139,0,4))*INDEX('How This Works &amp; Sources'!$B$137:$J$139,0,4+2)))),IF($AN7="NY",IF($AU7="Married",IF($AZ7&gt;=2155350,IF($AZ7&gt;25000000,0.117,IF($AZ7&gt;5000000,0.111,0.1045)),SUMPRODUCT(($AZ7&gt;=INDEX('How This Works &amp; Sources'!$B$184:$J$198,0,1))*INDEX('How This Works &amp; Sources'!$B$184:$J$198,0,1+2))),IF($AZ7&gt;=1077550,IF($AZ7&gt;25000000,0.117,IF($AZ7&gt;5000000,0.111,0.1045)),SUMPRODUCT(($AZ7&gt;=INDEX('How This Works &amp; Sources'!$B$167:$J$179,0,7))*INDEX('How This Works &amp; Sources'!$B$167:$J$179,0,7+2)))),"")))))))</f>
      </c>
      <c r="CB7" s="24">
        <f>IF($B7="","",IF($AN7="CA",SUMPRODUCT(($AJ7&gt;=INDEX('How This Works &amp; Sources'!$B$39:$J$48,0,IF($AU7="Married",4,IF($AU7="Head of household",7,1))))*INDEX('How This Works &amp; Sources'!$B$39:$J$48,0,IF($AU7="Married",4,IF($AU7="Head of household",7,1))+2)),IF($AN7="HI",IF($AU7="Married",SUMPRODUCT(($AZ7&gt;=INDEX('How This Works &amp; Sources'!$B$91:$J$98,0,7))*INDEX('How This Works &amp; Sources'!$B$91:$J$98,0,7+2)),SUMPRODUCT(($AZ7&gt;=INDEX('How This Works &amp; Sources'!$B$91:$J$98,0,4))*INDEX('How This Works &amp; Sources'!$B$91:$J$98,0,4+2))),IF($AN7="MN",IF($AU7="Married",SUMPRODUCT(($AZ7&gt;=INDEX('How This Works &amp; Sources'!$B$114:$J$120,0,7))*INDEX('How This Works &amp; Sources'!$B$114:$J$120,0,7+2)),SUMPRODUCT(($AZ7&gt;=INDEX('How This Works &amp; Sources'!$B$114:$J$120,0,4))*INDEX('How This Works &amp; Sources'!$B$114:$J$120,0,4+2))),IF($AN7="MO",SUMPRODUCT(($AZ7&gt;=INDEX('How This Works &amp; Sources'!$B$125:$J$132,0,1))*INDEX('How This Works &amp; Sources'!$B$125:$J$132,0,1+2)),IF($AN7="NE",MAX(IF($AU7="Married",SUMPRODUCT(($AZ7&gt;=INDEX('How This Works &amp; Sources'!$B$144:$J$150,0,7))*INDEX('How This Works &amp; Sources'!$B$144:$J$150,0,7+2)),SUMPRODUCT(($AZ7&gt;=INDEX('How This Works &amp; Sources'!$B$144:$J$150,0,4))*INDEX('How This Works &amp; Sources'!$B$144:$J$150,0,4+2))),0.015),IF($AN7="OH",IF($B7&gt;=DATE(2026,8,1),SUMPRODUCT(($AZ7&gt;=INDEX('How This Works &amp; Sources'!$B$203:$J$206,0,1))*INDEX('How This Works &amp; Sources'!$B$203:$J$206,0,1+2)),SUMPRODUCT(($AZ7&gt;=INDEX('How This Works &amp; Sources'!$B$184:$J$198,0,7))*INDEX('How This Works &amp; Sources'!$B$184:$J$198,0,7+2))),IF($AN7="OK",IF($AU7="Married",SUMPRODUCT(($AZ7&gt;=INDEX('How This Works &amp; Sources'!$B$203:$J$206,0,7))*INDEX('How This Works &amp; Sources'!$B$203:$J$206,0,7+2)),SUMPRODUCT(($AZ7&gt;=INDEX('How This Works &amp; Sources'!$B$203:$J$206,0,4))*INDEX('How This Works &amp; Sources'!$B$203:$J$206,0,4+2))),IF($AN7="RI",SUMPRODUCT(($AZ7&gt;=INDEX('How This Works &amp; Sources'!$B$211:$J$214,0,7))*INDEX('How This Works &amp; Sources'!$B$211:$J$214,0,7+2)),IF($AN7="SC",SUMPRODUCT(($AZ7&gt;=INDEX('How This Works &amp; Sources'!$B$219:$J$223,0,1))*INDEX('How This Works &amp; Sources'!$B$219:$J$223,0,1+2)),IF($AN7="VT",IF($AU7="Married",SUMPRODUCT(($AZ7&gt;=INDEX('How This Works &amp; Sources'!$B$228:$J$232,0,1))*INDEX('How This Works &amp; Sources'!$B$228:$J$232,0,1+2)),SUMPRODUCT(($AZ7&gt;=INDEX('How This Works &amp; Sources'!$B$219:$J$223,0,7))*INDEX('How This Works &amp; Sources'!$B$219:$J$223,0,7+2))),IF($AN7="WV",IF($AU7="Married",SUMPRODUCT(($AZ7&gt;=INDEX('How This Works &amp; Sources'!$B$237:$J$241,0,7))*INDEX('How This Works &amp; Sources'!$B$237:$J$241,0,7+2)),SUMPRODUCT(($AZ7&gt;=INDEX('How This Works &amp; Sources'!$B$228:$J$232,0,7))*INDEX('How This Works &amp; Sources'!$B$228:$J$232,0,7+2))),IF($AN7="IN",(0.0295+'Your Pay &amp; Benefits'!$C$76),"")))))))))))))</f>
      </c>
      <c r="CC7" s="24">
        <f>IF($B7="","",IF($AN7="AR",SUMPRODUCT(($AZ7&gt;=INDEX('How This Works &amp; Sources'!$B$82:$J$86,0,7))*INDEX('How This Works &amp; Sources'!$B$82:$J$86,0,7+2)),IF($AN7="DE",SUMPRODUCT(($AZ7&gt;=INDEX('How This Works &amp; Sources'!$B$91:$J$98,0,1))*INDEX('How This Works &amp; Sources'!$B$91:$J$98,0,1+2)),IF($AN7="VA",SUMPRODUCT(($AZ7&gt;=INDEX('How This Works &amp; Sources'!$B$219:$J$223,0,4))*INDEX('How This Works &amp; Sources'!$B$219:$J$223,0,4+2)),IF($AN7="WI",SUMPRODUCT(($AZ7&gt;=INDEX('How This Works &amp; Sources'!$B$228:$J$232,0,4))*INDEX('How This Works &amp; Sources'!$B$228:$J$232,0,4+2)),IF($AN7="AZ",'Your Pay &amp; Benefits'!$C$82,IF($AN7="CO",IF($AY7&gt;IF($AU7="Married",10000,5000),0.044,0),IF($AN7="IA",IF($AY7&gt;IF($AU7="Head of household",19500,IF($AU7="Married",26000,13000)),0.038,0),IF($AN7="ID",IF($AY7&gt;IF($AU7="Married",32000,16094),0.053,0),IF($AN7="IL",IF($AY7&gt;(2925*$AS7+1000*$AT7),0.0495,0),IF($AN7="KY",IF($AI7&gt;3360,0.035,0),IF($AN7="LA",0.0309,IF($AN7="MA",IF(MAX(0,$AY7-MIN(($BD6+$Q7+$R7+$S7),2000)-IF($AS7=0,0,IF($AS7=1,4400,1000*$AS7+3400)))&gt;=1107750,0.09,0.05),IF($AN7="MS",IF($AI7-IF($AU7="Head of household",3400,IF($AU7="Married",4600,2300))-'Your Pay &amp; Benefits'!$C$85&gt;10000,0.04,0),IF($AN7="PA",0.0307,"")))))))))))))))</f>
      </c>
      <c r="CD7" s="21">
        <f>IF(YEAR(IF('Your Pay &amp; Benefits'!$C$7="Weekly",'Your Pay &amp; Benefits'!$C$9+7*(($BE6+1)-1),IF('Your Pay &amp; Benefits'!$C$7="Biweekly",'Your Pay &amp; Benefits'!$C$9+14*(($BE6+1)-1),IF('Your Pay &amp; Benefits'!$C$7="Semimonthly",DATE(YEAR('Your Pay &amp; Benefits'!$C$9),MONTH('Your Pay &amp; Benefits'!$C$9)+INT((($BE6+1)-1)/2),MIN(DAY('Your Pay &amp; Benefits'!$C$9),DAY(EOMONTH(DATE(YEAR('Your Pay &amp; Benefits'!$C$9),MONTH('Your Pay &amp; Benefits'!$C$9)+INT((($BE6+1)-1)/2),1),0))))+IF(MOD(($BE6+1)-1,2)=1,15,0),EDATE('Your Pay &amp; Benefits'!$C$9,($BE6+1)-1)))))&lt;&gt;'Your Pay &amp; Benefits'!$C$10,"",IF('Your Pay &amp; Benefits'!$C$7="Weekly",'Your Pay &amp; Benefits'!$C$9+7*(($BE6+1)-1),IF('Your Pay &amp; Benefits'!$C$7="Biweekly",'Your Pay &amp; Benefits'!$C$9+14*(($BE6+1)-1),IF('Your Pay &amp; Benefits'!$C$7="Semimonthly",DATE(YEAR('Your Pay &amp; Benefits'!$C$9),MONTH('Your Pay &amp; Benefits'!$C$9)+INT((($BE6+1)-1)/2),MIN(DAY('Your Pay &amp; Benefits'!$C$9),DAY(EOMONTH(DATE(YEAR('Your Pay &amp; Benefits'!$C$9),MONTH('Your Pay &amp; Benefits'!$C$9)+INT((($BE6+1)-1)/2),1),0))))+IF(MOD(($BE6+1)-1,2)=1,15,0),EDATE('Your Pay &amp; Benefits'!$C$9,($BE6+1)-1)))))</f>
      </c>
      <c r="CE7" s="21">
        <f>IF(MIN(IF(AND('Your Pay &amp; Benefits'!$C$58&gt;MAX($B$6:$B6),'Your Pay &amp; Benefits'!$C$58&gt;=DATE('Your Pay &amp; Benefits'!$C$10,1,1),'Your Pay &amp; Benefits'!$C$58&lt;=DATE('Your Pay &amp; Benefits'!$C$10,12,31)),'Your Pay &amp; Benefits'!$C$58,999999),IF(AND('Your Pay &amp; Benefits'!$C$59&gt;MAX($B$6:$B6),'Your Pay &amp; Benefits'!$C$59&gt;=DATE('Your Pay &amp; Benefits'!$C$10,1,1),'Your Pay &amp; Benefits'!$C$59&lt;=DATE('Your Pay &amp; Benefits'!$C$10,12,31)),'Your Pay &amp; Benefits'!$C$59,999999),IF(AND('Your Pay &amp; Benefits'!$C$60&gt;MAX($B$6:$B6),'Your Pay &amp; Benefits'!$C$60&gt;=DATE('Your Pay &amp; Benefits'!$C$10,1,1),'Your Pay &amp; Benefits'!$C$60&lt;=DATE('Your Pay &amp; Benefits'!$C$10,12,31)),'Your Pay &amp; Benefits'!$C$60,999999),IF(AND('Your Pay &amp; Benefits'!$C$61&gt;MAX($B$6:$B6),'Your Pay &amp; Benefits'!$C$61&gt;=DATE('Your Pay &amp; Benefits'!$C$10,1,1),'Your Pay &amp; Benefits'!$C$61&lt;=DATE('Your Pay &amp; Benefits'!$C$10,12,31)),'Your Pay &amp; Benefits'!$C$61,999999),IF(AND('Your Pay &amp; Benefits'!$C$62&gt;MAX($B$6:$B6),'Your Pay &amp; Benefits'!$C$62&gt;=DATE('Your Pay &amp; Benefits'!$C$10,1,1),'Your Pay &amp; Benefits'!$C$62&lt;=DATE('Your Pay &amp; Benefits'!$C$10,12,31)),'Your Pay &amp; Benefits'!$C$62,999999),IF(AND('Your Pay &amp; Benefits'!$C$63&gt;MAX($B$6:$B6),'Your Pay &amp; Benefits'!$C$63&gt;=DATE('Your Pay &amp; Benefits'!$C$10,1,1),'Your Pay &amp; Benefits'!$C$63&lt;=DATE('Your Pay &amp; Benefits'!$C$10,12,31)),'Your Pay &amp; Benefits'!$C$63,999999),IF(AND('Your Pay &amp; Benefits'!$C$64&gt;MAX($B$6:$B6),'Your Pay &amp; Benefits'!$C$64&gt;=DATE('Your Pay &amp; Benefits'!$C$10,1,1),'Your Pay &amp; Benefits'!$C$64&lt;=DATE('Your Pay &amp; Benefits'!$C$10,12,31)),'Your Pay &amp; Benefits'!$C$64,999999),IF(AND('Your Pay &amp; Benefits'!$C$65&gt;MAX($B$6:$B6),'Your Pay &amp; Benefits'!$C$65&gt;=DATE('Your Pay &amp; Benefits'!$C$10,1,1),'Your Pay &amp; Benefits'!$C$65&lt;=DATE('Your Pay &amp; Benefits'!$C$10,12,31)),'Your Pay &amp; Benefits'!$C$65,999999),IF(AND('Your Pay &amp; Benefits'!$C$66&gt;MAX($B$6:$B6),'Your Pay &amp; Benefits'!$C$66&gt;=DATE('Your Pay &amp; Benefits'!$C$10,1,1),'Your Pay &amp; Benefits'!$C$66&lt;=DATE('Your Pay &amp; Benefits'!$C$10,12,31)),'Your Pay &amp; Benefits'!$C$66,999999),IF(AND('Your Pay &amp; Benefits'!$C$67&gt;MAX($B$6:$B6),'Your Pay &amp; Benefits'!$C$67&gt;=DATE('Your Pay &amp; Benefits'!$C$10,1,1),'Your Pay &amp; Benefits'!$C$67&lt;=DATE('Your Pay &amp; Benefits'!$C$10,12,31)),'Your Pay &amp; Benefits'!$C$67,999999))=999999,"",MIN(IF(AND('Your Pay &amp; Benefits'!$C$58&gt;MAX($B$6:$B6),'Your Pay &amp; Benefits'!$C$58&gt;=DATE('Your Pay &amp; Benefits'!$C$10,1,1),'Your Pay &amp; Benefits'!$C$58&lt;=DATE('Your Pay &amp; Benefits'!$C$10,12,31)),'Your Pay &amp; Benefits'!$C$58,999999),IF(AND('Your Pay &amp; Benefits'!$C$59&gt;MAX($B$6:$B6),'Your Pay &amp; Benefits'!$C$59&gt;=DATE('Your Pay &amp; Benefits'!$C$10,1,1),'Your Pay &amp; Benefits'!$C$59&lt;=DATE('Your Pay &amp; Benefits'!$C$10,12,31)),'Your Pay &amp; Benefits'!$C$59,999999),IF(AND('Your Pay &amp; Benefits'!$C$60&gt;MAX($B$6:$B6),'Your Pay &amp; Benefits'!$C$60&gt;=DATE('Your Pay &amp; Benefits'!$C$10,1,1),'Your Pay &amp; Benefits'!$C$60&lt;=DATE('Your Pay &amp; Benefits'!$C$10,12,31)),'Your Pay &amp; Benefits'!$C$60,999999),IF(AND('Your Pay &amp; Benefits'!$C$61&gt;MAX($B$6:$B6),'Your Pay &amp; Benefits'!$C$61&gt;=DATE('Your Pay &amp; Benefits'!$C$10,1,1),'Your Pay &amp; Benefits'!$C$61&lt;=DATE('Your Pay &amp; Benefits'!$C$10,12,31)),'Your Pay &amp; Benefits'!$C$61,999999),IF(AND('Your Pay &amp; Benefits'!$C$62&gt;MAX($B$6:$B6),'Your Pay &amp; Benefits'!$C$62&gt;=DATE('Your Pay &amp; Benefits'!$C$10,1,1),'Your Pay &amp; Benefits'!$C$62&lt;=DATE('Your Pay &amp; Benefits'!$C$10,12,31)),'Your Pay &amp; Benefits'!$C$62,999999),IF(AND('Your Pay &amp; Benefits'!$C$63&gt;MAX($B$6:$B6),'Your Pay &amp; Benefits'!$C$63&gt;=DATE('Your Pay &amp; Benefits'!$C$10,1,1),'Your Pay &amp; Benefits'!$C$63&lt;=DATE('Your Pay &amp; Benefits'!$C$10,12,31)),'Your Pay &amp; Benefits'!$C$63,999999),IF(AND('Your Pay &amp; Benefits'!$C$64&gt;MAX($B$6:$B6),'Your Pay &amp; Benefits'!$C$64&gt;=DATE('Your Pay &amp; Benefits'!$C$10,1,1),'Your Pay &amp; Benefits'!$C$64&lt;=DATE('Your Pay &amp; Benefits'!$C$10,12,31)),'Your Pay &amp; Benefits'!$C$64,999999),IF(AND('Your Pay &amp; Benefits'!$C$65&gt;MAX($B$6:$B6),'Your Pay &amp; Benefits'!$C$65&gt;=DATE('Your Pay &amp; Benefits'!$C$10,1,1),'Your Pay &amp; Benefits'!$C$65&lt;=DATE('Your Pay &amp; Benefits'!$C$10,12,31)),'Your Pay &amp; Benefits'!$C$65,999999),IF(AND('Your Pay &amp; Benefits'!$C$66&gt;MAX($B$6:$B6),'Your Pay &amp; Benefits'!$C$66&gt;=DATE('Your Pay &amp; Benefits'!$C$10,1,1),'Your Pay &amp; Benefits'!$C$66&lt;=DATE('Your Pay &amp; Benefits'!$C$10,12,31)),'Your Pay &amp; Benefits'!$C$66,999999),IF(AND('Your Pay &amp; Benefits'!$C$67&gt;MAX($B$6:$B6),'Your Pay &amp; Benefits'!$C$67&gt;=DATE('Your Pay &amp; Benefits'!$C$10,1,1),'Your Pay &amp; Benefits'!$C$67&lt;=DATE('Your Pay &amp; Benefits'!$C$10,12,31)),'Your Pay &amp; Benefits'!$C$67,999999)))</f>
      </c>
      <c r="CF7">
        <f>IF($B7="","",IF($D7=0,$Y7,""))</f>
      </c>
    </row>
    <row r="8">
      <c r="A8" t="n">
        <v>3</v>
      </c>
      <c r="B8" s="21">
        <f>IF(AND($CD8="",$CE8=""),"",IF($CE8="",$CD8,IF($CD8="",$CE8,MIN($CD8,$CE8))))</f>
      </c>
      <c r="C8" s="7">
        <f>IF($B8="","",IF($BF8=0,0,IF('Your Pay &amp; Benefits'!$C$4="Annual salary",ROUND($AK8/IF(AND('Your Pay &amp; Benefits'!$C$88="Actual paydays",MONTH('Your Pay &amp; Benefits'!$C$9)=1),MAX(1,MAX($BE$6:$BE$68)),'Your Pay &amp; Benefits'!$C$8),2),$AK8)))</f>
      </c>
      <c r="D8" s="7">
        <f>IF($B8="","",SUMIF('Your Pay &amp; Benefits'!$C$58:$C$67,$B8,'Your Pay &amp; Benefits'!$D$58:$D$67))</f>
      </c>
      <c r="E8" s="7">
        <f>IF($B8="","",ROUND(MAX(0,MIN(IF($AL8="Percent",$AM8*($C8+$D8),$AM8),MAX(0,'Your Pay &amp; Benefits'!$C$34-$AC7))),2))</f>
      </c>
      <c r="F8" s="7">
        <f>IF($B8="","",ROUND(MAX(0,MIN(IF('Your Pay &amp; Benefits'!$C$32="Percent",'Your Pay &amp; Benefits'!$D$32*($C8+$D8),'Your Pay &amp; Benefits'!$D$32),MAX(0,'Your Pay &amp; Benefits'!$C$34-$AC7-$E8))),2))</f>
      </c>
      <c r="G8" s="7">
        <f>IF($B8="","",IF($BF8=0,0,ROUND(MAX(0,MIN($BL8,'Your Pay &amp; Benefits'!$C$37-'Your Pay &amp; Benefits'!$C$54-$BI7)),2)))</f>
      </c>
      <c r="H8" s="7">
        <f>IF($B8="","",IF(OR($BF8=0,$BQ8=1),0,ROUND(MAX(0,MIN(IF($BS8=1,ROUND(MAX(0,MIN($BJ8,'How This Works &amp; Sources'!$C$13)-$BG7)/MAX(1,MAX($BE$6:$BE$68)-($BE7)),2),ROUND(MIN($BJ8,'How This Works &amp; Sources'!$C$13)/'Your Pay &amp; Benefits'!$C$8,2)),MIN($BJ8,'How This Works &amp; Sources'!$C$13)-$BG7)),2)))</f>
      </c>
      <c r="I8" s="7">
        <f>IF($B8="","",IF(OR($BF8=0,$BR8=1),0,ROUND(MAX(0,MIN(IF($BT8=1,ROUND(MAX(0,MIN($BK8,IF('Your Pay &amp; Benefits'!$C$12="MFJ",'How This Works &amp; Sources'!$C$14,'How This Works &amp; Sources'!$C$15))-$BH7)/MAX(1,MAX($BE$6:$BE$68)-($BE7)),2),ROUND(MIN($BK8,IF('Your Pay &amp; Benefits'!$C$12="MFJ",'How This Works &amp; Sources'!$C$14,'How This Works &amp; Sources'!$C$15))/'Your Pay &amp; Benefits'!$C$8,2)),MIN($BK8,IF('Your Pay &amp; Benefits'!$C$12="MFJ",'How This Works &amp; Sources'!$C$14,'How This Works &amp; Sources'!$C$15))-$BH7)),2)))</f>
      </c>
      <c r="J8" s="7">
        <f>IF($B8="","",IF($BF8=0,0,$BM8))</f>
      </c>
      <c r="K8" s="7">
        <f>IF($B8="","",IF($BF8=0,0,$BN8+$BO8))</f>
      </c>
      <c r="L8" s="7">
        <f>IF($B8="","",IF($BF8=0,0,'Your Pay &amp; Benefits'!$D$46))</f>
      </c>
      <c r="M8" s="7">
        <f>IF($B8="","",$C8+$D8+$L8-$E8-$G8-$H8-$I8-$J8-$K8)</f>
      </c>
      <c r="N8" s="7">
        <f>IF($B8="","",$C8+$D8+$L8-$G8-$H8-$I8-$J8-$K8)</f>
      </c>
      <c r="O8" s="7">
        <f>IF($B8="","",$C8+$D8+$L8-$E8-$H8-$I8-$J8-$K8-IF(OR($AN8="CA",$AN8="NJ"),0,$G8))</f>
      </c>
      <c r="P8" s="7">
        <f>IF($B8="","",IF('Your Pay &amp; Benefits'!$C$18,0,ROUND(MAX(0,IF('Your Pay &amp; Benefits'!$C$13,SUMPRODUCT(($AH8&gt;INDEX('How This Works &amp; Sources'!$B$29:$J$36,0,IF('Your Pay &amp; Benefits'!$C$12="MFJ",1,IF('Your Pay &amp; Benefits'!$C$12="HoH",7,4))))*($AH8-INDEX('How This Works &amp; Sources'!$B$29:$J$36,0,IF('Your Pay &amp; Benefits'!$C$12="MFJ",1,IF('Your Pay &amp; Benefits'!$C$12="HoH",7,4))))*INDEX('How This Works &amp; Sources'!$B$29:$J$36,0,IF('Your Pay &amp; Benefits'!$C$12="MFJ",1,IF('Your Pay &amp; Benefits'!$C$12="HoH",7,4))+2)),SUMPRODUCT(($AH8&gt;INDEX('How This Works &amp; Sources'!$B$19:$J$26,0,IF('Your Pay &amp; Benefits'!$C$12="MFJ",1,IF('Your Pay &amp; Benefits'!$C$12="HoH",7,4))))*($AH8-INDEX('How This Works &amp; Sources'!$B$19:$J$26,0,IF('Your Pay &amp; Benefits'!$C$12="MFJ",1,IF('Your Pay &amp; Benefits'!$C$12="HoH",7,4))))*INDEX('How This Works &amp; Sources'!$B$19:$J$26,0,IF('Your Pay &amp; Benefits'!$C$12="MFJ",1,IF('Your Pay &amp; Benefits'!$C$12="HoH",7,4))+2)))/'Your Pay &amp; Benefits'!$C$8-$AO8/'Your Pay &amp; Benefits'!$C$8)+$AR8+IF('Your Pay &amp; Benefits'!$C$89="Aggregate",MAX(0,IF('Your Pay &amp; Benefits'!$C$13,SUMPRODUCT((($AH8+$D8)&gt;INDEX('How This Works &amp; Sources'!$B$29:$J$36,0,IF('Your Pay &amp; Benefits'!$C$12="MFJ",1,IF('Your Pay &amp; Benefits'!$C$12="HoH",7,4))))*(($AH8+$D8)-INDEX('How This Works &amp; Sources'!$B$29:$J$36,0,IF('Your Pay &amp; Benefits'!$C$12="MFJ",1,IF('Your Pay &amp; Benefits'!$C$12="HoH",7,4))))*INDEX('How This Works &amp; Sources'!$B$29:$J$36,0,IF('Your Pay &amp; Benefits'!$C$12="MFJ",1,IF('Your Pay &amp; Benefits'!$C$12="HoH",7,4))+2)),SUMPRODUCT((($AH8+$D8)&gt;INDEX('How This Works &amp; Sources'!$B$19:$J$26,0,IF('Your Pay &amp; Benefits'!$C$12="MFJ",1,IF('Your Pay &amp; Benefits'!$C$12="HoH",7,4))))*(($AH8+$D8)-INDEX('How This Works &amp; Sources'!$B$19:$J$26,0,IF('Your Pay &amp; Benefits'!$C$12="MFJ",1,IF('Your Pay &amp; Benefits'!$C$12="HoH",7,4))))*INDEX('How This Works &amp; Sources'!$B$19:$J$26,0,IF('Your Pay &amp; Benefits'!$C$12="MFJ",1,IF('Your Pay &amp; Benefits'!$C$12="HoH",7,4))+2)))-IF('Your Pay &amp; Benefits'!$C$13,SUMPRODUCT(($AH8&gt;INDEX('How This Works &amp; Sources'!$B$29:$J$36,0,IF('Your Pay &amp; Benefits'!$C$12="MFJ",1,IF('Your Pay &amp; Benefits'!$C$12="HoH",7,4))))*($AH8-INDEX('How This Works &amp; Sources'!$B$29:$J$36,0,IF('Your Pay &amp; Benefits'!$C$12="MFJ",1,IF('Your Pay &amp; Benefits'!$C$12="HoH",7,4))))*INDEX('How This Works &amp; Sources'!$B$29:$J$36,0,IF('Your Pay &amp; Benefits'!$C$12="MFJ",1,IF('Your Pay &amp; Benefits'!$C$12="HoH",7,4))+2)),SUMPRODUCT(($AH8&gt;INDEX('How This Works &amp; Sources'!$B$19:$J$26,0,IF('Your Pay &amp; Benefits'!$C$12="MFJ",1,IF('Your Pay &amp; Benefits'!$C$12="HoH",7,4))))*($AH8-INDEX('How This Works &amp; Sources'!$B$19:$J$26,0,IF('Your Pay &amp; Benefits'!$C$12="MFJ",1,IF('Your Pay &amp; Benefits'!$C$12="HoH",7,4))))*INDEX('How This Works &amp; Sources'!$B$19:$J$26,0,IF('Your Pay &amp; Benefits'!$C$12="MFJ",1,IF('Your Pay &amp; Benefits'!$C$12="HoH",7,4))+2)))),'How This Works &amp; Sources'!$C$10*$D8),2)))</f>
      </c>
      <c r="Q8" s="7">
        <f>IF($B8="","",ROUND('How This Works &amp; Sources'!$C$4*MIN($N8,MAX(0,'How This Works &amp; Sources'!$C$3-($AX8+$AB7-$AW8))),2))</f>
      </c>
      <c r="R8" s="7">
        <f>IF($B8="","",ROUND('How This Works &amp; Sources'!$C$5*$N8,2))</f>
      </c>
      <c r="S8" s="7">
        <f>IF($B8="","",ROUND('How This Works &amp; Sources'!$C$6*MAX(0,MIN($N8,$AG7+$N8-'How This Works &amp; Sources'!$C$7)),2))</f>
      </c>
      <c r="T8" s="7">
        <f>IF($B8="","",IF('Your Pay &amp; Benefits'!$C$26,0,IF($AN8="CA",ROUND(IF($AI8&lt;=IF(($AS8+$AT8)&gt;=2,VLOOKUP($AN8,StateTables!$A$6:$AB$56,10,FALSE),VLOOKUP($AN8,StateTables!$A$6:$AB$56,9,FALSE)),0,MAX(0,SUMPRODUCT(($AJ8&gt;INDEX('How This Works &amp; Sources'!$B$39:$J$48,0,IF($AU8="Married",4,IF($AU8="Head of household",7,1))))*($AJ8-INDEX('How This Works &amp; Sources'!$B$39:$J$48,0,IF($AU8="Married",4,IF($AU8="Head of household",7,1))))*INDEX('How This Works &amp; Sources'!$B$39:$J$48,0,IF($AU8="Married",4,IF($AU8="Head of household",7,1))+2))-VLOOKUP($AN8,StateTables!$A$6:$AB$56,11,FALSE)*$AS8)/'Your Pay &amp; Benefits'!$C$8)+'Your Pay &amp; Benefits'!$C$25+VLOOKUP($AN8,StateTables!$A$6:$AB$56,13,FALSE)*$D8,2),IF(VLOOKUP($AN8,StateTables!$A$6:$AB$56,4,FALSE)="None",0,IF(ISNUMBER(SEARCH("MANUAL",VLOOKUP($AN8,StateTables!$A$6:$AB$56,5,FALSE))),'Your Pay &amp; Benefits'!$C$28,ROUND(MAX(0,$BA8+$BB8)/'Your Pay &amp; Benefits'!$C$8+'Your Pay &amp; Benefits'!$C$25+$BC8,2))))))</f>
      </c>
      <c r="U8" s="7">
        <f>IF($B8="","",IF(VLOOKUP($AN8,StateTables!$A$6:$AB$56,24,FALSE)="flatq",IF(OR(MONTH($B8)=1,MONTH($B8)=4,MONTH($B8)=7,MONTH($B8)=10),VLOOKUP($AN8,StateTables!$A$6:$AB$56,25,FALSE),0),IF(VLOOKUP($AN8,StateTables!$A$6:$AB$56,24,FALSE)="dbl",MIN(ROUND(0.005*$N8,2),ROUND(0.6*52/'Your Pay &amp; Benefits'!$C$8,2)),IF(OR(VLOOKUP($AN8,StateTables!$A$6:$AB$56,15,FALSE)="",VLOOKUP($AN8,StateTables!$A$6:$AB$56,15,FALSE)=0),0,ROUND(VLOOKUP($AN8,StateTables!$A$6:$AB$56,15,FALSE)*IF(OR(VLOOKUP($AN8,StateTables!$A$6:$AB$56,16,FALSE)="",VLOOKUP($AN8,StateTables!$A$6:$AB$56,16,FALSE)=0),$N8,MIN($N8,MAX(0,VLOOKUP($AN8,StateTables!$A$6:$AB$56,16,FALSE)-($AX8+$AB7-$AW8)))),2))))+IF(VLOOKUP($AN8,StateTables!$A$6:$AB$56,27,FALSE)="flatq",IF(OR(MONTH($B8)=1,MONTH($B8)=4,MONTH($B8)=7,MONTH($B8)=10),VLOOKUP($AN8,StateTables!$A$6:$AB$56,28,FALSE),0),IF(VLOOKUP($AN8,StateTables!$A$6:$AB$56,27,FALSE)="dbl",MIN(ROUND(0.005*$N8,2),ROUND(0.6*52/'Your Pay &amp; Benefits'!$C$8,2)),IF(OR(VLOOKUP($AN8,StateTables!$A$6:$AB$56,18,FALSE)="",VLOOKUP($AN8,StateTables!$A$6:$AB$56,18,FALSE)=0),0,ROUND(VLOOKUP($AN8,StateTables!$A$6:$AB$56,18,FALSE)*IF(OR(VLOOKUP($AN8,StateTables!$A$6:$AB$56,19,FALSE)="",VLOOKUP($AN8,StateTables!$A$6:$AB$56,19,FALSE)=0),$N8,MIN($N8,MAX(0,VLOOKUP($AN8,StateTables!$A$6:$AB$56,19,FALSE)-($AX8+$AB7-$AW8)))),2)))))</f>
      </c>
      <c r="V8" s="7">
        <f>IF($B8="","",IF($AN8="NY",IF('Your Pay &amp; Benefits'!$C$78,ROUND(SUMPRODUCT((MAX(0,($O8-$D8)*'Your Pay &amp; Benefits'!$C$8-(IF($AU8="Married",5500,5000)+1000*$AS8))&gt;INDEX('How This Works &amp; Sources'!$B$184:$J$198,0,4))*(MAX(0,($O8-$D8)*'Your Pay &amp; Benefits'!$C$8-(IF($AU8="Married",5500,5000)+1000*$AS8))-INDEX('How This Works &amp; Sources'!$B$184:$J$198,0,4))*INDEX('How This Works &amp; Sources'!$B$184:$J$198,0,4+2))/'Your Pay &amp; Benefits'!$C$8+0.0425*$D8,2),0)+IF('Your Pay &amp; Benefits'!$C$79="Resident",ROUND(0.1675*$T8,2),IF('Your Pay &amp; Benefits'!$C$79="Nonresident",ROUND(0.005*MAX(0,($O8-$D8)-(IF($AU8="Married",7950,7400)+1000*$AS8)/'Your Pay &amp; Benefits'!$C$8),2),0)),IF($AN8="PA",IF('Your Pay &amp; Benefits'!$C$80="None",'Your Pay &amp; Benefits'!$C$27+ROUND('Your Pay &amp; Benefits'!$C$81*($C8+$D8),2),ROUND(IF('Your Pay &amp; Benefits'!$C$80="Resident",IF($B8&lt;DATE(2026,7,1),0.0374,0.03735),IF($B8&lt;DATE(2026,7,1),0.0343,0.03425))*($C8+$D8),2)),IF($BF8=0,ROUND('Your Pay &amp; Benefits'!$C$81*($C8+$D8),2),'Your Pay &amp; Benefits'!$C$27+ROUND('Your Pay &amp; Benefits'!$C$81*($C8+$D8),2)))))</f>
      </c>
      <c r="W8" s="7">
        <f>IF($B8="","",IF($BF8=0,0,$BP8))</f>
      </c>
      <c r="X8" s="7">
        <f>IF($B8="","",SUM($E8:$K8)+$P8+$Q8+$R8+$S8+$T8+$U8+$V8+$W8)</f>
      </c>
      <c r="Y8" s="22">
        <f>IF($B8="","",$C8+$D8-$X8)</f>
      </c>
      <c r="Z8" s="7">
        <f>IF($B8="","",$Z7+$C8+$D8)</f>
      </c>
      <c r="AA8" s="7">
        <f>IF($B8="","",$AA7+$Y8)</f>
      </c>
      <c r="AB8" s="7">
        <f>IF($B8="","",$AB7+MIN($N8,MAX(0,'How This Works &amp; Sources'!$C$3-($AX8+$AB7-$AW8))))</f>
      </c>
      <c r="AC8" s="7">
        <f>IF($B8="","",$AC7+$E8+$F8)</f>
      </c>
      <c r="AD8" s="3">
        <f>IF($B8="","",IF(AND($AB7&lt;'How This Works &amp; Sources'!$C$3,$AB8&gt;='How This Works &amp; Sources'!$C$3),"★ Social Security maxed on this check — from the next check your net rises by about $"&amp;TEXT(ROUND('How This Works &amp; Sources'!$C$4*$N8,2),"#,##0.00")&amp;". ","")&amp;IF(AND($AC7&lt;'Your Pay &amp; Benefits'!$C$34,$AC8&gt;='Your Pay &amp; Benefits'!$C$34),"★ 401(k) reaches the $"&amp;TEXT('Your Pay &amp; Benefits'!$C$34,"#,##0")&amp;" cap on this check — deferrals stop and net pay rises. ","")&amp;IF(AND($AG7&lt;'How This Works &amp; Sources'!$C$7,$AG8&gt;='How This Works &amp; Sources'!$C$7),"★ Wages pass $200,000 — the 0.9% Additional Medicare Tax starts here. ","")&amp;IF(AND($BJ8&gt;0,$H8&gt;0,$BG7&lt;MIN($BJ8,'How This Works &amp; Sources'!$C$13),$BG7+$H8&gt;=MIN($BJ8,'How This Works &amp; Sources'!$C$13)),"★ Health FSA election is now fully deferred for the year. ",""))</f>
      </c>
      <c r="AE8" s="41" t="n"/>
      <c r="AF8" s="7">
        <f>IF(OR($B8="",$AE8=""),"",$AE8-$Y8)</f>
      </c>
      <c r="AG8" s="7">
        <f>IF($B8="","",$AG7+$N8)</f>
      </c>
      <c r="AH8" s="7">
        <f>IF($B8="","",MAX(0,($M8-$D8)*'Your Pay &amp; Benefits'!$C$8+$AP8-$AQ8-IF('Your Pay &amp; Benefits'!$C$13,0,IF('Your Pay &amp; Benefits'!$C$12="MFJ",'How This Works &amp; Sources'!$C$8,'How This Works &amp; Sources'!$C$9))))</f>
      </c>
      <c r="AI8" s="7">
        <f>IF($B8="","",$O8*'Your Pay &amp; Benefits'!$C$8)</f>
      </c>
      <c r="AJ8" s="7">
        <f>IF($B8="","",MAX(0,$AI8-VLOOKUP($AN8,StateTables!$A$6:$AB$56,12,FALSE)*$AT8-IF(($AS8+$AT8)&gt;=2,VLOOKUP($AN8,StateTables!$A$6:$AB$56,8,FALSE),VLOOKUP($AN8,StateTables!$A$6:$AB$56,7,FALSE))))</f>
      </c>
      <c r="AK8" s="7">
        <f>IF($B8="","",IFERROR(LOOKUP(2,1/(('Changes &amp; Events'!$C$6:$C$17="Salary change")*('Changes &amp; Events'!$B$6:$B$17&lt;=$B8)*('Changes &amp; Events'!$B$6:$B$17&lt;&gt;"")),'Changes &amp; Events'!$D$6:$D$17),IF('Your Pay &amp; Benefits'!$C$4="Annual salary",'Your Pay &amp; Benefits'!$C$5,'Your Pay &amp; Benefits'!$C$6)))</f>
      </c>
      <c r="AL8">
        <f>IF($B8="","",IFERROR(LOOKUP(2,1/(('Changes &amp; Events'!$C$6:$C$17="401(k) change")*('Changes &amp; Events'!$B$6:$B$17&lt;=$B8)*('Changes &amp; Events'!$B$6:$B$17&lt;&gt;"")),'Changes &amp; Events'!$D$6:$D$17),'Your Pay &amp; Benefits'!$C$30))</f>
      </c>
      <c r="AM8" s="7">
        <f>IF($B8="","",IFERROR(LOOKUP(2,1/(('Changes &amp; Events'!$C$6:$C$17="401(k) change")*('Changes &amp; Events'!$B$6:$B$17&lt;=$B8)*('Changes &amp; Events'!$B$6:$B$17&lt;&gt;"")),'Changes &amp; Events'!$E$6:$E$17),'Your Pay &amp; Benefits'!$D$31))</f>
      </c>
      <c r="AN8">
        <f>IF($B8="","",IFERROR(LOOKUP(2,1/(('Changes &amp; Events'!$C$6:$C$17="State move")*('Changes &amp; Events'!$B$6:$B$17&lt;=$B8)*('Changes &amp; Events'!$B$6:$B$17&lt;&gt;"")),'Changes &amp; Events'!$D$6:$D$17),'Your Pay &amp; Benefits'!$C$21))</f>
      </c>
      <c r="AO8" s="7">
        <f>IF($B8="","",IFERROR(LOOKUP(2,1/(('Changes &amp; Events'!$C$6:$C$17="W-4 change")*('Changes &amp; Events'!$B$6:$B$17&lt;=$B8)*('Changes &amp; Events'!$B$6:$B$17&lt;&gt;"")),'Changes &amp; Events'!$D$6:$D$17),'Your Pay &amp; Benefits'!$C$14))</f>
      </c>
      <c r="AP8" s="7">
        <f>IF($B8="","",IFERROR(LOOKUP(2,1/(('Changes &amp; Events'!$C$6:$C$17="W-4 change")*('Changes &amp; Events'!$B$6:$B$17&lt;=$B8)*('Changes &amp; Events'!$B$6:$B$17&lt;&gt;"")),'Changes &amp; Events'!$E$6:$E$17),'Your Pay &amp; Benefits'!$C$15))</f>
      </c>
      <c r="AQ8" s="7">
        <f>IF($B8="","",IFERROR(LOOKUP(2,1/(('Changes &amp; Events'!$C$6:$C$17="W-4 change")*('Changes &amp; Events'!$B$6:$B$17&lt;=$B8)*('Changes &amp; Events'!$B$6:$B$17&lt;&gt;"")),'Changes &amp; Events'!$F$6:$F$17),'Your Pay &amp; Benefits'!$C$16))</f>
      </c>
      <c r="AR8" s="7">
        <f>IF($B8="","",IFERROR(LOOKUP(2,1/(('Changes &amp; Events'!$C$6:$C$17="W-4 change")*('Changes &amp; Events'!$B$6:$B$17&lt;=$B8)*('Changes &amp; Events'!$B$6:$B$17&lt;&gt;"")),'Changes &amp; Events'!$G$6:$G$17),'Your Pay &amp; Benefits'!$C$17))</f>
      </c>
      <c r="AS8" s="6">
        <f>IF($B8="","",IFERROR(LOOKUP(2,1/((('Changes &amp; Events'!$C$6:$C$17="State move")+('Changes &amp; Events'!$C$6:$C$17="State cert change"))*('Changes &amp; Events'!$B$6:$B$17&lt;=$B8)*('Changes &amp; Events'!$B$6:$B$17&lt;&gt;"")),'Changes &amp; Events'!$F$6:$F$17),'Your Pay &amp; Benefits'!$C$23))</f>
      </c>
      <c r="AT8" s="6">
        <f>IF($B8="","",IFERROR(LOOKUP(2,1/((('Changes &amp; Events'!$C$6:$C$17="State move")+('Changes &amp; Events'!$C$6:$C$17="State cert change"))*('Changes &amp; Events'!$B$6:$B$17&lt;=$B8)*('Changes &amp; Events'!$B$6:$B$17&lt;&gt;"")),'Changes &amp; Events'!$G$6:$G$17),'Your Pay &amp; Benefits'!$C$24))</f>
      </c>
      <c r="AU8">
        <f>IF($B8="","",IFERROR(LOOKUP(2,1/(('Changes &amp; Events'!$C$6:$C$17="State move")*('Changes &amp; Events'!$B$6:$B$17&lt;=$B8)*('Changes &amp; Events'!$B$6:$B$17&lt;&gt;"")),'Changes &amp; Events'!$E$6:$E$17),'Your Pay &amp; Benefits'!$C$22))</f>
      </c>
      <c r="AV8" s="6">
        <f>IF($B8="","",1+COUNTIFS('Changes &amp; Events'!$C$6:$C$17,"Employer change",'Changes &amp; Events'!$B$6:$B$17,"&lt;="&amp;$B8,'Changes &amp; Events'!$B$6:$B$17,"&lt;&gt;"))</f>
      </c>
      <c r="AW8" s="7">
        <f>IF($B8="","",IF($AV8=1,'Your Pay &amp; Benefits'!$C$49,IF(IFERROR(MATCH(IFERROR(LOOKUP(2,1/(('Changes &amp; Events'!$C$6:$C$17="Employer change")*('Changes &amp; Events'!$B$6:$B$17&lt;=$B8)*('Changes &amp; Events'!$B$6:$B$17&lt;&gt;"")),'Changes &amp; Events'!$B$6:$B$17),""),$B$6:$B$68,1),1)&lt;=1,'Your Pay &amp; Benefits'!$C$49,INDEX($AB$6:$AB$68,MATCH(IFERROR(LOOKUP(2,1/(('Changes &amp; Events'!$C$6:$C$17="Employer change")*('Changes &amp; Events'!$B$6:$B$17&lt;=$B8)*('Changes &amp; Events'!$B$6:$B$17&lt;&gt;"")),'Changes &amp; Events'!$B$6:$B$17),""),$B$6:$B$68,1)-1))))</f>
      </c>
      <c r="AX8" s="7">
        <f>IF($B8="","",IF($AV8=1,'Your Pay &amp; Benefits'!$C$49,IFERROR(LOOKUP(2,1/(('Changes &amp; Events'!$C$6:$C$17="Employer change")*('Changes &amp; Events'!$B$6:$B$17&lt;=$B8)*('Changes &amp; Events'!$B$6:$B$17&lt;&gt;"")),'Changes &amp; Events'!$D$6:$D$17),0)))</f>
      </c>
      <c r="AY8" s="7">
        <f>IF($B8="","",($O8-$D8)*'Your Pay &amp; Benefits'!$C$8)</f>
      </c>
      <c r="AZ8" s="7">
        <f>IF($B8="","",IF($AN8="AL",MAX(0,$AY8-IF($AU8="Married",IF($AY8&lt;=25999,8500,MAX(5000,8500-175*CEILING(($AY8-25999)/500,1))),IF($AU8="Head of household",IF($AY8&lt;=25999,5200,MAX(2500,5200-135*CEILING(($AY8-25999)/500,1))),IF($AY8&lt;=25999,3000,MAX(2500,3000-25*CEILING(($AY8-25999)/500,1)))))-($P8-'How This Works &amp; Sources'!$C$10*$D8)*'Your Pay &amp; Benefits'!$C$8-IF(OR($AU8="Married",$AU8="Head of household"),3000,1500)-$AT8*IF($AY8&lt;=50000,1000,IF($AY8&lt;=100000,500,300))),IF($AN8="AR",IF(MAX(0,$AY8-2470)&lt;97701,INT(MAX(0,$AY8-2470)/100)*100+50,MAX(0,$AY8-2470)),IF($AN8="DE",MAX(0,$AI8-3250),IF($AN8="HI",MAX(0,$AI8-1144*$AS8-4350),IF($AN8="KS",MAX(0,$AI8-(9160*IF($AU8="Married",2,1)+2320*$AT8+IF($AU8="Head of household",2320,0))),IF($AN8="MD",MAX(0,$AI8-3400-3200*$AS8),IF($AN8="MN",MAX(0,$AY8-5300*$AS8),IF($AN8="MO",MAX(0,$AI8-IF($AU8="Head of household",24150,IF($AU8="Married",IF('Your Pay &amp; Benefits'!$C$83,16100,32200),16100))),IF($AN8="MT",$AY8,IF($AN8="ND",($C8+$L8)*'Your Pay &amp; Benefits'!$C$8,IF($AN8="NE",MAX(0,$AY8-2440*$AS8),IF($AN8="NJ",MAX(0,$AY8-1000*$AS8),IF($AN8="NY",MAX(0,$AY8-(IF($AU8="Married",7950,7400)+1000*$AS8)),IF($AN8="OH",MAX(0,$AY8-650*$AS8),IF($AN8="OK",MAX(0,$AY8-1000*$AS8),IF($AN8="RI",MAX(0,$AI8-1000*$AS8),IF($AN8="SC",MAX(0,$AI8-5000*$AS8-IF($AS8=0,0,MIN(0.1*$AI8,7500))),IF($AN8="VA",MAX(0,$AI8-IF($AU8="Married",17500,8750)-930*$AS8-800*$AT8),IF($AN8="VT",MAX(0,$AI8-5400*$AS8),IF($AN8="WI",MAX(0,$AI8-MAX(0,IF($AU8="Married",9461-0.2*MAX(0,$AI8-25727),6702-0.12*MAX(0,$AI8-17780)))-400*$AS8),IF($AN8="WV",MAX(0,$AI8-2000*$AS8),$AI8))))))))))))))))))))))</f>
      </c>
      <c r="BA8" s="7">
        <f>IF($B8="","",IF($BW8&lt;&gt;"",$BW8,IF($BX8&lt;&gt;"",$BX8,IF($BY8&lt;&gt;"",$BY8,0))))</f>
      </c>
      <c r="BB8" s="7">
        <f>IF($B8="","",IF($AN8="AR",-29*$AS8,IF($AN8="DE",-110*$AS8,IF($AN8="MD",$AZ8*'Your Pay &amp; Benefits'!$C$74,IF($AN8="AZ",'Your Pay &amp; Benefits'!$C$82*($M8-$D8)*'Your Pay &amp; Benefits'!$C$8,IF($AN8="CO",0.044*MAX(0,$AY8-IF($AU8="Married",10000,5000)),IF($AN8="IA",MAX(0,0.038*MAX(0,$AY8-IF($AU8="Head of household",19500,IF($AU8="Married",26000,13000)))-40*$AS8),IF($AN8="ID",0.053*MAX(0,$AY8-IF($AU8="Married",32000,16094)),IF($AN8="IL",0.0495*MAX(0,$AY8-(2925*$AS8+1000*$AT8)),IF($AN8="IN",(0.0295+'Your Pay &amp; Benefits'!$C$76)*MAX(0,$AY8-(1000*$AS8+1500*$AT8+3000*'Your Pay &amp; Benefits'!$C$86)),IF($AN8="KY",0.035*MAX(0,$AI8-3360),IF($AN8="LA",IF('Your Pay &amp; Benefits'!$C$84="0",0.0309*$AI8,0.0309*MAX(0,$AI8-IF('Your Pay &amp; Benefits'!$C$84="2",25750,12875))),IF($AN8="MA",0.05*MIN(MAX(0,$AY8-MIN(($BD7+$Q8+$R8+$S8),2000)-IF($AS8=0,0,IF($AS8=1,4400,1000*$AS8+3400))),1107750)+0.09*MAX(0,MAX(0,$AY8-MIN(($BD7+$Q8+$R8+$S8),2000)-IF($AS8=0,0,IF($AS8=1,4400,1000*$AS8+3400)))-1107750)-IF($AU8="Head of household",120,0)-110*'Your Pay &amp; Benefits'!$C$75,IF($AN8="MI",0.0425*MAX(0,$AY8-5900*$AS8),IF($AN8="MS",0.04*MAX(0,$AI8-IF($AU8="Head of household",3400,IF($AU8="Married",4600,2300))-'Your Pay &amp; Benefits'!$C$85-10000),IF($AN8="OR",IF(OR($AU8="Married",AND($AU8="Single",$AS8&gt;=3)),SUMPRODUCT((MAX(0,$AY8-MIN(($P8-'How This Works &amp; Sources'!$C$10*$D8)*'Your Pay &amp; Benefits'!$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Sources'!$B$211:$J$214,0,4))*(MAX(0,$AY8-MIN(($P8-'How This Works &amp; Sources'!$C$10*$D8)*'Your Pay &amp; Benefits'!$C$8,IF(OR($AU8="Married",AND($AU8="Single",$AS8&gt;=3)),IF($AY8&lt;250000,8750,IF($AY8&lt;260000,7000,IF($AY8&lt;270000,5250,IF($AY8&lt;280000,3500,IF($AY8&lt;290000,1750,0))))),IF($AY8&lt;125000,8750,IF($AY8&lt;130000,7000,IF($AY8&lt;135000,5250,IF($AY8&lt;140000,3500,IF($AY8&lt;145000,1750,0)))))))-IF(OR($AU8="Married",AND($AU8="Single",$AS8&gt;=3)),5820,2910))-INDEX('How This Works &amp; Sources'!$B$211:$J$214,0,4))*INDEX('How This Works &amp; Sources'!$B$211:$J$214,0,4+2)),SUMPRODUCT((MAX(0,$AY8-MIN(($P8-'How This Works &amp; Sources'!$C$10*$D8)*'Your Pay &amp; Benefits'!$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Sources'!$B$211:$J$214,0,1))*(MAX(0,$AY8-MIN(($P8-'How This Works &amp; Sources'!$C$10*$D8)*'Your Pay &amp; Benefits'!$C$8,IF(OR($AU8="Married",AND($AU8="Single",$AS8&gt;=3)),IF($AY8&lt;250000,8750,IF($AY8&lt;260000,7000,IF($AY8&lt;270000,5250,IF($AY8&lt;280000,3500,IF($AY8&lt;290000,1750,0))))),IF($AY8&lt;125000,8750,IF($AY8&lt;130000,7000,IF($AY8&lt;135000,5250,IF($AY8&lt;140000,3500,IF($AY8&lt;145000,1750,0)))))))-IF(OR($AU8="Married",AND($AU8="Single",$AS8&gt;=3)),5820,2910))-INDEX('How This Works &amp; Sources'!$B$211:$J$214,0,1))*INDEX('How This Works &amp; Sources'!$B$211:$J$214,0,1+2)))+263-263*IF(IF($AU8="Married",$AY8&gt;200000,$AY8&gt;100000),0,$AS8),IF($AN8="PA",0.0307*(($O8+$E8+$G8)*'Your Pay &amp; Benefits'!$C$8),IF($AN8="NY",IF($AU8="Married",IF($AZ8&gt;=2155350,0,IF($AZ8&gt;=1077550,0.48,IF($AZ8&gt;=373200,1.21,IF($AZ8&gt;=323200,0.21,IF($AZ8&gt;=211550,-0.19,IF($AZ8&gt;=157650,-2.8,IF($AZ8&gt;=107650,-0.8,IF($AZ8&gt;=96800,0.05,IF($AZ8&gt;=80650,-0.1,IF($AZ8&gt;=13900,0.4,IF($AZ8&gt;=11700,-0.3,IF($AZ8&gt;=8500,0.5,0)))))))))))),IF($AZ8&gt;=1077550,0,IF($AZ8&gt;=265400,4.29,IF($AZ8&gt;=215400,2.29,IF($AZ8&gt;=157650,2.29,IF($AZ8&gt;=107650,0.29,IF($AZ8&gt;=96800,0.05,IF($AZ8&gt;=80650,-0.1,IF($AZ8&gt;=13900,0.4,IF($AZ8&gt;=11700,-0.3,IF($AZ8&gt;=8500,0.5,0))))))))))),0))))))))))))))))))</f>
      </c>
      <c r="BC8" s="7">
        <f>IF($B8="","",IF($AN8="AL",0.05*$D8,IF($AN8="AR",0.039*$D8,IF($AN8="ID",0.053*$D8,IF($AN8="IN",(0.0295+'Your Pay &amp; Benefits'!$C$76)*$D8,IF($AN8="KS",0.05*$D8,IF($AN8="MA",0.09*MIN($D8,MAX(0,MAX(0,$AY8-MIN(($BD7+$Q8+$R8+$S8),2000)-IF($AS8=0,0,IF($AS8=1,4400,1000*$AS8+3400)))+$D8-1107750))+0.05*($D8-MIN($D8,MAX(0,MAX(0,$AY8-MIN(($BD7+$Q8+$R8+$S8),2000)-IF($AS8=0,0,IF($AS8=1,4400,1000*$AS8+3400)))+$D8-1107750))),IF($AN8="MD",(0.065+'Your Pay &amp; Benefits'!$C$74)*$D8,IF($AN8="MI",0.0425*$D8,IF($AN8="MN",0.0625*$D8,IF($AN8="MO",0.047*$D8,IF($AN8="MT",0.05*$D8,IF($AN8="ND",0.015*$D8,IF($AN8="NE",0.035*$D8,IF($AN8="NJ",IF('Your Pay &amp; Benefits'!$C$77="B",SUMPRODUCT(($D8*'Your Pay &amp; Benefits'!$C$8&gt;INDEX('How This Works &amp; Sources'!$B$155:$J$162,0,4))*($D8*'Your Pay &amp; Benefits'!$C$8-INDEX('How This Works &amp; Sources'!$B$155:$J$162,0,4))*INDEX('How This Works &amp; Sources'!$B$155:$J$162,0,4+2)),IF('Your Pay &amp; Benefits'!$C$77="C",SUMPRODUCT(($D8*'Your Pay &amp; Benefits'!$C$8&gt;INDEX('How This Works &amp; Sources'!$B$155:$J$162,0,7))*($D8*'Your Pay &amp; Benefits'!$C$8-INDEX('How This Works &amp; Sources'!$B$155:$J$162,0,7))*INDEX('How This Works &amp; Sources'!$B$155:$J$162,0,7+2)),IF('Your Pay &amp; Benefits'!$C$77="D",SUMPRODUCT(($D8*'Your Pay &amp; Benefits'!$C$8&gt;INDEX('How This Works &amp; Sources'!$B$167:$J$179,0,1))*($D8*'Your Pay &amp; Benefits'!$C$8-INDEX('How This Works &amp; Sources'!$B$167:$J$179,0,1))*INDEX('How This Works &amp; Sources'!$B$167:$J$179,0,1+2)),IF('Your Pay &amp; Benefits'!$C$77="E",SUMPRODUCT(($D8*'Your Pay &amp; Benefits'!$C$8&gt;INDEX('How This Works &amp; Sources'!$B$167:$J$179,0,4))*($D8*'Your Pay &amp; Benefits'!$C$8-INDEX('How This Works &amp; Sources'!$B$167:$J$179,0,4))*INDEX('How This Works &amp; Sources'!$B$167:$J$179,0,4+2)),SUMPRODUCT(($D8*'Your Pay &amp; Benefits'!$C$8&gt;INDEX('How This Works &amp; Sources'!$B$155:$J$162,0,1))*($D8*'Your Pay &amp; Benefits'!$C$8-INDEX('How This Works &amp; Sources'!$B$155:$J$162,0,1))*INDEX('How This Works &amp; Sources'!$B$155:$J$162,0,1+2))))))/'Your Pay &amp; Benefits'!$C$8,IF($AN8="NY",0.117*$D8,IF($AN8="OH",0.0275*$D8,IF($AN8="OK",0.045*$D8,IF($AN8="OR",0.08*$D8,IF($AN8="WI",IF($AY8&lt;12760,0.0354,IF($AY8&lt;25520,0.0465,IF($AY8&lt;280950,0.053,0.0765)))*$D8,0))))))))))))))))))))</f>
      </c>
      <c r="BD8" s="7">
        <f>IF($B8="","",$BD7+$Q8+$R8+$S8)</f>
      </c>
      <c r="BE8" s="6">
        <f>IF($B8="",$BE7,$BE7+$BF8)</f>
      </c>
      <c r="BF8" s="6">
        <f>IF($B8="","",IF(AND(IF(YEAR(IF('Your Pay &amp; Benefits'!$C$7="Weekly",'Your Pay &amp; Benefits'!$C$9+7*(($BE7+1)-1),IF('Your Pay &amp; Benefits'!$C$7="Biweekly",'Your Pay &amp; Benefits'!$C$9+14*(($BE7+1)-1),IF('Your Pay &amp; Benefits'!$C$7="Semimonthly",DATE(YEAR('Your Pay &amp; Benefits'!$C$9),MONTH('Your Pay &amp; Benefits'!$C$9)+INT((($BE7+1)-1)/2),MIN(DAY('Your Pay &amp; Benefits'!$C$9),DAY(EOMONTH(DATE(YEAR('Your Pay &amp; Benefits'!$C$9),MONTH('Your Pay &amp; Benefits'!$C$9)+INT((($BE7+1)-1)/2),1),0))))+IF(MOD(($BE7+1)-1,2)=1,15,0),EDATE('Your Pay &amp; Benefits'!$C$9,($BE7+1)-1)))))&lt;&gt;'Your Pay &amp; Benefits'!$C$10,"",IF('Your Pay &amp; Benefits'!$C$7="Weekly",'Your Pay &amp; Benefits'!$C$9+7*(($BE7+1)-1),IF('Your Pay &amp; Benefits'!$C$7="Biweekly",'Your Pay &amp; Benefits'!$C$9+14*(($BE7+1)-1),IF('Your Pay &amp; Benefits'!$C$7="Semimonthly",DATE(YEAR('Your Pay &amp; Benefits'!$C$9),MONTH('Your Pay &amp; Benefits'!$C$9)+INT((($BE7+1)-1)/2),MIN(DAY('Your Pay &amp; Benefits'!$C$9),DAY(EOMONTH(DATE(YEAR('Your Pay &amp; Benefits'!$C$9),MONTH('Your Pay &amp; Benefits'!$C$9)+INT((($BE7+1)-1)/2),1),0))))+IF(MOD(($BE7+1)-1,2)=1,15,0),EDATE('Your Pay &amp; Benefits'!$C$9,($BE7+1)-1)))))&lt;&gt;"",$B8=IF(YEAR(IF('Your Pay &amp; Benefits'!$C$7="Weekly",'Your Pay &amp; Benefits'!$C$9+7*(($BE7+1)-1),IF('Your Pay &amp; Benefits'!$C$7="Biweekly",'Your Pay &amp; Benefits'!$C$9+14*(($BE7+1)-1),IF('Your Pay &amp; Benefits'!$C$7="Semimonthly",DATE(YEAR('Your Pay &amp; Benefits'!$C$9),MONTH('Your Pay &amp; Benefits'!$C$9)+INT((($BE7+1)-1)/2),MIN(DAY('Your Pay &amp; Benefits'!$C$9),DAY(EOMONTH(DATE(YEAR('Your Pay &amp; Benefits'!$C$9),MONTH('Your Pay &amp; Benefits'!$C$9)+INT((($BE7+1)-1)/2),1),0))))+IF(MOD(($BE7+1)-1,2)=1,15,0),EDATE('Your Pay &amp; Benefits'!$C$9,($BE7+1)-1)))))&lt;&gt;'Your Pay &amp; Benefits'!$C$10,"",IF('Your Pay &amp; Benefits'!$C$7="Weekly",'Your Pay &amp; Benefits'!$C$9+7*(($BE7+1)-1),IF('Your Pay &amp; Benefits'!$C$7="Biweekly",'Your Pay &amp; Benefits'!$C$9+14*(($BE7+1)-1),IF('Your Pay &amp; Benefits'!$C$7="Semimonthly",DATE(YEAR('Your Pay &amp; Benefits'!$C$9),MONTH('Your Pay &amp; Benefits'!$C$9)+INT((($BE7+1)-1)/2),MIN(DAY('Your Pay &amp; Benefits'!$C$9),DAY(EOMONTH(DATE(YEAR('Your Pay &amp; Benefits'!$C$9),MONTH('Your Pay &amp; Benefits'!$C$9)+INT((($BE7+1)-1)/2),1),0))))+IF(MOD(($BE7+1)-1,2)=1,15,0),EDATE('Your Pay &amp; Benefits'!$C$9,($BE7+1)-1)))))),1,0))</f>
      </c>
      <c r="BG8" s="7">
        <f>IF($B8="","",$BG7+$H8)</f>
      </c>
      <c r="BH8" s="7">
        <f>IF($B8="","",$BH7+$I8)</f>
      </c>
      <c r="BI8" s="7">
        <f>IF($B8="","",$BI7+$G8)</f>
      </c>
      <c r="BJ8" s="7">
        <f>IF($B8="","",IFERROR(LOOKUP(2,1/(((('Changes &amp; Events'!$C$6:$C$17="Deduction start"))*('Changes &amp; Events'!$D$6:$D$17="Health FSA"))*('Changes &amp; Events'!$B$6:$B$17&lt;=$B8)*('Changes &amp; Events'!$B$6:$B$17&lt;&gt;"")),'Changes &amp; Events'!$E$6:$E$17),'Your Pay &amp; Benefits'!$D$38))</f>
      </c>
      <c r="BK8" s="7">
        <f>IF($B8="","",IFERROR(LOOKUP(2,1/(((('Changes &amp; Events'!$C$6:$C$17="Deduction start"))*('Changes &amp; Events'!$D$6:$D$17="Dependent-care FSA"))*('Changes &amp; Events'!$B$6:$B$17&lt;=$B8)*('Changes &amp; Events'!$B$6:$B$17&lt;&gt;"")),'Changes &amp; Events'!$E$6:$E$17),'Your Pay &amp; Benefits'!$D$39))</f>
      </c>
      <c r="BL8" s="7">
        <f>IF($B8="","",IFERROR(LOOKUP(2,1/(((('Changes &amp; Events'!$C$6:$C$17="Deduction start")+('Changes &amp; Events'!$C$6:$C$17="Deduction stop"))*('Changes &amp; Events'!$D$6:$D$17="HSA"))*('Changes &amp; Events'!$B$6:$B$17&lt;=$B8)*('Changes &amp; Events'!$B$6:$B$17&lt;&gt;"")),'Changes &amp; Events'!$I$6:$I$17),'Your Pay &amp; Benefits'!$D$35))</f>
      </c>
      <c r="BM8" s="7">
        <f>IF($B8="","",IFERROR(LOOKUP(2,1/(((('Changes &amp; Events'!$C$6:$C$17="Deduction start")+('Changes &amp; Events'!$C$6:$C$17="Deduction stop"))*('Changes &amp; Events'!$D$6:$D$17="Premiums"))*('Changes &amp; Events'!$B$6:$B$17&lt;=$B8)*('Changes &amp; Events'!$B$6:$B$17&lt;&gt;"")),'Changes &amp; Events'!$I$6:$I$17),'Your Pay &amp; Benefits'!$D$40+'Your Pay &amp; Benefits'!$D$41+'Your Pay &amp; Benefits'!$D$42))</f>
      </c>
      <c r="BN8" s="7">
        <f>IF($B8="","",IFERROR(LOOKUP(2,1/(((('Changes &amp; Events'!$C$6:$C$17="Deduction start")+('Changes &amp; Events'!$C$6:$C$17="Deduction stop"))*('Changes &amp; Events'!$D$6:$D$17="Commuter"))*('Changes &amp; Events'!$B$6:$B$17&lt;=$B8)*('Changes &amp; Events'!$B$6:$B$17&lt;&gt;"")),'Changes &amp; Events'!$I$6:$I$17),'Your Pay &amp; Benefits'!$D$43))</f>
      </c>
      <c r="BO8" s="7">
        <f>IF($B8="","",IFERROR(LOOKUP(2,1/(((('Changes &amp; Events'!$C$6:$C$17="Deduction start")+('Changes &amp; Events'!$C$6:$C$17="Deduction stop"))*('Changes &amp; Events'!$D$6:$D$17="Other pre-tax"))*('Changes &amp; Events'!$B$6:$B$17&lt;=$B8)*('Changes &amp; Events'!$B$6:$B$17&lt;&gt;"")),'Changes &amp; Events'!$I$6:$I$17),'Your Pay &amp; Benefits'!$D$44))</f>
      </c>
      <c r="BP8" s="7">
        <f>IF($B8="","",IFERROR(LOOKUP(2,1/(((('Changes &amp; Events'!$C$6:$C$17="Deduction start")+('Changes &amp; Events'!$C$6:$C$17="Deduction stop"))*('Changes &amp; Events'!$D$6:$D$17="Other post-tax"))*('Changes &amp; Events'!$B$6:$B$17&lt;=$B8)*('Changes &amp; Events'!$B$6:$B$17&lt;&gt;"")),'Changes &amp; Events'!$I$6:$I$17),'Your Pay &amp; Benefits'!$D$45))</f>
      </c>
      <c r="BQ8" s="6">
        <f>IF($B8="","",IFERROR(LOOKUP(2,1/(((('Changes &amp; Events'!$C$6:$C$17="Deduction start")+('Changes &amp; Events'!$C$6:$C$17="Deduction stop"))*('Changes &amp; Events'!$D$6:$D$17="Health FSA"))*('Changes &amp; Events'!$B$6:$B$17&lt;=$B8)*('Changes &amp; Events'!$B$6:$B$17&lt;&gt;"")),'Changes &amp; Events'!$J$6:$J$17),0))</f>
      </c>
      <c r="BR8" s="6">
        <f>IF($B8="","",IFERROR(LOOKUP(2,1/(((('Changes &amp; Events'!$C$6:$C$17="Deduction start")+('Changes &amp; Events'!$C$6:$C$17="Deduction stop"))*('Changes &amp; Events'!$D$6:$D$17="Dependent-care FSA"))*('Changes &amp; Events'!$B$6:$B$17&lt;=$B8)*('Changes &amp; Events'!$B$6:$B$17&lt;&gt;"")),'Changes &amp; Events'!$J$6:$J$17),0))</f>
      </c>
      <c r="BS8" s="6">
        <f>IF($B8="","",IF(SUMPRODUCT(('Changes &amp; Events'!$C$6:$C$17="Deduction start")*('Changes &amp; Events'!$B$6:$B$17&lt;=$B8)*('Changes &amp; Events'!$B$6:$B$17&lt;&gt;"")*('Changes &amp; Events'!$D$6:$D$17="Health FSA"))&gt;0,1,0))</f>
      </c>
      <c r="BT8" s="6">
        <f>IF($B8="","",IF(SUMPRODUCT(('Changes &amp; Events'!$C$6:$C$17="Deduction start")*('Changes &amp; Events'!$B$6:$B$17&lt;=$B8)*('Changes &amp; Events'!$B$6:$B$17&lt;&gt;"")*('Changes &amp; Events'!$D$6:$D$17="Dependent-care FSA"))&gt;0,1,0))</f>
      </c>
      <c r="BU8" s="24">
        <f>IF($B8="","",IF('Your Pay &amp; Benefits'!$C$13,SUMPRODUCT(($AH8&gt;=INDEX('How This Works &amp; Sources'!$B$29:$J$36,0,IF('Your Pay &amp; Benefits'!$C$12="MFJ",1,IF('Your Pay &amp; Benefits'!$C$12="HoH",7,4))))*INDEX('How This Works &amp; Sources'!$B$29:$J$36,0,IF('Your Pay &amp; Benefits'!$C$12="MFJ",1,IF('Your Pay &amp; Benefits'!$C$12="HoH",7,4))+2)),SUMPRODUCT(($AH8&gt;=INDEX('How This Works &amp; Sources'!$B$19:$J$26,0,IF('Your Pay &amp; Benefits'!$C$12="MFJ",1,IF('Your Pay &amp; Benefits'!$C$12="HoH",7,4))))*INDEX('How This Works &amp; Sources'!$B$19:$J$26,0,IF('Your Pay &amp; Benefits'!$C$12="MFJ",1,IF('Your Pay &amp; Benefits'!$C$12="HoH",7,4))+2))))</f>
      </c>
      <c r="BV8" s="24">
        <f>IF($B8="","",IF($BZ8&lt;&gt;"",$BZ8,IF($CA8&lt;&gt;"",$CA8,IF($CB8&lt;&gt;"",$CB8,IF($CC8&lt;&gt;"",$CC8,0)))))</f>
      </c>
      <c r="BW8" s="7">
        <f>IF($B8="","",IF($AN8="MD",IF(OR($AU8="Married",$AU8="Head of household"),SUMPRODUCT(($AZ8&gt;INDEX('How This Works &amp; Sources'!$B$114:$J$120,0,1))*($AZ8-INDEX('How This Works &amp; Sources'!$B$114:$J$120,0,1))*INDEX('How This Works &amp; Sources'!$B$114:$J$120,0,1+2)),SUMPRODUCT(($AZ8&gt;INDEX('How This Works &amp; Sources'!$B$103:$J$109,0,7))*($AZ8-INDEX('How This Works &amp; Sources'!$B$103:$J$109,0,7))*INDEX('How This Works &amp; Sources'!$B$103:$J$109,0,7+2))),IF($AN8="MO",SUMPRODUCT(($AZ8&gt;INDEX('How This Works &amp; Sources'!$B$125:$J$132,0,1))*($AZ8-INDEX('How This Works &amp; Sources'!$B$125:$J$132,0,1))*INDEX('How This Works &amp; Sources'!$B$125:$J$132,0,1+2)),IF($AN8="MT",IF($AU8="Head of household",SUMPRODUCT(($AZ8&gt;INDEX('How This Works &amp; Sources'!$B$137:$J$139,0,1))*($AZ8-INDEX('How This Works &amp; Sources'!$B$137:$J$139,0,1))*INDEX('How This Works &amp; Sources'!$B$137:$J$139,0,1+2)),IF($AU8="Married",SUMPRODUCT(($AZ8&gt;INDEX('How This Works &amp; Sources'!$B$125:$J$132,0,7))*($AZ8-INDEX('How This Works &amp; Sources'!$B$125:$J$132,0,7))*INDEX('How This Works &amp; Sources'!$B$125:$J$132,0,7+2)),SUMPRODUCT(($AZ8&gt;INDEX('How This Works &amp; Sources'!$B$125:$J$132,0,4))*($AZ8-INDEX('How This Works &amp; Sources'!$B$125:$J$132,0,4))*INDEX('How This Works &amp; Sources'!$B$125:$J$132,0,4+2)))),IF($AN8="ND",IF($AU8="Head of household",SUMPRODUCT(($AZ8&gt;INDEX('How This Works &amp; Sources'!$B$144:$J$150,0,1))*($AZ8-INDEX('How This Works &amp; Sources'!$B$144:$J$150,0,1))*INDEX('How This Works &amp; Sources'!$B$144:$J$150,0,1+2)),IF($AU8="Married",SUMPRODUCT(($AZ8&gt;INDEX('How This Works &amp; Sources'!$B$137:$J$139,0,7))*($AZ8-INDEX('How This Works &amp; Sources'!$B$137:$J$139,0,7))*INDEX('How This Works &amp; Sources'!$B$137:$J$139,0,7+2)),SUMPRODUCT(($AZ8&gt;INDEX('How This Works &amp; Sources'!$B$137:$J$139,0,4))*($AZ8-INDEX('How This Works &amp; Sources'!$B$137:$J$139,0,4))*INDEX('How This Works &amp; Sources'!$B$137:$J$139,0,4+2)))),IF($AN8="NJ",IF('Your Pay &amp; Benefits'!$C$77="B",SUMPRODUCT(($AZ8&gt;INDEX('How This Works &amp; Sources'!$B$155:$J$162,0,4))*($AZ8-INDEX('How This Works &amp; Sources'!$B$155:$J$162,0,4))*INDEX('How This Works &amp; Sources'!$B$155:$J$162,0,4+2)),IF('Your Pay &amp; Benefits'!$C$77="C",SUMPRODUCT(($AZ8&gt;INDEX('How This Works &amp; Sources'!$B$155:$J$162,0,7))*($AZ8-INDEX('How This Works &amp; Sources'!$B$155:$J$162,0,7))*INDEX('How This Works &amp; Sources'!$B$155:$J$162,0,7+2)),IF('Your Pay &amp; Benefits'!$C$77="D",SUMPRODUCT(($AZ8&gt;INDEX('How This Works &amp; Sources'!$B$167:$J$179,0,1))*($AZ8-INDEX('How This Works &amp; Sources'!$B$167:$J$179,0,1))*INDEX('How This Works &amp; Sources'!$B$167:$J$179,0,1+2)),IF('Your Pay &amp; Benefits'!$C$77="E",SUMPRODUCT(($AZ8&gt;INDEX('How This Works &amp; Sources'!$B$167:$J$179,0,4))*($AZ8-INDEX('How This Works &amp; Sources'!$B$167:$J$179,0,4))*INDEX('How This Works &amp; Sources'!$B$167:$J$179,0,4+2)),SUMPRODUCT(($AZ8&gt;INDEX('How This Works &amp; Sources'!$B$155:$J$162,0,1))*($AZ8-INDEX('How This Works &amp; Sources'!$B$155:$J$162,0,1))*INDEX('How This Works &amp; Sources'!$B$155:$J$162,0,1+2)))))),IF($AN8="NY",IF($AU8="Married",IF($AZ8&gt;=2155350,$AZ8*IF($AZ8&gt;25000000,0.117,IF($AZ8&gt;5000000,0.111,0.1045)),SUMPRODUCT(($AZ8&gt;INDEX('How This Works &amp; Sources'!$B$184:$J$198,0,1))*($AZ8-INDEX('How This Works &amp; Sources'!$B$184:$J$198,0,1))*INDEX('How This Works &amp; Sources'!$B$184:$J$198,0,1+2))),IF($AZ8&gt;=1077550,$AZ8*IF($AZ8&gt;25000000,0.117,IF($AZ8&gt;5000000,0.111,0.1045)),SUMPRODUCT(($AZ8&gt;INDEX('How This Works &amp; Sources'!$B$167:$J$179,0,7))*($AZ8-INDEX('How This Works &amp; Sources'!$B$167:$J$179,0,7))*INDEX('How This Works &amp; Sources'!$B$167:$J$179,0,7+2)))),"")))))))</f>
      </c>
      <c r="BX8" s="7">
        <f>IF($B8="","",IF($AN8="AL",IF(OR($AU8="Married",$AU8="Head of household"),SUMPRODUCT(($AZ8&gt;INDEX('How This Works &amp; Sources'!$B$82:$J$86,0,4))*($AZ8-INDEX('How This Works &amp; Sources'!$B$82:$J$86,0,4))*INDEX('How This Works &amp; Sources'!$B$82:$J$86,0,4+2)),SUMPRODUCT(($AZ8&gt;INDEX('How This Works &amp; Sources'!$B$82:$J$86,0,1))*($AZ8-INDEX('How This Works &amp; Sources'!$B$82:$J$86,0,1))*INDEX('How This Works &amp; Sources'!$B$82:$J$86,0,1+2))),IF($AN8="KS",IF($AU8="Married",SUMPRODUCT(($AZ8&gt;INDEX('How This Works &amp; Sources'!$B$103:$J$109,0,4))*($AZ8-INDEX('How This Works &amp; Sources'!$B$103:$J$109,0,4))*INDEX('How This Works &amp; Sources'!$B$103:$J$109,0,4+2)),SUMPRODUCT(($AZ8&gt;INDEX('How This Works &amp; Sources'!$B$103:$J$109,0,1))*($AZ8-INDEX('How This Works &amp; Sources'!$B$103:$J$109,0,1))*INDEX('How This Works &amp; Sources'!$B$103:$J$109,0,1+2))),IF($AN8="MN",IF($AU8="Married",SUMPRODUCT(($AZ8&gt;INDEX('How This Works &amp; Sources'!$B$114:$J$120,0,7))*($AZ8-INDEX('How This Works &amp; Sources'!$B$114:$J$120,0,7))*INDEX('How This Works &amp; Sources'!$B$114:$J$120,0,7+2)),SUMPRODUCT(($AZ8&gt;INDEX('How This Works &amp; Sources'!$B$114:$J$120,0,4))*($AZ8-INDEX('How This Works &amp; Sources'!$B$114:$J$120,0,4))*INDEX('How This Works &amp; Sources'!$B$114:$J$120,0,4+2))),IF($AN8="NE",MAX(IF($AU8="Married",SUMPRODUCT(($AZ8&gt;INDEX('How This Works &amp; Sources'!$B$144:$J$150,0,7))*($AZ8-INDEX('How This Works &amp; Sources'!$B$144:$J$150,0,7))*INDEX('How This Works &amp; Sources'!$B$144:$J$150,0,7+2)),SUMPRODUCT(($AZ8&gt;INDEX('How This Works &amp; Sources'!$B$144:$J$150,0,4))*($AZ8-INDEX('How This Works &amp; Sources'!$B$144:$J$150,0,4))*INDEX('How This Works &amp; Sources'!$B$144:$J$150,0,4+2))),0.015*$AZ8),IF($AN8="OH",IF($B8&gt;=DATE(2026,8,1),SUMPRODUCT(($AZ8&gt;INDEX('How This Works &amp; Sources'!$B$203:$J$206,0,1))*($AZ8-INDEX('How This Works &amp; Sources'!$B$203:$J$206,0,1))*INDEX('How This Works &amp; Sources'!$B$203:$J$206,0,1+2)),SUMPRODUCT(($AZ8&gt;INDEX('How This Works &amp; Sources'!$B$184:$J$198,0,7))*($AZ8-INDEX('How This Works &amp; Sources'!$B$184:$J$198,0,7))*INDEX('How This Works &amp; Sources'!$B$184:$J$198,0,7+2))),IF($AN8="OK",IF($AU8="Married",SUMPRODUCT(($AZ8&gt;INDEX('How This Works &amp; Sources'!$B$203:$J$206,0,7))*($AZ8-INDEX('How This Works &amp; Sources'!$B$203:$J$206,0,7))*INDEX('How This Works &amp; Sources'!$B$203:$J$206,0,7+2)),SUMPRODUCT(($AZ8&gt;INDEX('How This Works &amp; Sources'!$B$203:$J$206,0,4))*($AZ8-INDEX('How This Works &amp; Sources'!$B$203:$J$206,0,4))*INDEX('How This Works &amp; Sources'!$B$203:$J$206,0,4+2))),IF($AN8="RI",SUMPRODUCT(($AZ8&gt;INDEX('How This Works &amp; Sources'!$B$211:$J$214,0,7))*($AZ8-INDEX('How This Works &amp; Sources'!$B$211:$J$214,0,7))*INDEX('How This Works &amp; Sources'!$B$211:$J$214,0,7+2)),IF($AN8="VT",IF($AU8="Married",SUMPRODUCT(($AZ8&gt;INDEX('How This Works &amp; Sources'!$B$228:$J$232,0,1))*($AZ8-INDEX('How This Works &amp; Sources'!$B$228:$J$232,0,1))*INDEX('How This Works &amp; Sources'!$B$228:$J$232,0,1+2)),SUMPRODUCT(($AZ8&gt;INDEX('How This Works &amp; Sources'!$B$219:$J$223,0,7))*($AZ8-INDEX('How This Works &amp; Sources'!$B$219:$J$223,0,7))*INDEX('How This Works &amp; Sources'!$B$219:$J$223,0,7+2))),IF($AN8="WV",IF($AU8="Married",SUMPRODUCT(($AZ8&gt;INDEX('How This Works &amp; Sources'!$B$237:$J$241,0,7))*($AZ8-INDEX('How This Works &amp; Sources'!$B$237:$J$241,0,7))*INDEX('How This Works &amp; Sources'!$B$237:$J$241,0,7+2)),SUMPRODUCT(($AZ8&gt;INDEX('How This Works &amp; Sources'!$B$228:$J$232,0,7))*($AZ8-INDEX('How This Works &amp; Sources'!$B$228:$J$232,0,7))*INDEX('How This Works &amp; Sources'!$B$228:$J$232,0,7+2))),""))))))))))</f>
      </c>
      <c r="BY8" s="7">
        <f>IF($B8="","",IF($AN8="AR",SUMPRODUCT(($AZ8&gt;INDEX('How This Works &amp; Sources'!$B$82:$J$86,0,7))*($AZ8-INDEX('How This Works &amp; Sources'!$B$82:$J$86,0,7))*INDEX('How This Works &amp; Sources'!$B$82:$J$86,0,7+2)),IF($AN8="DE",SUMPRODUCT(($AZ8&gt;INDEX('How This Works &amp; Sources'!$B$91:$J$98,0,1))*($AZ8-INDEX('How This Works &amp; Sources'!$B$91:$J$98,0,1))*INDEX('How This Works &amp; Sources'!$B$91:$J$98,0,1+2)),IF($AN8="HI",IF($AU8="Married",SUMPRODUCT(($AZ8&gt;INDEX('How This Works &amp; Sources'!$B$91:$J$98,0,7))*($AZ8-INDEX('How This Works &amp; Sources'!$B$91:$J$98,0,7))*INDEX('How This Works &amp; Sources'!$B$91:$J$98,0,7+2)),SUMPRODUCT(($AZ8&gt;INDEX('How This Works &amp; Sources'!$B$91:$J$98,0,4))*($AZ8-INDEX('How This Works &amp; Sources'!$B$91:$J$98,0,4))*INDEX('How This Works &amp; Sources'!$B$91:$J$98,0,4+2))),IF($AN8="SC",SUMPRODUCT(($AZ8&gt;INDEX('How This Works &amp; Sources'!$B$219:$J$223,0,1))*($AZ8-INDEX('How This Works &amp; Sources'!$B$219:$J$223,0,1))*INDEX('How This Works &amp; Sources'!$B$219:$J$223,0,1+2)),IF($AN8="VA",SUMPRODUCT(($AZ8&gt;INDEX('How This Works &amp; Sources'!$B$219:$J$223,0,4))*($AZ8-INDEX('How This Works &amp; Sources'!$B$219:$J$223,0,4))*INDEX('How This Works &amp; Sources'!$B$219:$J$223,0,4+2)),IF($AN8="WI",SUMPRODUCT(($AZ8&gt;INDEX('How This Works &amp; Sources'!$B$228:$J$232,0,4))*($AZ8-INDEX('How This Works &amp; Sources'!$B$228:$J$232,0,4))*INDEX('How This Works &amp; Sources'!$B$228:$J$232,0,4+2)),"")))))))</f>
      </c>
      <c r="BZ8" s="24">
        <f>IF($B8="","",IF($AN8="NJ",IF('Your Pay &amp; Benefits'!$C$77="B",SUMPRODUCT(($AZ8&gt;=INDEX('How This Works &amp; Sources'!$B$155:$J$162,0,4))*INDEX('How This Works &amp; Sources'!$B$155:$J$162,0,4+2)),IF('Your Pay &amp; Benefits'!$C$77="C",SUMPRODUCT(($AZ8&gt;=INDEX('How This Works &amp; Sources'!$B$155:$J$162,0,7))*INDEX('How This Works &amp; Sources'!$B$155:$J$162,0,7+2)),IF('Your Pay &amp; Benefits'!$C$77="D",SUMPRODUCT(($AZ8&gt;=INDEX('How This Works &amp; Sources'!$B$167:$J$179,0,1))*INDEX('How This Works &amp; Sources'!$B$167:$J$179,0,1+2)),IF('Your Pay &amp; Benefits'!$C$77="E",SUMPRODUCT(($AZ8&gt;=INDEX('How This Works &amp; Sources'!$B$167:$J$179,0,4))*INDEX('How This Works &amp; Sources'!$B$167:$J$179,0,4+2)),SUMPRODUCT(($AZ8&gt;=INDEX('How This Works &amp; Sources'!$B$155:$J$162,0,1))*INDEX('How This Works &amp; Sources'!$B$155:$J$162,0,1+2)))))),IF($AN8="OR",IF(OR($AU8="Married",AND($AU8="Single",$AS8&gt;=3)),SUMPRODUCT((MAX(0,$AY8-MIN(($P8-'How This Works &amp; Sources'!$C$10*$D8)*'Your Pay &amp; Benefits'!$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Sources'!$B$211:$J$214,0,4))*INDEX('How This Works &amp; Sources'!$B$211:$J$214,0,4+2)),SUMPRODUCT((MAX(0,$AY8-MIN(($P8-'How This Works &amp; Sources'!$C$10*$D8)*'Your Pay &amp; Benefits'!$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Sources'!$B$211:$J$214,0,1))*INDEX('How This Works &amp; Sources'!$B$211:$J$214,0,1+2)))*IF(($P8-'How This Works &amp; Sources'!$C$10*$D8)*'Your Pay &amp; Benefits'!$C$8&gt;=IF(OR($AU8="Married",AND($AU8="Single",$AS8&gt;=3)),IF($AY8&lt;250000,8750,IF($AY8&lt;260000,7000,IF($AY8&lt;270000,5250,IF($AY8&lt;280000,3500,IF($AY8&lt;290000,1750,0))))),IF($AY8&lt;125000,8750,IF($AY8&lt;130000,7000,IF($AY8&lt;135000,5250,IF($AY8&lt;140000,3500,IF($AY8&lt;145000,1750,0)))))),1,1-IF('Your Pay &amp; Benefits'!$C$13,SUMPRODUCT(($AH8&gt;=INDEX('How This Works &amp; Sources'!$B$29:$J$36,0,IF('Your Pay &amp; Benefits'!$C$12="MFJ",1,IF('Your Pay &amp; Benefits'!$C$12="HoH",7,4))))*INDEX('How This Works &amp; Sources'!$B$29:$J$36,0,IF('Your Pay &amp; Benefits'!$C$12="MFJ",1,IF('Your Pay &amp; Benefits'!$C$12="HoH",7,4))+2)),SUMPRODUCT(($AH8&gt;=INDEX('How This Works &amp; Sources'!$B$19:$J$26,0,IF('Your Pay &amp; Benefits'!$C$12="MFJ",1,IF('Your Pay &amp; Benefits'!$C$12="HoH",7,4))))*INDEX('How This Works &amp; Sources'!$B$19:$J$26,0,IF('Your Pay &amp; Benefits'!$C$12="MFJ",1,IF('Your Pay &amp; Benefits'!$C$12="HoH",7,4))+2)))),IF($AN8="MI",IF($AY8&gt;5900*$AS8,0.0425,0),""))))</f>
      </c>
      <c r="CA8" s="24">
        <f>IF($B8="","",IF($AN8="AL",IF(OR($AU8="Married",$AU8="Head of household"),SUMPRODUCT(($AZ8&gt;=INDEX('How This Works &amp; Sources'!$B$82:$J$86,0,4))*INDEX('How This Works &amp; Sources'!$B$82:$J$86,0,4+2)),SUMPRODUCT(($AZ8&gt;=INDEX('How This Works &amp; Sources'!$B$82:$J$86,0,1))*INDEX('How This Works &amp; Sources'!$B$82:$J$86,0,1+2)))*(1-IF('Your Pay &amp; Benefits'!$C$13,SUMPRODUCT(($AH8&gt;=INDEX('How This Works &amp; Sources'!$B$29:$J$36,0,IF('Your Pay &amp; Benefits'!$C$12="MFJ",1,IF('Your Pay &amp; Benefits'!$C$12="HoH",7,4))))*INDEX('How This Works &amp; Sources'!$B$29:$J$36,0,IF('Your Pay &amp; Benefits'!$C$12="MFJ",1,IF('Your Pay &amp; Benefits'!$C$12="HoH",7,4))+2)),SUMPRODUCT(($AH8&gt;=INDEX('How This Works &amp; Sources'!$B$19:$J$26,0,IF('Your Pay &amp; Benefits'!$C$12="MFJ",1,IF('Your Pay &amp; Benefits'!$C$12="HoH",7,4))))*INDEX('How This Works &amp; Sources'!$B$19:$J$26,0,IF('Your Pay &amp; Benefits'!$C$12="MFJ",1,IF('Your Pay &amp; Benefits'!$C$12="HoH",7,4))+2)))),IF($AN8="KS",IF($AU8="Married",SUMPRODUCT(($AZ8&gt;=INDEX('How This Works &amp; Sources'!$B$103:$J$109,0,4))*INDEX('How This Works &amp; Sources'!$B$103:$J$109,0,4+2)),SUMPRODUCT(($AZ8&gt;=INDEX('How This Works &amp; Sources'!$B$103:$J$109,0,1))*INDEX('How This Works &amp; Sources'!$B$103:$J$109,0,1+2))),IF($AN8="MD",IF(OR($AU8="Married",$AU8="Head of household"),SUMPRODUCT(($AZ8&gt;=INDEX('How This Works &amp; Sources'!$B$114:$J$120,0,1))*INDEX('How This Works &amp; Sources'!$B$114:$J$120,0,1+2)),SUMPRODUCT(($AZ8&gt;=INDEX('How This Works &amp; Sources'!$B$103:$J$109,0,7))*INDEX('How This Works &amp; Sources'!$B$103:$J$109,0,7+2)))+'Your Pay &amp; Benefits'!$C$74,IF($AN8="MT",IF($AU8="Head of household",SUMPRODUCT(($AZ8&gt;=INDEX('How This Works &amp; Sources'!$B$137:$J$139,0,1))*INDEX('How This Works &amp; Sources'!$B$137:$J$139,0,1+2)),IF($AU8="Married",SUMPRODUCT(($AZ8&gt;=INDEX('How This Works &amp; Sources'!$B$125:$J$132,0,7))*INDEX('How This Works &amp; Sources'!$B$125:$J$132,0,7+2)),SUMPRODUCT(($AZ8&gt;=INDEX('How This Works &amp; Sources'!$B$125:$J$132,0,4))*INDEX('How This Works &amp; Sources'!$B$125:$J$132,0,4+2)))),IF($AN8="ND",IF($AU8="Head of household",SUMPRODUCT(($AZ8&gt;=INDEX('How This Works &amp; Sources'!$B$144:$J$150,0,1))*INDEX('How This Works &amp; Sources'!$B$144:$J$150,0,1+2)),IF($AU8="Married",SUMPRODUCT(($AZ8&gt;=INDEX('How This Works &amp; Sources'!$B$137:$J$139,0,7))*INDEX('How This Works &amp; Sources'!$B$137:$J$139,0,7+2)),SUMPRODUCT(($AZ8&gt;=INDEX('How This Works &amp; Sources'!$B$137:$J$139,0,4))*INDEX('How This Works &amp; Sources'!$B$137:$J$139,0,4+2)))),IF($AN8="NY",IF($AU8="Married",IF($AZ8&gt;=2155350,IF($AZ8&gt;25000000,0.117,IF($AZ8&gt;5000000,0.111,0.1045)),SUMPRODUCT(($AZ8&gt;=INDEX('How This Works &amp; Sources'!$B$184:$J$198,0,1))*INDEX('How This Works &amp; Sources'!$B$184:$J$198,0,1+2))),IF($AZ8&gt;=1077550,IF($AZ8&gt;25000000,0.117,IF($AZ8&gt;5000000,0.111,0.1045)),SUMPRODUCT(($AZ8&gt;=INDEX('How This Works &amp; Sources'!$B$167:$J$179,0,7))*INDEX('How This Works &amp; Sources'!$B$167:$J$179,0,7+2)))),"")))))))</f>
      </c>
      <c r="CB8" s="24">
        <f>IF($B8="","",IF($AN8="CA",SUMPRODUCT(($AJ8&gt;=INDEX('How This Works &amp; Sources'!$B$39:$J$48,0,IF($AU8="Married",4,IF($AU8="Head of household",7,1))))*INDEX('How This Works &amp; Sources'!$B$39:$J$48,0,IF($AU8="Married",4,IF($AU8="Head of household",7,1))+2)),IF($AN8="HI",IF($AU8="Married",SUMPRODUCT(($AZ8&gt;=INDEX('How This Works &amp; Sources'!$B$91:$J$98,0,7))*INDEX('How This Works &amp; Sources'!$B$91:$J$98,0,7+2)),SUMPRODUCT(($AZ8&gt;=INDEX('How This Works &amp; Sources'!$B$91:$J$98,0,4))*INDEX('How This Works &amp; Sources'!$B$91:$J$98,0,4+2))),IF($AN8="MN",IF($AU8="Married",SUMPRODUCT(($AZ8&gt;=INDEX('How This Works &amp; Sources'!$B$114:$J$120,0,7))*INDEX('How This Works &amp; Sources'!$B$114:$J$120,0,7+2)),SUMPRODUCT(($AZ8&gt;=INDEX('How This Works &amp; Sources'!$B$114:$J$120,0,4))*INDEX('How This Works &amp; Sources'!$B$114:$J$120,0,4+2))),IF($AN8="MO",SUMPRODUCT(($AZ8&gt;=INDEX('How This Works &amp; Sources'!$B$125:$J$132,0,1))*INDEX('How This Works &amp; Sources'!$B$125:$J$132,0,1+2)),IF($AN8="NE",MAX(IF($AU8="Married",SUMPRODUCT(($AZ8&gt;=INDEX('How This Works &amp; Sources'!$B$144:$J$150,0,7))*INDEX('How This Works &amp; Sources'!$B$144:$J$150,0,7+2)),SUMPRODUCT(($AZ8&gt;=INDEX('How This Works &amp; Sources'!$B$144:$J$150,0,4))*INDEX('How This Works &amp; Sources'!$B$144:$J$150,0,4+2))),0.015),IF($AN8="OH",IF($B8&gt;=DATE(2026,8,1),SUMPRODUCT(($AZ8&gt;=INDEX('How This Works &amp; Sources'!$B$203:$J$206,0,1))*INDEX('How This Works &amp; Sources'!$B$203:$J$206,0,1+2)),SUMPRODUCT(($AZ8&gt;=INDEX('How This Works &amp; Sources'!$B$184:$J$198,0,7))*INDEX('How This Works &amp; Sources'!$B$184:$J$198,0,7+2))),IF($AN8="OK",IF($AU8="Married",SUMPRODUCT(($AZ8&gt;=INDEX('How This Works &amp; Sources'!$B$203:$J$206,0,7))*INDEX('How This Works &amp; Sources'!$B$203:$J$206,0,7+2)),SUMPRODUCT(($AZ8&gt;=INDEX('How This Works &amp; Sources'!$B$203:$J$206,0,4))*INDEX('How This Works &amp; Sources'!$B$203:$J$206,0,4+2))),IF($AN8="RI",SUMPRODUCT(($AZ8&gt;=INDEX('How This Works &amp; Sources'!$B$211:$J$214,0,7))*INDEX('How This Works &amp; Sources'!$B$211:$J$214,0,7+2)),IF($AN8="SC",SUMPRODUCT(($AZ8&gt;=INDEX('How This Works &amp; Sources'!$B$219:$J$223,0,1))*INDEX('How This Works &amp; Sources'!$B$219:$J$223,0,1+2)),IF($AN8="VT",IF($AU8="Married",SUMPRODUCT(($AZ8&gt;=INDEX('How This Works &amp; Sources'!$B$228:$J$232,0,1))*INDEX('How This Works &amp; Sources'!$B$228:$J$232,0,1+2)),SUMPRODUCT(($AZ8&gt;=INDEX('How This Works &amp; Sources'!$B$219:$J$223,0,7))*INDEX('How This Works &amp; Sources'!$B$219:$J$223,0,7+2))),IF($AN8="WV",IF($AU8="Married",SUMPRODUCT(($AZ8&gt;=INDEX('How This Works &amp; Sources'!$B$237:$J$241,0,7))*INDEX('How This Works &amp; Sources'!$B$237:$J$241,0,7+2)),SUMPRODUCT(($AZ8&gt;=INDEX('How This Works &amp; Sources'!$B$228:$J$232,0,7))*INDEX('How This Works &amp; Sources'!$B$228:$J$232,0,7+2))),IF($AN8="IN",(0.0295+'Your Pay &amp; Benefits'!$C$76),"")))))))))))))</f>
      </c>
      <c r="CC8" s="24">
        <f>IF($B8="","",IF($AN8="AR",SUMPRODUCT(($AZ8&gt;=INDEX('How This Works &amp; Sources'!$B$82:$J$86,0,7))*INDEX('How This Works &amp; Sources'!$B$82:$J$86,0,7+2)),IF($AN8="DE",SUMPRODUCT(($AZ8&gt;=INDEX('How This Works &amp; Sources'!$B$91:$J$98,0,1))*INDEX('How This Works &amp; Sources'!$B$91:$J$98,0,1+2)),IF($AN8="VA",SUMPRODUCT(($AZ8&gt;=INDEX('How This Works &amp; Sources'!$B$219:$J$223,0,4))*INDEX('How This Works &amp; Sources'!$B$219:$J$223,0,4+2)),IF($AN8="WI",SUMPRODUCT(($AZ8&gt;=INDEX('How This Works &amp; Sources'!$B$228:$J$232,0,4))*INDEX('How This Works &amp; Sources'!$B$228:$J$232,0,4+2)),IF($AN8="AZ",'Your Pay &amp; Benefits'!$C$82,IF($AN8="CO",IF($AY8&gt;IF($AU8="Married",10000,5000),0.044,0),IF($AN8="IA",IF($AY8&gt;IF($AU8="Head of household",19500,IF($AU8="Married",26000,13000)),0.038,0),IF($AN8="ID",IF($AY8&gt;IF($AU8="Married",32000,16094),0.053,0),IF($AN8="IL",IF($AY8&gt;(2925*$AS8+1000*$AT8),0.0495,0),IF($AN8="KY",IF($AI8&gt;3360,0.035,0),IF($AN8="LA",0.0309,IF($AN8="MA",IF(MAX(0,$AY8-MIN(($BD7+$Q8+$R8+$S8),2000)-IF($AS8=0,0,IF($AS8=1,4400,1000*$AS8+3400)))&gt;=1107750,0.09,0.05),IF($AN8="MS",IF($AI8-IF($AU8="Head of household",3400,IF($AU8="Married",4600,2300))-'Your Pay &amp; Benefits'!$C$85&gt;10000,0.04,0),IF($AN8="PA",0.0307,"")))))))))))))))</f>
      </c>
      <c r="CD8" s="21">
        <f>IF(YEAR(IF('Your Pay &amp; Benefits'!$C$7="Weekly",'Your Pay &amp; Benefits'!$C$9+7*(($BE7+1)-1),IF('Your Pay &amp; Benefits'!$C$7="Biweekly",'Your Pay &amp; Benefits'!$C$9+14*(($BE7+1)-1),IF('Your Pay &amp; Benefits'!$C$7="Semimonthly",DATE(YEAR('Your Pay &amp; Benefits'!$C$9),MONTH('Your Pay &amp; Benefits'!$C$9)+INT((($BE7+1)-1)/2),MIN(DAY('Your Pay &amp; Benefits'!$C$9),DAY(EOMONTH(DATE(YEAR('Your Pay &amp; Benefits'!$C$9),MONTH('Your Pay &amp; Benefits'!$C$9)+INT((($BE7+1)-1)/2),1),0))))+IF(MOD(($BE7+1)-1,2)=1,15,0),EDATE('Your Pay &amp; Benefits'!$C$9,($BE7+1)-1)))))&lt;&gt;'Your Pay &amp; Benefits'!$C$10,"",IF('Your Pay &amp; Benefits'!$C$7="Weekly",'Your Pay &amp; Benefits'!$C$9+7*(($BE7+1)-1),IF('Your Pay &amp; Benefits'!$C$7="Biweekly",'Your Pay &amp; Benefits'!$C$9+14*(($BE7+1)-1),IF('Your Pay &amp; Benefits'!$C$7="Semimonthly",DATE(YEAR('Your Pay &amp; Benefits'!$C$9),MONTH('Your Pay &amp; Benefits'!$C$9)+INT((($BE7+1)-1)/2),MIN(DAY('Your Pay &amp; Benefits'!$C$9),DAY(EOMONTH(DATE(YEAR('Your Pay &amp; Benefits'!$C$9),MONTH('Your Pay &amp; Benefits'!$C$9)+INT((($BE7+1)-1)/2),1),0))))+IF(MOD(($BE7+1)-1,2)=1,15,0),EDATE('Your Pay &amp; Benefits'!$C$9,($BE7+1)-1)))))</f>
      </c>
      <c r="CE8" s="21">
        <f>IF(MIN(IF(AND('Your Pay &amp; Benefits'!$C$58&gt;MAX($B$6:$B7),'Your Pay &amp; Benefits'!$C$58&gt;=DATE('Your Pay &amp; Benefits'!$C$10,1,1),'Your Pay &amp; Benefits'!$C$58&lt;=DATE('Your Pay &amp; Benefits'!$C$10,12,31)),'Your Pay &amp; Benefits'!$C$58,999999),IF(AND('Your Pay &amp; Benefits'!$C$59&gt;MAX($B$6:$B7),'Your Pay &amp; Benefits'!$C$59&gt;=DATE('Your Pay &amp; Benefits'!$C$10,1,1),'Your Pay &amp; Benefits'!$C$59&lt;=DATE('Your Pay &amp; Benefits'!$C$10,12,31)),'Your Pay &amp; Benefits'!$C$59,999999),IF(AND('Your Pay &amp; Benefits'!$C$60&gt;MAX($B$6:$B7),'Your Pay &amp; Benefits'!$C$60&gt;=DATE('Your Pay &amp; Benefits'!$C$10,1,1),'Your Pay &amp; Benefits'!$C$60&lt;=DATE('Your Pay &amp; Benefits'!$C$10,12,31)),'Your Pay &amp; Benefits'!$C$60,999999),IF(AND('Your Pay &amp; Benefits'!$C$61&gt;MAX($B$6:$B7),'Your Pay &amp; Benefits'!$C$61&gt;=DATE('Your Pay &amp; Benefits'!$C$10,1,1),'Your Pay &amp; Benefits'!$C$61&lt;=DATE('Your Pay &amp; Benefits'!$C$10,12,31)),'Your Pay &amp; Benefits'!$C$61,999999),IF(AND('Your Pay &amp; Benefits'!$C$62&gt;MAX($B$6:$B7),'Your Pay &amp; Benefits'!$C$62&gt;=DATE('Your Pay &amp; Benefits'!$C$10,1,1),'Your Pay &amp; Benefits'!$C$62&lt;=DATE('Your Pay &amp; Benefits'!$C$10,12,31)),'Your Pay &amp; Benefits'!$C$62,999999),IF(AND('Your Pay &amp; Benefits'!$C$63&gt;MAX($B$6:$B7),'Your Pay &amp; Benefits'!$C$63&gt;=DATE('Your Pay &amp; Benefits'!$C$10,1,1),'Your Pay &amp; Benefits'!$C$63&lt;=DATE('Your Pay &amp; Benefits'!$C$10,12,31)),'Your Pay &amp; Benefits'!$C$63,999999),IF(AND('Your Pay &amp; Benefits'!$C$64&gt;MAX($B$6:$B7),'Your Pay &amp; Benefits'!$C$64&gt;=DATE('Your Pay &amp; Benefits'!$C$10,1,1),'Your Pay &amp; Benefits'!$C$64&lt;=DATE('Your Pay &amp; Benefits'!$C$10,12,31)),'Your Pay &amp; Benefits'!$C$64,999999),IF(AND('Your Pay &amp; Benefits'!$C$65&gt;MAX($B$6:$B7),'Your Pay &amp; Benefits'!$C$65&gt;=DATE('Your Pay &amp; Benefits'!$C$10,1,1),'Your Pay &amp; Benefits'!$C$65&lt;=DATE('Your Pay &amp; Benefits'!$C$10,12,31)),'Your Pay &amp; Benefits'!$C$65,999999),IF(AND('Your Pay &amp; Benefits'!$C$66&gt;MAX($B$6:$B7),'Your Pay &amp; Benefits'!$C$66&gt;=DATE('Your Pay &amp; Benefits'!$C$10,1,1),'Your Pay &amp; Benefits'!$C$66&lt;=DATE('Your Pay &amp; Benefits'!$C$10,12,31)),'Your Pay &amp; Benefits'!$C$66,999999),IF(AND('Your Pay &amp; Benefits'!$C$67&gt;MAX($B$6:$B7),'Your Pay &amp; Benefits'!$C$67&gt;=DATE('Your Pay &amp; Benefits'!$C$10,1,1),'Your Pay &amp; Benefits'!$C$67&lt;=DATE('Your Pay &amp; Benefits'!$C$10,12,31)),'Your Pay &amp; Benefits'!$C$67,999999))=999999,"",MIN(IF(AND('Your Pay &amp; Benefits'!$C$58&gt;MAX($B$6:$B7),'Your Pay &amp; Benefits'!$C$58&gt;=DATE('Your Pay &amp; Benefits'!$C$10,1,1),'Your Pay &amp; Benefits'!$C$58&lt;=DATE('Your Pay &amp; Benefits'!$C$10,12,31)),'Your Pay &amp; Benefits'!$C$58,999999),IF(AND('Your Pay &amp; Benefits'!$C$59&gt;MAX($B$6:$B7),'Your Pay &amp; Benefits'!$C$59&gt;=DATE('Your Pay &amp; Benefits'!$C$10,1,1),'Your Pay &amp; Benefits'!$C$59&lt;=DATE('Your Pay &amp; Benefits'!$C$10,12,31)),'Your Pay &amp; Benefits'!$C$59,999999),IF(AND('Your Pay &amp; Benefits'!$C$60&gt;MAX($B$6:$B7),'Your Pay &amp; Benefits'!$C$60&gt;=DATE('Your Pay &amp; Benefits'!$C$10,1,1),'Your Pay &amp; Benefits'!$C$60&lt;=DATE('Your Pay &amp; Benefits'!$C$10,12,31)),'Your Pay &amp; Benefits'!$C$60,999999),IF(AND('Your Pay &amp; Benefits'!$C$61&gt;MAX($B$6:$B7),'Your Pay &amp; Benefits'!$C$61&gt;=DATE('Your Pay &amp; Benefits'!$C$10,1,1),'Your Pay &amp; Benefits'!$C$61&lt;=DATE('Your Pay &amp; Benefits'!$C$10,12,31)),'Your Pay &amp; Benefits'!$C$61,999999),IF(AND('Your Pay &amp; Benefits'!$C$62&gt;MAX($B$6:$B7),'Your Pay &amp; Benefits'!$C$62&gt;=DATE('Your Pay &amp; Benefits'!$C$10,1,1),'Your Pay &amp; Benefits'!$C$62&lt;=DATE('Your Pay &amp; Benefits'!$C$10,12,31)),'Your Pay &amp; Benefits'!$C$62,999999),IF(AND('Your Pay &amp; Benefits'!$C$63&gt;MAX($B$6:$B7),'Your Pay &amp; Benefits'!$C$63&gt;=DATE('Your Pay &amp; Benefits'!$C$10,1,1),'Your Pay &amp; Benefits'!$C$63&lt;=DATE('Your Pay &amp; Benefits'!$C$10,12,31)),'Your Pay &amp; Benefits'!$C$63,999999),IF(AND('Your Pay &amp; Benefits'!$C$64&gt;MAX($B$6:$B7),'Your Pay &amp; Benefits'!$C$64&gt;=DATE('Your Pay &amp; Benefits'!$C$10,1,1),'Your Pay &amp; Benefits'!$C$64&lt;=DATE('Your Pay &amp; Benefits'!$C$10,12,31)),'Your Pay &amp; Benefits'!$C$64,999999),IF(AND('Your Pay &amp; Benefits'!$C$65&gt;MAX($B$6:$B7),'Your Pay &amp; Benefits'!$C$65&gt;=DATE('Your Pay &amp; Benefits'!$C$10,1,1),'Your Pay &amp; Benefits'!$C$65&lt;=DATE('Your Pay &amp; Benefits'!$C$10,12,31)),'Your Pay &amp; Benefits'!$C$65,999999),IF(AND('Your Pay &amp; Benefits'!$C$66&gt;MAX($B$6:$B7),'Your Pay &amp; Benefits'!$C$66&gt;=DATE('Your Pay &amp; Benefits'!$C$10,1,1),'Your Pay &amp; Benefits'!$C$66&lt;=DATE('Your Pay &amp; Benefits'!$C$10,12,31)),'Your Pay &amp; Benefits'!$C$66,999999),IF(AND('Your Pay &amp; Benefits'!$C$67&gt;MAX($B$6:$B7),'Your Pay &amp; Benefits'!$C$67&gt;=DATE('Your Pay &amp; Benefits'!$C$10,1,1),'Your Pay &amp; Benefits'!$C$67&lt;=DATE('Your Pay &amp; Benefits'!$C$10,12,31)),'Your Pay &amp; Benefits'!$C$67,999999)))</f>
      </c>
      <c r="CF8">
        <f>IF($B8="","",IF($D8=0,$Y8,""))</f>
      </c>
    </row>
    <row r="9">
      <c r="A9" t="n">
        <v>4</v>
      </c>
      <c r="B9" s="21">
        <f>IF(AND($CD9="",$CE9=""),"",IF($CE9="",$CD9,IF($CD9="",$CE9,MIN($CD9,$CE9))))</f>
      </c>
      <c r="C9" s="7">
        <f>IF($B9="","",IF($BF9=0,0,IF('Your Pay &amp; Benefits'!$C$4="Annual salary",ROUND($AK9/IF(AND('Your Pay &amp; Benefits'!$C$88="Actual paydays",MONTH('Your Pay &amp; Benefits'!$C$9)=1),MAX(1,MAX($BE$6:$BE$68)),'Your Pay &amp; Benefits'!$C$8),2),$AK9)))</f>
      </c>
      <c r="D9" s="7">
        <f>IF($B9="","",SUMIF('Your Pay &amp; Benefits'!$C$58:$C$67,$B9,'Your Pay &amp; Benefits'!$D$58:$D$67))</f>
      </c>
      <c r="E9" s="7">
        <f>IF($B9="","",ROUND(MAX(0,MIN(IF($AL9="Percent",$AM9*($C9+$D9),$AM9),MAX(0,'Your Pay &amp; Benefits'!$C$34-$AC8))),2))</f>
      </c>
      <c r="F9" s="7">
        <f>IF($B9="","",ROUND(MAX(0,MIN(IF('Your Pay &amp; Benefits'!$C$32="Percent",'Your Pay &amp; Benefits'!$D$32*($C9+$D9),'Your Pay &amp; Benefits'!$D$32),MAX(0,'Your Pay &amp; Benefits'!$C$34-$AC8-$E9))),2))</f>
      </c>
      <c r="G9" s="7">
        <f>IF($B9="","",IF($BF9=0,0,ROUND(MAX(0,MIN($BL9,'Your Pay &amp; Benefits'!$C$37-'Your Pay &amp; Benefits'!$C$54-$BI8)),2)))</f>
      </c>
      <c r="H9" s="7">
        <f>IF($B9="","",IF(OR($BF9=0,$BQ9=1),0,ROUND(MAX(0,MIN(IF($BS9=1,ROUND(MAX(0,MIN($BJ9,'How This Works &amp; Sources'!$C$13)-$BG8)/MAX(1,MAX($BE$6:$BE$68)-($BE8)),2),ROUND(MIN($BJ9,'How This Works &amp; Sources'!$C$13)/'Your Pay &amp; Benefits'!$C$8,2)),MIN($BJ9,'How This Works &amp; Sources'!$C$13)-$BG8)),2)))</f>
      </c>
      <c r="I9" s="7">
        <f>IF($B9="","",IF(OR($BF9=0,$BR9=1),0,ROUND(MAX(0,MIN(IF($BT9=1,ROUND(MAX(0,MIN($BK9,IF('Your Pay &amp; Benefits'!$C$12="MFJ",'How This Works &amp; Sources'!$C$14,'How This Works &amp; Sources'!$C$15))-$BH8)/MAX(1,MAX($BE$6:$BE$68)-($BE8)),2),ROUND(MIN($BK9,IF('Your Pay &amp; Benefits'!$C$12="MFJ",'How This Works &amp; Sources'!$C$14,'How This Works &amp; Sources'!$C$15))/'Your Pay &amp; Benefits'!$C$8,2)),MIN($BK9,IF('Your Pay &amp; Benefits'!$C$12="MFJ",'How This Works &amp; Sources'!$C$14,'How This Works &amp; Sources'!$C$15))-$BH8)),2)))</f>
      </c>
      <c r="J9" s="7">
        <f>IF($B9="","",IF($BF9=0,0,$BM9))</f>
      </c>
      <c r="K9" s="7">
        <f>IF($B9="","",IF($BF9=0,0,$BN9+$BO9))</f>
      </c>
      <c r="L9" s="7">
        <f>IF($B9="","",IF($BF9=0,0,'Your Pay &amp; Benefits'!$D$46))</f>
      </c>
      <c r="M9" s="7">
        <f>IF($B9="","",$C9+$D9+$L9-$E9-$G9-$H9-$I9-$J9-$K9)</f>
      </c>
      <c r="N9" s="7">
        <f>IF($B9="","",$C9+$D9+$L9-$G9-$H9-$I9-$J9-$K9)</f>
      </c>
      <c r="O9" s="7">
        <f>IF($B9="","",$C9+$D9+$L9-$E9-$H9-$I9-$J9-$K9-IF(OR($AN9="CA",$AN9="NJ"),0,$G9))</f>
      </c>
      <c r="P9" s="7">
        <f>IF($B9="","",IF('Your Pay &amp; Benefits'!$C$18,0,ROUND(MAX(0,IF('Your Pay &amp; Benefits'!$C$13,SUMPRODUCT(($AH9&gt;INDEX('How This Works &amp; Sources'!$B$29:$J$36,0,IF('Your Pay &amp; Benefits'!$C$12="MFJ",1,IF('Your Pay &amp; Benefits'!$C$12="HoH",7,4))))*($AH9-INDEX('How This Works &amp; Sources'!$B$29:$J$36,0,IF('Your Pay &amp; Benefits'!$C$12="MFJ",1,IF('Your Pay &amp; Benefits'!$C$12="HoH",7,4))))*INDEX('How This Works &amp; Sources'!$B$29:$J$36,0,IF('Your Pay &amp; Benefits'!$C$12="MFJ",1,IF('Your Pay &amp; Benefits'!$C$12="HoH",7,4))+2)),SUMPRODUCT(($AH9&gt;INDEX('How This Works &amp; Sources'!$B$19:$J$26,0,IF('Your Pay &amp; Benefits'!$C$12="MFJ",1,IF('Your Pay &amp; Benefits'!$C$12="HoH",7,4))))*($AH9-INDEX('How This Works &amp; Sources'!$B$19:$J$26,0,IF('Your Pay &amp; Benefits'!$C$12="MFJ",1,IF('Your Pay &amp; Benefits'!$C$12="HoH",7,4))))*INDEX('How This Works &amp; Sources'!$B$19:$J$26,0,IF('Your Pay &amp; Benefits'!$C$12="MFJ",1,IF('Your Pay &amp; Benefits'!$C$12="HoH",7,4))+2)))/'Your Pay &amp; Benefits'!$C$8-$AO9/'Your Pay &amp; Benefits'!$C$8)+$AR9+IF('Your Pay &amp; Benefits'!$C$89="Aggregate",MAX(0,IF('Your Pay &amp; Benefits'!$C$13,SUMPRODUCT((($AH9+$D9)&gt;INDEX('How This Works &amp; Sources'!$B$29:$J$36,0,IF('Your Pay &amp; Benefits'!$C$12="MFJ",1,IF('Your Pay &amp; Benefits'!$C$12="HoH",7,4))))*(($AH9+$D9)-INDEX('How This Works &amp; Sources'!$B$29:$J$36,0,IF('Your Pay &amp; Benefits'!$C$12="MFJ",1,IF('Your Pay &amp; Benefits'!$C$12="HoH",7,4))))*INDEX('How This Works &amp; Sources'!$B$29:$J$36,0,IF('Your Pay &amp; Benefits'!$C$12="MFJ",1,IF('Your Pay &amp; Benefits'!$C$12="HoH",7,4))+2)),SUMPRODUCT((($AH9+$D9)&gt;INDEX('How This Works &amp; Sources'!$B$19:$J$26,0,IF('Your Pay &amp; Benefits'!$C$12="MFJ",1,IF('Your Pay &amp; Benefits'!$C$12="HoH",7,4))))*(($AH9+$D9)-INDEX('How This Works &amp; Sources'!$B$19:$J$26,0,IF('Your Pay &amp; Benefits'!$C$12="MFJ",1,IF('Your Pay &amp; Benefits'!$C$12="HoH",7,4))))*INDEX('How This Works &amp; Sources'!$B$19:$J$26,0,IF('Your Pay &amp; Benefits'!$C$12="MFJ",1,IF('Your Pay &amp; Benefits'!$C$12="HoH",7,4))+2)))-IF('Your Pay &amp; Benefits'!$C$13,SUMPRODUCT(($AH9&gt;INDEX('How This Works &amp; Sources'!$B$29:$J$36,0,IF('Your Pay &amp; Benefits'!$C$12="MFJ",1,IF('Your Pay &amp; Benefits'!$C$12="HoH",7,4))))*($AH9-INDEX('How This Works &amp; Sources'!$B$29:$J$36,0,IF('Your Pay &amp; Benefits'!$C$12="MFJ",1,IF('Your Pay &amp; Benefits'!$C$12="HoH",7,4))))*INDEX('How This Works &amp; Sources'!$B$29:$J$36,0,IF('Your Pay &amp; Benefits'!$C$12="MFJ",1,IF('Your Pay &amp; Benefits'!$C$12="HoH",7,4))+2)),SUMPRODUCT(($AH9&gt;INDEX('How This Works &amp; Sources'!$B$19:$J$26,0,IF('Your Pay &amp; Benefits'!$C$12="MFJ",1,IF('Your Pay &amp; Benefits'!$C$12="HoH",7,4))))*($AH9-INDEX('How This Works &amp; Sources'!$B$19:$J$26,0,IF('Your Pay &amp; Benefits'!$C$12="MFJ",1,IF('Your Pay &amp; Benefits'!$C$12="HoH",7,4))))*INDEX('How This Works &amp; Sources'!$B$19:$J$26,0,IF('Your Pay &amp; Benefits'!$C$12="MFJ",1,IF('Your Pay &amp; Benefits'!$C$12="HoH",7,4))+2)))),'How This Works &amp; Sources'!$C$10*$D9),2)))</f>
      </c>
      <c r="Q9" s="7">
        <f>IF($B9="","",ROUND('How This Works &amp; Sources'!$C$4*MIN($N9,MAX(0,'How This Works &amp; Sources'!$C$3-($AX9+$AB8-$AW9))),2))</f>
      </c>
      <c r="R9" s="7">
        <f>IF($B9="","",ROUND('How This Works &amp; Sources'!$C$5*$N9,2))</f>
      </c>
      <c r="S9" s="7">
        <f>IF($B9="","",ROUND('How This Works &amp; Sources'!$C$6*MAX(0,MIN($N9,$AG8+$N9-'How This Works &amp; Sources'!$C$7)),2))</f>
      </c>
      <c r="T9" s="7">
        <f>IF($B9="","",IF('Your Pay &amp; Benefits'!$C$26,0,IF($AN9="CA",ROUND(IF($AI9&lt;=IF(($AS9+$AT9)&gt;=2,VLOOKUP($AN9,StateTables!$A$6:$AB$56,10,FALSE),VLOOKUP($AN9,StateTables!$A$6:$AB$56,9,FALSE)),0,MAX(0,SUMPRODUCT(($AJ9&gt;INDEX('How This Works &amp; Sources'!$B$39:$J$48,0,IF($AU9="Married",4,IF($AU9="Head of household",7,1))))*($AJ9-INDEX('How This Works &amp; Sources'!$B$39:$J$48,0,IF($AU9="Married",4,IF($AU9="Head of household",7,1))))*INDEX('How This Works &amp; Sources'!$B$39:$J$48,0,IF($AU9="Married",4,IF($AU9="Head of household",7,1))+2))-VLOOKUP($AN9,StateTables!$A$6:$AB$56,11,FALSE)*$AS9)/'Your Pay &amp; Benefits'!$C$8)+'Your Pay &amp; Benefits'!$C$25+VLOOKUP($AN9,StateTables!$A$6:$AB$56,13,FALSE)*$D9,2),IF(VLOOKUP($AN9,StateTables!$A$6:$AB$56,4,FALSE)="None",0,IF(ISNUMBER(SEARCH("MANUAL",VLOOKUP($AN9,StateTables!$A$6:$AB$56,5,FALSE))),'Your Pay &amp; Benefits'!$C$28,ROUND(MAX(0,$BA9+$BB9)/'Your Pay &amp; Benefits'!$C$8+'Your Pay &amp; Benefits'!$C$25+$BC9,2))))))</f>
      </c>
      <c r="U9" s="7">
        <f>IF($B9="","",IF(VLOOKUP($AN9,StateTables!$A$6:$AB$56,24,FALSE)="flatq",IF(OR(MONTH($B9)=1,MONTH($B9)=4,MONTH($B9)=7,MONTH($B9)=10),VLOOKUP($AN9,StateTables!$A$6:$AB$56,25,FALSE),0),IF(VLOOKUP($AN9,StateTables!$A$6:$AB$56,24,FALSE)="dbl",MIN(ROUND(0.005*$N9,2),ROUND(0.6*52/'Your Pay &amp; Benefits'!$C$8,2)),IF(OR(VLOOKUP($AN9,StateTables!$A$6:$AB$56,15,FALSE)="",VLOOKUP($AN9,StateTables!$A$6:$AB$56,15,FALSE)=0),0,ROUND(VLOOKUP($AN9,StateTables!$A$6:$AB$56,15,FALSE)*IF(OR(VLOOKUP($AN9,StateTables!$A$6:$AB$56,16,FALSE)="",VLOOKUP($AN9,StateTables!$A$6:$AB$56,16,FALSE)=0),$N9,MIN($N9,MAX(0,VLOOKUP($AN9,StateTables!$A$6:$AB$56,16,FALSE)-($AX9+$AB8-$AW9)))),2))))+IF(VLOOKUP($AN9,StateTables!$A$6:$AB$56,27,FALSE)="flatq",IF(OR(MONTH($B9)=1,MONTH($B9)=4,MONTH($B9)=7,MONTH($B9)=10),VLOOKUP($AN9,StateTables!$A$6:$AB$56,28,FALSE),0),IF(VLOOKUP($AN9,StateTables!$A$6:$AB$56,27,FALSE)="dbl",MIN(ROUND(0.005*$N9,2),ROUND(0.6*52/'Your Pay &amp; Benefits'!$C$8,2)),IF(OR(VLOOKUP($AN9,StateTables!$A$6:$AB$56,18,FALSE)="",VLOOKUP($AN9,StateTables!$A$6:$AB$56,18,FALSE)=0),0,ROUND(VLOOKUP($AN9,StateTables!$A$6:$AB$56,18,FALSE)*IF(OR(VLOOKUP($AN9,StateTables!$A$6:$AB$56,19,FALSE)="",VLOOKUP($AN9,StateTables!$A$6:$AB$56,19,FALSE)=0),$N9,MIN($N9,MAX(0,VLOOKUP($AN9,StateTables!$A$6:$AB$56,19,FALSE)-($AX9+$AB8-$AW9)))),2)))))</f>
      </c>
      <c r="V9" s="7">
        <f>IF($B9="","",IF($AN9="NY",IF('Your Pay &amp; Benefits'!$C$78,ROUND(SUMPRODUCT((MAX(0,($O9-$D9)*'Your Pay &amp; Benefits'!$C$8-(IF($AU9="Married",5500,5000)+1000*$AS9))&gt;INDEX('How This Works &amp; Sources'!$B$184:$J$198,0,4))*(MAX(0,($O9-$D9)*'Your Pay &amp; Benefits'!$C$8-(IF($AU9="Married",5500,5000)+1000*$AS9))-INDEX('How This Works &amp; Sources'!$B$184:$J$198,0,4))*INDEX('How This Works &amp; Sources'!$B$184:$J$198,0,4+2))/'Your Pay &amp; Benefits'!$C$8+0.0425*$D9,2),0)+IF('Your Pay &amp; Benefits'!$C$79="Resident",ROUND(0.1675*$T9,2),IF('Your Pay &amp; Benefits'!$C$79="Nonresident",ROUND(0.005*MAX(0,($O9-$D9)-(IF($AU9="Married",7950,7400)+1000*$AS9)/'Your Pay &amp; Benefits'!$C$8),2),0)),IF($AN9="PA",IF('Your Pay &amp; Benefits'!$C$80="None",'Your Pay &amp; Benefits'!$C$27+ROUND('Your Pay &amp; Benefits'!$C$81*($C9+$D9),2),ROUND(IF('Your Pay &amp; Benefits'!$C$80="Resident",IF($B9&lt;DATE(2026,7,1),0.0374,0.03735),IF($B9&lt;DATE(2026,7,1),0.0343,0.03425))*($C9+$D9),2)),IF($BF9=0,ROUND('Your Pay &amp; Benefits'!$C$81*($C9+$D9),2),'Your Pay &amp; Benefits'!$C$27+ROUND('Your Pay &amp; Benefits'!$C$81*($C9+$D9),2)))))</f>
      </c>
      <c r="W9" s="7">
        <f>IF($B9="","",IF($BF9=0,0,$BP9))</f>
      </c>
      <c r="X9" s="7">
        <f>IF($B9="","",SUM($E9:$K9)+$P9+$Q9+$R9+$S9+$T9+$U9+$V9+$W9)</f>
      </c>
      <c r="Y9" s="22">
        <f>IF($B9="","",$C9+$D9-$X9)</f>
      </c>
      <c r="Z9" s="7">
        <f>IF($B9="","",$Z8+$C9+$D9)</f>
      </c>
      <c r="AA9" s="7">
        <f>IF($B9="","",$AA8+$Y9)</f>
      </c>
      <c r="AB9" s="7">
        <f>IF($B9="","",$AB8+MIN($N9,MAX(0,'How This Works &amp; Sources'!$C$3-($AX9+$AB8-$AW9))))</f>
      </c>
      <c r="AC9" s="7">
        <f>IF($B9="","",$AC8+$E9+$F9)</f>
      </c>
      <c r="AD9" s="3">
        <f>IF($B9="","",IF(AND($AB8&lt;'How This Works &amp; Sources'!$C$3,$AB9&gt;='How This Works &amp; Sources'!$C$3),"★ Social Security maxed on this check — from the next check your net rises by about $"&amp;TEXT(ROUND('How This Works &amp; Sources'!$C$4*$N9,2),"#,##0.00")&amp;". ","")&amp;IF(AND($AC8&lt;'Your Pay &amp; Benefits'!$C$34,$AC9&gt;='Your Pay &amp; Benefits'!$C$34),"★ 401(k) reaches the $"&amp;TEXT('Your Pay &amp; Benefits'!$C$34,"#,##0")&amp;" cap on this check — deferrals stop and net pay rises. ","")&amp;IF(AND($AG8&lt;'How This Works &amp; Sources'!$C$7,$AG9&gt;='How This Works &amp; Sources'!$C$7),"★ Wages pass $200,000 — the 0.9% Additional Medicare Tax starts here. ","")&amp;IF(AND($BJ9&gt;0,$H9&gt;0,$BG8&lt;MIN($BJ9,'How This Works &amp; Sources'!$C$13),$BG8+$H9&gt;=MIN($BJ9,'How This Works &amp; Sources'!$C$13)),"★ Health FSA election is now fully deferred for the year. ",""))</f>
      </c>
      <c r="AE9" s="41" t="n"/>
      <c r="AF9" s="7">
        <f>IF(OR($B9="",$AE9=""),"",$AE9-$Y9)</f>
      </c>
      <c r="AG9" s="7">
        <f>IF($B9="","",$AG8+$N9)</f>
      </c>
      <c r="AH9" s="7">
        <f>IF($B9="","",MAX(0,($M9-$D9)*'Your Pay &amp; Benefits'!$C$8+$AP9-$AQ9-IF('Your Pay &amp; Benefits'!$C$13,0,IF('Your Pay &amp; Benefits'!$C$12="MFJ",'How This Works &amp; Sources'!$C$8,'How This Works &amp; Sources'!$C$9))))</f>
      </c>
      <c r="AI9" s="7">
        <f>IF($B9="","",$O9*'Your Pay &amp; Benefits'!$C$8)</f>
      </c>
      <c r="AJ9" s="7">
        <f>IF($B9="","",MAX(0,$AI9-VLOOKUP($AN9,StateTables!$A$6:$AB$56,12,FALSE)*$AT9-IF(($AS9+$AT9)&gt;=2,VLOOKUP($AN9,StateTables!$A$6:$AB$56,8,FALSE),VLOOKUP($AN9,StateTables!$A$6:$AB$56,7,FALSE))))</f>
      </c>
      <c r="AK9" s="7">
        <f>IF($B9="","",IFERROR(LOOKUP(2,1/(('Changes &amp; Events'!$C$6:$C$17="Salary change")*('Changes &amp; Events'!$B$6:$B$17&lt;=$B9)*('Changes &amp; Events'!$B$6:$B$17&lt;&gt;"")),'Changes &amp; Events'!$D$6:$D$17),IF('Your Pay &amp; Benefits'!$C$4="Annual salary",'Your Pay &amp; Benefits'!$C$5,'Your Pay &amp; Benefits'!$C$6)))</f>
      </c>
      <c r="AL9">
        <f>IF($B9="","",IFERROR(LOOKUP(2,1/(('Changes &amp; Events'!$C$6:$C$17="401(k) change")*('Changes &amp; Events'!$B$6:$B$17&lt;=$B9)*('Changes &amp; Events'!$B$6:$B$17&lt;&gt;"")),'Changes &amp; Events'!$D$6:$D$17),'Your Pay &amp; Benefits'!$C$30))</f>
      </c>
      <c r="AM9" s="7">
        <f>IF($B9="","",IFERROR(LOOKUP(2,1/(('Changes &amp; Events'!$C$6:$C$17="401(k) change")*('Changes &amp; Events'!$B$6:$B$17&lt;=$B9)*('Changes &amp; Events'!$B$6:$B$17&lt;&gt;"")),'Changes &amp; Events'!$E$6:$E$17),'Your Pay &amp; Benefits'!$D$31))</f>
      </c>
      <c r="AN9">
        <f>IF($B9="","",IFERROR(LOOKUP(2,1/(('Changes &amp; Events'!$C$6:$C$17="State move")*('Changes &amp; Events'!$B$6:$B$17&lt;=$B9)*('Changes &amp; Events'!$B$6:$B$17&lt;&gt;"")),'Changes &amp; Events'!$D$6:$D$17),'Your Pay &amp; Benefits'!$C$21))</f>
      </c>
      <c r="AO9" s="7">
        <f>IF($B9="","",IFERROR(LOOKUP(2,1/(('Changes &amp; Events'!$C$6:$C$17="W-4 change")*('Changes &amp; Events'!$B$6:$B$17&lt;=$B9)*('Changes &amp; Events'!$B$6:$B$17&lt;&gt;"")),'Changes &amp; Events'!$D$6:$D$17),'Your Pay &amp; Benefits'!$C$14))</f>
      </c>
      <c r="AP9" s="7">
        <f>IF($B9="","",IFERROR(LOOKUP(2,1/(('Changes &amp; Events'!$C$6:$C$17="W-4 change")*('Changes &amp; Events'!$B$6:$B$17&lt;=$B9)*('Changes &amp; Events'!$B$6:$B$17&lt;&gt;"")),'Changes &amp; Events'!$E$6:$E$17),'Your Pay &amp; Benefits'!$C$15))</f>
      </c>
      <c r="AQ9" s="7">
        <f>IF($B9="","",IFERROR(LOOKUP(2,1/(('Changes &amp; Events'!$C$6:$C$17="W-4 change")*('Changes &amp; Events'!$B$6:$B$17&lt;=$B9)*('Changes &amp; Events'!$B$6:$B$17&lt;&gt;"")),'Changes &amp; Events'!$F$6:$F$17),'Your Pay &amp; Benefits'!$C$16))</f>
      </c>
      <c r="AR9" s="7">
        <f>IF($B9="","",IFERROR(LOOKUP(2,1/(('Changes &amp; Events'!$C$6:$C$17="W-4 change")*('Changes &amp; Events'!$B$6:$B$17&lt;=$B9)*('Changes &amp; Events'!$B$6:$B$17&lt;&gt;"")),'Changes &amp; Events'!$G$6:$G$17),'Your Pay &amp; Benefits'!$C$17))</f>
      </c>
      <c r="AS9" s="6">
        <f>IF($B9="","",IFERROR(LOOKUP(2,1/((('Changes &amp; Events'!$C$6:$C$17="State move")+('Changes &amp; Events'!$C$6:$C$17="State cert change"))*('Changes &amp; Events'!$B$6:$B$17&lt;=$B9)*('Changes &amp; Events'!$B$6:$B$17&lt;&gt;"")),'Changes &amp; Events'!$F$6:$F$17),'Your Pay &amp; Benefits'!$C$23))</f>
      </c>
      <c r="AT9" s="6">
        <f>IF($B9="","",IFERROR(LOOKUP(2,1/((('Changes &amp; Events'!$C$6:$C$17="State move")+('Changes &amp; Events'!$C$6:$C$17="State cert change"))*('Changes &amp; Events'!$B$6:$B$17&lt;=$B9)*('Changes &amp; Events'!$B$6:$B$17&lt;&gt;"")),'Changes &amp; Events'!$G$6:$G$17),'Your Pay &amp; Benefits'!$C$24))</f>
      </c>
      <c r="AU9">
        <f>IF($B9="","",IFERROR(LOOKUP(2,1/(('Changes &amp; Events'!$C$6:$C$17="State move")*('Changes &amp; Events'!$B$6:$B$17&lt;=$B9)*('Changes &amp; Events'!$B$6:$B$17&lt;&gt;"")),'Changes &amp; Events'!$E$6:$E$17),'Your Pay &amp; Benefits'!$C$22))</f>
      </c>
      <c r="AV9" s="6">
        <f>IF($B9="","",1+COUNTIFS('Changes &amp; Events'!$C$6:$C$17,"Employer change",'Changes &amp; Events'!$B$6:$B$17,"&lt;="&amp;$B9,'Changes &amp; Events'!$B$6:$B$17,"&lt;&gt;"))</f>
      </c>
      <c r="AW9" s="7">
        <f>IF($B9="","",IF($AV9=1,'Your Pay &amp; Benefits'!$C$49,IF(IFERROR(MATCH(IFERROR(LOOKUP(2,1/(('Changes &amp; Events'!$C$6:$C$17="Employer change")*('Changes &amp; Events'!$B$6:$B$17&lt;=$B9)*('Changes &amp; Events'!$B$6:$B$17&lt;&gt;"")),'Changes &amp; Events'!$B$6:$B$17),""),$B$6:$B$68,1),1)&lt;=1,'Your Pay &amp; Benefits'!$C$49,INDEX($AB$6:$AB$68,MATCH(IFERROR(LOOKUP(2,1/(('Changes &amp; Events'!$C$6:$C$17="Employer change")*('Changes &amp; Events'!$B$6:$B$17&lt;=$B9)*('Changes &amp; Events'!$B$6:$B$17&lt;&gt;"")),'Changes &amp; Events'!$B$6:$B$17),""),$B$6:$B$68,1)-1))))</f>
      </c>
      <c r="AX9" s="7">
        <f>IF($B9="","",IF($AV9=1,'Your Pay &amp; Benefits'!$C$49,IFERROR(LOOKUP(2,1/(('Changes &amp; Events'!$C$6:$C$17="Employer change")*('Changes &amp; Events'!$B$6:$B$17&lt;=$B9)*('Changes &amp; Events'!$B$6:$B$17&lt;&gt;"")),'Changes &amp; Events'!$D$6:$D$17),0)))</f>
      </c>
      <c r="AY9" s="7">
        <f>IF($B9="","",($O9-$D9)*'Your Pay &amp; Benefits'!$C$8)</f>
      </c>
      <c r="AZ9" s="7">
        <f>IF($B9="","",IF($AN9="AL",MAX(0,$AY9-IF($AU9="Married",IF($AY9&lt;=25999,8500,MAX(5000,8500-175*CEILING(($AY9-25999)/500,1))),IF($AU9="Head of household",IF($AY9&lt;=25999,5200,MAX(2500,5200-135*CEILING(($AY9-25999)/500,1))),IF($AY9&lt;=25999,3000,MAX(2500,3000-25*CEILING(($AY9-25999)/500,1)))))-($P9-'How This Works &amp; Sources'!$C$10*$D9)*'Your Pay &amp; Benefits'!$C$8-IF(OR($AU9="Married",$AU9="Head of household"),3000,1500)-$AT9*IF($AY9&lt;=50000,1000,IF($AY9&lt;=100000,500,300))),IF($AN9="AR",IF(MAX(0,$AY9-2470)&lt;97701,INT(MAX(0,$AY9-2470)/100)*100+50,MAX(0,$AY9-2470)),IF($AN9="DE",MAX(0,$AI9-3250),IF($AN9="HI",MAX(0,$AI9-1144*$AS9-4350),IF($AN9="KS",MAX(0,$AI9-(9160*IF($AU9="Married",2,1)+2320*$AT9+IF($AU9="Head of household",2320,0))),IF($AN9="MD",MAX(0,$AI9-3400-3200*$AS9),IF($AN9="MN",MAX(0,$AY9-5300*$AS9),IF($AN9="MO",MAX(0,$AI9-IF($AU9="Head of household",24150,IF($AU9="Married",IF('Your Pay &amp; Benefits'!$C$83,16100,32200),16100))),IF($AN9="MT",$AY9,IF($AN9="ND",($C9+$L9)*'Your Pay &amp; Benefits'!$C$8,IF($AN9="NE",MAX(0,$AY9-2440*$AS9),IF($AN9="NJ",MAX(0,$AY9-1000*$AS9),IF($AN9="NY",MAX(0,$AY9-(IF($AU9="Married",7950,7400)+1000*$AS9)),IF($AN9="OH",MAX(0,$AY9-650*$AS9),IF($AN9="OK",MAX(0,$AY9-1000*$AS9),IF($AN9="RI",MAX(0,$AI9-1000*$AS9),IF($AN9="SC",MAX(0,$AI9-5000*$AS9-IF($AS9=0,0,MIN(0.1*$AI9,7500))),IF($AN9="VA",MAX(0,$AI9-IF($AU9="Married",17500,8750)-930*$AS9-800*$AT9),IF($AN9="VT",MAX(0,$AI9-5400*$AS9),IF($AN9="WI",MAX(0,$AI9-MAX(0,IF($AU9="Married",9461-0.2*MAX(0,$AI9-25727),6702-0.12*MAX(0,$AI9-17780)))-400*$AS9),IF($AN9="WV",MAX(0,$AI9-2000*$AS9),$AI9))))))))))))))))))))))</f>
      </c>
      <c r="BA9" s="7">
        <f>IF($B9="","",IF($BW9&lt;&gt;"",$BW9,IF($BX9&lt;&gt;"",$BX9,IF($BY9&lt;&gt;"",$BY9,0))))</f>
      </c>
      <c r="BB9" s="7">
        <f>IF($B9="","",IF($AN9="AR",-29*$AS9,IF($AN9="DE",-110*$AS9,IF($AN9="MD",$AZ9*'Your Pay &amp; Benefits'!$C$74,IF($AN9="AZ",'Your Pay &amp; Benefits'!$C$82*($M9-$D9)*'Your Pay &amp; Benefits'!$C$8,IF($AN9="CO",0.044*MAX(0,$AY9-IF($AU9="Married",10000,5000)),IF($AN9="IA",MAX(0,0.038*MAX(0,$AY9-IF($AU9="Head of household",19500,IF($AU9="Married",26000,13000)))-40*$AS9),IF($AN9="ID",0.053*MAX(0,$AY9-IF($AU9="Married",32000,16094)),IF($AN9="IL",0.0495*MAX(0,$AY9-(2925*$AS9+1000*$AT9)),IF($AN9="IN",(0.0295+'Your Pay &amp; Benefits'!$C$76)*MAX(0,$AY9-(1000*$AS9+1500*$AT9+3000*'Your Pay &amp; Benefits'!$C$86)),IF($AN9="KY",0.035*MAX(0,$AI9-3360),IF($AN9="LA",IF('Your Pay &amp; Benefits'!$C$84="0",0.0309*$AI9,0.0309*MAX(0,$AI9-IF('Your Pay &amp; Benefits'!$C$84="2",25750,12875))),IF($AN9="MA",0.05*MIN(MAX(0,$AY9-MIN(($BD8+$Q9+$R9+$S9),2000)-IF($AS9=0,0,IF($AS9=1,4400,1000*$AS9+3400))),1107750)+0.09*MAX(0,MAX(0,$AY9-MIN(($BD8+$Q9+$R9+$S9),2000)-IF($AS9=0,0,IF($AS9=1,4400,1000*$AS9+3400)))-1107750)-IF($AU9="Head of household",120,0)-110*'Your Pay &amp; Benefits'!$C$75,IF($AN9="MI",0.0425*MAX(0,$AY9-5900*$AS9),IF($AN9="MS",0.04*MAX(0,$AI9-IF($AU9="Head of household",3400,IF($AU9="Married",4600,2300))-'Your Pay &amp; Benefits'!$C$85-10000),IF($AN9="OR",IF(OR($AU9="Married",AND($AU9="Single",$AS9&gt;=3)),SUMPRODUCT((MAX(0,$AY9-MIN(($P9-'How This Works &amp; Sources'!$C$10*$D9)*'Your Pay &amp; Benefits'!$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Sources'!$B$211:$J$214,0,4))*(MAX(0,$AY9-MIN(($P9-'How This Works &amp; Sources'!$C$10*$D9)*'Your Pay &amp; Benefits'!$C$8,IF(OR($AU9="Married",AND($AU9="Single",$AS9&gt;=3)),IF($AY9&lt;250000,8750,IF($AY9&lt;260000,7000,IF($AY9&lt;270000,5250,IF($AY9&lt;280000,3500,IF($AY9&lt;290000,1750,0))))),IF($AY9&lt;125000,8750,IF($AY9&lt;130000,7000,IF($AY9&lt;135000,5250,IF($AY9&lt;140000,3500,IF($AY9&lt;145000,1750,0)))))))-IF(OR($AU9="Married",AND($AU9="Single",$AS9&gt;=3)),5820,2910))-INDEX('How This Works &amp; Sources'!$B$211:$J$214,0,4))*INDEX('How This Works &amp; Sources'!$B$211:$J$214,0,4+2)),SUMPRODUCT((MAX(0,$AY9-MIN(($P9-'How This Works &amp; Sources'!$C$10*$D9)*'Your Pay &amp; Benefits'!$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Sources'!$B$211:$J$214,0,1))*(MAX(0,$AY9-MIN(($P9-'How This Works &amp; Sources'!$C$10*$D9)*'Your Pay &amp; Benefits'!$C$8,IF(OR($AU9="Married",AND($AU9="Single",$AS9&gt;=3)),IF($AY9&lt;250000,8750,IF($AY9&lt;260000,7000,IF($AY9&lt;270000,5250,IF($AY9&lt;280000,3500,IF($AY9&lt;290000,1750,0))))),IF($AY9&lt;125000,8750,IF($AY9&lt;130000,7000,IF($AY9&lt;135000,5250,IF($AY9&lt;140000,3500,IF($AY9&lt;145000,1750,0)))))))-IF(OR($AU9="Married",AND($AU9="Single",$AS9&gt;=3)),5820,2910))-INDEX('How This Works &amp; Sources'!$B$211:$J$214,0,1))*INDEX('How This Works &amp; Sources'!$B$211:$J$214,0,1+2)))+263-263*IF(IF($AU9="Married",$AY9&gt;200000,$AY9&gt;100000),0,$AS9),IF($AN9="PA",0.0307*(($O9+$E9+$G9)*'Your Pay &amp; Benefits'!$C$8),IF($AN9="NY",IF($AU9="Married",IF($AZ9&gt;=2155350,0,IF($AZ9&gt;=1077550,0.48,IF($AZ9&gt;=373200,1.21,IF($AZ9&gt;=323200,0.21,IF($AZ9&gt;=211550,-0.19,IF($AZ9&gt;=157650,-2.8,IF($AZ9&gt;=107650,-0.8,IF($AZ9&gt;=96800,0.05,IF($AZ9&gt;=80650,-0.1,IF($AZ9&gt;=13900,0.4,IF($AZ9&gt;=11700,-0.3,IF($AZ9&gt;=8500,0.5,0)))))))))))),IF($AZ9&gt;=1077550,0,IF($AZ9&gt;=265400,4.29,IF($AZ9&gt;=215400,2.29,IF($AZ9&gt;=157650,2.29,IF($AZ9&gt;=107650,0.29,IF($AZ9&gt;=96800,0.05,IF($AZ9&gt;=80650,-0.1,IF($AZ9&gt;=13900,0.4,IF($AZ9&gt;=11700,-0.3,IF($AZ9&gt;=8500,0.5,0))))))))))),0))))))))))))))))))</f>
      </c>
      <c r="BC9" s="7">
        <f>IF($B9="","",IF($AN9="AL",0.05*$D9,IF($AN9="AR",0.039*$D9,IF($AN9="ID",0.053*$D9,IF($AN9="IN",(0.0295+'Your Pay &amp; Benefits'!$C$76)*$D9,IF($AN9="KS",0.05*$D9,IF($AN9="MA",0.09*MIN($D9,MAX(0,MAX(0,$AY9-MIN(($BD8+$Q9+$R9+$S9),2000)-IF($AS9=0,0,IF($AS9=1,4400,1000*$AS9+3400)))+$D9-1107750))+0.05*($D9-MIN($D9,MAX(0,MAX(0,$AY9-MIN(($BD8+$Q9+$R9+$S9),2000)-IF($AS9=0,0,IF($AS9=1,4400,1000*$AS9+3400)))+$D9-1107750))),IF($AN9="MD",(0.065+'Your Pay &amp; Benefits'!$C$74)*$D9,IF($AN9="MI",0.0425*$D9,IF($AN9="MN",0.0625*$D9,IF($AN9="MO",0.047*$D9,IF($AN9="MT",0.05*$D9,IF($AN9="ND",0.015*$D9,IF($AN9="NE",0.035*$D9,IF($AN9="NJ",IF('Your Pay &amp; Benefits'!$C$77="B",SUMPRODUCT(($D9*'Your Pay &amp; Benefits'!$C$8&gt;INDEX('How This Works &amp; Sources'!$B$155:$J$162,0,4))*($D9*'Your Pay &amp; Benefits'!$C$8-INDEX('How This Works &amp; Sources'!$B$155:$J$162,0,4))*INDEX('How This Works &amp; Sources'!$B$155:$J$162,0,4+2)),IF('Your Pay &amp; Benefits'!$C$77="C",SUMPRODUCT(($D9*'Your Pay &amp; Benefits'!$C$8&gt;INDEX('How This Works &amp; Sources'!$B$155:$J$162,0,7))*($D9*'Your Pay &amp; Benefits'!$C$8-INDEX('How This Works &amp; Sources'!$B$155:$J$162,0,7))*INDEX('How This Works &amp; Sources'!$B$155:$J$162,0,7+2)),IF('Your Pay &amp; Benefits'!$C$77="D",SUMPRODUCT(($D9*'Your Pay &amp; Benefits'!$C$8&gt;INDEX('How This Works &amp; Sources'!$B$167:$J$179,0,1))*($D9*'Your Pay &amp; Benefits'!$C$8-INDEX('How This Works &amp; Sources'!$B$167:$J$179,0,1))*INDEX('How This Works &amp; Sources'!$B$167:$J$179,0,1+2)),IF('Your Pay &amp; Benefits'!$C$77="E",SUMPRODUCT(($D9*'Your Pay &amp; Benefits'!$C$8&gt;INDEX('How This Works &amp; Sources'!$B$167:$J$179,0,4))*($D9*'Your Pay &amp; Benefits'!$C$8-INDEX('How This Works &amp; Sources'!$B$167:$J$179,0,4))*INDEX('How This Works &amp; Sources'!$B$167:$J$179,0,4+2)),SUMPRODUCT(($D9*'Your Pay &amp; Benefits'!$C$8&gt;INDEX('How This Works &amp; Sources'!$B$155:$J$162,0,1))*($D9*'Your Pay &amp; Benefits'!$C$8-INDEX('How This Works &amp; Sources'!$B$155:$J$162,0,1))*INDEX('How This Works &amp; Sources'!$B$155:$J$162,0,1+2))))))/'Your Pay &amp; Benefits'!$C$8,IF($AN9="NY",0.117*$D9,IF($AN9="OH",0.0275*$D9,IF($AN9="OK",0.045*$D9,IF($AN9="OR",0.08*$D9,IF($AN9="WI",IF($AY9&lt;12760,0.0354,IF($AY9&lt;25520,0.0465,IF($AY9&lt;280950,0.053,0.0765)))*$D9,0))))))))))))))))))))</f>
      </c>
      <c r="BD9" s="7">
        <f>IF($B9="","",$BD8+$Q9+$R9+$S9)</f>
      </c>
      <c r="BE9" s="6">
        <f>IF($B9="",$BE8,$BE8+$BF9)</f>
      </c>
      <c r="BF9" s="6">
        <f>IF($B9="","",IF(AND(IF(YEAR(IF('Your Pay &amp; Benefits'!$C$7="Weekly",'Your Pay &amp; Benefits'!$C$9+7*(($BE8+1)-1),IF('Your Pay &amp; Benefits'!$C$7="Biweekly",'Your Pay &amp; Benefits'!$C$9+14*(($BE8+1)-1),IF('Your Pay &amp; Benefits'!$C$7="Semimonthly",DATE(YEAR('Your Pay &amp; Benefits'!$C$9),MONTH('Your Pay &amp; Benefits'!$C$9)+INT((($BE8+1)-1)/2),MIN(DAY('Your Pay &amp; Benefits'!$C$9),DAY(EOMONTH(DATE(YEAR('Your Pay &amp; Benefits'!$C$9),MONTH('Your Pay &amp; Benefits'!$C$9)+INT((($BE8+1)-1)/2),1),0))))+IF(MOD(($BE8+1)-1,2)=1,15,0),EDATE('Your Pay &amp; Benefits'!$C$9,($BE8+1)-1)))))&lt;&gt;'Your Pay &amp; Benefits'!$C$10,"",IF('Your Pay &amp; Benefits'!$C$7="Weekly",'Your Pay &amp; Benefits'!$C$9+7*(($BE8+1)-1),IF('Your Pay &amp; Benefits'!$C$7="Biweekly",'Your Pay &amp; Benefits'!$C$9+14*(($BE8+1)-1),IF('Your Pay &amp; Benefits'!$C$7="Semimonthly",DATE(YEAR('Your Pay &amp; Benefits'!$C$9),MONTH('Your Pay &amp; Benefits'!$C$9)+INT((($BE8+1)-1)/2),MIN(DAY('Your Pay &amp; Benefits'!$C$9),DAY(EOMONTH(DATE(YEAR('Your Pay &amp; Benefits'!$C$9),MONTH('Your Pay &amp; Benefits'!$C$9)+INT((($BE8+1)-1)/2),1),0))))+IF(MOD(($BE8+1)-1,2)=1,15,0),EDATE('Your Pay &amp; Benefits'!$C$9,($BE8+1)-1)))))&lt;&gt;"",$B9=IF(YEAR(IF('Your Pay &amp; Benefits'!$C$7="Weekly",'Your Pay &amp; Benefits'!$C$9+7*(($BE8+1)-1),IF('Your Pay &amp; Benefits'!$C$7="Biweekly",'Your Pay &amp; Benefits'!$C$9+14*(($BE8+1)-1),IF('Your Pay &amp; Benefits'!$C$7="Semimonthly",DATE(YEAR('Your Pay &amp; Benefits'!$C$9),MONTH('Your Pay &amp; Benefits'!$C$9)+INT((($BE8+1)-1)/2),MIN(DAY('Your Pay &amp; Benefits'!$C$9),DAY(EOMONTH(DATE(YEAR('Your Pay &amp; Benefits'!$C$9),MONTH('Your Pay &amp; Benefits'!$C$9)+INT((($BE8+1)-1)/2),1),0))))+IF(MOD(($BE8+1)-1,2)=1,15,0),EDATE('Your Pay &amp; Benefits'!$C$9,($BE8+1)-1)))))&lt;&gt;'Your Pay &amp; Benefits'!$C$10,"",IF('Your Pay &amp; Benefits'!$C$7="Weekly",'Your Pay &amp; Benefits'!$C$9+7*(($BE8+1)-1),IF('Your Pay &amp; Benefits'!$C$7="Biweekly",'Your Pay &amp; Benefits'!$C$9+14*(($BE8+1)-1),IF('Your Pay &amp; Benefits'!$C$7="Semimonthly",DATE(YEAR('Your Pay &amp; Benefits'!$C$9),MONTH('Your Pay &amp; Benefits'!$C$9)+INT((($BE8+1)-1)/2),MIN(DAY('Your Pay &amp; Benefits'!$C$9),DAY(EOMONTH(DATE(YEAR('Your Pay &amp; Benefits'!$C$9),MONTH('Your Pay &amp; Benefits'!$C$9)+INT((($BE8+1)-1)/2),1),0))))+IF(MOD(($BE8+1)-1,2)=1,15,0),EDATE('Your Pay &amp; Benefits'!$C$9,($BE8+1)-1)))))),1,0))</f>
      </c>
      <c r="BG9" s="7">
        <f>IF($B9="","",$BG8+$H9)</f>
      </c>
      <c r="BH9" s="7">
        <f>IF($B9="","",$BH8+$I9)</f>
      </c>
      <c r="BI9" s="7">
        <f>IF($B9="","",$BI8+$G9)</f>
      </c>
      <c r="BJ9" s="7">
        <f>IF($B9="","",IFERROR(LOOKUP(2,1/(((('Changes &amp; Events'!$C$6:$C$17="Deduction start"))*('Changes &amp; Events'!$D$6:$D$17="Health FSA"))*('Changes &amp; Events'!$B$6:$B$17&lt;=$B9)*('Changes &amp; Events'!$B$6:$B$17&lt;&gt;"")),'Changes &amp; Events'!$E$6:$E$17),'Your Pay &amp; Benefits'!$D$38))</f>
      </c>
      <c r="BK9" s="7">
        <f>IF($B9="","",IFERROR(LOOKUP(2,1/(((('Changes &amp; Events'!$C$6:$C$17="Deduction start"))*('Changes &amp; Events'!$D$6:$D$17="Dependent-care FSA"))*('Changes &amp; Events'!$B$6:$B$17&lt;=$B9)*('Changes &amp; Events'!$B$6:$B$17&lt;&gt;"")),'Changes &amp; Events'!$E$6:$E$17),'Your Pay &amp; Benefits'!$D$39))</f>
      </c>
      <c r="BL9" s="7">
        <f>IF($B9="","",IFERROR(LOOKUP(2,1/(((('Changes &amp; Events'!$C$6:$C$17="Deduction start")+('Changes &amp; Events'!$C$6:$C$17="Deduction stop"))*('Changes &amp; Events'!$D$6:$D$17="HSA"))*('Changes &amp; Events'!$B$6:$B$17&lt;=$B9)*('Changes &amp; Events'!$B$6:$B$17&lt;&gt;"")),'Changes &amp; Events'!$I$6:$I$17),'Your Pay &amp; Benefits'!$D$35))</f>
      </c>
      <c r="BM9" s="7">
        <f>IF($B9="","",IFERROR(LOOKUP(2,1/(((('Changes &amp; Events'!$C$6:$C$17="Deduction start")+('Changes &amp; Events'!$C$6:$C$17="Deduction stop"))*('Changes &amp; Events'!$D$6:$D$17="Premiums"))*('Changes &amp; Events'!$B$6:$B$17&lt;=$B9)*('Changes &amp; Events'!$B$6:$B$17&lt;&gt;"")),'Changes &amp; Events'!$I$6:$I$17),'Your Pay &amp; Benefits'!$D$40+'Your Pay &amp; Benefits'!$D$41+'Your Pay &amp; Benefits'!$D$42))</f>
      </c>
      <c r="BN9" s="7">
        <f>IF($B9="","",IFERROR(LOOKUP(2,1/(((('Changes &amp; Events'!$C$6:$C$17="Deduction start")+('Changes &amp; Events'!$C$6:$C$17="Deduction stop"))*('Changes &amp; Events'!$D$6:$D$17="Commuter"))*('Changes &amp; Events'!$B$6:$B$17&lt;=$B9)*('Changes &amp; Events'!$B$6:$B$17&lt;&gt;"")),'Changes &amp; Events'!$I$6:$I$17),'Your Pay &amp; Benefits'!$D$43))</f>
      </c>
      <c r="BO9" s="7">
        <f>IF($B9="","",IFERROR(LOOKUP(2,1/(((('Changes &amp; Events'!$C$6:$C$17="Deduction start")+('Changes &amp; Events'!$C$6:$C$17="Deduction stop"))*('Changes &amp; Events'!$D$6:$D$17="Other pre-tax"))*('Changes &amp; Events'!$B$6:$B$17&lt;=$B9)*('Changes &amp; Events'!$B$6:$B$17&lt;&gt;"")),'Changes &amp; Events'!$I$6:$I$17),'Your Pay &amp; Benefits'!$D$44))</f>
      </c>
      <c r="BP9" s="7">
        <f>IF($B9="","",IFERROR(LOOKUP(2,1/(((('Changes &amp; Events'!$C$6:$C$17="Deduction start")+('Changes &amp; Events'!$C$6:$C$17="Deduction stop"))*('Changes &amp; Events'!$D$6:$D$17="Other post-tax"))*('Changes &amp; Events'!$B$6:$B$17&lt;=$B9)*('Changes &amp; Events'!$B$6:$B$17&lt;&gt;"")),'Changes &amp; Events'!$I$6:$I$17),'Your Pay &amp; Benefits'!$D$45))</f>
      </c>
      <c r="BQ9" s="6">
        <f>IF($B9="","",IFERROR(LOOKUP(2,1/(((('Changes &amp; Events'!$C$6:$C$17="Deduction start")+('Changes &amp; Events'!$C$6:$C$17="Deduction stop"))*('Changes &amp; Events'!$D$6:$D$17="Health FSA"))*('Changes &amp; Events'!$B$6:$B$17&lt;=$B9)*('Changes &amp; Events'!$B$6:$B$17&lt;&gt;"")),'Changes &amp; Events'!$J$6:$J$17),0))</f>
      </c>
      <c r="BR9" s="6">
        <f>IF($B9="","",IFERROR(LOOKUP(2,1/(((('Changes &amp; Events'!$C$6:$C$17="Deduction start")+('Changes &amp; Events'!$C$6:$C$17="Deduction stop"))*('Changes &amp; Events'!$D$6:$D$17="Dependent-care FSA"))*('Changes &amp; Events'!$B$6:$B$17&lt;=$B9)*('Changes &amp; Events'!$B$6:$B$17&lt;&gt;"")),'Changes &amp; Events'!$J$6:$J$17),0))</f>
      </c>
      <c r="BS9" s="6">
        <f>IF($B9="","",IF(SUMPRODUCT(('Changes &amp; Events'!$C$6:$C$17="Deduction start")*('Changes &amp; Events'!$B$6:$B$17&lt;=$B9)*('Changes &amp; Events'!$B$6:$B$17&lt;&gt;"")*('Changes &amp; Events'!$D$6:$D$17="Health FSA"))&gt;0,1,0))</f>
      </c>
      <c r="BT9" s="6">
        <f>IF($B9="","",IF(SUMPRODUCT(('Changes &amp; Events'!$C$6:$C$17="Deduction start")*('Changes &amp; Events'!$B$6:$B$17&lt;=$B9)*('Changes &amp; Events'!$B$6:$B$17&lt;&gt;"")*('Changes &amp; Events'!$D$6:$D$17="Dependent-care FSA"))&gt;0,1,0))</f>
      </c>
      <c r="BU9" s="24">
        <f>IF($B9="","",IF('Your Pay &amp; Benefits'!$C$13,SUMPRODUCT(($AH9&gt;=INDEX('How This Works &amp; Sources'!$B$29:$J$36,0,IF('Your Pay &amp; Benefits'!$C$12="MFJ",1,IF('Your Pay &amp; Benefits'!$C$12="HoH",7,4))))*INDEX('How This Works &amp; Sources'!$B$29:$J$36,0,IF('Your Pay &amp; Benefits'!$C$12="MFJ",1,IF('Your Pay &amp; Benefits'!$C$12="HoH",7,4))+2)),SUMPRODUCT(($AH9&gt;=INDEX('How This Works &amp; Sources'!$B$19:$J$26,0,IF('Your Pay &amp; Benefits'!$C$12="MFJ",1,IF('Your Pay &amp; Benefits'!$C$12="HoH",7,4))))*INDEX('How This Works &amp; Sources'!$B$19:$J$26,0,IF('Your Pay &amp; Benefits'!$C$12="MFJ",1,IF('Your Pay &amp; Benefits'!$C$12="HoH",7,4))+2))))</f>
      </c>
      <c r="BV9" s="24">
        <f>IF($B9="","",IF($BZ9&lt;&gt;"",$BZ9,IF($CA9&lt;&gt;"",$CA9,IF($CB9&lt;&gt;"",$CB9,IF($CC9&lt;&gt;"",$CC9,0)))))</f>
      </c>
      <c r="BW9" s="7">
        <f>IF($B9="","",IF($AN9="MD",IF(OR($AU9="Married",$AU9="Head of household"),SUMPRODUCT(($AZ9&gt;INDEX('How This Works &amp; Sources'!$B$114:$J$120,0,1))*($AZ9-INDEX('How This Works &amp; Sources'!$B$114:$J$120,0,1))*INDEX('How This Works &amp; Sources'!$B$114:$J$120,0,1+2)),SUMPRODUCT(($AZ9&gt;INDEX('How This Works &amp; Sources'!$B$103:$J$109,0,7))*($AZ9-INDEX('How This Works &amp; Sources'!$B$103:$J$109,0,7))*INDEX('How This Works &amp; Sources'!$B$103:$J$109,0,7+2))),IF($AN9="MO",SUMPRODUCT(($AZ9&gt;INDEX('How This Works &amp; Sources'!$B$125:$J$132,0,1))*($AZ9-INDEX('How This Works &amp; Sources'!$B$125:$J$132,0,1))*INDEX('How This Works &amp; Sources'!$B$125:$J$132,0,1+2)),IF($AN9="MT",IF($AU9="Head of household",SUMPRODUCT(($AZ9&gt;INDEX('How This Works &amp; Sources'!$B$137:$J$139,0,1))*($AZ9-INDEX('How This Works &amp; Sources'!$B$137:$J$139,0,1))*INDEX('How This Works &amp; Sources'!$B$137:$J$139,0,1+2)),IF($AU9="Married",SUMPRODUCT(($AZ9&gt;INDEX('How This Works &amp; Sources'!$B$125:$J$132,0,7))*($AZ9-INDEX('How This Works &amp; Sources'!$B$125:$J$132,0,7))*INDEX('How This Works &amp; Sources'!$B$125:$J$132,0,7+2)),SUMPRODUCT(($AZ9&gt;INDEX('How This Works &amp; Sources'!$B$125:$J$132,0,4))*($AZ9-INDEX('How This Works &amp; Sources'!$B$125:$J$132,0,4))*INDEX('How This Works &amp; Sources'!$B$125:$J$132,0,4+2)))),IF($AN9="ND",IF($AU9="Head of household",SUMPRODUCT(($AZ9&gt;INDEX('How This Works &amp; Sources'!$B$144:$J$150,0,1))*($AZ9-INDEX('How This Works &amp; Sources'!$B$144:$J$150,0,1))*INDEX('How This Works &amp; Sources'!$B$144:$J$150,0,1+2)),IF($AU9="Married",SUMPRODUCT(($AZ9&gt;INDEX('How This Works &amp; Sources'!$B$137:$J$139,0,7))*($AZ9-INDEX('How This Works &amp; Sources'!$B$137:$J$139,0,7))*INDEX('How This Works &amp; Sources'!$B$137:$J$139,0,7+2)),SUMPRODUCT(($AZ9&gt;INDEX('How This Works &amp; Sources'!$B$137:$J$139,0,4))*($AZ9-INDEX('How This Works &amp; Sources'!$B$137:$J$139,0,4))*INDEX('How This Works &amp; Sources'!$B$137:$J$139,0,4+2)))),IF($AN9="NJ",IF('Your Pay &amp; Benefits'!$C$77="B",SUMPRODUCT(($AZ9&gt;INDEX('How This Works &amp; Sources'!$B$155:$J$162,0,4))*($AZ9-INDEX('How This Works &amp; Sources'!$B$155:$J$162,0,4))*INDEX('How This Works &amp; Sources'!$B$155:$J$162,0,4+2)),IF('Your Pay &amp; Benefits'!$C$77="C",SUMPRODUCT(($AZ9&gt;INDEX('How This Works &amp; Sources'!$B$155:$J$162,0,7))*($AZ9-INDEX('How This Works &amp; Sources'!$B$155:$J$162,0,7))*INDEX('How This Works &amp; Sources'!$B$155:$J$162,0,7+2)),IF('Your Pay &amp; Benefits'!$C$77="D",SUMPRODUCT(($AZ9&gt;INDEX('How This Works &amp; Sources'!$B$167:$J$179,0,1))*($AZ9-INDEX('How This Works &amp; Sources'!$B$167:$J$179,0,1))*INDEX('How This Works &amp; Sources'!$B$167:$J$179,0,1+2)),IF('Your Pay &amp; Benefits'!$C$77="E",SUMPRODUCT(($AZ9&gt;INDEX('How This Works &amp; Sources'!$B$167:$J$179,0,4))*($AZ9-INDEX('How This Works &amp; Sources'!$B$167:$J$179,0,4))*INDEX('How This Works &amp; Sources'!$B$167:$J$179,0,4+2)),SUMPRODUCT(($AZ9&gt;INDEX('How This Works &amp; Sources'!$B$155:$J$162,0,1))*($AZ9-INDEX('How This Works &amp; Sources'!$B$155:$J$162,0,1))*INDEX('How This Works &amp; Sources'!$B$155:$J$162,0,1+2)))))),IF($AN9="NY",IF($AU9="Married",IF($AZ9&gt;=2155350,$AZ9*IF($AZ9&gt;25000000,0.117,IF($AZ9&gt;5000000,0.111,0.1045)),SUMPRODUCT(($AZ9&gt;INDEX('How This Works &amp; Sources'!$B$184:$J$198,0,1))*($AZ9-INDEX('How This Works &amp; Sources'!$B$184:$J$198,0,1))*INDEX('How This Works &amp; Sources'!$B$184:$J$198,0,1+2))),IF($AZ9&gt;=1077550,$AZ9*IF($AZ9&gt;25000000,0.117,IF($AZ9&gt;5000000,0.111,0.1045)),SUMPRODUCT(($AZ9&gt;INDEX('How This Works &amp; Sources'!$B$167:$J$179,0,7))*($AZ9-INDEX('How This Works &amp; Sources'!$B$167:$J$179,0,7))*INDEX('How This Works &amp; Sources'!$B$167:$J$179,0,7+2)))),"")))))))</f>
      </c>
      <c r="BX9" s="7">
        <f>IF($B9="","",IF($AN9="AL",IF(OR($AU9="Married",$AU9="Head of household"),SUMPRODUCT(($AZ9&gt;INDEX('How This Works &amp; Sources'!$B$82:$J$86,0,4))*($AZ9-INDEX('How This Works &amp; Sources'!$B$82:$J$86,0,4))*INDEX('How This Works &amp; Sources'!$B$82:$J$86,0,4+2)),SUMPRODUCT(($AZ9&gt;INDEX('How This Works &amp; Sources'!$B$82:$J$86,0,1))*($AZ9-INDEX('How This Works &amp; Sources'!$B$82:$J$86,0,1))*INDEX('How This Works &amp; Sources'!$B$82:$J$86,0,1+2))),IF($AN9="KS",IF($AU9="Married",SUMPRODUCT(($AZ9&gt;INDEX('How This Works &amp; Sources'!$B$103:$J$109,0,4))*($AZ9-INDEX('How This Works &amp; Sources'!$B$103:$J$109,0,4))*INDEX('How This Works &amp; Sources'!$B$103:$J$109,0,4+2)),SUMPRODUCT(($AZ9&gt;INDEX('How This Works &amp; Sources'!$B$103:$J$109,0,1))*($AZ9-INDEX('How This Works &amp; Sources'!$B$103:$J$109,0,1))*INDEX('How This Works &amp; Sources'!$B$103:$J$109,0,1+2))),IF($AN9="MN",IF($AU9="Married",SUMPRODUCT(($AZ9&gt;INDEX('How This Works &amp; Sources'!$B$114:$J$120,0,7))*($AZ9-INDEX('How This Works &amp; Sources'!$B$114:$J$120,0,7))*INDEX('How This Works &amp; Sources'!$B$114:$J$120,0,7+2)),SUMPRODUCT(($AZ9&gt;INDEX('How This Works &amp; Sources'!$B$114:$J$120,0,4))*($AZ9-INDEX('How This Works &amp; Sources'!$B$114:$J$120,0,4))*INDEX('How This Works &amp; Sources'!$B$114:$J$120,0,4+2))),IF($AN9="NE",MAX(IF($AU9="Married",SUMPRODUCT(($AZ9&gt;INDEX('How This Works &amp; Sources'!$B$144:$J$150,0,7))*($AZ9-INDEX('How This Works &amp; Sources'!$B$144:$J$150,0,7))*INDEX('How This Works &amp; Sources'!$B$144:$J$150,0,7+2)),SUMPRODUCT(($AZ9&gt;INDEX('How This Works &amp; Sources'!$B$144:$J$150,0,4))*($AZ9-INDEX('How This Works &amp; Sources'!$B$144:$J$150,0,4))*INDEX('How This Works &amp; Sources'!$B$144:$J$150,0,4+2))),0.015*$AZ9),IF($AN9="OH",IF($B9&gt;=DATE(2026,8,1),SUMPRODUCT(($AZ9&gt;INDEX('How This Works &amp; Sources'!$B$203:$J$206,0,1))*($AZ9-INDEX('How This Works &amp; Sources'!$B$203:$J$206,0,1))*INDEX('How This Works &amp; Sources'!$B$203:$J$206,0,1+2)),SUMPRODUCT(($AZ9&gt;INDEX('How This Works &amp; Sources'!$B$184:$J$198,0,7))*($AZ9-INDEX('How This Works &amp; Sources'!$B$184:$J$198,0,7))*INDEX('How This Works &amp; Sources'!$B$184:$J$198,0,7+2))),IF($AN9="OK",IF($AU9="Married",SUMPRODUCT(($AZ9&gt;INDEX('How This Works &amp; Sources'!$B$203:$J$206,0,7))*($AZ9-INDEX('How This Works &amp; Sources'!$B$203:$J$206,0,7))*INDEX('How This Works &amp; Sources'!$B$203:$J$206,0,7+2)),SUMPRODUCT(($AZ9&gt;INDEX('How This Works &amp; Sources'!$B$203:$J$206,0,4))*($AZ9-INDEX('How This Works &amp; Sources'!$B$203:$J$206,0,4))*INDEX('How This Works &amp; Sources'!$B$203:$J$206,0,4+2))),IF($AN9="RI",SUMPRODUCT(($AZ9&gt;INDEX('How This Works &amp; Sources'!$B$211:$J$214,0,7))*($AZ9-INDEX('How This Works &amp; Sources'!$B$211:$J$214,0,7))*INDEX('How This Works &amp; Sources'!$B$211:$J$214,0,7+2)),IF($AN9="VT",IF($AU9="Married",SUMPRODUCT(($AZ9&gt;INDEX('How This Works &amp; Sources'!$B$228:$J$232,0,1))*($AZ9-INDEX('How This Works &amp; Sources'!$B$228:$J$232,0,1))*INDEX('How This Works &amp; Sources'!$B$228:$J$232,0,1+2)),SUMPRODUCT(($AZ9&gt;INDEX('How This Works &amp; Sources'!$B$219:$J$223,0,7))*($AZ9-INDEX('How This Works &amp; Sources'!$B$219:$J$223,0,7))*INDEX('How This Works &amp; Sources'!$B$219:$J$223,0,7+2))),IF($AN9="WV",IF($AU9="Married",SUMPRODUCT(($AZ9&gt;INDEX('How This Works &amp; Sources'!$B$237:$J$241,0,7))*($AZ9-INDEX('How This Works &amp; Sources'!$B$237:$J$241,0,7))*INDEX('How This Works &amp; Sources'!$B$237:$J$241,0,7+2)),SUMPRODUCT(($AZ9&gt;INDEX('How This Works &amp; Sources'!$B$228:$J$232,0,7))*($AZ9-INDEX('How This Works &amp; Sources'!$B$228:$J$232,0,7))*INDEX('How This Works &amp; Sources'!$B$228:$J$232,0,7+2))),""))))))))))</f>
      </c>
      <c r="BY9" s="7">
        <f>IF($B9="","",IF($AN9="AR",SUMPRODUCT(($AZ9&gt;INDEX('How This Works &amp; Sources'!$B$82:$J$86,0,7))*($AZ9-INDEX('How This Works &amp; Sources'!$B$82:$J$86,0,7))*INDEX('How This Works &amp; Sources'!$B$82:$J$86,0,7+2)),IF($AN9="DE",SUMPRODUCT(($AZ9&gt;INDEX('How This Works &amp; Sources'!$B$91:$J$98,0,1))*($AZ9-INDEX('How This Works &amp; Sources'!$B$91:$J$98,0,1))*INDEX('How This Works &amp; Sources'!$B$91:$J$98,0,1+2)),IF($AN9="HI",IF($AU9="Married",SUMPRODUCT(($AZ9&gt;INDEX('How This Works &amp; Sources'!$B$91:$J$98,0,7))*($AZ9-INDEX('How This Works &amp; Sources'!$B$91:$J$98,0,7))*INDEX('How This Works &amp; Sources'!$B$91:$J$98,0,7+2)),SUMPRODUCT(($AZ9&gt;INDEX('How This Works &amp; Sources'!$B$91:$J$98,0,4))*($AZ9-INDEX('How This Works &amp; Sources'!$B$91:$J$98,0,4))*INDEX('How This Works &amp; Sources'!$B$91:$J$98,0,4+2))),IF($AN9="SC",SUMPRODUCT(($AZ9&gt;INDEX('How This Works &amp; Sources'!$B$219:$J$223,0,1))*($AZ9-INDEX('How This Works &amp; Sources'!$B$219:$J$223,0,1))*INDEX('How This Works &amp; Sources'!$B$219:$J$223,0,1+2)),IF($AN9="VA",SUMPRODUCT(($AZ9&gt;INDEX('How This Works &amp; Sources'!$B$219:$J$223,0,4))*($AZ9-INDEX('How This Works &amp; Sources'!$B$219:$J$223,0,4))*INDEX('How This Works &amp; Sources'!$B$219:$J$223,0,4+2)),IF($AN9="WI",SUMPRODUCT(($AZ9&gt;INDEX('How This Works &amp; Sources'!$B$228:$J$232,0,4))*($AZ9-INDEX('How This Works &amp; Sources'!$B$228:$J$232,0,4))*INDEX('How This Works &amp; Sources'!$B$228:$J$232,0,4+2)),"")))))))</f>
      </c>
      <c r="BZ9" s="24">
        <f>IF($B9="","",IF($AN9="NJ",IF('Your Pay &amp; Benefits'!$C$77="B",SUMPRODUCT(($AZ9&gt;=INDEX('How This Works &amp; Sources'!$B$155:$J$162,0,4))*INDEX('How This Works &amp; Sources'!$B$155:$J$162,0,4+2)),IF('Your Pay &amp; Benefits'!$C$77="C",SUMPRODUCT(($AZ9&gt;=INDEX('How This Works &amp; Sources'!$B$155:$J$162,0,7))*INDEX('How This Works &amp; Sources'!$B$155:$J$162,0,7+2)),IF('Your Pay &amp; Benefits'!$C$77="D",SUMPRODUCT(($AZ9&gt;=INDEX('How This Works &amp; Sources'!$B$167:$J$179,0,1))*INDEX('How This Works &amp; Sources'!$B$167:$J$179,0,1+2)),IF('Your Pay &amp; Benefits'!$C$77="E",SUMPRODUCT(($AZ9&gt;=INDEX('How This Works &amp; Sources'!$B$167:$J$179,0,4))*INDEX('How This Works &amp; Sources'!$B$167:$J$179,0,4+2)),SUMPRODUCT(($AZ9&gt;=INDEX('How This Works &amp; Sources'!$B$155:$J$162,0,1))*INDEX('How This Works &amp; Sources'!$B$155:$J$162,0,1+2)))))),IF($AN9="OR",IF(OR($AU9="Married",AND($AU9="Single",$AS9&gt;=3)),SUMPRODUCT((MAX(0,$AY9-MIN(($P9-'How This Works &amp; Sources'!$C$10*$D9)*'Your Pay &amp; Benefits'!$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Sources'!$B$211:$J$214,0,4))*INDEX('How This Works &amp; Sources'!$B$211:$J$214,0,4+2)),SUMPRODUCT((MAX(0,$AY9-MIN(($P9-'How This Works &amp; Sources'!$C$10*$D9)*'Your Pay &amp; Benefits'!$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Sources'!$B$211:$J$214,0,1))*INDEX('How This Works &amp; Sources'!$B$211:$J$214,0,1+2)))*IF(($P9-'How This Works &amp; Sources'!$C$10*$D9)*'Your Pay &amp; Benefits'!$C$8&gt;=IF(OR($AU9="Married",AND($AU9="Single",$AS9&gt;=3)),IF($AY9&lt;250000,8750,IF($AY9&lt;260000,7000,IF($AY9&lt;270000,5250,IF($AY9&lt;280000,3500,IF($AY9&lt;290000,1750,0))))),IF($AY9&lt;125000,8750,IF($AY9&lt;130000,7000,IF($AY9&lt;135000,5250,IF($AY9&lt;140000,3500,IF($AY9&lt;145000,1750,0)))))),1,1-IF('Your Pay &amp; Benefits'!$C$13,SUMPRODUCT(($AH9&gt;=INDEX('How This Works &amp; Sources'!$B$29:$J$36,0,IF('Your Pay &amp; Benefits'!$C$12="MFJ",1,IF('Your Pay &amp; Benefits'!$C$12="HoH",7,4))))*INDEX('How This Works &amp; Sources'!$B$29:$J$36,0,IF('Your Pay &amp; Benefits'!$C$12="MFJ",1,IF('Your Pay &amp; Benefits'!$C$12="HoH",7,4))+2)),SUMPRODUCT(($AH9&gt;=INDEX('How This Works &amp; Sources'!$B$19:$J$26,0,IF('Your Pay &amp; Benefits'!$C$12="MFJ",1,IF('Your Pay &amp; Benefits'!$C$12="HoH",7,4))))*INDEX('How This Works &amp; Sources'!$B$19:$J$26,0,IF('Your Pay &amp; Benefits'!$C$12="MFJ",1,IF('Your Pay &amp; Benefits'!$C$12="HoH",7,4))+2)))),IF($AN9="MI",IF($AY9&gt;5900*$AS9,0.0425,0),""))))</f>
      </c>
      <c r="CA9" s="24">
        <f>IF($B9="","",IF($AN9="AL",IF(OR($AU9="Married",$AU9="Head of household"),SUMPRODUCT(($AZ9&gt;=INDEX('How This Works &amp; Sources'!$B$82:$J$86,0,4))*INDEX('How This Works &amp; Sources'!$B$82:$J$86,0,4+2)),SUMPRODUCT(($AZ9&gt;=INDEX('How This Works &amp; Sources'!$B$82:$J$86,0,1))*INDEX('How This Works &amp; Sources'!$B$82:$J$86,0,1+2)))*(1-IF('Your Pay &amp; Benefits'!$C$13,SUMPRODUCT(($AH9&gt;=INDEX('How This Works &amp; Sources'!$B$29:$J$36,0,IF('Your Pay &amp; Benefits'!$C$12="MFJ",1,IF('Your Pay &amp; Benefits'!$C$12="HoH",7,4))))*INDEX('How This Works &amp; Sources'!$B$29:$J$36,0,IF('Your Pay &amp; Benefits'!$C$12="MFJ",1,IF('Your Pay &amp; Benefits'!$C$12="HoH",7,4))+2)),SUMPRODUCT(($AH9&gt;=INDEX('How This Works &amp; Sources'!$B$19:$J$26,0,IF('Your Pay &amp; Benefits'!$C$12="MFJ",1,IF('Your Pay &amp; Benefits'!$C$12="HoH",7,4))))*INDEX('How This Works &amp; Sources'!$B$19:$J$26,0,IF('Your Pay &amp; Benefits'!$C$12="MFJ",1,IF('Your Pay &amp; Benefits'!$C$12="HoH",7,4))+2)))),IF($AN9="KS",IF($AU9="Married",SUMPRODUCT(($AZ9&gt;=INDEX('How This Works &amp; Sources'!$B$103:$J$109,0,4))*INDEX('How This Works &amp; Sources'!$B$103:$J$109,0,4+2)),SUMPRODUCT(($AZ9&gt;=INDEX('How This Works &amp; Sources'!$B$103:$J$109,0,1))*INDEX('How This Works &amp; Sources'!$B$103:$J$109,0,1+2))),IF($AN9="MD",IF(OR($AU9="Married",$AU9="Head of household"),SUMPRODUCT(($AZ9&gt;=INDEX('How This Works &amp; Sources'!$B$114:$J$120,0,1))*INDEX('How This Works &amp; Sources'!$B$114:$J$120,0,1+2)),SUMPRODUCT(($AZ9&gt;=INDEX('How This Works &amp; Sources'!$B$103:$J$109,0,7))*INDEX('How This Works &amp; Sources'!$B$103:$J$109,0,7+2)))+'Your Pay &amp; Benefits'!$C$74,IF($AN9="MT",IF($AU9="Head of household",SUMPRODUCT(($AZ9&gt;=INDEX('How This Works &amp; Sources'!$B$137:$J$139,0,1))*INDEX('How This Works &amp; Sources'!$B$137:$J$139,0,1+2)),IF($AU9="Married",SUMPRODUCT(($AZ9&gt;=INDEX('How This Works &amp; Sources'!$B$125:$J$132,0,7))*INDEX('How This Works &amp; Sources'!$B$125:$J$132,0,7+2)),SUMPRODUCT(($AZ9&gt;=INDEX('How This Works &amp; Sources'!$B$125:$J$132,0,4))*INDEX('How This Works &amp; Sources'!$B$125:$J$132,0,4+2)))),IF($AN9="ND",IF($AU9="Head of household",SUMPRODUCT(($AZ9&gt;=INDEX('How This Works &amp; Sources'!$B$144:$J$150,0,1))*INDEX('How This Works &amp; Sources'!$B$144:$J$150,0,1+2)),IF($AU9="Married",SUMPRODUCT(($AZ9&gt;=INDEX('How This Works &amp; Sources'!$B$137:$J$139,0,7))*INDEX('How This Works &amp; Sources'!$B$137:$J$139,0,7+2)),SUMPRODUCT(($AZ9&gt;=INDEX('How This Works &amp; Sources'!$B$137:$J$139,0,4))*INDEX('How This Works &amp; Sources'!$B$137:$J$139,0,4+2)))),IF($AN9="NY",IF($AU9="Married",IF($AZ9&gt;=2155350,IF($AZ9&gt;25000000,0.117,IF($AZ9&gt;5000000,0.111,0.1045)),SUMPRODUCT(($AZ9&gt;=INDEX('How This Works &amp; Sources'!$B$184:$J$198,0,1))*INDEX('How This Works &amp; Sources'!$B$184:$J$198,0,1+2))),IF($AZ9&gt;=1077550,IF($AZ9&gt;25000000,0.117,IF($AZ9&gt;5000000,0.111,0.1045)),SUMPRODUCT(($AZ9&gt;=INDEX('How This Works &amp; Sources'!$B$167:$J$179,0,7))*INDEX('How This Works &amp; Sources'!$B$167:$J$179,0,7+2)))),"")))))))</f>
      </c>
      <c r="CB9" s="24">
        <f>IF($B9="","",IF($AN9="CA",SUMPRODUCT(($AJ9&gt;=INDEX('How This Works &amp; Sources'!$B$39:$J$48,0,IF($AU9="Married",4,IF($AU9="Head of household",7,1))))*INDEX('How This Works &amp; Sources'!$B$39:$J$48,0,IF($AU9="Married",4,IF($AU9="Head of household",7,1))+2)),IF($AN9="HI",IF($AU9="Married",SUMPRODUCT(($AZ9&gt;=INDEX('How This Works &amp; Sources'!$B$91:$J$98,0,7))*INDEX('How This Works &amp; Sources'!$B$91:$J$98,0,7+2)),SUMPRODUCT(($AZ9&gt;=INDEX('How This Works &amp; Sources'!$B$91:$J$98,0,4))*INDEX('How This Works &amp; Sources'!$B$91:$J$98,0,4+2))),IF($AN9="MN",IF($AU9="Married",SUMPRODUCT(($AZ9&gt;=INDEX('How This Works &amp; Sources'!$B$114:$J$120,0,7))*INDEX('How This Works &amp; Sources'!$B$114:$J$120,0,7+2)),SUMPRODUCT(($AZ9&gt;=INDEX('How This Works &amp; Sources'!$B$114:$J$120,0,4))*INDEX('How This Works &amp; Sources'!$B$114:$J$120,0,4+2))),IF($AN9="MO",SUMPRODUCT(($AZ9&gt;=INDEX('How This Works &amp; Sources'!$B$125:$J$132,0,1))*INDEX('How This Works &amp; Sources'!$B$125:$J$132,0,1+2)),IF($AN9="NE",MAX(IF($AU9="Married",SUMPRODUCT(($AZ9&gt;=INDEX('How This Works &amp; Sources'!$B$144:$J$150,0,7))*INDEX('How This Works &amp; Sources'!$B$144:$J$150,0,7+2)),SUMPRODUCT(($AZ9&gt;=INDEX('How This Works &amp; Sources'!$B$144:$J$150,0,4))*INDEX('How This Works &amp; Sources'!$B$144:$J$150,0,4+2))),0.015),IF($AN9="OH",IF($B9&gt;=DATE(2026,8,1),SUMPRODUCT(($AZ9&gt;=INDEX('How This Works &amp; Sources'!$B$203:$J$206,0,1))*INDEX('How This Works &amp; Sources'!$B$203:$J$206,0,1+2)),SUMPRODUCT(($AZ9&gt;=INDEX('How This Works &amp; Sources'!$B$184:$J$198,0,7))*INDEX('How This Works &amp; Sources'!$B$184:$J$198,0,7+2))),IF($AN9="OK",IF($AU9="Married",SUMPRODUCT(($AZ9&gt;=INDEX('How This Works &amp; Sources'!$B$203:$J$206,0,7))*INDEX('How This Works &amp; Sources'!$B$203:$J$206,0,7+2)),SUMPRODUCT(($AZ9&gt;=INDEX('How This Works &amp; Sources'!$B$203:$J$206,0,4))*INDEX('How This Works &amp; Sources'!$B$203:$J$206,0,4+2))),IF($AN9="RI",SUMPRODUCT(($AZ9&gt;=INDEX('How This Works &amp; Sources'!$B$211:$J$214,0,7))*INDEX('How This Works &amp; Sources'!$B$211:$J$214,0,7+2)),IF($AN9="SC",SUMPRODUCT(($AZ9&gt;=INDEX('How This Works &amp; Sources'!$B$219:$J$223,0,1))*INDEX('How This Works &amp; Sources'!$B$219:$J$223,0,1+2)),IF($AN9="VT",IF($AU9="Married",SUMPRODUCT(($AZ9&gt;=INDEX('How This Works &amp; Sources'!$B$228:$J$232,0,1))*INDEX('How This Works &amp; Sources'!$B$228:$J$232,0,1+2)),SUMPRODUCT(($AZ9&gt;=INDEX('How This Works &amp; Sources'!$B$219:$J$223,0,7))*INDEX('How This Works &amp; Sources'!$B$219:$J$223,0,7+2))),IF($AN9="WV",IF($AU9="Married",SUMPRODUCT(($AZ9&gt;=INDEX('How This Works &amp; Sources'!$B$237:$J$241,0,7))*INDEX('How This Works &amp; Sources'!$B$237:$J$241,0,7+2)),SUMPRODUCT(($AZ9&gt;=INDEX('How This Works &amp; Sources'!$B$228:$J$232,0,7))*INDEX('How This Works &amp; Sources'!$B$228:$J$232,0,7+2))),IF($AN9="IN",(0.0295+'Your Pay &amp; Benefits'!$C$76),"")))))))))))))</f>
      </c>
      <c r="CC9" s="24">
        <f>IF($B9="","",IF($AN9="AR",SUMPRODUCT(($AZ9&gt;=INDEX('How This Works &amp; Sources'!$B$82:$J$86,0,7))*INDEX('How This Works &amp; Sources'!$B$82:$J$86,0,7+2)),IF($AN9="DE",SUMPRODUCT(($AZ9&gt;=INDEX('How This Works &amp; Sources'!$B$91:$J$98,0,1))*INDEX('How This Works &amp; Sources'!$B$91:$J$98,0,1+2)),IF($AN9="VA",SUMPRODUCT(($AZ9&gt;=INDEX('How This Works &amp; Sources'!$B$219:$J$223,0,4))*INDEX('How This Works &amp; Sources'!$B$219:$J$223,0,4+2)),IF($AN9="WI",SUMPRODUCT(($AZ9&gt;=INDEX('How This Works &amp; Sources'!$B$228:$J$232,0,4))*INDEX('How This Works &amp; Sources'!$B$228:$J$232,0,4+2)),IF($AN9="AZ",'Your Pay &amp; Benefits'!$C$82,IF($AN9="CO",IF($AY9&gt;IF($AU9="Married",10000,5000),0.044,0),IF($AN9="IA",IF($AY9&gt;IF($AU9="Head of household",19500,IF($AU9="Married",26000,13000)),0.038,0),IF($AN9="ID",IF($AY9&gt;IF($AU9="Married",32000,16094),0.053,0),IF($AN9="IL",IF($AY9&gt;(2925*$AS9+1000*$AT9),0.0495,0),IF($AN9="KY",IF($AI9&gt;3360,0.035,0),IF($AN9="LA",0.0309,IF($AN9="MA",IF(MAX(0,$AY9-MIN(($BD8+$Q9+$R9+$S9),2000)-IF($AS9=0,0,IF($AS9=1,4400,1000*$AS9+3400)))&gt;=1107750,0.09,0.05),IF($AN9="MS",IF($AI9-IF($AU9="Head of household",3400,IF($AU9="Married",4600,2300))-'Your Pay &amp; Benefits'!$C$85&gt;10000,0.04,0),IF($AN9="PA",0.0307,"")))))))))))))))</f>
      </c>
      <c r="CD9" s="21">
        <f>IF(YEAR(IF('Your Pay &amp; Benefits'!$C$7="Weekly",'Your Pay &amp; Benefits'!$C$9+7*(($BE8+1)-1),IF('Your Pay &amp; Benefits'!$C$7="Biweekly",'Your Pay &amp; Benefits'!$C$9+14*(($BE8+1)-1),IF('Your Pay &amp; Benefits'!$C$7="Semimonthly",DATE(YEAR('Your Pay &amp; Benefits'!$C$9),MONTH('Your Pay &amp; Benefits'!$C$9)+INT((($BE8+1)-1)/2),MIN(DAY('Your Pay &amp; Benefits'!$C$9),DAY(EOMONTH(DATE(YEAR('Your Pay &amp; Benefits'!$C$9),MONTH('Your Pay &amp; Benefits'!$C$9)+INT((($BE8+1)-1)/2),1),0))))+IF(MOD(($BE8+1)-1,2)=1,15,0),EDATE('Your Pay &amp; Benefits'!$C$9,($BE8+1)-1)))))&lt;&gt;'Your Pay &amp; Benefits'!$C$10,"",IF('Your Pay &amp; Benefits'!$C$7="Weekly",'Your Pay &amp; Benefits'!$C$9+7*(($BE8+1)-1),IF('Your Pay &amp; Benefits'!$C$7="Biweekly",'Your Pay &amp; Benefits'!$C$9+14*(($BE8+1)-1),IF('Your Pay &amp; Benefits'!$C$7="Semimonthly",DATE(YEAR('Your Pay &amp; Benefits'!$C$9),MONTH('Your Pay &amp; Benefits'!$C$9)+INT((($BE8+1)-1)/2),MIN(DAY('Your Pay &amp; Benefits'!$C$9),DAY(EOMONTH(DATE(YEAR('Your Pay &amp; Benefits'!$C$9),MONTH('Your Pay &amp; Benefits'!$C$9)+INT((($BE8+1)-1)/2),1),0))))+IF(MOD(($BE8+1)-1,2)=1,15,0),EDATE('Your Pay &amp; Benefits'!$C$9,($BE8+1)-1)))))</f>
      </c>
      <c r="CE9" s="21">
        <f>IF(MIN(IF(AND('Your Pay &amp; Benefits'!$C$58&gt;MAX($B$6:$B8),'Your Pay &amp; Benefits'!$C$58&gt;=DATE('Your Pay &amp; Benefits'!$C$10,1,1),'Your Pay &amp; Benefits'!$C$58&lt;=DATE('Your Pay &amp; Benefits'!$C$10,12,31)),'Your Pay &amp; Benefits'!$C$58,999999),IF(AND('Your Pay &amp; Benefits'!$C$59&gt;MAX($B$6:$B8),'Your Pay &amp; Benefits'!$C$59&gt;=DATE('Your Pay &amp; Benefits'!$C$10,1,1),'Your Pay &amp; Benefits'!$C$59&lt;=DATE('Your Pay &amp; Benefits'!$C$10,12,31)),'Your Pay &amp; Benefits'!$C$59,999999),IF(AND('Your Pay &amp; Benefits'!$C$60&gt;MAX($B$6:$B8),'Your Pay &amp; Benefits'!$C$60&gt;=DATE('Your Pay &amp; Benefits'!$C$10,1,1),'Your Pay &amp; Benefits'!$C$60&lt;=DATE('Your Pay &amp; Benefits'!$C$10,12,31)),'Your Pay &amp; Benefits'!$C$60,999999),IF(AND('Your Pay &amp; Benefits'!$C$61&gt;MAX($B$6:$B8),'Your Pay &amp; Benefits'!$C$61&gt;=DATE('Your Pay &amp; Benefits'!$C$10,1,1),'Your Pay &amp; Benefits'!$C$61&lt;=DATE('Your Pay &amp; Benefits'!$C$10,12,31)),'Your Pay &amp; Benefits'!$C$61,999999),IF(AND('Your Pay &amp; Benefits'!$C$62&gt;MAX($B$6:$B8),'Your Pay &amp; Benefits'!$C$62&gt;=DATE('Your Pay &amp; Benefits'!$C$10,1,1),'Your Pay &amp; Benefits'!$C$62&lt;=DATE('Your Pay &amp; Benefits'!$C$10,12,31)),'Your Pay &amp; Benefits'!$C$62,999999),IF(AND('Your Pay &amp; Benefits'!$C$63&gt;MAX($B$6:$B8),'Your Pay &amp; Benefits'!$C$63&gt;=DATE('Your Pay &amp; Benefits'!$C$10,1,1),'Your Pay &amp; Benefits'!$C$63&lt;=DATE('Your Pay &amp; Benefits'!$C$10,12,31)),'Your Pay &amp; Benefits'!$C$63,999999),IF(AND('Your Pay &amp; Benefits'!$C$64&gt;MAX($B$6:$B8),'Your Pay &amp; Benefits'!$C$64&gt;=DATE('Your Pay &amp; Benefits'!$C$10,1,1),'Your Pay &amp; Benefits'!$C$64&lt;=DATE('Your Pay &amp; Benefits'!$C$10,12,31)),'Your Pay &amp; Benefits'!$C$64,999999),IF(AND('Your Pay &amp; Benefits'!$C$65&gt;MAX($B$6:$B8),'Your Pay &amp; Benefits'!$C$65&gt;=DATE('Your Pay &amp; Benefits'!$C$10,1,1),'Your Pay &amp; Benefits'!$C$65&lt;=DATE('Your Pay &amp; Benefits'!$C$10,12,31)),'Your Pay &amp; Benefits'!$C$65,999999),IF(AND('Your Pay &amp; Benefits'!$C$66&gt;MAX($B$6:$B8),'Your Pay &amp; Benefits'!$C$66&gt;=DATE('Your Pay &amp; Benefits'!$C$10,1,1),'Your Pay &amp; Benefits'!$C$66&lt;=DATE('Your Pay &amp; Benefits'!$C$10,12,31)),'Your Pay &amp; Benefits'!$C$66,999999),IF(AND('Your Pay &amp; Benefits'!$C$67&gt;MAX($B$6:$B8),'Your Pay &amp; Benefits'!$C$67&gt;=DATE('Your Pay &amp; Benefits'!$C$10,1,1),'Your Pay &amp; Benefits'!$C$67&lt;=DATE('Your Pay &amp; Benefits'!$C$10,12,31)),'Your Pay &amp; Benefits'!$C$67,999999))=999999,"",MIN(IF(AND('Your Pay &amp; Benefits'!$C$58&gt;MAX($B$6:$B8),'Your Pay &amp; Benefits'!$C$58&gt;=DATE('Your Pay &amp; Benefits'!$C$10,1,1),'Your Pay &amp; Benefits'!$C$58&lt;=DATE('Your Pay &amp; Benefits'!$C$10,12,31)),'Your Pay &amp; Benefits'!$C$58,999999),IF(AND('Your Pay &amp; Benefits'!$C$59&gt;MAX($B$6:$B8),'Your Pay &amp; Benefits'!$C$59&gt;=DATE('Your Pay &amp; Benefits'!$C$10,1,1),'Your Pay &amp; Benefits'!$C$59&lt;=DATE('Your Pay &amp; Benefits'!$C$10,12,31)),'Your Pay &amp; Benefits'!$C$59,999999),IF(AND('Your Pay &amp; Benefits'!$C$60&gt;MAX($B$6:$B8),'Your Pay &amp; Benefits'!$C$60&gt;=DATE('Your Pay &amp; Benefits'!$C$10,1,1),'Your Pay &amp; Benefits'!$C$60&lt;=DATE('Your Pay &amp; Benefits'!$C$10,12,31)),'Your Pay &amp; Benefits'!$C$60,999999),IF(AND('Your Pay &amp; Benefits'!$C$61&gt;MAX($B$6:$B8),'Your Pay &amp; Benefits'!$C$61&gt;=DATE('Your Pay &amp; Benefits'!$C$10,1,1),'Your Pay &amp; Benefits'!$C$61&lt;=DATE('Your Pay &amp; Benefits'!$C$10,12,31)),'Your Pay &amp; Benefits'!$C$61,999999),IF(AND('Your Pay &amp; Benefits'!$C$62&gt;MAX($B$6:$B8),'Your Pay &amp; Benefits'!$C$62&gt;=DATE('Your Pay &amp; Benefits'!$C$10,1,1),'Your Pay &amp; Benefits'!$C$62&lt;=DATE('Your Pay &amp; Benefits'!$C$10,12,31)),'Your Pay &amp; Benefits'!$C$62,999999),IF(AND('Your Pay &amp; Benefits'!$C$63&gt;MAX($B$6:$B8),'Your Pay &amp; Benefits'!$C$63&gt;=DATE('Your Pay &amp; Benefits'!$C$10,1,1),'Your Pay &amp; Benefits'!$C$63&lt;=DATE('Your Pay &amp; Benefits'!$C$10,12,31)),'Your Pay &amp; Benefits'!$C$63,999999),IF(AND('Your Pay &amp; Benefits'!$C$64&gt;MAX($B$6:$B8),'Your Pay &amp; Benefits'!$C$64&gt;=DATE('Your Pay &amp; Benefits'!$C$10,1,1),'Your Pay &amp; Benefits'!$C$64&lt;=DATE('Your Pay &amp; Benefits'!$C$10,12,31)),'Your Pay &amp; Benefits'!$C$64,999999),IF(AND('Your Pay &amp; Benefits'!$C$65&gt;MAX($B$6:$B8),'Your Pay &amp; Benefits'!$C$65&gt;=DATE('Your Pay &amp; Benefits'!$C$10,1,1),'Your Pay &amp; Benefits'!$C$65&lt;=DATE('Your Pay &amp; Benefits'!$C$10,12,31)),'Your Pay &amp; Benefits'!$C$65,999999),IF(AND('Your Pay &amp; Benefits'!$C$66&gt;MAX($B$6:$B8),'Your Pay &amp; Benefits'!$C$66&gt;=DATE('Your Pay &amp; Benefits'!$C$10,1,1),'Your Pay &amp; Benefits'!$C$66&lt;=DATE('Your Pay &amp; Benefits'!$C$10,12,31)),'Your Pay &amp; Benefits'!$C$66,999999),IF(AND('Your Pay &amp; Benefits'!$C$67&gt;MAX($B$6:$B8),'Your Pay &amp; Benefits'!$C$67&gt;=DATE('Your Pay &amp; Benefits'!$C$10,1,1),'Your Pay &amp; Benefits'!$C$67&lt;=DATE('Your Pay &amp; Benefits'!$C$10,12,31)),'Your Pay &amp; Benefits'!$C$67,999999)))</f>
      </c>
      <c r="CF9">
        <f>IF($B9="","",IF($D9=0,$Y9,""))</f>
      </c>
    </row>
    <row r="10">
      <c r="A10" t="n">
        <v>5</v>
      </c>
      <c r="B10" s="21">
        <f>IF(AND($CD10="",$CE10=""),"",IF($CE10="",$CD10,IF($CD10="",$CE10,MIN($CD10,$CE10))))</f>
      </c>
      <c r="C10" s="7">
        <f>IF($B10="","",IF($BF10=0,0,IF('Your Pay &amp; Benefits'!$C$4="Annual salary",ROUND($AK10/IF(AND('Your Pay &amp; Benefits'!$C$88="Actual paydays",MONTH('Your Pay &amp; Benefits'!$C$9)=1),MAX(1,MAX($BE$6:$BE$68)),'Your Pay &amp; Benefits'!$C$8),2),$AK10)))</f>
      </c>
      <c r="D10" s="7">
        <f>IF($B10="","",SUMIF('Your Pay &amp; Benefits'!$C$58:$C$67,$B10,'Your Pay &amp; Benefits'!$D$58:$D$67))</f>
      </c>
      <c r="E10" s="7">
        <f>IF($B10="","",ROUND(MAX(0,MIN(IF($AL10="Percent",$AM10*($C10+$D10),$AM10),MAX(0,'Your Pay &amp; Benefits'!$C$34-$AC9))),2))</f>
      </c>
      <c r="F10" s="7">
        <f>IF($B10="","",ROUND(MAX(0,MIN(IF('Your Pay &amp; Benefits'!$C$32="Percent",'Your Pay &amp; Benefits'!$D$32*($C10+$D10),'Your Pay &amp; Benefits'!$D$32),MAX(0,'Your Pay &amp; Benefits'!$C$34-$AC9-$E10))),2))</f>
      </c>
      <c r="G10" s="7">
        <f>IF($B10="","",IF($BF10=0,0,ROUND(MAX(0,MIN($BL10,'Your Pay &amp; Benefits'!$C$37-'Your Pay &amp; Benefits'!$C$54-$BI9)),2)))</f>
      </c>
      <c r="H10" s="7">
        <f>IF($B10="","",IF(OR($BF10=0,$BQ10=1),0,ROUND(MAX(0,MIN(IF($BS10=1,ROUND(MAX(0,MIN($BJ10,'How This Works &amp; Sources'!$C$13)-$BG9)/MAX(1,MAX($BE$6:$BE$68)-($BE9)),2),ROUND(MIN($BJ10,'How This Works &amp; Sources'!$C$13)/'Your Pay &amp; Benefits'!$C$8,2)),MIN($BJ10,'How This Works &amp; Sources'!$C$13)-$BG9)),2)))</f>
      </c>
      <c r="I10" s="7">
        <f>IF($B10="","",IF(OR($BF10=0,$BR10=1),0,ROUND(MAX(0,MIN(IF($BT10=1,ROUND(MAX(0,MIN($BK10,IF('Your Pay &amp; Benefits'!$C$12="MFJ",'How This Works &amp; Sources'!$C$14,'How This Works &amp; Sources'!$C$15))-$BH9)/MAX(1,MAX($BE$6:$BE$68)-($BE9)),2),ROUND(MIN($BK10,IF('Your Pay &amp; Benefits'!$C$12="MFJ",'How This Works &amp; Sources'!$C$14,'How This Works &amp; Sources'!$C$15))/'Your Pay &amp; Benefits'!$C$8,2)),MIN($BK10,IF('Your Pay &amp; Benefits'!$C$12="MFJ",'How This Works &amp; Sources'!$C$14,'How This Works &amp; Sources'!$C$15))-$BH9)),2)))</f>
      </c>
      <c r="J10" s="7">
        <f>IF($B10="","",IF($BF10=0,0,$BM10))</f>
      </c>
      <c r="K10" s="7">
        <f>IF($B10="","",IF($BF10=0,0,$BN10+$BO10))</f>
      </c>
      <c r="L10" s="7">
        <f>IF($B10="","",IF($BF10=0,0,'Your Pay &amp; Benefits'!$D$46))</f>
      </c>
      <c r="M10" s="7">
        <f>IF($B10="","",$C10+$D10+$L10-$E10-$G10-$H10-$I10-$J10-$K10)</f>
      </c>
      <c r="N10" s="7">
        <f>IF($B10="","",$C10+$D10+$L10-$G10-$H10-$I10-$J10-$K10)</f>
      </c>
      <c r="O10" s="7">
        <f>IF($B10="","",$C10+$D10+$L10-$E10-$H10-$I10-$J10-$K10-IF(OR($AN10="CA",$AN10="NJ"),0,$G10))</f>
      </c>
      <c r="P10" s="7">
        <f>IF($B10="","",IF('Your Pay &amp; Benefits'!$C$18,0,ROUND(MAX(0,IF('Your Pay &amp; Benefits'!$C$13,SUMPRODUCT(($AH10&gt;INDEX('How This Works &amp; Sources'!$B$29:$J$36,0,IF('Your Pay &amp; Benefits'!$C$12="MFJ",1,IF('Your Pay &amp; Benefits'!$C$12="HoH",7,4))))*($AH10-INDEX('How This Works &amp; Sources'!$B$29:$J$36,0,IF('Your Pay &amp; Benefits'!$C$12="MFJ",1,IF('Your Pay &amp; Benefits'!$C$12="HoH",7,4))))*INDEX('How This Works &amp; Sources'!$B$29:$J$36,0,IF('Your Pay &amp; Benefits'!$C$12="MFJ",1,IF('Your Pay &amp; Benefits'!$C$12="HoH",7,4))+2)),SUMPRODUCT(($AH10&gt;INDEX('How This Works &amp; Sources'!$B$19:$J$26,0,IF('Your Pay &amp; Benefits'!$C$12="MFJ",1,IF('Your Pay &amp; Benefits'!$C$12="HoH",7,4))))*($AH10-INDEX('How This Works &amp; Sources'!$B$19:$J$26,0,IF('Your Pay &amp; Benefits'!$C$12="MFJ",1,IF('Your Pay &amp; Benefits'!$C$12="HoH",7,4))))*INDEX('How This Works &amp; Sources'!$B$19:$J$26,0,IF('Your Pay &amp; Benefits'!$C$12="MFJ",1,IF('Your Pay &amp; Benefits'!$C$12="HoH",7,4))+2)))/'Your Pay &amp; Benefits'!$C$8-$AO10/'Your Pay &amp; Benefits'!$C$8)+$AR10+IF('Your Pay &amp; Benefits'!$C$89="Aggregate",MAX(0,IF('Your Pay &amp; Benefits'!$C$13,SUMPRODUCT((($AH10+$D10)&gt;INDEX('How This Works &amp; Sources'!$B$29:$J$36,0,IF('Your Pay &amp; Benefits'!$C$12="MFJ",1,IF('Your Pay &amp; Benefits'!$C$12="HoH",7,4))))*(($AH10+$D10)-INDEX('How This Works &amp; Sources'!$B$29:$J$36,0,IF('Your Pay &amp; Benefits'!$C$12="MFJ",1,IF('Your Pay &amp; Benefits'!$C$12="HoH",7,4))))*INDEX('How This Works &amp; Sources'!$B$29:$J$36,0,IF('Your Pay &amp; Benefits'!$C$12="MFJ",1,IF('Your Pay &amp; Benefits'!$C$12="HoH",7,4))+2)),SUMPRODUCT((($AH10+$D10)&gt;INDEX('How This Works &amp; Sources'!$B$19:$J$26,0,IF('Your Pay &amp; Benefits'!$C$12="MFJ",1,IF('Your Pay &amp; Benefits'!$C$12="HoH",7,4))))*(($AH10+$D10)-INDEX('How This Works &amp; Sources'!$B$19:$J$26,0,IF('Your Pay &amp; Benefits'!$C$12="MFJ",1,IF('Your Pay &amp; Benefits'!$C$12="HoH",7,4))))*INDEX('How This Works &amp; Sources'!$B$19:$J$26,0,IF('Your Pay &amp; Benefits'!$C$12="MFJ",1,IF('Your Pay &amp; Benefits'!$C$12="HoH",7,4))+2)))-IF('Your Pay &amp; Benefits'!$C$13,SUMPRODUCT(($AH10&gt;INDEX('How This Works &amp; Sources'!$B$29:$J$36,0,IF('Your Pay &amp; Benefits'!$C$12="MFJ",1,IF('Your Pay &amp; Benefits'!$C$12="HoH",7,4))))*($AH10-INDEX('How This Works &amp; Sources'!$B$29:$J$36,0,IF('Your Pay &amp; Benefits'!$C$12="MFJ",1,IF('Your Pay &amp; Benefits'!$C$12="HoH",7,4))))*INDEX('How This Works &amp; Sources'!$B$29:$J$36,0,IF('Your Pay &amp; Benefits'!$C$12="MFJ",1,IF('Your Pay &amp; Benefits'!$C$12="HoH",7,4))+2)),SUMPRODUCT(($AH10&gt;INDEX('How This Works &amp; Sources'!$B$19:$J$26,0,IF('Your Pay &amp; Benefits'!$C$12="MFJ",1,IF('Your Pay &amp; Benefits'!$C$12="HoH",7,4))))*($AH10-INDEX('How This Works &amp; Sources'!$B$19:$J$26,0,IF('Your Pay &amp; Benefits'!$C$12="MFJ",1,IF('Your Pay &amp; Benefits'!$C$12="HoH",7,4))))*INDEX('How This Works &amp; Sources'!$B$19:$J$26,0,IF('Your Pay &amp; Benefits'!$C$12="MFJ",1,IF('Your Pay &amp; Benefits'!$C$12="HoH",7,4))+2)))),'How This Works &amp; Sources'!$C$10*$D10),2)))</f>
      </c>
      <c r="Q10" s="7">
        <f>IF($B10="","",ROUND('How This Works &amp; Sources'!$C$4*MIN($N10,MAX(0,'How This Works &amp; Sources'!$C$3-($AX10+$AB9-$AW10))),2))</f>
      </c>
      <c r="R10" s="7">
        <f>IF($B10="","",ROUND('How This Works &amp; Sources'!$C$5*$N10,2))</f>
      </c>
      <c r="S10" s="7">
        <f>IF($B10="","",ROUND('How This Works &amp; Sources'!$C$6*MAX(0,MIN($N10,$AG9+$N10-'How This Works &amp; Sources'!$C$7)),2))</f>
      </c>
      <c r="T10" s="7">
        <f>IF($B10="","",IF('Your Pay &amp; Benefits'!$C$26,0,IF($AN10="CA",ROUND(IF($AI10&lt;=IF(($AS10+$AT10)&gt;=2,VLOOKUP($AN10,StateTables!$A$6:$AB$56,10,FALSE),VLOOKUP($AN10,StateTables!$A$6:$AB$56,9,FALSE)),0,MAX(0,SUMPRODUCT(($AJ10&gt;INDEX('How This Works &amp; Sources'!$B$39:$J$48,0,IF($AU10="Married",4,IF($AU10="Head of household",7,1))))*($AJ10-INDEX('How This Works &amp; Sources'!$B$39:$J$48,0,IF($AU10="Married",4,IF($AU10="Head of household",7,1))))*INDEX('How This Works &amp; Sources'!$B$39:$J$48,0,IF($AU10="Married",4,IF($AU10="Head of household",7,1))+2))-VLOOKUP($AN10,StateTables!$A$6:$AB$56,11,FALSE)*$AS10)/'Your Pay &amp; Benefits'!$C$8)+'Your Pay &amp; Benefits'!$C$25+VLOOKUP($AN10,StateTables!$A$6:$AB$56,13,FALSE)*$D10,2),IF(VLOOKUP($AN10,StateTables!$A$6:$AB$56,4,FALSE)="None",0,IF(ISNUMBER(SEARCH("MANUAL",VLOOKUP($AN10,StateTables!$A$6:$AB$56,5,FALSE))),'Your Pay &amp; Benefits'!$C$28,ROUND(MAX(0,$BA10+$BB10)/'Your Pay &amp; Benefits'!$C$8+'Your Pay &amp; Benefits'!$C$25+$BC10,2))))))</f>
      </c>
      <c r="U10" s="7">
        <f>IF($B10="","",IF(VLOOKUP($AN10,StateTables!$A$6:$AB$56,24,FALSE)="flatq",IF(OR(MONTH($B10)=1,MONTH($B10)=4,MONTH($B10)=7,MONTH($B10)=10),VLOOKUP($AN10,StateTables!$A$6:$AB$56,25,FALSE),0),IF(VLOOKUP($AN10,StateTables!$A$6:$AB$56,24,FALSE)="dbl",MIN(ROUND(0.005*$N10,2),ROUND(0.6*52/'Your Pay &amp; Benefits'!$C$8,2)),IF(OR(VLOOKUP($AN10,StateTables!$A$6:$AB$56,15,FALSE)="",VLOOKUP($AN10,StateTables!$A$6:$AB$56,15,FALSE)=0),0,ROUND(VLOOKUP($AN10,StateTables!$A$6:$AB$56,15,FALSE)*IF(OR(VLOOKUP($AN10,StateTables!$A$6:$AB$56,16,FALSE)="",VLOOKUP($AN10,StateTables!$A$6:$AB$56,16,FALSE)=0),$N10,MIN($N10,MAX(0,VLOOKUP($AN10,StateTables!$A$6:$AB$56,16,FALSE)-($AX10+$AB9-$AW10)))),2))))+IF(VLOOKUP($AN10,StateTables!$A$6:$AB$56,27,FALSE)="flatq",IF(OR(MONTH($B10)=1,MONTH($B10)=4,MONTH($B10)=7,MONTH($B10)=10),VLOOKUP($AN10,StateTables!$A$6:$AB$56,28,FALSE),0),IF(VLOOKUP($AN10,StateTables!$A$6:$AB$56,27,FALSE)="dbl",MIN(ROUND(0.005*$N10,2),ROUND(0.6*52/'Your Pay &amp; Benefits'!$C$8,2)),IF(OR(VLOOKUP($AN10,StateTables!$A$6:$AB$56,18,FALSE)="",VLOOKUP($AN10,StateTables!$A$6:$AB$56,18,FALSE)=0),0,ROUND(VLOOKUP($AN10,StateTables!$A$6:$AB$56,18,FALSE)*IF(OR(VLOOKUP($AN10,StateTables!$A$6:$AB$56,19,FALSE)="",VLOOKUP($AN10,StateTables!$A$6:$AB$56,19,FALSE)=0),$N10,MIN($N10,MAX(0,VLOOKUP($AN10,StateTables!$A$6:$AB$56,19,FALSE)-($AX10+$AB9-$AW10)))),2)))))</f>
      </c>
      <c r="V10" s="7">
        <f>IF($B10="","",IF($AN10="NY",IF('Your Pay &amp; Benefits'!$C$78,ROUND(SUMPRODUCT((MAX(0,($O10-$D10)*'Your Pay &amp; Benefits'!$C$8-(IF($AU10="Married",5500,5000)+1000*$AS10))&gt;INDEX('How This Works &amp; Sources'!$B$184:$J$198,0,4))*(MAX(0,($O10-$D10)*'Your Pay &amp; Benefits'!$C$8-(IF($AU10="Married",5500,5000)+1000*$AS10))-INDEX('How This Works &amp; Sources'!$B$184:$J$198,0,4))*INDEX('How This Works &amp; Sources'!$B$184:$J$198,0,4+2))/'Your Pay &amp; Benefits'!$C$8+0.0425*$D10,2),0)+IF('Your Pay &amp; Benefits'!$C$79="Resident",ROUND(0.1675*$T10,2),IF('Your Pay &amp; Benefits'!$C$79="Nonresident",ROUND(0.005*MAX(0,($O10-$D10)-(IF($AU10="Married",7950,7400)+1000*$AS10)/'Your Pay &amp; Benefits'!$C$8),2),0)),IF($AN10="PA",IF('Your Pay &amp; Benefits'!$C$80="None",'Your Pay &amp; Benefits'!$C$27+ROUND('Your Pay &amp; Benefits'!$C$81*($C10+$D10),2),ROUND(IF('Your Pay &amp; Benefits'!$C$80="Resident",IF($B10&lt;DATE(2026,7,1),0.0374,0.03735),IF($B10&lt;DATE(2026,7,1),0.0343,0.03425))*($C10+$D10),2)),IF($BF10=0,ROUND('Your Pay &amp; Benefits'!$C$81*($C10+$D10),2),'Your Pay &amp; Benefits'!$C$27+ROUND('Your Pay &amp; Benefits'!$C$81*($C10+$D10),2)))))</f>
      </c>
      <c r="W10" s="7">
        <f>IF($B10="","",IF($BF10=0,0,$BP10))</f>
      </c>
      <c r="X10" s="7">
        <f>IF($B10="","",SUM($E10:$K10)+$P10+$Q10+$R10+$S10+$T10+$U10+$V10+$W10)</f>
      </c>
      <c r="Y10" s="22">
        <f>IF($B10="","",$C10+$D10-$X10)</f>
      </c>
      <c r="Z10" s="7">
        <f>IF($B10="","",$Z9+$C10+$D10)</f>
      </c>
      <c r="AA10" s="7">
        <f>IF($B10="","",$AA9+$Y10)</f>
      </c>
      <c r="AB10" s="7">
        <f>IF($B10="","",$AB9+MIN($N10,MAX(0,'How This Works &amp; Sources'!$C$3-($AX10+$AB9-$AW10))))</f>
      </c>
      <c r="AC10" s="7">
        <f>IF($B10="","",$AC9+$E10+$F10)</f>
      </c>
      <c r="AD10" s="3">
        <f>IF($B10="","",IF(AND($AB9&lt;'How This Works &amp; Sources'!$C$3,$AB10&gt;='How This Works &amp; Sources'!$C$3),"★ Social Security maxed on this check — from the next check your net rises by about $"&amp;TEXT(ROUND('How This Works &amp; Sources'!$C$4*$N10,2),"#,##0.00")&amp;". ","")&amp;IF(AND($AC9&lt;'Your Pay &amp; Benefits'!$C$34,$AC10&gt;='Your Pay &amp; Benefits'!$C$34),"★ 401(k) reaches the $"&amp;TEXT('Your Pay &amp; Benefits'!$C$34,"#,##0")&amp;" cap on this check — deferrals stop and net pay rises. ","")&amp;IF(AND($AG9&lt;'How This Works &amp; Sources'!$C$7,$AG10&gt;='How This Works &amp; Sources'!$C$7),"★ Wages pass $200,000 — the 0.9% Additional Medicare Tax starts here. ","")&amp;IF(AND($BJ10&gt;0,$H10&gt;0,$BG9&lt;MIN($BJ10,'How This Works &amp; Sources'!$C$13),$BG9+$H10&gt;=MIN($BJ10,'How This Works &amp; Sources'!$C$13)),"★ Health FSA election is now fully deferred for the year. ",""))</f>
      </c>
      <c r="AE10" s="41" t="n"/>
      <c r="AF10" s="7">
        <f>IF(OR($B10="",$AE10=""),"",$AE10-$Y10)</f>
      </c>
      <c r="AG10" s="7">
        <f>IF($B10="","",$AG9+$N10)</f>
      </c>
      <c r="AH10" s="7">
        <f>IF($B10="","",MAX(0,($M10-$D10)*'Your Pay &amp; Benefits'!$C$8+$AP10-$AQ10-IF('Your Pay &amp; Benefits'!$C$13,0,IF('Your Pay &amp; Benefits'!$C$12="MFJ",'How This Works &amp; Sources'!$C$8,'How This Works &amp; Sources'!$C$9))))</f>
      </c>
      <c r="AI10" s="7">
        <f>IF($B10="","",$O10*'Your Pay &amp; Benefits'!$C$8)</f>
      </c>
      <c r="AJ10" s="7">
        <f>IF($B10="","",MAX(0,$AI10-VLOOKUP($AN10,StateTables!$A$6:$AB$56,12,FALSE)*$AT10-IF(($AS10+$AT10)&gt;=2,VLOOKUP($AN10,StateTables!$A$6:$AB$56,8,FALSE),VLOOKUP($AN10,StateTables!$A$6:$AB$56,7,FALSE))))</f>
      </c>
      <c r="AK10" s="7">
        <f>IF($B10="","",IFERROR(LOOKUP(2,1/(('Changes &amp; Events'!$C$6:$C$17="Salary change")*('Changes &amp; Events'!$B$6:$B$17&lt;=$B10)*('Changes &amp; Events'!$B$6:$B$17&lt;&gt;"")),'Changes &amp; Events'!$D$6:$D$17),IF('Your Pay &amp; Benefits'!$C$4="Annual salary",'Your Pay &amp; Benefits'!$C$5,'Your Pay &amp; Benefits'!$C$6)))</f>
      </c>
      <c r="AL10">
        <f>IF($B10="","",IFERROR(LOOKUP(2,1/(('Changes &amp; Events'!$C$6:$C$17="401(k) change")*('Changes &amp; Events'!$B$6:$B$17&lt;=$B10)*('Changes &amp; Events'!$B$6:$B$17&lt;&gt;"")),'Changes &amp; Events'!$D$6:$D$17),'Your Pay &amp; Benefits'!$C$30))</f>
      </c>
      <c r="AM10" s="7">
        <f>IF($B10="","",IFERROR(LOOKUP(2,1/(('Changes &amp; Events'!$C$6:$C$17="401(k) change")*('Changes &amp; Events'!$B$6:$B$17&lt;=$B10)*('Changes &amp; Events'!$B$6:$B$17&lt;&gt;"")),'Changes &amp; Events'!$E$6:$E$17),'Your Pay &amp; Benefits'!$D$31))</f>
      </c>
      <c r="AN10">
        <f>IF($B10="","",IFERROR(LOOKUP(2,1/(('Changes &amp; Events'!$C$6:$C$17="State move")*('Changes &amp; Events'!$B$6:$B$17&lt;=$B10)*('Changes &amp; Events'!$B$6:$B$17&lt;&gt;"")),'Changes &amp; Events'!$D$6:$D$17),'Your Pay &amp; Benefits'!$C$21))</f>
      </c>
      <c r="AO10" s="7">
        <f>IF($B10="","",IFERROR(LOOKUP(2,1/(('Changes &amp; Events'!$C$6:$C$17="W-4 change")*('Changes &amp; Events'!$B$6:$B$17&lt;=$B10)*('Changes &amp; Events'!$B$6:$B$17&lt;&gt;"")),'Changes &amp; Events'!$D$6:$D$17),'Your Pay &amp; Benefits'!$C$14))</f>
      </c>
      <c r="AP10" s="7">
        <f>IF($B10="","",IFERROR(LOOKUP(2,1/(('Changes &amp; Events'!$C$6:$C$17="W-4 change")*('Changes &amp; Events'!$B$6:$B$17&lt;=$B10)*('Changes &amp; Events'!$B$6:$B$17&lt;&gt;"")),'Changes &amp; Events'!$E$6:$E$17),'Your Pay &amp; Benefits'!$C$15))</f>
      </c>
      <c r="AQ10" s="7">
        <f>IF($B10="","",IFERROR(LOOKUP(2,1/(('Changes &amp; Events'!$C$6:$C$17="W-4 change")*('Changes &amp; Events'!$B$6:$B$17&lt;=$B10)*('Changes &amp; Events'!$B$6:$B$17&lt;&gt;"")),'Changes &amp; Events'!$F$6:$F$17),'Your Pay &amp; Benefits'!$C$16))</f>
      </c>
      <c r="AR10" s="7">
        <f>IF($B10="","",IFERROR(LOOKUP(2,1/(('Changes &amp; Events'!$C$6:$C$17="W-4 change")*('Changes &amp; Events'!$B$6:$B$17&lt;=$B10)*('Changes &amp; Events'!$B$6:$B$17&lt;&gt;"")),'Changes &amp; Events'!$G$6:$G$17),'Your Pay &amp; Benefits'!$C$17))</f>
      </c>
      <c r="AS10" s="6">
        <f>IF($B10="","",IFERROR(LOOKUP(2,1/((('Changes &amp; Events'!$C$6:$C$17="State move")+('Changes &amp; Events'!$C$6:$C$17="State cert change"))*('Changes &amp; Events'!$B$6:$B$17&lt;=$B10)*('Changes &amp; Events'!$B$6:$B$17&lt;&gt;"")),'Changes &amp; Events'!$F$6:$F$17),'Your Pay &amp; Benefits'!$C$23))</f>
      </c>
      <c r="AT10" s="6">
        <f>IF($B10="","",IFERROR(LOOKUP(2,1/((('Changes &amp; Events'!$C$6:$C$17="State move")+('Changes &amp; Events'!$C$6:$C$17="State cert change"))*('Changes &amp; Events'!$B$6:$B$17&lt;=$B10)*('Changes &amp; Events'!$B$6:$B$17&lt;&gt;"")),'Changes &amp; Events'!$G$6:$G$17),'Your Pay &amp; Benefits'!$C$24))</f>
      </c>
      <c r="AU10">
        <f>IF($B10="","",IFERROR(LOOKUP(2,1/(('Changes &amp; Events'!$C$6:$C$17="State move")*('Changes &amp; Events'!$B$6:$B$17&lt;=$B10)*('Changes &amp; Events'!$B$6:$B$17&lt;&gt;"")),'Changes &amp; Events'!$E$6:$E$17),'Your Pay &amp; Benefits'!$C$22))</f>
      </c>
      <c r="AV10" s="6">
        <f>IF($B10="","",1+COUNTIFS('Changes &amp; Events'!$C$6:$C$17,"Employer change",'Changes &amp; Events'!$B$6:$B$17,"&lt;="&amp;$B10,'Changes &amp; Events'!$B$6:$B$17,"&lt;&gt;"))</f>
      </c>
      <c r="AW10" s="7">
        <f>IF($B10="","",IF($AV10=1,'Your Pay &amp; Benefits'!$C$49,IF(IFERROR(MATCH(IFERROR(LOOKUP(2,1/(('Changes &amp; Events'!$C$6:$C$17="Employer change")*('Changes &amp; Events'!$B$6:$B$17&lt;=$B10)*('Changes &amp; Events'!$B$6:$B$17&lt;&gt;"")),'Changes &amp; Events'!$B$6:$B$17),""),$B$6:$B$68,1),1)&lt;=1,'Your Pay &amp; Benefits'!$C$49,INDEX($AB$6:$AB$68,MATCH(IFERROR(LOOKUP(2,1/(('Changes &amp; Events'!$C$6:$C$17="Employer change")*('Changes &amp; Events'!$B$6:$B$17&lt;=$B10)*('Changes &amp; Events'!$B$6:$B$17&lt;&gt;"")),'Changes &amp; Events'!$B$6:$B$17),""),$B$6:$B$68,1)-1))))</f>
      </c>
      <c r="AX10" s="7">
        <f>IF($B10="","",IF($AV10=1,'Your Pay &amp; Benefits'!$C$49,IFERROR(LOOKUP(2,1/(('Changes &amp; Events'!$C$6:$C$17="Employer change")*('Changes &amp; Events'!$B$6:$B$17&lt;=$B10)*('Changes &amp; Events'!$B$6:$B$17&lt;&gt;"")),'Changes &amp; Events'!$D$6:$D$17),0)))</f>
      </c>
      <c r="AY10" s="7">
        <f>IF($B10="","",($O10-$D10)*'Your Pay &amp; Benefits'!$C$8)</f>
      </c>
      <c r="AZ10" s="7">
        <f>IF($B10="","",IF($AN10="AL",MAX(0,$AY10-IF($AU10="Married",IF($AY10&lt;=25999,8500,MAX(5000,8500-175*CEILING(($AY10-25999)/500,1))),IF($AU10="Head of household",IF($AY10&lt;=25999,5200,MAX(2500,5200-135*CEILING(($AY10-25999)/500,1))),IF($AY10&lt;=25999,3000,MAX(2500,3000-25*CEILING(($AY10-25999)/500,1)))))-($P10-'How This Works &amp; Sources'!$C$10*$D10)*'Your Pay &amp; Benefits'!$C$8-IF(OR($AU10="Married",$AU10="Head of household"),3000,1500)-$AT10*IF($AY10&lt;=50000,1000,IF($AY10&lt;=100000,500,300))),IF($AN10="AR",IF(MAX(0,$AY10-2470)&lt;97701,INT(MAX(0,$AY10-2470)/100)*100+50,MAX(0,$AY10-2470)),IF($AN10="DE",MAX(0,$AI10-3250),IF($AN10="HI",MAX(0,$AI10-1144*$AS10-4350),IF($AN10="KS",MAX(0,$AI10-(9160*IF($AU10="Married",2,1)+2320*$AT10+IF($AU10="Head of household",2320,0))),IF($AN10="MD",MAX(0,$AI10-3400-3200*$AS10),IF($AN10="MN",MAX(0,$AY10-5300*$AS10),IF($AN10="MO",MAX(0,$AI10-IF($AU10="Head of household",24150,IF($AU10="Married",IF('Your Pay &amp; Benefits'!$C$83,16100,32200),16100))),IF($AN10="MT",$AY10,IF($AN10="ND",($C10+$L10)*'Your Pay &amp; Benefits'!$C$8,IF($AN10="NE",MAX(0,$AY10-2440*$AS10),IF($AN10="NJ",MAX(0,$AY10-1000*$AS10),IF($AN10="NY",MAX(0,$AY10-(IF($AU10="Married",7950,7400)+1000*$AS10)),IF($AN10="OH",MAX(0,$AY10-650*$AS10),IF($AN10="OK",MAX(0,$AY10-1000*$AS10),IF($AN10="RI",MAX(0,$AI10-1000*$AS10),IF($AN10="SC",MAX(0,$AI10-5000*$AS10-IF($AS10=0,0,MIN(0.1*$AI10,7500))),IF($AN10="VA",MAX(0,$AI10-IF($AU10="Married",17500,8750)-930*$AS10-800*$AT10),IF($AN10="VT",MAX(0,$AI10-5400*$AS10),IF($AN10="WI",MAX(0,$AI10-MAX(0,IF($AU10="Married",9461-0.2*MAX(0,$AI10-25727),6702-0.12*MAX(0,$AI10-17780)))-400*$AS10),IF($AN10="WV",MAX(0,$AI10-2000*$AS10),$AI10))))))))))))))))))))))</f>
      </c>
      <c r="BA10" s="7">
        <f>IF($B10="","",IF($BW10&lt;&gt;"",$BW10,IF($BX10&lt;&gt;"",$BX10,IF($BY10&lt;&gt;"",$BY10,0))))</f>
      </c>
      <c r="BB10" s="7">
        <f>IF($B10="","",IF($AN10="AR",-29*$AS10,IF($AN10="DE",-110*$AS10,IF($AN10="MD",$AZ10*'Your Pay &amp; Benefits'!$C$74,IF($AN10="AZ",'Your Pay &amp; Benefits'!$C$82*($M10-$D10)*'Your Pay &amp; Benefits'!$C$8,IF($AN10="CO",0.044*MAX(0,$AY10-IF($AU10="Married",10000,5000)),IF($AN10="IA",MAX(0,0.038*MAX(0,$AY10-IF($AU10="Head of household",19500,IF($AU10="Married",26000,13000)))-40*$AS10),IF($AN10="ID",0.053*MAX(0,$AY10-IF($AU10="Married",32000,16094)),IF($AN10="IL",0.0495*MAX(0,$AY10-(2925*$AS10+1000*$AT10)),IF($AN10="IN",(0.0295+'Your Pay &amp; Benefits'!$C$76)*MAX(0,$AY10-(1000*$AS10+1500*$AT10+3000*'Your Pay &amp; Benefits'!$C$86)),IF($AN10="KY",0.035*MAX(0,$AI10-3360),IF($AN10="LA",IF('Your Pay &amp; Benefits'!$C$84="0",0.0309*$AI10,0.0309*MAX(0,$AI10-IF('Your Pay &amp; Benefits'!$C$84="2",25750,12875))),IF($AN10="MA",0.05*MIN(MAX(0,$AY10-MIN(($BD9+$Q10+$R10+$S10),2000)-IF($AS10=0,0,IF($AS10=1,4400,1000*$AS10+3400))),1107750)+0.09*MAX(0,MAX(0,$AY10-MIN(($BD9+$Q10+$R10+$S10),2000)-IF($AS10=0,0,IF($AS10=1,4400,1000*$AS10+3400)))-1107750)-IF($AU10="Head of household",120,0)-110*'Your Pay &amp; Benefits'!$C$75,IF($AN10="MI",0.0425*MAX(0,$AY10-5900*$AS10),IF($AN10="MS",0.04*MAX(0,$AI10-IF($AU10="Head of household",3400,IF($AU10="Married",4600,2300))-'Your Pay &amp; Benefits'!$C$85-10000),IF($AN10="OR",IF(OR($AU10="Married",AND($AU10="Single",$AS10&gt;=3)),SUMPRODUCT((MAX(0,$AY10-MIN(($P10-'How This Works &amp; Sources'!$C$10*$D10)*'Your Pay &amp; Benefits'!$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Sources'!$B$211:$J$214,0,4))*(MAX(0,$AY10-MIN(($P10-'How This Works &amp; Sources'!$C$10*$D10)*'Your Pay &amp; Benefits'!$C$8,IF(OR($AU10="Married",AND($AU10="Single",$AS10&gt;=3)),IF($AY10&lt;250000,8750,IF($AY10&lt;260000,7000,IF($AY10&lt;270000,5250,IF($AY10&lt;280000,3500,IF($AY10&lt;290000,1750,0))))),IF($AY10&lt;125000,8750,IF($AY10&lt;130000,7000,IF($AY10&lt;135000,5250,IF($AY10&lt;140000,3500,IF($AY10&lt;145000,1750,0)))))))-IF(OR($AU10="Married",AND($AU10="Single",$AS10&gt;=3)),5820,2910))-INDEX('How This Works &amp; Sources'!$B$211:$J$214,0,4))*INDEX('How This Works &amp; Sources'!$B$211:$J$214,0,4+2)),SUMPRODUCT((MAX(0,$AY10-MIN(($P10-'How This Works &amp; Sources'!$C$10*$D10)*'Your Pay &amp; Benefits'!$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Sources'!$B$211:$J$214,0,1))*(MAX(0,$AY10-MIN(($P10-'How This Works &amp; Sources'!$C$10*$D10)*'Your Pay &amp; Benefits'!$C$8,IF(OR($AU10="Married",AND($AU10="Single",$AS10&gt;=3)),IF($AY10&lt;250000,8750,IF($AY10&lt;260000,7000,IF($AY10&lt;270000,5250,IF($AY10&lt;280000,3500,IF($AY10&lt;290000,1750,0))))),IF($AY10&lt;125000,8750,IF($AY10&lt;130000,7000,IF($AY10&lt;135000,5250,IF($AY10&lt;140000,3500,IF($AY10&lt;145000,1750,0)))))))-IF(OR($AU10="Married",AND($AU10="Single",$AS10&gt;=3)),5820,2910))-INDEX('How This Works &amp; Sources'!$B$211:$J$214,0,1))*INDEX('How This Works &amp; Sources'!$B$211:$J$214,0,1+2)))+263-263*IF(IF($AU10="Married",$AY10&gt;200000,$AY10&gt;100000),0,$AS10),IF($AN10="PA",0.0307*(($O10+$E10+$G10)*'Your Pay &amp; Benefits'!$C$8),IF($AN10="NY",IF($AU10="Married",IF($AZ10&gt;=2155350,0,IF($AZ10&gt;=1077550,0.48,IF($AZ10&gt;=373200,1.21,IF($AZ10&gt;=323200,0.21,IF($AZ10&gt;=211550,-0.19,IF($AZ10&gt;=157650,-2.8,IF($AZ10&gt;=107650,-0.8,IF($AZ10&gt;=96800,0.05,IF($AZ10&gt;=80650,-0.1,IF($AZ10&gt;=13900,0.4,IF($AZ10&gt;=11700,-0.3,IF($AZ10&gt;=8500,0.5,0)))))))))))),IF($AZ10&gt;=1077550,0,IF($AZ10&gt;=265400,4.29,IF($AZ10&gt;=215400,2.29,IF($AZ10&gt;=157650,2.29,IF($AZ10&gt;=107650,0.29,IF($AZ10&gt;=96800,0.05,IF($AZ10&gt;=80650,-0.1,IF($AZ10&gt;=13900,0.4,IF($AZ10&gt;=11700,-0.3,IF($AZ10&gt;=8500,0.5,0))))))))))),0))))))))))))))))))</f>
      </c>
      <c r="BC10" s="7">
        <f>IF($B10="","",IF($AN10="AL",0.05*$D10,IF($AN10="AR",0.039*$D10,IF($AN10="ID",0.053*$D10,IF($AN10="IN",(0.0295+'Your Pay &amp; Benefits'!$C$76)*$D10,IF($AN10="KS",0.05*$D10,IF($AN10="MA",0.09*MIN($D10,MAX(0,MAX(0,$AY10-MIN(($BD9+$Q10+$R10+$S10),2000)-IF($AS10=0,0,IF($AS10=1,4400,1000*$AS10+3400)))+$D10-1107750))+0.05*($D10-MIN($D10,MAX(0,MAX(0,$AY10-MIN(($BD9+$Q10+$R10+$S10),2000)-IF($AS10=0,0,IF($AS10=1,4400,1000*$AS10+3400)))+$D10-1107750))),IF($AN10="MD",(0.065+'Your Pay &amp; Benefits'!$C$74)*$D10,IF($AN10="MI",0.0425*$D10,IF($AN10="MN",0.0625*$D10,IF($AN10="MO",0.047*$D10,IF($AN10="MT",0.05*$D10,IF($AN10="ND",0.015*$D10,IF($AN10="NE",0.035*$D10,IF($AN10="NJ",IF('Your Pay &amp; Benefits'!$C$77="B",SUMPRODUCT(($D10*'Your Pay &amp; Benefits'!$C$8&gt;INDEX('How This Works &amp; Sources'!$B$155:$J$162,0,4))*($D10*'Your Pay &amp; Benefits'!$C$8-INDEX('How This Works &amp; Sources'!$B$155:$J$162,0,4))*INDEX('How This Works &amp; Sources'!$B$155:$J$162,0,4+2)),IF('Your Pay &amp; Benefits'!$C$77="C",SUMPRODUCT(($D10*'Your Pay &amp; Benefits'!$C$8&gt;INDEX('How This Works &amp; Sources'!$B$155:$J$162,0,7))*($D10*'Your Pay &amp; Benefits'!$C$8-INDEX('How This Works &amp; Sources'!$B$155:$J$162,0,7))*INDEX('How This Works &amp; Sources'!$B$155:$J$162,0,7+2)),IF('Your Pay &amp; Benefits'!$C$77="D",SUMPRODUCT(($D10*'Your Pay &amp; Benefits'!$C$8&gt;INDEX('How This Works &amp; Sources'!$B$167:$J$179,0,1))*($D10*'Your Pay &amp; Benefits'!$C$8-INDEX('How This Works &amp; Sources'!$B$167:$J$179,0,1))*INDEX('How This Works &amp; Sources'!$B$167:$J$179,0,1+2)),IF('Your Pay &amp; Benefits'!$C$77="E",SUMPRODUCT(($D10*'Your Pay &amp; Benefits'!$C$8&gt;INDEX('How This Works &amp; Sources'!$B$167:$J$179,0,4))*($D10*'Your Pay &amp; Benefits'!$C$8-INDEX('How This Works &amp; Sources'!$B$167:$J$179,0,4))*INDEX('How This Works &amp; Sources'!$B$167:$J$179,0,4+2)),SUMPRODUCT(($D10*'Your Pay &amp; Benefits'!$C$8&gt;INDEX('How This Works &amp; Sources'!$B$155:$J$162,0,1))*($D10*'Your Pay &amp; Benefits'!$C$8-INDEX('How This Works &amp; Sources'!$B$155:$J$162,0,1))*INDEX('How This Works &amp; Sources'!$B$155:$J$162,0,1+2))))))/'Your Pay &amp; Benefits'!$C$8,IF($AN10="NY",0.117*$D10,IF($AN10="OH",0.0275*$D10,IF($AN10="OK",0.045*$D10,IF($AN10="OR",0.08*$D10,IF($AN10="WI",IF($AY10&lt;12760,0.0354,IF($AY10&lt;25520,0.0465,IF($AY10&lt;280950,0.053,0.0765)))*$D10,0))))))))))))))))))))</f>
      </c>
      <c r="BD10" s="7">
        <f>IF($B10="","",$BD9+$Q10+$R10+$S10)</f>
      </c>
      <c r="BE10" s="6">
        <f>IF($B10="",$BE9,$BE9+$BF10)</f>
      </c>
      <c r="BF10" s="6">
        <f>IF($B10="","",IF(AND(IF(YEAR(IF('Your Pay &amp; Benefits'!$C$7="Weekly",'Your Pay &amp; Benefits'!$C$9+7*(($BE9+1)-1),IF('Your Pay &amp; Benefits'!$C$7="Biweekly",'Your Pay &amp; Benefits'!$C$9+14*(($BE9+1)-1),IF('Your Pay &amp; Benefits'!$C$7="Semimonthly",DATE(YEAR('Your Pay &amp; Benefits'!$C$9),MONTH('Your Pay &amp; Benefits'!$C$9)+INT((($BE9+1)-1)/2),MIN(DAY('Your Pay &amp; Benefits'!$C$9),DAY(EOMONTH(DATE(YEAR('Your Pay &amp; Benefits'!$C$9),MONTH('Your Pay &amp; Benefits'!$C$9)+INT((($BE9+1)-1)/2),1),0))))+IF(MOD(($BE9+1)-1,2)=1,15,0),EDATE('Your Pay &amp; Benefits'!$C$9,($BE9+1)-1)))))&lt;&gt;'Your Pay &amp; Benefits'!$C$10,"",IF('Your Pay &amp; Benefits'!$C$7="Weekly",'Your Pay &amp; Benefits'!$C$9+7*(($BE9+1)-1),IF('Your Pay &amp; Benefits'!$C$7="Biweekly",'Your Pay &amp; Benefits'!$C$9+14*(($BE9+1)-1),IF('Your Pay &amp; Benefits'!$C$7="Semimonthly",DATE(YEAR('Your Pay &amp; Benefits'!$C$9),MONTH('Your Pay &amp; Benefits'!$C$9)+INT((($BE9+1)-1)/2),MIN(DAY('Your Pay &amp; Benefits'!$C$9),DAY(EOMONTH(DATE(YEAR('Your Pay &amp; Benefits'!$C$9),MONTH('Your Pay &amp; Benefits'!$C$9)+INT((($BE9+1)-1)/2),1),0))))+IF(MOD(($BE9+1)-1,2)=1,15,0),EDATE('Your Pay &amp; Benefits'!$C$9,($BE9+1)-1)))))&lt;&gt;"",$B10=IF(YEAR(IF('Your Pay &amp; Benefits'!$C$7="Weekly",'Your Pay &amp; Benefits'!$C$9+7*(($BE9+1)-1),IF('Your Pay &amp; Benefits'!$C$7="Biweekly",'Your Pay &amp; Benefits'!$C$9+14*(($BE9+1)-1),IF('Your Pay &amp; Benefits'!$C$7="Semimonthly",DATE(YEAR('Your Pay &amp; Benefits'!$C$9),MONTH('Your Pay &amp; Benefits'!$C$9)+INT((($BE9+1)-1)/2),MIN(DAY('Your Pay &amp; Benefits'!$C$9),DAY(EOMONTH(DATE(YEAR('Your Pay &amp; Benefits'!$C$9),MONTH('Your Pay &amp; Benefits'!$C$9)+INT((($BE9+1)-1)/2),1),0))))+IF(MOD(($BE9+1)-1,2)=1,15,0),EDATE('Your Pay &amp; Benefits'!$C$9,($BE9+1)-1)))))&lt;&gt;'Your Pay &amp; Benefits'!$C$10,"",IF('Your Pay &amp; Benefits'!$C$7="Weekly",'Your Pay &amp; Benefits'!$C$9+7*(($BE9+1)-1),IF('Your Pay &amp; Benefits'!$C$7="Biweekly",'Your Pay &amp; Benefits'!$C$9+14*(($BE9+1)-1),IF('Your Pay &amp; Benefits'!$C$7="Semimonthly",DATE(YEAR('Your Pay &amp; Benefits'!$C$9),MONTH('Your Pay &amp; Benefits'!$C$9)+INT((($BE9+1)-1)/2),MIN(DAY('Your Pay &amp; Benefits'!$C$9),DAY(EOMONTH(DATE(YEAR('Your Pay &amp; Benefits'!$C$9),MONTH('Your Pay &amp; Benefits'!$C$9)+INT((($BE9+1)-1)/2),1),0))))+IF(MOD(($BE9+1)-1,2)=1,15,0),EDATE('Your Pay &amp; Benefits'!$C$9,($BE9+1)-1)))))),1,0))</f>
      </c>
      <c r="BG10" s="7">
        <f>IF($B10="","",$BG9+$H10)</f>
      </c>
      <c r="BH10" s="7">
        <f>IF($B10="","",$BH9+$I10)</f>
      </c>
      <c r="BI10" s="7">
        <f>IF($B10="","",$BI9+$G10)</f>
      </c>
      <c r="BJ10" s="7">
        <f>IF($B10="","",IFERROR(LOOKUP(2,1/(((('Changes &amp; Events'!$C$6:$C$17="Deduction start"))*('Changes &amp; Events'!$D$6:$D$17="Health FSA"))*('Changes &amp; Events'!$B$6:$B$17&lt;=$B10)*('Changes &amp; Events'!$B$6:$B$17&lt;&gt;"")),'Changes &amp; Events'!$E$6:$E$17),'Your Pay &amp; Benefits'!$D$38))</f>
      </c>
      <c r="BK10" s="7">
        <f>IF($B10="","",IFERROR(LOOKUP(2,1/(((('Changes &amp; Events'!$C$6:$C$17="Deduction start"))*('Changes &amp; Events'!$D$6:$D$17="Dependent-care FSA"))*('Changes &amp; Events'!$B$6:$B$17&lt;=$B10)*('Changes &amp; Events'!$B$6:$B$17&lt;&gt;"")),'Changes &amp; Events'!$E$6:$E$17),'Your Pay &amp; Benefits'!$D$39))</f>
      </c>
      <c r="BL10" s="7">
        <f>IF($B10="","",IFERROR(LOOKUP(2,1/(((('Changes &amp; Events'!$C$6:$C$17="Deduction start")+('Changes &amp; Events'!$C$6:$C$17="Deduction stop"))*('Changes &amp; Events'!$D$6:$D$17="HSA"))*('Changes &amp; Events'!$B$6:$B$17&lt;=$B10)*('Changes &amp; Events'!$B$6:$B$17&lt;&gt;"")),'Changes &amp; Events'!$I$6:$I$17),'Your Pay &amp; Benefits'!$D$35))</f>
      </c>
      <c r="BM10" s="7">
        <f>IF($B10="","",IFERROR(LOOKUP(2,1/(((('Changes &amp; Events'!$C$6:$C$17="Deduction start")+('Changes &amp; Events'!$C$6:$C$17="Deduction stop"))*('Changes &amp; Events'!$D$6:$D$17="Premiums"))*('Changes &amp; Events'!$B$6:$B$17&lt;=$B10)*('Changes &amp; Events'!$B$6:$B$17&lt;&gt;"")),'Changes &amp; Events'!$I$6:$I$17),'Your Pay &amp; Benefits'!$D$40+'Your Pay &amp; Benefits'!$D$41+'Your Pay &amp; Benefits'!$D$42))</f>
      </c>
      <c r="BN10" s="7">
        <f>IF($B10="","",IFERROR(LOOKUP(2,1/(((('Changes &amp; Events'!$C$6:$C$17="Deduction start")+('Changes &amp; Events'!$C$6:$C$17="Deduction stop"))*('Changes &amp; Events'!$D$6:$D$17="Commuter"))*('Changes &amp; Events'!$B$6:$B$17&lt;=$B10)*('Changes &amp; Events'!$B$6:$B$17&lt;&gt;"")),'Changes &amp; Events'!$I$6:$I$17),'Your Pay &amp; Benefits'!$D$43))</f>
      </c>
      <c r="BO10" s="7">
        <f>IF($B10="","",IFERROR(LOOKUP(2,1/(((('Changes &amp; Events'!$C$6:$C$17="Deduction start")+('Changes &amp; Events'!$C$6:$C$17="Deduction stop"))*('Changes &amp; Events'!$D$6:$D$17="Other pre-tax"))*('Changes &amp; Events'!$B$6:$B$17&lt;=$B10)*('Changes &amp; Events'!$B$6:$B$17&lt;&gt;"")),'Changes &amp; Events'!$I$6:$I$17),'Your Pay &amp; Benefits'!$D$44))</f>
      </c>
      <c r="BP10" s="7">
        <f>IF($B10="","",IFERROR(LOOKUP(2,1/(((('Changes &amp; Events'!$C$6:$C$17="Deduction start")+('Changes &amp; Events'!$C$6:$C$17="Deduction stop"))*('Changes &amp; Events'!$D$6:$D$17="Other post-tax"))*('Changes &amp; Events'!$B$6:$B$17&lt;=$B10)*('Changes &amp; Events'!$B$6:$B$17&lt;&gt;"")),'Changes &amp; Events'!$I$6:$I$17),'Your Pay &amp; Benefits'!$D$45))</f>
      </c>
      <c r="BQ10" s="6">
        <f>IF($B10="","",IFERROR(LOOKUP(2,1/(((('Changes &amp; Events'!$C$6:$C$17="Deduction start")+('Changes &amp; Events'!$C$6:$C$17="Deduction stop"))*('Changes &amp; Events'!$D$6:$D$17="Health FSA"))*('Changes &amp; Events'!$B$6:$B$17&lt;=$B10)*('Changes &amp; Events'!$B$6:$B$17&lt;&gt;"")),'Changes &amp; Events'!$J$6:$J$17),0))</f>
      </c>
      <c r="BR10" s="6">
        <f>IF($B10="","",IFERROR(LOOKUP(2,1/(((('Changes &amp; Events'!$C$6:$C$17="Deduction start")+('Changes &amp; Events'!$C$6:$C$17="Deduction stop"))*('Changes &amp; Events'!$D$6:$D$17="Dependent-care FSA"))*('Changes &amp; Events'!$B$6:$B$17&lt;=$B10)*('Changes &amp; Events'!$B$6:$B$17&lt;&gt;"")),'Changes &amp; Events'!$J$6:$J$17),0))</f>
      </c>
      <c r="BS10" s="6">
        <f>IF($B10="","",IF(SUMPRODUCT(('Changes &amp; Events'!$C$6:$C$17="Deduction start")*('Changes &amp; Events'!$B$6:$B$17&lt;=$B10)*('Changes &amp; Events'!$B$6:$B$17&lt;&gt;"")*('Changes &amp; Events'!$D$6:$D$17="Health FSA"))&gt;0,1,0))</f>
      </c>
      <c r="BT10" s="6">
        <f>IF($B10="","",IF(SUMPRODUCT(('Changes &amp; Events'!$C$6:$C$17="Deduction start")*('Changes &amp; Events'!$B$6:$B$17&lt;=$B10)*('Changes &amp; Events'!$B$6:$B$17&lt;&gt;"")*('Changes &amp; Events'!$D$6:$D$17="Dependent-care FSA"))&gt;0,1,0))</f>
      </c>
      <c r="BU10" s="24">
        <f>IF($B10="","",IF('Your Pay &amp; Benefits'!$C$13,SUMPRODUCT(($AH10&gt;=INDEX('How This Works &amp; Sources'!$B$29:$J$36,0,IF('Your Pay &amp; Benefits'!$C$12="MFJ",1,IF('Your Pay &amp; Benefits'!$C$12="HoH",7,4))))*INDEX('How This Works &amp; Sources'!$B$29:$J$36,0,IF('Your Pay &amp; Benefits'!$C$12="MFJ",1,IF('Your Pay &amp; Benefits'!$C$12="HoH",7,4))+2)),SUMPRODUCT(($AH10&gt;=INDEX('How This Works &amp; Sources'!$B$19:$J$26,0,IF('Your Pay &amp; Benefits'!$C$12="MFJ",1,IF('Your Pay &amp; Benefits'!$C$12="HoH",7,4))))*INDEX('How This Works &amp; Sources'!$B$19:$J$26,0,IF('Your Pay &amp; Benefits'!$C$12="MFJ",1,IF('Your Pay &amp; Benefits'!$C$12="HoH",7,4))+2))))</f>
      </c>
      <c r="BV10" s="24">
        <f>IF($B10="","",IF($BZ10&lt;&gt;"",$BZ10,IF($CA10&lt;&gt;"",$CA10,IF($CB10&lt;&gt;"",$CB10,IF($CC10&lt;&gt;"",$CC10,0)))))</f>
      </c>
      <c r="BW10" s="7">
        <f>IF($B10="","",IF($AN10="MD",IF(OR($AU10="Married",$AU10="Head of household"),SUMPRODUCT(($AZ10&gt;INDEX('How This Works &amp; Sources'!$B$114:$J$120,0,1))*($AZ10-INDEX('How This Works &amp; Sources'!$B$114:$J$120,0,1))*INDEX('How This Works &amp; Sources'!$B$114:$J$120,0,1+2)),SUMPRODUCT(($AZ10&gt;INDEX('How This Works &amp; Sources'!$B$103:$J$109,0,7))*($AZ10-INDEX('How This Works &amp; Sources'!$B$103:$J$109,0,7))*INDEX('How This Works &amp; Sources'!$B$103:$J$109,0,7+2))),IF($AN10="MO",SUMPRODUCT(($AZ10&gt;INDEX('How This Works &amp; Sources'!$B$125:$J$132,0,1))*($AZ10-INDEX('How This Works &amp; Sources'!$B$125:$J$132,0,1))*INDEX('How This Works &amp; Sources'!$B$125:$J$132,0,1+2)),IF($AN10="MT",IF($AU10="Head of household",SUMPRODUCT(($AZ10&gt;INDEX('How This Works &amp; Sources'!$B$137:$J$139,0,1))*($AZ10-INDEX('How This Works &amp; Sources'!$B$137:$J$139,0,1))*INDEX('How This Works &amp; Sources'!$B$137:$J$139,0,1+2)),IF($AU10="Married",SUMPRODUCT(($AZ10&gt;INDEX('How This Works &amp; Sources'!$B$125:$J$132,0,7))*($AZ10-INDEX('How This Works &amp; Sources'!$B$125:$J$132,0,7))*INDEX('How This Works &amp; Sources'!$B$125:$J$132,0,7+2)),SUMPRODUCT(($AZ10&gt;INDEX('How This Works &amp; Sources'!$B$125:$J$132,0,4))*($AZ10-INDEX('How This Works &amp; Sources'!$B$125:$J$132,0,4))*INDEX('How This Works &amp; Sources'!$B$125:$J$132,0,4+2)))),IF($AN10="ND",IF($AU10="Head of household",SUMPRODUCT(($AZ10&gt;INDEX('How This Works &amp; Sources'!$B$144:$J$150,0,1))*($AZ10-INDEX('How This Works &amp; Sources'!$B$144:$J$150,0,1))*INDEX('How This Works &amp; Sources'!$B$144:$J$150,0,1+2)),IF($AU10="Married",SUMPRODUCT(($AZ10&gt;INDEX('How This Works &amp; Sources'!$B$137:$J$139,0,7))*($AZ10-INDEX('How This Works &amp; Sources'!$B$137:$J$139,0,7))*INDEX('How This Works &amp; Sources'!$B$137:$J$139,0,7+2)),SUMPRODUCT(($AZ10&gt;INDEX('How This Works &amp; Sources'!$B$137:$J$139,0,4))*($AZ10-INDEX('How This Works &amp; Sources'!$B$137:$J$139,0,4))*INDEX('How This Works &amp; Sources'!$B$137:$J$139,0,4+2)))),IF($AN10="NJ",IF('Your Pay &amp; Benefits'!$C$77="B",SUMPRODUCT(($AZ10&gt;INDEX('How This Works &amp; Sources'!$B$155:$J$162,0,4))*($AZ10-INDEX('How This Works &amp; Sources'!$B$155:$J$162,0,4))*INDEX('How This Works &amp; Sources'!$B$155:$J$162,0,4+2)),IF('Your Pay &amp; Benefits'!$C$77="C",SUMPRODUCT(($AZ10&gt;INDEX('How This Works &amp; Sources'!$B$155:$J$162,0,7))*($AZ10-INDEX('How This Works &amp; Sources'!$B$155:$J$162,0,7))*INDEX('How This Works &amp; Sources'!$B$155:$J$162,0,7+2)),IF('Your Pay &amp; Benefits'!$C$77="D",SUMPRODUCT(($AZ10&gt;INDEX('How This Works &amp; Sources'!$B$167:$J$179,0,1))*($AZ10-INDEX('How This Works &amp; Sources'!$B$167:$J$179,0,1))*INDEX('How This Works &amp; Sources'!$B$167:$J$179,0,1+2)),IF('Your Pay &amp; Benefits'!$C$77="E",SUMPRODUCT(($AZ10&gt;INDEX('How This Works &amp; Sources'!$B$167:$J$179,0,4))*($AZ10-INDEX('How This Works &amp; Sources'!$B$167:$J$179,0,4))*INDEX('How This Works &amp; Sources'!$B$167:$J$179,0,4+2)),SUMPRODUCT(($AZ10&gt;INDEX('How This Works &amp; Sources'!$B$155:$J$162,0,1))*($AZ10-INDEX('How This Works &amp; Sources'!$B$155:$J$162,0,1))*INDEX('How This Works &amp; Sources'!$B$155:$J$162,0,1+2)))))),IF($AN10="NY",IF($AU10="Married",IF($AZ10&gt;=2155350,$AZ10*IF($AZ10&gt;25000000,0.117,IF($AZ10&gt;5000000,0.111,0.1045)),SUMPRODUCT(($AZ10&gt;INDEX('How This Works &amp; Sources'!$B$184:$J$198,0,1))*($AZ10-INDEX('How This Works &amp; Sources'!$B$184:$J$198,0,1))*INDEX('How This Works &amp; Sources'!$B$184:$J$198,0,1+2))),IF($AZ10&gt;=1077550,$AZ10*IF($AZ10&gt;25000000,0.117,IF($AZ10&gt;5000000,0.111,0.1045)),SUMPRODUCT(($AZ10&gt;INDEX('How This Works &amp; Sources'!$B$167:$J$179,0,7))*($AZ10-INDEX('How This Works &amp; Sources'!$B$167:$J$179,0,7))*INDEX('How This Works &amp; Sources'!$B$167:$J$179,0,7+2)))),"")))))))</f>
      </c>
      <c r="BX10" s="7">
        <f>IF($B10="","",IF($AN10="AL",IF(OR($AU10="Married",$AU10="Head of household"),SUMPRODUCT(($AZ10&gt;INDEX('How This Works &amp; Sources'!$B$82:$J$86,0,4))*($AZ10-INDEX('How This Works &amp; Sources'!$B$82:$J$86,0,4))*INDEX('How This Works &amp; Sources'!$B$82:$J$86,0,4+2)),SUMPRODUCT(($AZ10&gt;INDEX('How This Works &amp; Sources'!$B$82:$J$86,0,1))*($AZ10-INDEX('How This Works &amp; Sources'!$B$82:$J$86,0,1))*INDEX('How This Works &amp; Sources'!$B$82:$J$86,0,1+2))),IF($AN10="KS",IF($AU10="Married",SUMPRODUCT(($AZ10&gt;INDEX('How This Works &amp; Sources'!$B$103:$J$109,0,4))*($AZ10-INDEX('How This Works &amp; Sources'!$B$103:$J$109,0,4))*INDEX('How This Works &amp; Sources'!$B$103:$J$109,0,4+2)),SUMPRODUCT(($AZ10&gt;INDEX('How This Works &amp; Sources'!$B$103:$J$109,0,1))*($AZ10-INDEX('How This Works &amp; Sources'!$B$103:$J$109,0,1))*INDEX('How This Works &amp; Sources'!$B$103:$J$109,0,1+2))),IF($AN10="MN",IF($AU10="Married",SUMPRODUCT(($AZ10&gt;INDEX('How This Works &amp; Sources'!$B$114:$J$120,0,7))*($AZ10-INDEX('How This Works &amp; Sources'!$B$114:$J$120,0,7))*INDEX('How This Works &amp; Sources'!$B$114:$J$120,0,7+2)),SUMPRODUCT(($AZ10&gt;INDEX('How This Works &amp; Sources'!$B$114:$J$120,0,4))*($AZ10-INDEX('How This Works &amp; Sources'!$B$114:$J$120,0,4))*INDEX('How This Works &amp; Sources'!$B$114:$J$120,0,4+2))),IF($AN10="NE",MAX(IF($AU10="Married",SUMPRODUCT(($AZ10&gt;INDEX('How This Works &amp; Sources'!$B$144:$J$150,0,7))*($AZ10-INDEX('How This Works &amp; Sources'!$B$144:$J$150,0,7))*INDEX('How This Works &amp; Sources'!$B$144:$J$150,0,7+2)),SUMPRODUCT(($AZ10&gt;INDEX('How This Works &amp; Sources'!$B$144:$J$150,0,4))*($AZ10-INDEX('How This Works &amp; Sources'!$B$144:$J$150,0,4))*INDEX('How This Works &amp; Sources'!$B$144:$J$150,0,4+2))),0.015*$AZ10),IF($AN10="OH",IF($B10&gt;=DATE(2026,8,1),SUMPRODUCT(($AZ10&gt;INDEX('How This Works &amp; Sources'!$B$203:$J$206,0,1))*($AZ10-INDEX('How This Works &amp; Sources'!$B$203:$J$206,0,1))*INDEX('How This Works &amp; Sources'!$B$203:$J$206,0,1+2)),SUMPRODUCT(($AZ10&gt;INDEX('How This Works &amp; Sources'!$B$184:$J$198,0,7))*($AZ10-INDEX('How This Works &amp; Sources'!$B$184:$J$198,0,7))*INDEX('How This Works &amp; Sources'!$B$184:$J$198,0,7+2))),IF($AN10="OK",IF($AU10="Married",SUMPRODUCT(($AZ10&gt;INDEX('How This Works &amp; Sources'!$B$203:$J$206,0,7))*($AZ10-INDEX('How This Works &amp; Sources'!$B$203:$J$206,0,7))*INDEX('How This Works &amp; Sources'!$B$203:$J$206,0,7+2)),SUMPRODUCT(($AZ10&gt;INDEX('How This Works &amp; Sources'!$B$203:$J$206,0,4))*($AZ10-INDEX('How This Works &amp; Sources'!$B$203:$J$206,0,4))*INDEX('How This Works &amp; Sources'!$B$203:$J$206,0,4+2))),IF($AN10="RI",SUMPRODUCT(($AZ10&gt;INDEX('How This Works &amp; Sources'!$B$211:$J$214,0,7))*($AZ10-INDEX('How This Works &amp; Sources'!$B$211:$J$214,0,7))*INDEX('How This Works &amp; Sources'!$B$211:$J$214,0,7+2)),IF($AN10="VT",IF($AU10="Married",SUMPRODUCT(($AZ10&gt;INDEX('How This Works &amp; Sources'!$B$228:$J$232,0,1))*($AZ10-INDEX('How This Works &amp; Sources'!$B$228:$J$232,0,1))*INDEX('How This Works &amp; Sources'!$B$228:$J$232,0,1+2)),SUMPRODUCT(($AZ10&gt;INDEX('How This Works &amp; Sources'!$B$219:$J$223,0,7))*($AZ10-INDEX('How This Works &amp; Sources'!$B$219:$J$223,0,7))*INDEX('How This Works &amp; Sources'!$B$219:$J$223,0,7+2))),IF($AN10="WV",IF($AU10="Married",SUMPRODUCT(($AZ10&gt;INDEX('How This Works &amp; Sources'!$B$237:$J$241,0,7))*($AZ10-INDEX('How This Works &amp; Sources'!$B$237:$J$241,0,7))*INDEX('How This Works &amp; Sources'!$B$237:$J$241,0,7+2)),SUMPRODUCT(($AZ10&gt;INDEX('How This Works &amp; Sources'!$B$228:$J$232,0,7))*($AZ10-INDEX('How This Works &amp; Sources'!$B$228:$J$232,0,7))*INDEX('How This Works &amp; Sources'!$B$228:$J$232,0,7+2))),""))))))))))</f>
      </c>
      <c r="BY10" s="7">
        <f>IF($B10="","",IF($AN10="AR",SUMPRODUCT(($AZ10&gt;INDEX('How This Works &amp; Sources'!$B$82:$J$86,0,7))*($AZ10-INDEX('How This Works &amp; Sources'!$B$82:$J$86,0,7))*INDEX('How This Works &amp; Sources'!$B$82:$J$86,0,7+2)),IF($AN10="DE",SUMPRODUCT(($AZ10&gt;INDEX('How This Works &amp; Sources'!$B$91:$J$98,0,1))*($AZ10-INDEX('How This Works &amp; Sources'!$B$91:$J$98,0,1))*INDEX('How This Works &amp; Sources'!$B$91:$J$98,0,1+2)),IF($AN10="HI",IF($AU10="Married",SUMPRODUCT(($AZ10&gt;INDEX('How This Works &amp; Sources'!$B$91:$J$98,0,7))*($AZ10-INDEX('How This Works &amp; Sources'!$B$91:$J$98,0,7))*INDEX('How This Works &amp; Sources'!$B$91:$J$98,0,7+2)),SUMPRODUCT(($AZ10&gt;INDEX('How This Works &amp; Sources'!$B$91:$J$98,0,4))*($AZ10-INDEX('How This Works &amp; Sources'!$B$91:$J$98,0,4))*INDEX('How This Works &amp; Sources'!$B$91:$J$98,0,4+2))),IF($AN10="SC",SUMPRODUCT(($AZ10&gt;INDEX('How This Works &amp; Sources'!$B$219:$J$223,0,1))*($AZ10-INDEX('How This Works &amp; Sources'!$B$219:$J$223,0,1))*INDEX('How This Works &amp; Sources'!$B$219:$J$223,0,1+2)),IF($AN10="VA",SUMPRODUCT(($AZ10&gt;INDEX('How This Works &amp; Sources'!$B$219:$J$223,0,4))*($AZ10-INDEX('How This Works &amp; Sources'!$B$219:$J$223,0,4))*INDEX('How This Works &amp; Sources'!$B$219:$J$223,0,4+2)),IF($AN10="WI",SUMPRODUCT(($AZ10&gt;INDEX('How This Works &amp; Sources'!$B$228:$J$232,0,4))*($AZ10-INDEX('How This Works &amp; Sources'!$B$228:$J$232,0,4))*INDEX('How This Works &amp; Sources'!$B$228:$J$232,0,4+2)),"")))))))</f>
      </c>
      <c r="BZ10" s="24">
        <f>IF($B10="","",IF($AN10="NJ",IF('Your Pay &amp; Benefits'!$C$77="B",SUMPRODUCT(($AZ10&gt;=INDEX('How This Works &amp; Sources'!$B$155:$J$162,0,4))*INDEX('How This Works &amp; Sources'!$B$155:$J$162,0,4+2)),IF('Your Pay &amp; Benefits'!$C$77="C",SUMPRODUCT(($AZ10&gt;=INDEX('How This Works &amp; Sources'!$B$155:$J$162,0,7))*INDEX('How This Works &amp; Sources'!$B$155:$J$162,0,7+2)),IF('Your Pay &amp; Benefits'!$C$77="D",SUMPRODUCT(($AZ10&gt;=INDEX('How This Works &amp; Sources'!$B$167:$J$179,0,1))*INDEX('How This Works &amp; Sources'!$B$167:$J$179,0,1+2)),IF('Your Pay &amp; Benefits'!$C$77="E",SUMPRODUCT(($AZ10&gt;=INDEX('How This Works &amp; Sources'!$B$167:$J$179,0,4))*INDEX('How This Works &amp; Sources'!$B$167:$J$179,0,4+2)),SUMPRODUCT(($AZ10&gt;=INDEX('How This Works &amp; Sources'!$B$155:$J$162,0,1))*INDEX('How This Works &amp; Sources'!$B$155:$J$162,0,1+2)))))),IF($AN10="OR",IF(OR($AU10="Married",AND($AU10="Single",$AS10&gt;=3)),SUMPRODUCT((MAX(0,$AY10-MIN(($P10-'How This Works &amp; Sources'!$C$10*$D10)*'Your Pay &amp; Benefits'!$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Sources'!$B$211:$J$214,0,4))*INDEX('How This Works &amp; Sources'!$B$211:$J$214,0,4+2)),SUMPRODUCT((MAX(0,$AY10-MIN(($P10-'How This Works &amp; Sources'!$C$10*$D10)*'Your Pay &amp; Benefits'!$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Sources'!$B$211:$J$214,0,1))*INDEX('How This Works &amp; Sources'!$B$211:$J$214,0,1+2)))*IF(($P10-'How This Works &amp; Sources'!$C$10*$D10)*'Your Pay &amp; Benefits'!$C$8&gt;=IF(OR($AU10="Married",AND($AU10="Single",$AS10&gt;=3)),IF($AY10&lt;250000,8750,IF($AY10&lt;260000,7000,IF($AY10&lt;270000,5250,IF($AY10&lt;280000,3500,IF($AY10&lt;290000,1750,0))))),IF($AY10&lt;125000,8750,IF($AY10&lt;130000,7000,IF($AY10&lt;135000,5250,IF($AY10&lt;140000,3500,IF($AY10&lt;145000,1750,0)))))),1,1-IF('Your Pay &amp; Benefits'!$C$13,SUMPRODUCT(($AH10&gt;=INDEX('How This Works &amp; Sources'!$B$29:$J$36,0,IF('Your Pay &amp; Benefits'!$C$12="MFJ",1,IF('Your Pay &amp; Benefits'!$C$12="HoH",7,4))))*INDEX('How This Works &amp; Sources'!$B$29:$J$36,0,IF('Your Pay &amp; Benefits'!$C$12="MFJ",1,IF('Your Pay &amp; Benefits'!$C$12="HoH",7,4))+2)),SUMPRODUCT(($AH10&gt;=INDEX('How This Works &amp; Sources'!$B$19:$J$26,0,IF('Your Pay &amp; Benefits'!$C$12="MFJ",1,IF('Your Pay &amp; Benefits'!$C$12="HoH",7,4))))*INDEX('How This Works &amp; Sources'!$B$19:$J$26,0,IF('Your Pay &amp; Benefits'!$C$12="MFJ",1,IF('Your Pay &amp; Benefits'!$C$12="HoH",7,4))+2)))),IF($AN10="MI",IF($AY10&gt;5900*$AS10,0.0425,0),""))))</f>
      </c>
      <c r="CA10" s="24">
        <f>IF($B10="","",IF($AN10="AL",IF(OR($AU10="Married",$AU10="Head of household"),SUMPRODUCT(($AZ10&gt;=INDEX('How This Works &amp; Sources'!$B$82:$J$86,0,4))*INDEX('How This Works &amp; Sources'!$B$82:$J$86,0,4+2)),SUMPRODUCT(($AZ10&gt;=INDEX('How This Works &amp; Sources'!$B$82:$J$86,0,1))*INDEX('How This Works &amp; Sources'!$B$82:$J$86,0,1+2)))*(1-IF('Your Pay &amp; Benefits'!$C$13,SUMPRODUCT(($AH10&gt;=INDEX('How This Works &amp; Sources'!$B$29:$J$36,0,IF('Your Pay &amp; Benefits'!$C$12="MFJ",1,IF('Your Pay &amp; Benefits'!$C$12="HoH",7,4))))*INDEX('How This Works &amp; Sources'!$B$29:$J$36,0,IF('Your Pay &amp; Benefits'!$C$12="MFJ",1,IF('Your Pay &amp; Benefits'!$C$12="HoH",7,4))+2)),SUMPRODUCT(($AH10&gt;=INDEX('How This Works &amp; Sources'!$B$19:$J$26,0,IF('Your Pay &amp; Benefits'!$C$12="MFJ",1,IF('Your Pay &amp; Benefits'!$C$12="HoH",7,4))))*INDEX('How This Works &amp; Sources'!$B$19:$J$26,0,IF('Your Pay &amp; Benefits'!$C$12="MFJ",1,IF('Your Pay &amp; Benefits'!$C$12="HoH",7,4))+2)))),IF($AN10="KS",IF($AU10="Married",SUMPRODUCT(($AZ10&gt;=INDEX('How This Works &amp; Sources'!$B$103:$J$109,0,4))*INDEX('How This Works &amp; Sources'!$B$103:$J$109,0,4+2)),SUMPRODUCT(($AZ10&gt;=INDEX('How This Works &amp; Sources'!$B$103:$J$109,0,1))*INDEX('How This Works &amp; Sources'!$B$103:$J$109,0,1+2))),IF($AN10="MD",IF(OR($AU10="Married",$AU10="Head of household"),SUMPRODUCT(($AZ10&gt;=INDEX('How This Works &amp; Sources'!$B$114:$J$120,0,1))*INDEX('How This Works &amp; Sources'!$B$114:$J$120,0,1+2)),SUMPRODUCT(($AZ10&gt;=INDEX('How This Works &amp; Sources'!$B$103:$J$109,0,7))*INDEX('How This Works &amp; Sources'!$B$103:$J$109,0,7+2)))+'Your Pay &amp; Benefits'!$C$74,IF($AN10="MT",IF($AU10="Head of household",SUMPRODUCT(($AZ10&gt;=INDEX('How This Works &amp; Sources'!$B$137:$J$139,0,1))*INDEX('How This Works &amp; Sources'!$B$137:$J$139,0,1+2)),IF($AU10="Married",SUMPRODUCT(($AZ10&gt;=INDEX('How This Works &amp; Sources'!$B$125:$J$132,0,7))*INDEX('How This Works &amp; Sources'!$B$125:$J$132,0,7+2)),SUMPRODUCT(($AZ10&gt;=INDEX('How This Works &amp; Sources'!$B$125:$J$132,0,4))*INDEX('How This Works &amp; Sources'!$B$125:$J$132,0,4+2)))),IF($AN10="ND",IF($AU10="Head of household",SUMPRODUCT(($AZ10&gt;=INDEX('How This Works &amp; Sources'!$B$144:$J$150,0,1))*INDEX('How This Works &amp; Sources'!$B$144:$J$150,0,1+2)),IF($AU10="Married",SUMPRODUCT(($AZ10&gt;=INDEX('How This Works &amp; Sources'!$B$137:$J$139,0,7))*INDEX('How This Works &amp; Sources'!$B$137:$J$139,0,7+2)),SUMPRODUCT(($AZ10&gt;=INDEX('How This Works &amp; Sources'!$B$137:$J$139,0,4))*INDEX('How This Works &amp; Sources'!$B$137:$J$139,0,4+2)))),IF($AN10="NY",IF($AU10="Married",IF($AZ10&gt;=2155350,IF($AZ10&gt;25000000,0.117,IF($AZ10&gt;5000000,0.111,0.1045)),SUMPRODUCT(($AZ10&gt;=INDEX('How This Works &amp; Sources'!$B$184:$J$198,0,1))*INDEX('How This Works &amp; Sources'!$B$184:$J$198,0,1+2))),IF($AZ10&gt;=1077550,IF($AZ10&gt;25000000,0.117,IF($AZ10&gt;5000000,0.111,0.1045)),SUMPRODUCT(($AZ10&gt;=INDEX('How This Works &amp; Sources'!$B$167:$J$179,0,7))*INDEX('How This Works &amp; Sources'!$B$167:$J$179,0,7+2)))),"")))))))</f>
      </c>
      <c r="CB10" s="24">
        <f>IF($B10="","",IF($AN10="CA",SUMPRODUCT(($AJ10&gt;=INDEX('How This Works &amp; Sources'!$B$39:$J$48,0,IF($AU10="Married",4,IF($AU10="Head of household",7,1))))*INDEX('How This Works &amp; Sources'!$B$39:$J$48,0,IF($AU10="Married",4,IF($AU10="Head of household",7,1))+2)),IF($AN10="HI",IF($AU10="Married",SUMPRODUCT(($AZ10&gt;=INDEX('How This Works &amp; Sources'!$B$91:$J$98,0,7))*INDEX('How This Works &amp; Sources'!$B$91:$J$98,0,7+2)),SUMPRODUCT(($AZ10&gt;=INDEX('How This Works &amp; Sources'!$B$91:$J$98,0,4))*INDEX('How This Works &amp; Sources'!$B$91:$J$98,0,4+2))),IF($AN10="MN",IF($AU10="Married",SUMPRODUCT(($AZ10&gt;=INDEX('How This Works &amp; Sources'!$B$114:$J$120,0,7))*INDEX('How This Works &amp; Sources'!$B$114:$J$120,0,7+2)),SUMPRODUCT(($AZ10&gt;=INDEX('How This Works &amp; Sources'!$B$114:$J$120,0,4))*INDEX('How This Works &amp; Sources'!$B$114:$J$120,0,4+2))),IF($AN10="MO",SUMPRODUCT(($AZ10&gt;=INDEX('How This Works &amp; Sources'!$B$125:$J$132,0,1))*INDEX('How This Works &amp; Sources'!$B$125:$J$132,0,1+2)),IF($AN10="NE",MAX(IF($AU10="Married",SUMPRODUCT(($AZ10&gt;=INDEX('How This Works &amp; Sources'!$B$144:$J$150,0,7))*INDEX('How This Works &amp; Sources'!$B$144:$J$150,0,7+2)),SUMPRODUCT(($AZ10&gt;=INDEX('How This Works &amp; Sources'!$B$144:$J$150,0,4))*INDEX('How This Works &amp; Sources'!$B$144:$J$150,0,4+2))),0.015),IF($AN10="OH",IF($B10&gt;=DATE(2026,8,1),SUMPRODUCT(($AZ10&gt;=INDEX('How This Works &amp; Sources'!$B$203:$J$206,0,1))*INDEX('How This Works &amp; Sources'!$B$203:$J$206,0,1+2)),SUMPRODUCT(($AZ10&gt;=INDEX('How This Works &amp; Sources'!$B$184:$J$198,0,7))*INDEX('How This Works &amp; Sources'!$B$184:$J$198,0,7+2))),IF($AN10="OK",IF($AU10="Married",SUMPRODUCT(($AZ10&gt;=INDEX('How This Works &amp; Sources'!$B$203:$J$206,0,7))*INDEX('How This Works &amp; Sources'!$B$203:$J$206,0,7+2)),SUMPRODUCT(($AZ10&gt;=INDEX('How This Works &amp; Sources'!$B$203:$J$206,0,4))*INDEX('How This Works &amp; Sources'!$B$203:$J$206,0,4+2))),IF($AN10="RI",SUMPRODUCT(($AZ10&gt;=INDEX('How This Works &amp; Sources'!$B$211:$J$214,0,7))*INDEX('How This Works &amp; Sources'!$B$211:$J$214,0,7+2)),IF($AN10="SC",SUMPRODUCT(($AZ10&gt;=INDEX('How This Works &amp; Sources'!$B$219:$J$223,0,1))*INDEX('How This Works &amp; Sources'!$B$219:$J$223,0,1+2)),IF($AN10="VT",IF($AU10="Married",SUMPRODUCT(($AZ10&gt;=INDEX('How This Works &amp; Sources'!$B$228:$J$232,0,1))*INDEX('How This Works &amp; Sources'!$B$228:$J$232,0,1+2)),SUMPRODUCT(($AZ10&gt;=INDEX('How This Works &amp; Sources'!$B$219:$J$223,0,7))*INDEX('How This Works &amp; Sources'!$B$219:$J$223,0,7+2))),IF($AN10="WV",IF($AU10="Married",SUMPRODUCT(($AZ10&gt;=INDEX('How This Works &amp; Sources'!$B$237:$J$241,0,7))*INDEX('How This Works &amp; Sources'!$B$237:$J$241,0,7+2)),SUMPRODUCT(($AZ10&gt;=INDEX('How This Works &amp; Sources'!$B$228:$J$232,0,7))*INDEX('How This Works &amp; Sources'!$B$228:$J$232,0,7+2))),IF($AN10="IN",(0.0295+'Your Pay &amp; Benefits'!$C$76),"")))))))))))))</f>
      </c>
      <c r="CC10" s="24">
        <f>IF($B10="","",IF($AN10="AR",SUMPRODUCT(($AZ10&gt;=INDEX('How This Works &amp; Sources'!$B$82:$J$86,0,7))*INDEX('How This Works &amp; Sources'!$B$82:$J$86,0,7+2)),IF($AN10="DE",SUMPRODUCT(($AZ10&gt;=INDEX('How This Works &amp; Sources'!$B$91:$J$98,0,1))*INDEX('How This Works &amp; Sources'!$B$91:$J$98,0,1+2)),IF($AN10="VA",SUMPRODUCT(($AZ10&gt;=INDEX('How This Works &amp; Sources'!$B$219:$J$223,0,4))*INDEX('How This Works &amp; Sources'!$B$219:$J$223,0,4+2)),IF($AN10="WI",SUMPRODUCT(($AZ10&gt;=INDEX('How This Works &amp; Sources'!$B$228:$J$232,0,4))*INDEX('How This Works &amp; Sources'!$B$228:$J$232,0,4+2)),IF($AN10="AZ",'Your Pay &amp; Benefits'!$C$82,IF($AN10="CO",IF($AY10&gt;IF($AU10="Married",10000,5000),0.044,0),IF($AN10="IA",IF($AY10&gt;IF($AU10="Head of household",19500,IF($AU10="Married",26000,13000)),0.038,0),IF($AN10="ID",IF($AY10&gt;IF($AU10="Married",32000,16094),0.053,0),IF($AN10="IL",IF($AY10&gt;(2925*$AS10+1000*$AT10),0.0495,0),IF($AN10="KY",IF($AI10&gt;3360,0.035,0),IF($AN10="LA",0.0309,IF($AN10="MA",IF(MAX(0,$AY10-MIN(($BD9+$Q10+$R10+$S10),2000)-IF($AS10=0,0,IF($AS10=1,4400,1000*$AS10+3400)))&gt;=1107750,0.09,0.05),IF($AN10="MS",IF($AI10-IF($AU10="Head of household",3400,IF($AU10="Married",4600,2300))-'Your Pay &amp; Benefits'!$C$85&gt;10000,0.04,0),IF($AN10="PA",0.0307,"")))))))))))))))</f>
      </c>
      <c r="CD10" s="21">
        <f>IF(YEAR(IF('Your Pay &amp; Benefits'!$C$7="Weekly",'Your Pay &amp; Benefits'!$C$9+7*(($BE9+1)-1),IF('Your Pay &amp; Benefits'!$C$7="Biweekly",'Your Pay &amp; Benefits'!$C$9+14*(($BE9+1)-1),IF('Your Pay &amp; Benefits'!$C$7="Semimonthly",DATE(YEAR('Your Pay &amp; Benefits'!$C$9),MONTH('Your Pay &amp; Benefits'!$C$9)+INT((($BE9+1)-1)/2),MIN(DAY('Your Pay &amp; Benefits'!$C$9),DAY(EOMONTH(DATE(YEAR('Your Pay &amp; Benefits'!$C$9),MONTH('Your Pay &amp; Benefits'!$C$9)+INT((($BE9+1)-1)/2),1),0))))+IF(MOD(($BE9+1)-1,2)=1,15,0),EDATE('Your Pay &amp; Benefits'!$C$9,($BE9+1)-1)))))&lt;&gt;'Your Pay &amp; Benefits'!$C$10,"",IF('Your Pay &amp; Benefits'!$C$7="Weekly",'Your Pay &amp; Benefits'!$C$9+7*(($BE9+1)-1),IF('Your Pay &amp; Benefits'!$C$7="Biweekly",'Your Pay &amp; Benefits'!$C$9+14*(($BE9+1)-1),IF('Your Pay &amp; Benefits'!$C$7="Semimonthly",DATE(YEAR('Your Pay &amp; Benefits'!$C$9),MONTH('Your Pay &amp; Benefits'!$C$9)+INT((($BE9+1)-1)/2),MIN(DAY('Your Pay &amp; Benefits'!$C$9),DAY(EOMONTH(DATE(YEAR('Your Pay &amp; Benefits'!$C$9),MONTH('Your Pay &amp; Benefits'!$C$9)+INT((($BE9+1)-1)/2),1),0))))+IF(MOD(($BE9+1)-1,2)=1,15,0),EDATE('Your Pay &amp; Benefits'!$C$9,($BE9+1)-1)))))</f>
      </c>
      <c r="CE10" s="21">
        <f>IF(MIN(IF(AND('Your Pay &amp; Benefits'!$C$58&gt;MAX($B$6:$B9),'Your Pay &amp; Benefits'!$C$58&gt;=DATE('Your Pay &amp; Benefits'!$C$10,1,1),'Your Pay &amp; Benefits'!$C$58&lt;=DATE('Your Pay &amp; Benefits'!$C$10,12,31)),'Your Pay &amp; Benefits'!$C$58,999999),IF(AND('Your Pay &amp; Benefits'!$C$59&gt;MAX($B$6:$B9),'Your Pay &amp; Benefits'!$C$59&gt;=DATE('Your Pay &amp; Benefits'!$C$10,1,1),'Your Pay &amp; Benefits'!$C$59&lt;=DATE('Your Pay &amp; Benefits'!$C$10,12,31)),'Your Pay &amp; Benefits'!$C$59,999999),IF(AND('Your Pay &amp; Benefits'!$C$60&gt;MAX($B$6:$B9),'Your Pay &amp; Benefits'!$C$60&gt;=DATE('Your Pay &amp; Benefits'!$C$10,1,1),'Your Pay &amp; Benefits'!$C$60&lt;=DATE('Your Pay &amp; Benefits'!$C$10,12,31)),'Your Pay &amp; Benefits'!$C$60,999999),IF(AND('Your Pay &amp; Benefits'!$C$61&gt;MAX($B$6:$B9),'Your Pay &amp; Benefits'!$C$61&gt;=DATE('Your Pay &amp; Benefits'!$C$10,1,1),'Your Pay &amp; Benefits'!$C$61&lt;=DATE('Your Pay &amp; Benefits'!$C$10,12,31)),'Your Pay &amp; Benefits'!$C$61,999999),IF(AND('Your Pay &amp; Benefits'!$C$62&gt;MAX($B$6:$B9),'Your Pay &amp; Benefits'!$C$62&gt;=DATE('Your Pay &amp; Benefits'!$C$10,1,1),'Your Pay &amp; Benefits'!$C$62&lt;=DATE('Your Pay &amp; Benefits'!$C$10,12,31)),'Your Pay &amp; Benefits'!$C$62,999999),IF(AND('Your Pay &amp; Benefits'!$C$63&gt;MAX($B$6:$B9),'Your Pay &amp; Benefits'!$C$63&gt;=DATE('Your Pay &amp; Benefits'!$C$10,1,1),'Your Pay &amp; Benefits'!$C$63&lt;=DATE('Your Pay &amp; Benefits'!$C$10,12,31)),'Your Pay &amp; Benefits'!$C$63,999999),IF(AND('Your Pay &amp; Benefits'!$C$64&gt;MAX($B$6:$B9),'Your Pay &amp; Benefits'!$C$64&gt;=DATE('Your Pay &amp; Benefits'!$C$10,1,1),'Your Pay &amp; Benefits'!$C$64&lt;=DATE('Your Pay &amp; Benefits'!$C$10,12,31)),'Your Pay &amp; Benefits'!$C$64,999999),IF(AND('Your Pay &amp; Benefits'!$C$65&gt;MAX($B$6:$B9),'Your Pay &amp; Benefits'!$C$65&gt;=DATE('Your Pay &amp; Benefits'!$C$10,1,1),'Your Pay &amp; Benefits'!$C$65&lt;=DATE('Your Pay &amp; Benefits'!$C$10,12,31)),'Your Pay &amp; Benefits'!$C$65,999999),IF(AND('Your Pay &amp; Benefits'!$C$66&gt;MAX($B$6:$B9),'Your Pay &amp; Benefits'!$C$66&gt;=DATE('Your Pay &amp; Benefits'!$C$10,1,1),'Your Pay &amp; Benefits'!$C$66&lt;=DATE('Your Pay &amp; Benefits'!$C$10,12,31)),'Your Pay &amp; Benefits'!$C$66,999999),IF(AND('Your Pay &amp; Benefits'!$C$67&gt;MAX($B$6:$B9),'Your Pay &amp; Benefits'!$C$67&gt;=DATE('Your Pay &amp; Benefits'!$C$10,1,1),'Your Pay &amp; Benefits'!$C$67&lt;=DATE('Your Pay &amp; Benefits'!$C$10,12,31)),'Your Pay &amp; Benefits'!$C$67,999999))=999999,"",MIN(IF(AND('Your Pay &amp; Benefits'!$C$58&gt;MAX($B$6:$B9),'Your Pay &amp; Benefits'!$C$58&gt;=DATE('Your Pay &amp; Benefits'!$C$10,1,1),'Your Pay &amp; Benefits'!$C$58&lt;=DATE('Your Pay &amp; Benefits'!$C$10,12,31)),'Your Pay &amp; Benefits'!$C$58,999999),IF(AND('Your Pay &amp; Benefits'!$C$59&gt;MAX($B$6:$B9),'Your Pay &amp; Benefits'!$C$59&gt;=DATE('Your Pay &amp; Benefits'!$C$10,1,1),'Your Pay &amp; Benefits'!$C$59&lt;=DATE('Your Pay &amp; Benefits'!$C$10,12,31)),'Your Pay &amp; Benefits'!$C$59,999999),IF(AND('Your Pay &amp; Benefits'!$C$60&gt;MAX($B$6:$B9),'Your Pay &amp; Benefits'!$C$60&gt;=DATE('Your Pay &amp; Benefits'!$C$10,1,1),'Your Pay &amp; Benefits'!$C$60&lt;=DATE('Your Pay &amp; Benefits'!$C$10,12,31)),'Your Pay &amp; Benefits'!$C$60,999999),IF(AND('Your Pay &amp; Benefits'!$C$61&gt;MAX($B$6:$B9),'Your Pay &amp; Benefits'!$C$61&gt;=DATE('Your Pay &amp; Benefits'!$C$10,1,1),'Your Pay &amp; Benefits'!$C$61&lt;=DATE('Your Pay &amp; Benefits'!$C$10,12,31)),'Your Pay &amp; Benefits'!$C$61,999999),IF(AND('Your Pay &amp; Benefits'!$C$62&gt;MAX($B$6:$B9),'Your Pay &amp; Benefits'!$C$62&gt;=DATE('Your Pay &amp; Benefits'!$C$10,1,1),'Your Pay &amp; Benefits'!$C$62&lt;=DATE('Your Pay &amp; Benefits'!$C$10,12,31)),'Your Pay &amp; Benefits'!$C$62,999999),IF(AND('Your Pay &amp; Benefits'!$C$63&gt;MAX($B$6:$B9),'Your Pay &amp; Benefits'!$C$63&gt;=DATE('Your Pay &amp; Benefits'!$C$10,1,1),'Your Pay &amp; Benefits'!$C$63&lt;=DATE('Your Pay &amp; Benefits'!$C$10,12,31)),'Your Pay &amp; Benefits'!$C$63,999999),IF(AND('Your Pay &amp; Benefits'!$C$64&gt;MAX($B$6:$B9),'Your Pay &amp; Benefits'!$C$64&gt;=DATE('Your Pay &amp; Benefits'!$C$10,1,1),'Your Pay &amp; Benefits'!$C$64&lt;=DATE('Your Pay &amp; Benefits'!$C$10,12,31)),'Your Pay &amp; Benefits'!$C$64,999999),IF(AND('Your Pay &amp; Benefits'!$C$65&gt;MAX($B$6:$B9),'Your Pay &amp; Benefits'!$C$65&gt;=DATE('Your Pay &amp; Benefits'!$C$10,1,1),'Your Pay &amp; Benefits'!$C$65&lt;=DATE('Your Pay &amp; Benefits'!$C$10,12,31)),'Your Pay &amp; Benefits'!$C$65,999999),IF(AND('Your Pay &amp; Benefits'!$C$66&gt;MAX($B$6:$B9),'Your Pay &amp; Benefits'!$C$66&gt;=DATE('Your Pay &amp; Benefits'!$C$10,1,1),'Your Pay &amp; Benefits'!$C$66&lt;=DATE('Your Pay &amp; Benefits'!$C$10,12,31)),'Your Pay &amp; Benefits'!$C$66,999999),IF(AND('Your Pay &amp; Benefits'!$C$67&gt;MAX($B$6:$B9),'Your Pay &amp; Benefits'!$C$67&gt;=DATE('Your Pay &amp; Benefits'!$C$10,1,1),'Your Pay &amp; Benefits'!$C$67&lt;=DATE('Your Pay &amp; Benefits'!$C$10,12,31)),'Your Pay &amp; Benefits'!$C$67,999999)))</f>
      </c>
      <c r="CF10">
        <f>IF($B10="","",IF($D10=0,$Y10,""))</f>
      </c>
    </row>
    <row r="11">
      <c r="A11" t="n">
        <v>6</v>
      </c>
      <c r="B11" s="21">
        <f>IF(AND($CD11="",$CE11=""),"",IF($CE11="",$CD11,IF($CD11="",$CE11,MIN($CD11,$CE11))))</f>
      </c>
      <c r="C11" s="7">
        <f>IF($B11="","",IF($BF11=0,0,IF('Your Pay &amp; Benefits'!$C$4="Annual salary",ROUND($AK11/IF(AND('Your Pay &amp; Benefits'!$C$88="Actual paydays",MONTH('Your Pay &amp; Benefits'!$C$9)=1),MAX(1,MAX($BE$6:$BE$68)),'Your Pay &amp; Benefits'!$C$8),2),$AK11)))</f>
      </c>
      <c r="D11" s="7">
        <f>IF($B11="","",SUMIF('Your Pay &amp; Benefits'!$C$58:$C$67,$B11,'Your Pay &amp; Benefits'!$D$58:$D$67))</f>
      </c>
      <c r="E11" s="7">
        <f>IF($B11="","",ROUND(MAX(0,MIN(IF($AL11="Percent",$AM11*($C11+$D11),$AM11),MAX(0,'Your Pay &amp; Benefits'!$C$34-$AC10))),2))</f>
      </c>
      <c r="F11" s="7">
        <f>IF($B11="","",ROUND(MAX(0,MIN(IF('Your Pay &amp; Benefits'!$C$32="Percent",'Your Pay &amp; Benefits'!$D$32*($C11+$D11),'Your Pay &amp; Benefits'!$D$32),MAX(0,'Your Pay &amp; Benefits'!$C$34-$AC10-$E11))),2))</f>
      </c>
      <c r="G11" s="7">
        <f>IF($B11="","",IF($BF11=0,0,ROUND(MAX(0,MIN($BL11,'Your Pay &amp; Benefits'!$C$37-'Your Pay &amp; Benefits'!$C$54-$BI10)),2)))</f>
      </c>
      <c r="H11" s="7">
        <f>IF($B11="","",IF(OR($BF11=0,$BQ11=1),0,ROUND(MAX(0,MIN(IF($BS11=1,ROUND(MAX(0,MIN($BJ11,'How This Works &amp; Sources'!$C$13)-$BG10)/MAX(1,MAX($BE$6:$BE$68)-($BE10)),2),ROUND(MIN($BJ11,'How This Works &amp; Sources'!$C$13)/'Your Pay &amp; Benefits'!$C$8,2)),MIN($BJ11,'How This Works &amp; Sources'!$C$13)-$BG10)),2)))</f>
      </c>
      <c r="I11" s="7">
        <f>IF($B11="","",IF(OR($BF11=0,$BR11=1),0,ROUND(MAX(0,MIN(IF($BT11=1,ROUND(MAX(0,MIN($BK11,IF('Your Pay &amp; Benefits'!$C$12="MFJ",'How This Works &amp; Sources'!$C$14,'How This Works &amp; Sources'!$C$15))-$BH10)/MAX(1,MAX($BE$6:$BE$68)-($BE10)),2),ROUND(MIN($BK11,IF('Your Pay &amp; Benefits'!$C$12="MFJ",'How This Works &amp; Sources'!$C$14,'How This Works &amp; Sources'!$C$15))/'Your Pay &amp; Benefits'!$C$8,2)),MIN($BK11,IF('Your Pay &amp; Benefits'!$C$12="MFJ",'How This Works &amp; Sources'!$C$14,'How This Works &amp; Sources'!$C$15))-$BH10)),2)))</f>
      </c>
      <c r="J11" s="7">
        <f>IF($B11="","",IF($BF11=0,0,$BM11))</f>
      </c>
      <c r="K11" s="7">
        <f>IF($B11="","",IF($BF11=0,0,$BN11+$BO11))</f>
      </c>
      <c r="L11" s="7">
        <f>IF($B11="","",IF($BF11=0,0,'Your Pay &amp; Benefits'!$D$46))</f>
      </c>
      <c r="M11" s="7">
        <f>IF($B11="","",$C11+$D11+$L11-$E11-$G11-$H11-$I11-$J11-$K11)</f>
      </c>
      <c r="N11" s="7">
        <f>IF($B11="","",$C11+$D11+$L11-$G11-$H11-$I11-$J11-$K11)</f>
      </c>
      <c r="O11" s="7">
        <f>IF($B11="","",$C11+$D11+$L11-$E11-$H11-$I11-$J11-$K11-IF(OR($AN11="CA",$AN11="NJ"),0,$G11))</f>
      </c>
      <c r="P11" s="7">
        <f>IF($B11="","",IF('Your Pay &amp; Benefits'!$C$18,0,ROUND(MAX(0,IF('Your Pay &amp; Benefits'!$C$13,SUMPRODUCT(($AH11&gt;INDEX('How This Works &amp; Sources'!$B$29:$J$36,0,IF('Your Pay &amp; Benefits'!$C$12="MFJ",1,IF('Your Pay &amp; Benefits'!$C$12="HoH",7,4))))*($AH11-INDEX('How This Works &amp; Sources'!$B$29:$J$36,0,IF('Your Pay &amp; Benefits'!$C$12="MFJ",1,IF('Your Pay &amp; Benefits'!$C$12="HoH",7,4))))*INDEX('How This Works &amp; Sources'!$B$29:$J$36,0,IF('Your Pay &amp; Benefits'!$C$12="MFJ",1,IF('Your Pay &amp; Benefits'!$C$12="HoH",7,4))+2)),SUMPRODUCT(($AH11&gt;INDEX('How This Works &amp; Sources'!$B$19:$J$26,0,IF('Your Pay &amp; Benefits'!$C$12="MFJ",1,IF('Your Pay &amp; Benefits'!$C$12="HoH",7,4))))*($AH11-INDEX('How This Works &amp; Sources'!$B$19:$J$26,0,IF('Your Pay &amp; Benefits'!$C$12="MFJ",1,IF('Your Pay &amp; Benefits'!$C$12="HoH",7,4))))*INDEX('How This Works &amp; Sources'!$B$19:$J$26,0,IF('Your Pay &amp; Benefits'!$C$12="MFJ",1,IF('Your Pay &amp; Benefits'!$C$12="HoH",7,4))+2)))/'Your Pay &amp; Benefits'!$C$8-$AO11/'Your Pay &amp; Benefits'!$C$8)+$AR11+IF('Your Pay &amp; Benefits'!$C$89="Aggregate",MAX(0,IF('Your Pay &amp; Benefits'!$C$13,SUMPRODUCT((($AH11+$D11)&gt;INDEX('How This Works &amp; Sources'!$B$29:$J$36,0,IF('Your Pay &amp; Benefits'!$C$12="MFJ",1,IF('Your Pay &amp; Benefits'!$C$12="HoH",7,4))))*(($AH11+$D11)-INDEX('How This Works &amp; Sources'!$B$29:$J$36,0,IF('Your Pay &amp; Benefits'!$C$12="MFJ",1,IF('Your Pay &amp; Benefits'!$C$12="HoH",7,4))))*INDEX('How This Works &amp; Sources'!$B$29:$J$36,0,IF('Your Pay &amp; Benefits'!$C$12="MFJ",1,IF('Your Pay &amp; Benefits'!$C$12="HoH",7,4))+2)),SUMPRODUCT((($AH11+$D11)&gt;INDEX('How This Works &amp; Sources'!$B$19:$J$26,0,IF('Your Pay &amp; Benefits'!$C$12="MFJ",1,IF('Your Pay &amp; Benefits'!$C$12="HoH",7,4))))*(($AH11+$D11)-INDEX('How This Works &amp; Sources'!$B$19:$J$26,0,IF('Your Pay &amp; Benefits'!$C$12="MFJ",1,IF('Your Pay &amp; Benefits'!$C$12="HoH",7,4))))*INDEX('How This Works &amp; Sources'!$B$19:$J$26,0,IF('Your Pay &amp; Benefits'!$C$12="MFJ",1,IF('Your Pay &amp; Benefits'!$C$12="HoH",7,4))+2)))-IF('Your Pay &amp; Benefits'!$C$13,SUMPRODUCT(($AH11&gt;INDEX('How This Works &amp; Sources'!$B$29:$J$36,0,IF('Your Pay &amp; Benefits'!$C$12="MFJ",1,IF('Your Pay &amp; Benefits'!$C$12="HoH",7,4))))*($AH11-INDEX('How This Works &amp; Sources'!$B$29:$J$36,0,IF('Your Pay &amp; Benefits'!$C$12="MFJ",1,IF('Your Pay &amp; Benefits'!$C$12="HoH",7,4))))*INDEX('How This Works &amp; Sources'!$B$29:$J$36,0,IF('Your Pay &amp; Benefits'!$C$12="MFJ",1,IF('Your Pay &amp; Benefits'!$C$12="HoH",7,4))+2)),SUMPRODUCT(($AH11&gt;INDEX('How This Works &amp; Sources'!$B$19:$J$26,0,IF('Your Pay &amp; Benefits'!$C$12="MFJ",1,IF('Your Pay &amp; Benefits'!$C$12="HoH",7,4))))*($AH11-INDEX('How This Works &amp; Sources'!$B$19:$J$26,0,IF('Your Pay &amp; Benefits'!$C$12="MFJ",1,IF('Your Pay &amp; Benefits'!$C$12="HoH",7,4))))*INDEX('How This Works &amp; Sources'!$B$19:$J$26,0,IF('Your Pay &amp; Benefits'!$C$12="MFJ",1,IF('Your Pay &amp; Benefits'!$C$12="HoH",7,4))+2)))),'How This Works &amp; Sources'!$C$10*$D11),2)))</f>
      </c>
      <c r="Q11" s="7">
        <f>IF($B11="","",ROUND('How This Works &amp; Sources'!$C$4*MIN($N11,MAX(0,'How This Works &amp; Sources'!$C$3-($AX11+$AB10-$AW11))),2))</f>
      </c>
      <c r="R11" s="7">
        <f>IF($B11="","",ROUND('How This Works &amp; Sources'!$C$5*$N11,2))</f>
      </c>
      <c r="S11" s="7">
        <f>IF($B11="","",ROUND('How This Works &amp; Sources'!$C$6*MAX(0,MIN($N11,$AG10+$N11-'How This Works &amp; Sources'!$C$7)),2))</f>
      </c>
      <c r="T11" s="7">
        <f>IF($B11="","",IF('Your Pay &amp; Benefits'!$C$26,0,IF($AN11="CA",ROUND(IF($AI11&lt;=IF(($AS11+$AT11)&gt;=2,VLOOKUP($AN11,StateTables!$A$6:$AB$56,10,FALSE),VLOOKUP($AN11,StateTables!$A$6:$AB$56,9,FALSE)),0,MAX(0,SUMPRODUCT(($AJ11&gt;INDEX('How This Works &amp; Sources'!$B$39:$J$48,0,IF($AU11="Married",4,IF($AU11="Head of household",7,1))))*($AJ11-INDEX('How This Works &amp; Sources'!$B$39:$J$48,0,IF($AU11="Married",4,IF($AU11="Head of household",7,1))))*INDEX('How This Works &amp; Sources'!$B$39:$J$48,0,IF($AU11="Married",4,IF($AU11="Head of household",7,1))+2))-VLOOKUP($AN11,StateTables!$A$6:$AB$56,11,FALSE)*$AS11)/'Your Pay &amp; Benefits'!$C$8)+'Your Pay &amp; Benefits'!$C$25+VLOOKUP($AN11,StateTables!$A$6:$AB$56,13,FALSE)*$D11,2),IF(VLOOKUP($AN11,StateTables!$A$6:$AB$56,4,FALSE)="None",0,IF(ISNUMBER(SEARCH("MANUAL",VLOOKUP($AN11,StateTables!$A$6:$AB$56,5,FALSE))),'Your Pay &amp; Benefits'!$C$28,ROUND(MAX(0,$BA11+$BB11)/'Your Pay &amp; Benefits'!$C$8+'Your Pay &amp; Benefits'!$C$25+$BC11,2))))))</f>
      </c>
      <c r="U11" s="7">
        <f>IF($B11="","",IF(VLOOKUP($AN11,StateTables!$A$6:$AB$56,24,FALSE)="flatq",IF(OR(MONTH($B11)=1,MONTH($B11)=4,MONTH($B11)=7,MONTH($B11)=10),VLOOKUP($AN11,StateTables!$A$6:$AB$56,25,FALSE),0),IF(VLOOKUP($AN11,StateTables!$A$6:$AB$56,24,FALSE)="dbl",MIN(ROUND(0.005*$N11,2),ROUND(0.6*52/'Your Pay &amp; Benefits'!$C$8,2)),IF(OR(VLOOKUP($AN11,StateTables!$A$6:$AB$56,15,FALSE)="",VLOOKUP($AN11,StateTables!$A$6:$AB$56,15,FALSE)=0),0,ROUND(VLOOKUP($AN11,StateTables!$A$6:$AB$56,15,FALSE)*IF(OR(VLOOKUP($AN11,StateTables!$A$6:$AB$56,16,FALSE)="",VLOOKUP($AN11,StateTables!$A$6:$AB$56,16,FALSE)=0),$N11,MIN($N11,MAX(0,VLOOKUP($AN11,StateTables!$A$6:$AB$56,16,FALSE)-($AX11+$AB10-$AW11)))),2))))+IF(VLOOKUP($AN11,StateTables!$A$6:$AB$56,27,FALSE)="flatq",IF(OR(MONTH($B11)=1,MONTH($B11)=4,MONTH($B11)=7,MONTH($B11)=10),VLOOKUP($AN11,StateTables!$A$6:$AB$56,28,FALSE),0),IF(VLOOKUP($AN11,StateTables!$A$6:$AB$56,27,FALSE)="dbl",MIN(ROUND(0.005*$N11,2),ROUND(0.6*52/'Your Pay &amp; Benefits'!$C$8,2)),IF(OR(VLOOKUP($AN11,StateTables!$A$6:$AB$56,18,FALSE)="",VLOOKUP($AN11,StateTables!$A$6:$AB$56,18,FALSE)=0),0,ROUND(VLOOKUP($AN11,StateTables!$A$6:$AB$56,18,FALSE)*IF(OR(VLOOKUP($AN11,StateTables!$A$6:$AB$56,19,FALSE)="",VLOOKUP($AN11,StateTables!$A$6:$AB$56,19,FALSE)=0),$N11,MIN($N11,MAX(0,VLOOKUP($AN11,StateTables!$A$6:$AB$56,19,FALSE)-($AX11+$AB10-$AW11)))),2)))))</f>
      </c>
      <c r="V11" s="7">
        <f>IF($B11="","",IF($AN11="NY",IF('Your Pay &amp; Benefits'!$C$78,ROUND(SUMPRODUCT((MAX(0,($O11-$D11)*'Your Pay &amp; Benefits'!$C$8-(IF($AU11="Married",5500,5000)+1000*$AS11))&gt;INDEX('How This Works &amp; Sources'!$B$184:$J$198,0,4))*(MAX(0,($O11-$D11)*'Your Pay &amp; Benefits'!$C$8-(IF($AU11="Married",5500,5000)+1000*$AS11))-INDEX('How This Works &amp; Sources'!$B$184:$J$198,0,4))*INDEX('How This Works &amp; Sources'!$B$184:$J$198,0,4+2))/'Your Pay &amp; Benefits'!$C$8+0.0425*$D11,2),0)+IF('Your Pay &amp; Benefits'!$C$79="Resident",ROUND(0.1675*$T11,2),IF('Your Pay &amp; Benefits'!$C$79="Nonresident",ROUND(0.005*MAX(0,($O11-$D11)-(IF($AU11="Married",7950,7400)+1000*$AS11)/'Your Pay &amp; Benefits'!$C$8),2),0)),IF($AN11="PA",IF('Your Pay &amp; Benefits'!$C$80="None",'Your Pay &amp; Benefits'!$C$27+ROUND('Your Pay &amp; Benefits'!$C$81*($C11+$D11),2),ROUND(IF('Your Pay &amp; Benefits'!$C$80="Resident",IF($B11&lt;DATE(2026,7,1),0.0374,0.03735),IF($B11&lt;DATE(2026,7,1),0.0343,0.03425))*($C11+$D11),2)),IF($BF11=0,ROUND('Your Pay &amp; Benefits'!$C$81*($C11+$D11),2),'Your Pay &amp; Benefits'!$C$27+ROUND('Your Pay &amp; Benefits'!$C$81*($C11+$D11),2)))))</f>
      </c>
      <c r="W11" s="7">
        <f>IF($B11="","",IF($BF11=0,0,$BP11))</f>
      </c>
      <c r="X11" s="7">
        <f>IF($B11="","",SUM($E11:$K11)+$P11+$Q11+$R11+$S11+$T11+$U11+$V11+$W11)</f>
      </c>
      <c r="Y11" s="22">
        <f>IF($B11="","",$C11+$D11-$X11)</f>
      </c>
      <c r="Z11" s="7">
        <f>IF($B11="","",$Z10+$C11+$D11)</f>
      </c>
      <c r="AA11" s="7">
        <f>IF($B11="","",$AA10+$Y11)</f>
      </c>
      <c r="AB11" s="7">
        <f>IF($B11="","",$AB10+MIN($N11,MAX(0,'How This Works &amp; Sources'!$C$3-($AX11+$AB10-$AW11))))</f>
      </c>
      <c r="AC11" s="7">
        <f>IF($B11="","",$AC10+$E11+$F11)</f>
      </c>
      <c r="AD11" s="3">
        <f>IF($B11="","",IF(AND($AB10&lt;'How This Works &amp; Sources'!$C$3,$AB11&gt;='How This Works &amp; Sources'!$C$3),"★ Social Security maxed on this check — from the next check your net rises by about $"&amp;TEXT(ROUND('How This Works &amp; Sources'!$C$4*$N11,2),"#,##0.00")&amp;". ","")&amp;IF(AND($AC10&lt;'Your Pay &amp; Benefits'!$C$34,$AC11&gt;='Your Pay &amp; Benefits'!$C$34),"★ 401(k) reaches the $"&amp;TEXT('Your Pay &amp; Benefits'!$C$34,"#,##0")&amp;" cap on this check — deferrals stop and net pay rises. ","")&amp;IF(AND($AG10&lt;'How This Works &amp; Sources'!$C$7,$AG11&gt;='How This Works &amp; Sources'!$C$7),"★ Wages pass $200,000 — the 0.9% Additional Medicare Tax starts here. ","")&amp;IF(AND($BJ11&gt;0,$H11&gt;0,$BG10&lt;MIN($BJ11,'How This Works &amp; Sources'!$C$13),$BG10+$H11&gt;=MIN($BJ11,'How This Works &amp; Sources'!$C$13)),"★ Health FSA election is now fully deferred for the year. ",""))</f>
      </c>
      <c r="AE11" s="41" t="n"/>
      <c r="AF11" s="7">
        <f>IF(OR($B11="",$AE11=""),"",$AE11-$Y11)</f>
      </c>
      <c r="AG11" s="7">
        <f>IF($B11="","",$AG10+$N11)</f>
      </c>
      <c r="AH11" s="7">
        <f>IF($B11="","",MAX(0,($M11-$D11)*'Your Pay &amp; Benefits'!$C$8+$AP11-$AQ11-IF('Your Pay &amp; Benefits'!$C$13,0,IF('Your Pay &amp; Benefits'!$C$12="MFJ",'How This Works &amp; Sources'!$C$8,'How This Works &amp; Sources'!$C$9))))</f>
      </c>
      <c r="AI11" s="7">
        <f>IF($B11="","",$O11*'Your Pay &amp; Benefits'!$C$8)</f>
      </c>
      <c r="AJ11" s="7">
        <f>IF($B11="","",MAX(0,$AI11-VLOOKUP($AN11,StateTables!$A$6:$AB$56,12,FALSE)*$AT11-IF(($AS11+$AT11)&gt;=2,VLOOKUP($AN11,StateTables!$A$6:$AB$56,8,FALSE),VLOOKUP($AN11,StateTables!$A$6:$AB$56,7,FALSE))))</f>
      </c>
      <c r="AK11" s="7">
        <f>IF($B11="","",IFERROR(LOOKUP(2,1/(('Changes &amp; Events'!$C$6:$C$17="Salary change")*('Changes &amp; Events'!$B$6:$B$17&lt;=$B11)*('Changes &amp; Events'!$B$6:$B$17&lt;&gt;"")),'Changes &amp; Events'!$D$6:$D$17),IF('Your Pay &amp; Benefits'!$C$4="Annual salary",'Your Pay &amp; Benefits'!$C$5,'Your Pay &amp; Benefits'!$C$6)))</f>
      </c>
      <c r="AL11">
        <f>IF($B11="","",IFERROR(LOOKUP(2,1/(('Changes &amp; Events'!$C$6:$C$17="401(k) change")*('Changes &amp; Events'!$B$6:$B$17&lt;=$B11)*('Changes &amp; Events'!$B$6:$B$17&lt;&gt;"")),'Changes &amp; Events'!$D$6:$D$17),'Your Pay &amp; Benefits'!$C$30))</f>
      </c>
      <c r="AM11" s="7">
        <f>IF($B11="","",IFERROR(LOOKUP(2,1/(('Changes &amp; Events'!$C$6:$C$17="401(k) change")*('Changes &amp; Events'!$B$6:$B$17&lt;=$B11)*('Changes &amp; Events'!$B$6:$B$17&lt;&gt;"")),'Changes &amp; Events'!$E$6:$E$17),'Your Pay &amp; Benefits'!$D$31))</f>
      </c>
      <c r="AN11">
        <f>IF($B11="","",IFERROR(LOOKUP(2,1/(('Changes &amp; Events'!$C$6:$C$17="State move")*('Changes &amp; Events'!$B$6:$B$17&lt;=$B11)*('Changes &amp; Events'!$B$6:$B$17&lt;&gt;"")),'Changes &amp; Events'!$D$6:$D$17),'Your Pay &amp; Benefits'!$C$21))</f>
      </c>
      <c r="AO11" s="7">
        <f>IF($B11="","",IFERROR(LOOKUP(2,1/(('Changes &amp; Events'!$C$6:$C$17="W-4 change")*('Changes &amp; Events'!$B$6:$B$17&lt;=$B11)*('Changes &amp; Events'!$B$6:$B$17&lt;&gt;"")),'Changes &amp; Events'!$D$6:$D$17),'Your Pay &amp; Benefits'!$C$14))</f>
      </c>
      <c r="AP11" s="7">
        <f>IF($B11="","",IFERROR(LOOKUP(2,1/(('Changes &amp; Events'!$C$6:$C$17="W-4 change")*('Changes &amp; Events'!$B$6:$B$17&lt;=$B11)*('Changes &amp; Events'!$B$6:$B$17&lt;&gt;"")),'Changes &amp; Events'!$E$6:$E$17),'Your Pay &amp; Benefits'!$C$15))</f>
      </c>
      <c r="AQ11" s="7">
        <f>IF($B11="","",IFERROR(LOOKUP(2,1/(('Changes &amp; Events'!$C$6:$C$17="W-4 change")*('Changes &amp; Events'!$B$6:$B$17&lt;=$B11)*('Changes &amp; Events'!$B$6:$B$17&lt;&gt;"")),'Changes &amp; Events'!$F$6:$F$17),'Your Pay &amp; Benefits'!$C$16))</f>
      </c>
      <c r="AR11" s="7">
        <f>IF($B11="","",IFERROR(LOOKUP(2,1/(('Changes &amp; Events'!$C$6:$C$17="W-4 change")*('Changes &amp; Events'!$B$6:$B$17&lt;=$B11)*('Changes &amp; Events'!$B$6:$B$17&lt;&gt;"")),'Changes &amp; Events'!$G$6:$G$17),'Your Pay &amp; Benefits'!$C$17))</f>
      </c>
      <c r="AS11" s="6">
        <f>IF($B11="","",IFERROR(LOOKUP(2,1/((('Changes &amp; Events'!$C$6:$C$17="State move")+('Changes &amp; Events'!$C$6:$C$17="State cert change"))*('Changes &amp; Events'!$B$6:$B$17&lt;=$B11)*('Changes &amp; Events'!$B$6:$B$17&lt;&gt;"")),'Changes &amp; Events'!$F$6:$F$17),'Your Pay &amp; Benefits'!$C$23))</f>
      </c>
      <c r="AT11" s="6">
        <f>IF($B11="","",IFERROR(LOOKUP(2,1/((('Changes &amp; Events'!$C$6:$C$17="State move")+('Changes &amp; Events'!$C$6:$C$17="State cert change"))*('Changes &amp; Events'!$B$6:$B$17&lt;=$B11)*('Changes &amp; Events'!$B$6:$B$17&lt;&gt;"")),'Changes &amp; Events'!$G$6:$G$17),'Your Pay &amp; Benefits'!$C$24))</f>
      </c>
      <c r="AU11">
        <f>IF($B11="","",IFERROR(LOOKUP(2,1/(('Changes &amp; Events'!$C$6:$C$17="State move")*('Changes &amp; Events'!$B$6:$B$17&lt;=$B11)*('Changes &amp; Events'!$B$6:$B$17&lt;&gt;"")),'Changes &amp; Events'!$E$6:$E$17),'Your Pay &amp; Benefits'!$C$22))</f>
      </c>
      <c r="AV11" s="6">
        <f>IF($B11="","",1+COUNTIFS('Changes &amp; Events'!$C$6:$C$17,"Employer change",'Changes &amp; Events'!$B$6:$B$17,"&lt;="&amp;$B11,'Changes &amp; Events'!$B$6:$B$17,"&lt;&gt;"))</f>
      </c>
      <c r="AW11" s="7">
        <f>IF($B11="","",IF($AV11=1,'Your Pay &amp; Benefits'!$C$49,IF(IFERROR(MATCH(IFERROR(LOOKUP(2,1/(('Changes &amp; Events'!$C$6:$C$17="Employer change")*('Changes &amp; Events'!$B$6:$B$17&lt;=$B11)*('Changes &amp; Events'!$B$6:$B$17&lt;&gt;"")),'Changes &amp; Events'!$B$6:$B$17),""),$B$6:$B$68,1),1)&lt;=1,'Your Pay &amp; Benefits'!$C$49,INDEX($AB$6:$AB$68,MATCH(IFERROR(LOOKUP(2,1/(('Changes &amp; Events'!$C$6:$C$17="Employer change")*('Changes &amp; Events'!$B$6:$B$17&lt;=$B11)*('Changes &amp; Events'!$B$6:$B$17&lt;&gt;"")),'Changes &amp; Events'!$B$6:$B$17),""),$B$6:$B$68,1)-1))))</f>
      </c>
      <c r="AX11" s="7">
        <f>IF($B11="","",IF($AV11=1,'Your Pay &amp; Benefits'!$C$49,IFERROR(LOOKUP(2,1/(('Changes &amp; Events'!$C$6:$C$17="Employer change")*('Changes &amp; Events'!$B$6:$B$17&lt;=$B11)*('Changes &amp; Events'!$B$6:$B$17&lt;&gt;"")),'Changes &amp; Events'!$D$6:$D$17),0)))</f>
      </c>
      <c r="AY11" s="7">
        <f>IF($B11="","",($O11-$D11)*'Your Pay &amp; Benefits'!$C$8)</f>
      </c>
      <c r="AZ11" s="7">
        <f>IF($B11="","",IF($AN11="AL",MAX(0,$AY11-IF($AU11="Married",IF($AY11&lt;=25999,8500,MAX(5000,8500-175*CEILING(($AY11-25999)/500,1))),IF($AU11="Head of household",IF($AY11&lt;=25999,5200,MAX(2500,5200-135*CEILING(($AY11-25999)/500,1))),IF($AY11&lt;=25999,3000,MAX(2500,3000-25*CEILING(($AY11-25999)/500,1)))))-($P11-'How This Works &amp; Sources'!$C$10*$D11)*'Your Pay &amp; Benefits'!$C$8-IF(OR($AU11="Married",$AU11="Head of household"),3000,1500)-$AT11*IF($AY11&lt;=50000,1000,IF($AY11&lt;=100000,500,300))),IF($AN11="AR",IF(MAX(0,$AY11-2470)&lt;97701,INT(MAX(0,$AY11-2470)/100)*100+50,MAX(0,$AY11-2470)),IF($AN11="DE",MAX(0,$AI11-3250),IF($AN11="HI",MAX(0,$AI11-1144*$AS11-4350),IF($AN11="KS",MAX(0,$AI11-(9160*IF($AU11="Married",2,1)+2320*$AT11+IF($AU11="Head of household",2320,0))),IF($AN11="MD",MAX(0,$AI11-3400-3200*$AS11),IF($AN11="MN",MAX(0,$AY11-5300*$AS11),IF($AN11="MO",MAX(0,$AI11-IF($AU11="Head of household",24150,IF($AU11="Married",IF('Your Pay &amp; Benefits'!$C$83,16100,32200),16100))),IF($AN11="MT",$AY11,IF($AN11="ND",($C11+$L11)*'Your Pay &amp; Benefits'!$C$8,IF($AN11="NE",MAX(0,$AY11-2440*$AS11),IF($AN11="NJ",MAX(0,$AY11-1000*$AS11),IF($AN11="NY",MAX(0,$AY11-(IF($AU11="Married",7950,7400)+1000*$AS11)),IF($AN11="OH",MAX(0,$AY11-650*$AS11),IF($AN11="OK",MAX(0,$AY11-1000*$AS11),IF($AN11="RI",MAX(0,$AI11-1000*$AS11),IF($AN11="SC",MAX(0,$AI11-5000*$AS11-IF($AS11=0,0,MIN(0.1*$AI11,7500))),IF($AN11="VA",MAX(0,$AI11-IF($AU11="Married",17500,8750)-930*$AS11-800*$AT11),IF($AN11="VT",MAX(0,$AI11-5400*$AS11),IF($AN11="WI",MAX(0,$AI11-MAX(0,IF($AU11="Married",9461-0.2*MAX(0,$AI11-25727),6702-0.12*MAX(0,$AI11-17780)))-400*$AS11),IF($AN11="WV",MAX(0,$AI11-2000*$AS11),$AI11))))))))))))))))))))))</f>
      </c>
      <c r="BA11" s="7">
        <f>IF($B11="","",IF($BW11&lt;&gt;"",$BW11,IF($BX11&lt;&gt;"",$BX11,IF($BY11&lt;&gt;"",$BY11,0))))</f>
      </c>
      <c r="BB11" s="7">
        <f>IF($B11="","",IF($AN11="AR",-29*$AS11,IF($AN11="DE",-110*$AS11,IF($AN11="MD",$AZ11*'Your Pay &amp; Benefits'!$C$74,IF($AN11="AZ",'Your Pay &amp; Benefits'!$C$82*($M11-$D11)*'Your Pay &amp; Benefits'!$C$8,IF($AN11="CO",0.044*MAX(0,$AY11-IF($AU11="Married",10000,5000)),IF($AN11="IA",MAX(0,0.038*MAX(0,$AY11-IF($AU11="Head of household",19500,IF($AU11="Married",26000,13000)))-40*$AS11),IF($AN11="ID",0.053*MAX(0,$AY11-IF($AU11="Married",32000,16094)),IF($AN11="IL",0.0495*MAX(0,$AY11-(2925*$AS11+1000*$AT11)),IF($AN11="IN",(0.0295+'Your Pay &amp; Benefits'!$C$76)*MAX(0,$AY11-(1000*$AS11+1500*$AT11+3000*'Your Pay &amp; Benefits'!$C$86)),IF($AN11="KY",0.035*MAX(0,$AI11-3360),IF($AN11="LA",IF('Your Pay &amp; Benefits'!$C$84="0",0.0309*$AI11,0.0309*MAX(0,$AI11-IF('Your Pay &amp; Benefits'!$C$84="2",25750,12875))),IF($AN11="MA",0.05*MIN(MAX(0,$AY11-MIN(($BD10+$Q11+$R11+$S11),2000)-IF($AS11=0,0,IF($AS11=1,4400,1000*$AS11+3400))),1107750)+0.09*MAX(0,MAX(0,$AY11-MIN(($BD10+$Q11+$R11+$S11),2000)-IF($AS11=0,0,IF($AS11=1,4400,1000*$AS11+3400)))-1107750)-IF($AU11="Head of household",120,0)-110*'Your Pay &amp; Benefits'!$C$75,IF($AN11="MI",0.0425*MAX(0,$AY11-5900*$AS11),IF($AN11="MS",0.04*MAX(0,$AI11-IF($AU11="Head of household",3400,IF($AU11="Married",4600,2300))-'Your Pay &amp; Benefits'!$C$85-10000),IF($AN11="OR",IF(OR($AU11="Married",AND($AU11="Single",$AS11&gt;=3)),SUMPRODUCT((MAX(0,$AY11-MIN(($P11-'How This Works &amp; Sources'!$C$10*$D11)*'Your Pay &amp; Benefits'!$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Sources'!$B$211:$J$214,0,4))*(MAX(0,$AY11-MIN(($P11-'How This Works &amp; Sources'!$C$10*$D11)*'Your Pay &amp; Benefits'!$C$8,IF(OR($AU11="Married",AND($AU11="Single",$AS11&gt;=3)),IF($AY11&lt;250000,8750,IF($AY11&lt;260000,7000,IF($AY11&lt;270000,5250,IF($AY11&lt;280000,3500,IF($AY11&lt;290000,1750,0))))),IF($AY11&lt;125000,8750,IF($AY11&lt;130000,7000,IF($AY11&lt;135000,5250,IF($AY11&lt;140000,3500,IF($AY11&lt;145000,1750,0)))))))-IF(OR($AU11="Married",AND($AU11="Single",$AS11&gt;=3)),5820,2910))-INDEX('How This Works &amp; Sources'!$B$211:$J$214,0,4))*INDEX('How This Works &amp; Sources'!$B$211:$J$214,0,4+2)),SUMPRODUCT((MAX(0,$AY11-MIN(($P11-'How This Works &amp; Sources'!$C$10*$D11)*'Your Pay &amp; Benefits'!$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Sources'!$B$211:$J$214,0,1))*(MAX(0,$AY11-MIN(($P11-'How This Works &amp; Sources'!$C$10*$D11)*'Your Pay &amp; Benefits'!$C$8,IF(OR($AU11="Married",AND($AU11="Single",$AS11&gt;=3)),IF($AY11&lt;250000,8750,IF($AY11&lt;260000,7000,IF($AY11&lt;270000,5250,IF($AY11&lt;280000,3500,IF($AY11&lt;290000,1750,0))))),IF($AY11&lt;125000,8750,IF($AY11&lt;130000,7000,IF($AY11&lt;135000,5250,IF($AY11&lt;140000,3500,IF($AY11&lt;145000,1750,0)))))))-IF(OR($AU11="Married",AND($AU11="Single",$AS11&gt;=3)),5820,2910))-INDEX('How This Works &amp; Sources'!$B$211:$J$214,0,1))*INDEX('How This Works &amp; Sources'!$B$211:$J$214,0,1+2)))+263-263*IF(IF($AU11="Married",$AY11&gt;200000,$AY11&gt;100000),0,$AS11),IF($AN11="PA",0.0307*(($O11+$E11+$G11)*'Your Pay &amp; Benefits'!$C$8),IF($AN11="NY",IF($AU11="Married",IF($AZ11&gt;=2155350,0,IF($AZ11&gt;=1077550,0.48,IF($AZ11&gt;=373200,1.21,IF($AZ11&gt;=323200,0.21,IF($AZ11&gt;=211550,-0.19,IF($AZ11&gt;=157650,-2.8,IF($AZ11&gt;=107650,-0.8,IF($AZ11&gt;=96800,0.05,IF($AZ11&gt;=80650,-0.1,IF($AZ11&gt;=13900,0.4,IF($AZ11&gt;=11700,-0.3,IF($AZ11&gt;=8500,0.5,0)))))))))))),IF($AZ11&gt;=1077550,0,IF($AZ11&gt;=265400,4.29,IF($AZ11&gt;=215400,2.29,IF($AZ11&gt;=157650,2.29,IF($AZ11&gt;=107650,0.29,IF($AZ11&gt;=96800,0.05,IF($AZ11&gt;=80650,-0.1,IF($AZ11&gt;=13900,0.4,IF($AZ11&gt;=11700,-0.3,IF($AZ11&gt;=8500,0.5,0))))))))))),0))))))))))))))))))</f>
      </c>
      <c r="BC11" s="7">
        <f>IF($B11="","",IF($AN11="AL",0.05*$D11,IF($AN11="AR",0.039*$D11,IF($AN11="ID",0.053*$D11,IF($AN11="IN",(0.0295+'Your Pay &amp; Benefits'!$C$76)*$D11,IF($AN11="KS",0.05*$D11,IF($AN11="MA",0.09*MIN($D11,MAX(0,MAX(0,$AY11-MIN(($BD10+$Q11+$R11+$S11),2000)-IF($AS11=0,0,IF($AS11=1,4400,1000*$AS11+3400)))+$D11-1107750))+0.05*($D11-MIN($D11,MAX(0,MAX(0,$AY11-MIN(($BD10+$Q11+$R11+$S11),2000)-IF($AS11=0,0,IF($AS11=1,4400,1000*$AS11+3400)))+$D11-1107750))),IF($AN11="MD",(0.065+'Your Pay &amp; Benefits'!$C$74)*$D11,IF($AN11="MI",0.0425*$D11,IF($AN11="MN",0.0625*$D11,IF($AN11="MO",0.047*$D11,IF($AN11="MT",0.05*$D11,IF($AN11="ND",0.015*$D11,IF($AN11="NE",0.035*$D11,IF($AN11="NJ",IF('Your Pay &amp; Benefits'!$C$77="B",SUMPRODUCT(($D11*'Your Pay &amp; Benefits'!$C$8&gt;INDEX('How This Works &amp; Sources'!$B$155:$J$162,0,4))*($D11*'Your Pay &amp; Benefits'!$C$8-INDEX('How This Works &amp; Sources'!$B$155:$J$162,0,4))*INDEX('How This Works &amp; Sources'!$B$155:$J$162,0,4+2)),IF('Your Pay &amp; Benefits'!$C$77="C",SUMPRODUCT(($D11*'Your Pay &amp; Benefits'!$C$8&gt;INDEX('How This Works &amp; Sources'!$B$155:$J$162,0,7))*($D11*'Your Pay &amp; Benefits'!$C$8-INDEX('How This Works &amp; Sources'!$B$155:$J$162,0,7))*INDEX('How This Works &amp; Sources'!$B$155:$J$162,0,7+2)),IF('Your Pay &amp; Benefits'!$C$77="D",SUMPRODUCT(($D11*'Your Pay &amp; Benefits'!$C$8&gt;INDEX('How This Works &amp; Sources'!$B$167:$J$179,0,1))*($D11*'Your Pay &amp; Benefits'!$C$8-INDEX('How This Works &amp; Sources'!$B$167:$J$179,0,1))*INDEX('How This Works &amp; Sources'!$B$167:$J$179,0,1+2)),IF('Your Pay &amp; Benefits'!$C$77="E",SUMPRODUCT(($D11*'Your Pay &amp; Benefits'!$C$8&gt;INDEX('How This Works &amp; Sources'!$B$167:$J$179,0,4))*($D11*'Your Pay &amp; Benefits'!$C$8-INDEX('How This Works &amp; Sources'!$B$167:$J$179,0,4))*INDEX('How This Works &amp; Sources'!$B$167:$J$179,0,4+2)),SUMPRODUCT(($D11*'Your Pay &amp; Benefits'!$C$8&gt;INDEX('How This Works &amp; Sources'!$B$155:$J$162,0,1))*($D11*'Your Pay &amp; Benefits'!$C$8-INDEX('How This Works &amp; Sources'!$B$155:$J$162,0,1))*INDEX('How This Works &amp; Sources'!$B$155:$J$162,0,1+2))))))/'Your Pay &amp; Benefits'!$C$8,IF($AN11="NY",0.117*$D11,IF($AN11="OH",0.0275*$D11,IF($AN11="OK",0.045*$D11,IF($AN11="OR",0.08*$D11,IF($AN11="WI",IF($AY11&lt;12760,0.0354,IF($AY11&lt;25520,0.0465,IF($AY11&lt;280950,0.053,0.0765)))*$D11,0))))))))))))))))))))</f>
      </c>
      <c r="BD11" s="7">
        <f>IF($B11="","",$BD10+$Q11+$R11+$S11)</f>
      </c>
      <c r="BE11" s="6">
        <f>IF($B11="",$BE10,$BE10+$BF11)</f>
      </c>
      <c r="BF11" s="6">
        <f>IF($B11="","",IF(AND(IF(YEAR(IF('Your Pay &amp; Benefits'!$C$7="Weekly",'Your Pay &amp; Benefits'!$C$9+7*(($BE10+1)-1),IF('Your Pay &amp; Benefits'!$C$7="Biweekly",'Your Pay &amp; Benefits'!$C$9+14*(($BE10+1)-1),IF('Your Pay &amp; Benefits'!$C$7="Semimonthly",DATE(YEAR('Your Pay &amp; Benefits'!$C$9),MONTH('Your Pay &amp; Benefits'!$C$9)+INT((($BE10+1)-1)/2),MIN(DAY('Your Pay &amp; Benefits'!$C$9),DAY(EOMONTH(DATE(YEAR('Your Pay &amp; Benefits'!$C$9),MONTH('Your Pay &amp; Benefits'!$C$9)+INT((($BE10+1)-1)/2),1),0))))+IF(MOD(($BE10+1)-1,2)=1,15,0),EDATE('Your Pay &amp; Benefits'!$C$9,($BE10+1)-1)))))&lt;&gt;'Your Pay &amp; Benefits'!$C$10,"",IF('Your Pay &amp; Benefits'!$C$7="Weekly",'Your Pay &amp; Benefits'!$C$9+7*(($BE10+1)-1),IF('Your Pay &amp; Benefits'!$C$7="Biweekly",'Your Pay &amp; Benefits'!$C$9+14*(($BE10+1)-1),IF('Your Pay &amp; Benefits'!$C$7="Semimonthly",DATE(YEAR('Your Pay &amp; Benefits'!$C$9),MONTH('Your Pay &amp; Benefits'!$C$9)+INT((($BE10+1)-1)/2),MIN(DAY('Your Pay &amp; Benefits'!$C$9),DAY(EOMONTH(DATE(YEAR('Your Pay &amp; Benefits'!$C$9),MONTH('Your Pay &amp; Benefits'!$C$9)+INT((($BE10+1)-1)/2),1),0))))+IF(MOD(($BE10+1)-1,2)=1,15,0),EDATE('Your Pay &amp; Benefits'!$C$9,($BE10+1)-1)))))&lt;&gt;"",$B11=IF(YEAR(IF('Your Pay &amp; Benefits'!$C$7="Weekly",'Your Pay &amp; Benefits'!$C$9+7*(($BE10+1)-1),IF('Your Pay &amp; Benefits'!$C$7="Biweekly",'Your Pay &amp; Benefits'!$C$9+14*(($BE10+1)-1),IF('Your Pay &amp; Benefits'!$C$7="Semimonthly",DATE(YEAR('Your Pay &amp; Benefits'!$C$9),MONTH('Your Pay &amp; Benefits'!$C$9)+INT((($BE10+1)-1)/2),MIN(DAY('Your Pay &amp; Benefits'!$C$9),DAY(EOMONTH(DATE(YEAR('Your Pay &amp; Benefits'!$C$9),MONTH('Your Pay &amp; Benefits'!$C$9)+INT((($BE10+1)-1)/2),1),0))))+IF(MOD(($BE10+1)-1,2)=1,15,0),EDATE('Your Pay &amp; Benefits'!$C$9,($BE10+1)-1)))))&lt;&gt;'Your Pay &amp; Benefits'!$C$10,"",IF('Your Pay &amp; Benefits'!$C$7="Weekly",'Your Pay &amp; Benefits'!$C$9+7*(($BE10+1)-1),IF('Your Pay &amp; Benefits'!$C$7="Biweekly",'Your Pay &amp; Benefits'!$C$9+14*(($BE10+1)-1),IF('Your Pay &amp; Benefits'!$C$7="Semimonthly",DATE(YEAR('Your Pay &amp; Benefits'!$C$9),MONTH('Your Pay &amp; Benefits'!$C$9)+INT((($BE10+1)-1)/2),MIN(DAY('Your Pay &amp; Benefits'!$C$9),DAY(EOMONTH(DATE(YEAR('Your Pay &amp; Benefits'!$C$9),MONTH('Your Pay &amp; Benefits'!$C$9)+INT((($BE10+1)-1)/2),1),0))))+IF(MOD(($BE10+1)-1,2)=1,15,0),EDATE('Your Pay &amp; Benefits'!$C$9,($BE10+1)-1)))))),1,0))</f>
      </c>
      <c r="BG11" s="7">
        <f>IF($B11="","",$BG10+$H11)</f>
      </c>
      <c r="BH11" s="7">
        <f>IF($B11="","",$BH10+$I11)</f>
      </c>
      <c r="BI11" s="7">
        <f>IF($B11="","",$BI10+$G11)</f>
      </c>
      <c r="BJ11" s="7">
        <f>IF($B11="","",IFERROR(LOOKUP(2,1/(((('Changes &amp; Events'!$C$6:$C$17="Deduction start"))*('Changes &amp; Events'!$D$6:$D$17="Health FSA"))*('Changes &amp; Events'!$B$6:$B$17&lt;=$B11)*('Changes &amp; Events'!$B$6:$B$17&lt;&gt;"")),'Changes &amp; Events'!$E$6:$E$17),'Your Pay &amp; Benefits'!$D$38))</f>
      </c>
      <c r="BK11" s="7">
        <f>IF($B11="","",IFERROR(LOOKUP(2,1/(((('Changes &amp; Events'!$C$6:$C$17="Deduction start"))*('Changes &amp; Events'!$D$6:$D$17="Dependent-care FSA"))*('Changes &amp; Events'!$B$6:$B$17&lt;=$B11)*('Changes &amp; Events'!$B$6:$B$17&lt;&gt;"")),'Changes &amp; Events'!$E$6:$E$17),'Your Pay &amp; Benefits'!$D$39))</f>
      </c>
      <c r="BL11" s="7">
        <f>IF($B11="","",IFERROR(LOOKUP(2,1/(((('Changes &amp; Events'!$C$6:$C$17="Deduction start")+('Changes &amp; Events'!$C$6:$C$17="Deduction stop"))*('Changes &amp; Events'!$D$6:$D$17="HSA"))*('Changes &amp; Events'!$B$6:$B$17&lt;=$B11)*('Changes &amp; Events'!$B$6:$B$17&lt;&gt;"")),'Changes &amp; Events'!$I$6:$I$17),'Your Pay &amp; Benefits'!$D$35))</f>
      </c>
      <c r="BM11" s="7">
        <f>IF($B11="","",IFERROR(LOOKUP(2,1/(((('Changes &amp; Events'!$C$6:$C$17="Deduction start")+('Changes &amp; Events'!$C$6:$C$17="Deduction stop"))*('Changes &amp; Events'!$D$6:$D$17="Premiums"))*('Changes &amp; Events'!$B$6:$B$17&lt;=$B11)*('Changes &amp; Events'!$B$6:$B$17&lt;&gt;"")),'Changes &amp; Events'!$I$6:$I$17),'Your Pay &amp; Benefits'!$D$40+'Your Pay &amp; Benefits'!$D$41+'Your Pay &amp; Benefits'!$D$42))</f>
      </c>
      <c r="BN11" s="7">
        <f>IF($B11="","",IFERROR(LOOKUP(2,1/(((('Changes &amp; Events'!$C$6:$C$17="Deduction start")+('Changes &amp; Events'!$C$6:$C$17="Deduction stop"))*('Changes &amp; Events'!$D$6:$D$17="Commuter"))*('Changes &amp; Events'!$B$6:$B$17&lt;=$B11)*('Changes &amp; Events'!$B$6:$B$17&lt;&gt;"")),'Changes &amp; Events'!$I$6:$I$17),'Your Pay &amp; Benefits'!$D$43))</f>
      </c>
      <c r="BO11" s="7">
        <f>IF($B11="","",IFERROR(LOOKUP(2,1/(((('Changes &amp; Events'!$C$6:$C$17="Deduction start")+('Changes &amp; Events'!$C$6:$C$17="Deduction stop"))*('Changes &amp; Events'!$D$6:$D$17="Other pre-tax"))*('Changes &amp; Events'!$B$6:$B$17&lt;=$B11)*('Changes &amp; Events'!$B$6:$B$17&lt;&gt;"")),'Changes &amp; Events'!$I$6:$I$17),'Your Pay &amp; Benefits'!$D$44))</f>
      </c>
      <c r="BP11" s="7">
        <f>IF($B11="","",IFERROR(LOOKUP(2,1/(((('Changes &amp; Events'!$C$6:$C$17="Deduction start")+('Changes &amp; Events'!$C$6:$C$17="Deduction stop"))*('Changes &amp; Events'!$D$6:$D$17="Other post-tax"))*('Changes &amp; Events'!$B$6:$B$17&lt;=$B11)*('Changes &amp; Events'!$B$6:$B$17&lt;&gt;"")),'Changes &amp; Events'!$I$6:$I$17),'Your Pay &amp; Benefits'!$D$45))</f>
      </c>
      <c r="BQ11" s="6">
        <f>IF($B11="","",IFERROR(LOOKUP(2,1/(((('Changes &amp; Events'!$C$6:$C$17="Deduction start")+('Changes &amp; Events'!$C$6:$C$17="Deduction stop"))*('Changes &amp; Events'!$D$6:$D$17="Health FSA"))*('Changes &amp; Events'!$B$6:$B$17&lt;=$B11)*('Changes &amp; Events'!$B$6:$B$17&lt;&gt;"")),'Changes &amp; Events'!$J$6:$J$17),0))</f>
      </c>
      <c r="BR11" s="6">
        <f>IF($B11="","",IFERROR(LOOKUP(2,1/(((('Changes &amp; Events'!$C$6:$C$17="Deduction start")+('Changes &amp; Events'!$C$6:$C$17="Deduction stop"))*('Changes &amp; Events'!$D$6:$D$17="Dependent-care FSA"))*('Changes &amp; Events'!$B$6:$B$17&lt;=$B11)*('Changes &amp; Events'!$B$6:$B$17&lt;&gt;"")),'Changes &amp; Events'!$J$6:$J$17),0))</f>
      </c>
      <c r="BS11" s="6">
        <f>IF($B11="","",IF(SUMPRODUCT(('Changes &amp; Events'!$C$6:$C$17="Deduction start")*('Changes &amp; Events'!$B$6:$B$17&lt;=$B11)*('Changes &amp; Events'!$B$6:$B$17&lt;&gt;"")*('Changes &amp; Events'!$D$6:$D$17="Health FSA"))&gt;0,1,0))</f>
      </c>
      <c r="BT11" s="6">
        <f>IF($B11="","",IF(SUMPRODUCT(('Changes &amp; Events'!$C$6:$C$17="Deduction start")*('Changes &amp; Events'!$B$6:$B$17&lt;=$B11)*('Changes &amp; Events'!$B$6:$B$17&lt;&gt;"")*('Changes &amp; Events'!$D$6:$D$17="Dependent-care FSA"))&gt;0,1,0))</f>
      </c>
      <c r="BU11" s="24">
        <f>IF($B11="","",IF('Your Pay &amp; Benefits'!$C$13,SUMPRODUCT(($AH11&gt;=INDEX('How This Works &amp; Sources'!$B$29:$J$36,0,IF('Your Pay &amp; Benefits'!$C$12="MFJ",1,IF('Your Pay &amp; Benefits'!$C$12="HoH",7,4))))*INDEX('How This Works &amp; Sources'!$B$29:$J$36,0,IF('Your Pay &amp; Benefits'!$C$12="MFJ",1,IF('Your Pay &amp; Benefits'!$C$12="HoH",7,4))+2)),SUMPRODUCT(($AH11&gt;=INDEX('How This Works &amp; Sources'!$B$19:$J$26,0,IF('Your Pay &amp; Benefits'!$C$12="MFJ",1,IF('Your Pay &amp; Benefits'!$C$12="HoH",7,4))))*INDEX('How This Works &amp; Sources'!$B$19:$J$26,0,IF('Your Pay &amp; Benefits'!$C$12="MFJ",1,IF('Your Pay &amp; Benefits'!$C$12="HoH",7,4))+2))))</f>
      </c>
      <c r="BV11" s="24">
        <f>IF($B11="","",IF($BZ11&lt;&gt;"",$BZ11,IF($CA11&lt;&gt;"",$CA11,IF($CB11&lt;&gt;"",$CB11,IF($CC11&lt;&gt;"",$CC11,0)))))</f>
      </c>
      <c r="BW11" s="7">
        <f>IF($B11="","",IF($AN11="MD",IF(OR($AU11="Married",$AU11="Head of household"),SUMPRODUCT(($AZ11&gt;INDEX('How This Works &amp; Sources'!$B$114:$J$120,0,1))*($AZ11-INDEX('How This Works &amp; Sources'!$B$114:$J$120,0,1))*INDEX('How This Works &amp; Sources'!$B$114:$J$120,0,1+2)),SUMPRODUCT(($AZ11&gt;INDEX('How This Works &amp; Sources'!$B$103:$J$109,0,7))*($AZ11-INDEX('How This Works &amp; Sources'!$B$103:$J$109,0,7))*INDEX('How This Works &amp; Sources'!$B$103:$J$109,0,7+2))),IF($AN11="MO",SUMPRODUCT(($AZ11&gt;INDEX('How This Works &amp; Sources'!$B$125:$J$132,0,1))*($AZ11-INDEX('How This Works &amp; Sources'!$B$125:$J$132,0,1))*INDEX('How This Works &amp; Sources'!$B$125:$J$132,0,1+2)),IF($AN11="MT",IF($AU11="Head of household",SUMPRODUCT(($AZ11&gt;INDEX('How This Works &amp; Sources'!$B$137:$J$139,0,1))*($AZ11-INDEX('How This Works &amp; Sources'!$B$137:$J$139,0,1))*INDEX('How This Works &amp; Sources'!$B$137:$J$139,0,1+2)),IF($AU11="Married",SUMPRODUCT(($AZ11&gt;INDEX('How This Works &amp; Sources'!$B$125:$J$132,0,7))*($AZ11-INDEX('How This Works &amp; Sources'!$B$125:$J$132,0,7))*INDEX('How This Works &amp; Sources'!$B$125:$J$132,0,7+2)),SUMPRODUCT(($AZ11&gt;INDEX('How This Works &amp; Sources'!$B$125:$J$132,0,4))*($AZ11-INDEX('How This Works &amp; Sources'!$B$125:$J$132,0,4))*INDEX('How This Works &amp; Sources'!$B$125:$J$132,0,4+2)))),IF($AN11="ND",IF($AU11="Head of household",SUMPRODUCT(($AZ11&gt;INDEX('How This Works &amp; Sources'!$B$144:$J$150,0,1))*($AZ11-INDEX('How This Works &amp; Sources'!$B$144:$J$150,0,1))*INDEX('How This Works &amp; Sources'!$B$144:$J$150,0,1+2)),IF($AU11="Married",SUMPRODUCT(($AZ11&gt;INDEX('How This Works &amp; Sources'!$B$137:$J$139,0,7))*($AZ11-INDEX('How This Works &amp; Sources'!$B$137:$J$139,0,7))*INDEX('How This Works &amp; Sources'!$B$137:$J$139,0,7+2)),SUMPRODUCT(($AZ11&gt;INDEX('How This Works &amp; Sources'!$B$137:$J$139,0,4))*($AZ11-INDEX('How This Works &amp; Sources'!$B$137:$J$139,0,4))*INDEX('How This Works &amp; Sources'!$B$137:$J$139,0,4+2)))),IF($AN11="NJ",IF('Your Pay &amp; Benefits'!$C$77="B",SUMPRODUCT(($AZ11&gt;INDEX('How This Works &amp; Sources'!$B$155:$J$162,0,4))*($AZ11-INDEX('How This Works &amp; Sources'!$B$155:$J$162,0,4))*INDEX('How This Works &amp; Sources'!$B$155:$J$162,0,4+2)),IF('Your Pay &amp; Benefits'!$C$77="C",SUMPRODUCT(($AZ11&gt;INDEX('How This Works &amp; Sources'!$B$155:$J$162,0,7))*($AZ11-INDEX('How This Works &amp; Sources'!$B$155:$J$162,0,7))*INDEX('How This Works &amp; Sources'!$B$155:$J$162,0,7+2)),IF('Your Pay &amp; Benefits'!$C$77="D",SUMPRODUCT(($AZ11&gt;INDEX('How This Works &amp; Sources'!$B$167:$J$179,0,1))*($AZ11-INDEX('How This Works &amp; Sources'!$B$167:$J$179,0,1))*INDEX('How This Works &amp; Sources'!$B$167:$J$179,0,1+2)),IF('Your Pay &amp; Benefits'!$C$77="E",SUMPRODUCT(($AZ11&gt;INDEX('How This Works &amp; Sources'!$B$167:$J$179,0,4))*($AZ11-INDEX('How This Works &amp; Sources'!$B$167:$J$179,0,4))*INDEX('How This Works &amp; Sources'!$B$167:$J$179,0,4+2)),SUMPRODUCT(($AZ11&gt;INDEX('How This Works &amp; Sources'!$B$155:$J$162,0,1))*($AZ11-INDEX('How This Works &amp; Sources'!$B$155:$J$162,0,1))*INDEX('How This Works &amp; Sources'!$B$155:$J$162,0,1+2)))))),IF($AN11="NY",IF($AU11="Married",IF($AZ11&gt;=2155350,$AZ11*IF($AZ11&gt;25000000,0.117,IF($AZ11&gt;5000000,0.111,0.1045)),SUMPRODUCT(($AZ11&gt;INDEX('How This Works &amp; Sources'!$B$184:$J$198,0,1))*($AZ11-INDEX('How This Works &amp; Sources'!$B$184:$J$198,0,1))*INDEX('How This Works &amp; Sources'!$B$184:$J$198,0,1+2))),IF($AZ11&gt;=1077550,$AZ11*IF($AZ11&gt;25000000,0.117,IF($AZ11&gt;5000000,0.111,0.1045)),SUMPRODUCT(($AZ11&gt;INDEX('How This Works &amp; Sources'!$B$167:$J$179,0,7))*($AZ11-INDEX('How This Works &amp; Sources'!$B$167:$J$179,0,7))*INDEX('How This Works &amp; Sources'!$B$167:$J$179,0,7+2)))),"")))))))</f>
      </c>
      <c r="BX11" s="7">
        <f>IF($B11="","",IF($AN11="AL",IF(OR($AU11="Married",$AU11="Head of household"),SUMPRODUCT(($AZ11&gt;INDEX('How This Works &amp; Sources'!$B$82:$J$86,0,4))*($AZ11-INDEX('How This Works &amp; Sources'!$B$82:$J$86,0,4))*INDEX('How This Works &amp; Sources'!$B$82:$J$86,0,4+2)),SUMPRODUCT(($AZ11&gt;INDEX('How This Works &amp; Sources'!$B$82:$J$86,0,1))*($AZ11-INDEX('How This Works &amp; Sources'!$B$82:$J$86,0,1))*INDEX('How This Works &amp; Sources'!$B$82:$J$86,0,1+2))),IF($AN11="KS",IF($AU11="Married",SUMPRODUCT(($AZ11&gt;INDEX('How This Works &amp; Sources'!$B$103:$J$109,0,4))*($AZ11-INDEX('How This Works &amp; Sources'!$B$103:$J$109,0,4))*INDEX('How This Works &amp; Sources'!$B$103:$J$109,0,4+2)),SUMPRODUCT(($AZ11&gt;INDEX('How This Works &amp; Sources'!$B$103:$J$109,0,1))*($AZ11-INDEX('How This Works &amp; Sources'!$B$103:$J$109,0,1))*INDEX('How This Works &amp; Sources'!$B$103:$J$109,0,1+2))),IF($AN11="MN",IF($AU11="Married",SUMPRODUCT(($AZ11&gt;INDEX('How This Works &amp; Sources'!$B$114:$J$120,0,7))*($AZ11-INDEX('How This Works &amp; Sources'!$B$114:$J$120,0,7))*INDEX('How This Works &amp; Sources'!$B$114:$J$120,0,7+2)),SUMPRODUCT(($AZ11&gt;INDEX('How This Works &amp; Sources'!$B$114:$J$120,0,4))*($AZ11-INDEX('How This Works &amp; Sources'!$B$114:$J$120,0,4))*INDEX('How This Works &amp; Sources'!$B$114:$J$120,0,4+2))),IF($AN11="NE",MAX(IF($AU11="Married",SUMPRODUCT(($AZ11&gt;INDEX('How This Works &amp; Sources'!$B$144:$J$150,0,7))*($AZ11-INDEX('How This Works &amp; Sources'!$B$144:$J$150,0,7))*INDEX('How This Works &amp; Sources'!$B$144:$J$150,0,7+2)),SUMPRODUCT(($AZ11&gt;INDEX('How This Works &amp; Sources'!$B$144:$J$150,0,4))*($AZ11-INDEX('How This Works &amp; Sources'!$B$144:$J$150,0,4))*INDEX('How This Works &amp; Sources'!$B$144:$J$150,0,4+2))),0.015*$AZ11),IF($AN11="OH",IF($B11&gt;=DATE(2026,8,1),SUMPRODUCT(($AZ11&gt;INDEX('How This Works &amp; Sources'!$B$203:$J$206,0,1))*($AZ11-INDEX('How This Works &amp; Sources'!$B$203:$J$206,0,1))*INDEX('How This Works &amp; Sources'!$B$203:$J$206,0,1+2)),SUMPRODUCT(($AZ11&gt;INDEX('How This Works &amp; Sources'!$B$184:$J$198,0,7))*($AZ11-INDEX('How This Works &amp; Sources'!$B$184:$J$198,0,7))*INDEX('How This Works &amp; Sources'!$B$184:$J$198,0,7+2))),IF($AN11="OK",IF($AU11="Married",SUMPRODUCT(($AZ11&gt;INDEX('How This Works &amp; Sources'!$B$203:$J$206,0,7))*($AZ11-INDEX('How This Works &amp; Sources'!$B$203:$J$206,0,7))*INDEX('How This Works &amp; Sources'!$B$203:$J$206,0,7+2)),SUMPRODUCT(($AZ11&gt;INDEX('How This Works &amp; Sources'!$B$203:$J$206,0,4))*($AZ11-INDEX('How This Works &amp; Sources'!$B$203:$J$206,0,4))*INDEX('How This Works &amp; Sources'!$B$203:$J$206,0,4+2))),IF($AN11="RI",SUMPRODUCT(($AZ11&gt;INDEX('How This Works &amp; Sources'!$B$211:$J$214,0,7))*($AZ11-INDEX('How This Works &amp; Sources'!$B$211:$J$214,0,7))*INDEX('How This Works &amp; Sources'!$B$211:$J$214,0,7+2)),IF($AN11="VT",IF($AU11="Married",SUMPRODUCT(($AZ11&gt;INDEX('How This Works &amp; Sources'!$B$228:$J$232,0,1))*($AZ11-INDEX('How This Works &amp; Sources'!$B$228:$J$232,0,1))*INDEX('How This Works &amp; Sources'!$B$228:$J$232,0,1+2)),SUMPRODUCT(($AZ11&gt;INDEX('How This Works &amp; Sources'!$B$219:$J$223,0,7))*($AZ11-INDEX('How This Works &amp; Sources'!$B$219:$J$223,0,7))*INDEX('How This Works &amp; Sources'!$B$219:$J$223,0,7+2))),IF($AN11="WV",IF($AU11="Married",SUMPRODUCT(($AZ11&gt;INDEX('How This Works &amp; Sources'!$B$237:$J$241,0,7))*($AZ11-INDEX('How This Works &amp; Sources'!$B$237:$J$241,0,7))*INDEX('How This Works &amp; Sources'!$B$237:$J$241,0,7+2)),SUMPRODUCT(($AZ11&gt;INDEX('How This Works &amp; Sources'!$B$228:$J$232,0,7))*($AZ11-INDEX('How This Works &amp; Sources'!$B$228:$J$232,0,7))*INDEX('How This Works &amp; Sources'!$B$228:$J$232,0,7+2))),""))))))))))</f>
      </c>
      <c r="BY11" s="7">
        <f>IF($B11="","",IF($AN11="AR",SUMPRODUCT(($AZ11&gt;INDEX('How This Works &amp; Sources'!$B$82:$J$86,0,7))*($AZ11-INDEX('How This Works &amp; Sources'!$B$82:$J$86,0,7))*INDEX('How This Works &amp; Sources'!$B$82:$J$86,0,7+2)),IF($AN11="DE",SUMPRODUCT(($AZ11&gt;INDEX('How This Works &amp; Sources'!$B$91:$J$98,0,1))*($AZ11-INDEX('How This Works &amp; Sources'!$B$91:$J$98,0,1))*INDEX('How This Works &amp; Sources'!$B$91:$J$98,0,1+2)),IF($AN11="HI",IF($AU11="Married",SUMPRODUCT(($AZ11&gt;INDEX('How This Works &amp; Sources'!$B$91:$J$98,0,7))*($AZ11-INDEX('How This Works &amp; Sources'!$B$91:$J$98,0,7))*INDEX('How This Works &amp; Sources'!$B$91:$J$98,0,7+2)),SUMPRODUCT(($AZ11&gt;INDEX('How This Works &amp; Sources'!$B$91:$J$98,0,4))*($AZ11-INDEX('How This Works &amp; Sources'!$B$91:$J$98,0,4))*INDEX('How This Works &amp; Sources'!$B$91:$J$98,0,4+2))),IF($AN11="SC",SUMPRODUCT(($AZ11&gt;INDEX('How This Works &amp; Sources'!$B$219:$J$223,0,1))*($AZ11-INDEX('How This Works &amp; Sources'!$B$219:$J$223,0,1))*INDEX('How This Works &amp; Sources'!$B$219:$J$223,0,1+2)),IF($AN11="VA",SUMPRODUCT(($AZ11&gt;INDEX('How This Works &amp; Sources'!$B$219:$J$223,0,4))*($AZ11-INDEX('How This Works &amp; Sources'!$B$219:$J$223,0,4))*INDEX('How This Works &amp; Sources'!$B$219:$J$223,0,4+2)),IF($AN11="WI",SUMPRODUCT(($AZ11&gt;INDEX('How This Works &amp; Sources'!$B$228:$J$232,0,4))*($AZ11-INDEX('How This Works &amp; Sources'!$B$228:$J$232,0,4))*INDEX('How This Works &amp; Sources'!$B$228:$J$232,0,4+2)),"")))))))</f>
      </c>
      <c r="BZ11" s="24">
        <f>IF($B11="","",IF($AN11="NJ",IF('Your Pay &amp; Benefits'!$C$77="B",SUMPRODUCT(($AZ11&gt;=INDEX('How This Works &amp; Sources'!$B$155:$J$162,0,4))*INDEX('How This Works &amp; Sources'!$B$155:$J$162,0,4+2)),IF('Your Pay &amp; Benefits'!$C$77="C",SUMPRODUCT(($AZ11&gt;=INDEX('How This Works &amp; Sources'!$B$155:$J$162,0,7))*INDEX('How This Works &amp; Sources'!$B$155:$J$162,0,7+2)),IF('Your Pay &amp; Benefits'!$C$77="D",SUMPRODUCT(($AZ11&gt;=INDEX('How This Works &amp; Sources'!$B$167:$J$179,0,1))*INDEX('How This Works &amp; Sources'!$B$167:$J$179,0,1+2)),IF('Your Pay &amp; Benefits'!$C$77="E",SUMPRODUCT(($AZ11&gt;=INDEX('How This Works &amp; Sources'!$B$167:$J$179,0,4))*INDEX('How This Works &amp; Sources'!$B$167:$J$179,0,4+2)),SUMPRODUCT(($AZ11&gt;=INDEX('How This Works &amp; Sources'!$B$155:$J$162,0,1))*INDEX('How This Works &amp; Sources'!$B$155:$J$162,0,1+2)))))),IF($AN11="OR",IF(OR($AU11="Married",AND($AU11="Single",$AS11&gt;=3)),SUMPRODUCT((MAX(0,$AY11-MIN(($P11-'How This Works &amp; Sources'!$C$10*$D11)*'Your Pay &amp; Benefits'!$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Sources'!$B$211:$J$214,0,4))*INDEX('How This Works &amp; Sources'!$B$211:$J$214,0,4+2)),SUMPRODUCT((MAX(0,$AY11-MIN(($P11-'How This Works &amp; Sources'!$C$10*$D11)*'Your Pay &amp; Benefits'!$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Sources'!$B$211:$J$214,0,1))*INDEX('How This Works &amp; Sources'!$B$211:$J$214,0,1+2)))*IF(($P11-'How This Works &amp; Sources'!$C$10*$D11)*'Your Pay &amp; Benefits'!$C$8&gt;=IF(OR($AU11="Married",AND($AU11="Single",$AS11&gt;=3)),IF($AY11&lt;250000,8750,IF($AY11&lt;260000,7000,IF($AY11&lt;270000,5250,IF($AY11&lt;280000,3500,IF($AY11&lt;290000,1750,0))))),IF($AY11&lt;125000,8750,IF($AY11&lt;130000,7000,IF($AY11&lt;135000,5250,IF($AY11&lt;140000,3500,IF($AY11&lt;145000,1750,0)))))),1,1-IF('Your Pay &amp; Benefits'!$C$13,SUMPRODUCT(($AH11&gt;=INDEX('How This Works &amp; Sources'!$B$29:$J$36,0,IF('Your Pay &amp; Benefits'!$C$12="MFJ",1,IF('Your Pay &amp; Benefits'!$C$12="HoH",7,4))))*INDEX('How This Works &amp; Sources'!$B$29:$J$36,0,IF('Your Pay &amp; Benefits'!$C$12="MFJ",1,IF('Your Pay &amp; Benefits'!$C$12="HoH",7,4))+2)),SUMPRODUCT(($AH11&gt;=INDEX('How This Works &amp; Sources'!$B$19:$J$26,0,IF('Your Pay &amp; Benefits'!$C$12="MFJ",1,IF('Your Pay &amp; Benefits'!$C$12="HoH",7,4))))*INDEX('How This Works &amp; Sources'!$B$19:$J$26,0,IF('Your Pay &amp; Benefits'!$C$12="MFJ",1,IF('Your Pay &amp; Benefits'!$C$12="HoH",7,4))+2)))),IF($AN11="MI",IF($AY11&gt;5900*$AS11,0.0425,0),""))))</f>
      </c>
      <c r="CA11" s="24">
        <f>IF($B11="","",IF($AN11="AL",IF(OR($AU11="Married",$AU11="Head of household"),SUMPRODUCT(($AZ11&gt;=INDEX('How This Works &amp; Sources'!$B$82:$J$86,0,4))*INDEX('How This Works &amp; Sources'!$B$82:$J$86,0,4+2)),SUMPRODUCT(($AZ11&gt;=INDEX('How This Works &amp; Sources'!$B$82:$J$86,0,1))*INDEX('How This Works &amp; Sources'!$B$82:$J$86,0,1+2)))*(1-IF('Your Pay &amp; Benefits'!$C$13,SUMPRODUCT(($AH11&gt;=INDEX('How This Works &amp; Sources'!$B$29:$J$36,0,IF('Your Pay &amp; Benefits'!$C$12="MFJ",1,IF('Your Pay &amp; Benefits'!$C$12="HoH",7,4))))*INDEX('How This Works &amp; Sources'!$B$29:$J$36,0,IF('Your Pay &amp; Benefits'!$C$12="MFJ",1,IF('Your Pay &amp; Benefits'!$C$12="HoH",7,4))+2)),SUMPRODUCT(($AH11&gt;=INDEX('How This Works &amp; Sources'!$B$19:$J$26,0,IF('Your Pay &amp; Benefits'!$C$12="MFJ",1,IF('Your Pay &amp; Benefits'!$C$12="HoH",7,4))))*INDEX('How This Works &amp; Sources'!$B$19:$J$26,0,IF('Your Pay &amp; Benefits'!$C$12="MFJ",1,IF('Your Pay &amp; Benefits'!$C$12="HoH",7,4))+2)))),IF($AN11="KS",IF($AU11="Married",SUMPRODUCT(($AZ11&gt;=INDEX('How This Works &amp; Sources'!$B$103:$J$109,0,4))*INDEX('How This Works &amp; Sources'!$B$103:$J$109,0,4+2)),SUMPRODUCT(($AZ11&gt;=INDEX('How This Works &amp; Sources'!$B$103:$J$109,0,1))*INDEX('How This Works &amp; Sources'!$B$103:$J$109,0,1+2))),IF($AN11="MD",IF(OR($AU11="Married",$AU11="Head of household"),SUMPRODUCT(($AZ11&gt;=INDEX('How This Works &amp; Sources'!$B$114:$J$120,0,1))*INDEX('How This Works &amp; Sources'!$B$114:$J$120,0,1+2)),SUMPRODUCT(($AZ11&gt;=INDEX('How This Works &amp; Sources'!$B$103:$J$109,0,7))*INDEX('How This Works &amp; Sources'!$B$103:$J$109,0,7+2)))+'Your Pay &amp; Benefits'!$C$74,IF($AN11="MT",IF($AU11="Head of household",SUMPRODUCT(($AZ11&gt;=INDEX('How This Works &amp; Sources'!$B$137:$J$139,0,1))*INDEX('How This Works &amp; Sources'!$B$137:$J$139,0,1+2)),IF($AU11="Married",SUMPRODUCT(($AZ11&gt;=INDEX('How This Works &amp; Sources'!$B$125:$J$132,0,7))*INDEX('How This Works &amp; Sources'!$B$125:$J$132,0,7+2)),SUMPRODUCT(($AZ11&gt;=INDEX('How This Works &amp; Sources'!$B$125:$J$132,0,4))*INDEX('How This Works &amp; Sources'!$B$125:$J$132,0,4+2)))),IF($AN11="ND",IF($AU11="Head of household",SUMPRODUCT(($AZ11&gt;=INDEX('How This Works &amp; Sources'!$B$144:$J$150,0,1))*INDEX('How This Works &amp; Sources'!$B$144:$J$150,0,1+2)),IF($AU11="Married",SUMPRODUCT(($AZ11&gt;=INDEX('How This Works &amp; Sources'!$B$137:$J$139,0,7))*INDEX('How This Works &amp; Sources'!$B$137:$J$139,0,7+2)),SUMPRODUCT(($AZ11&gt;=INDEX('How This Works &amp; Sources'!$B$137:$J$139,0,4))*INDEX('How This Works &amp; Sources'!$B$137:$J$139,0,4+2)))),IF($AN11="NY",IF($AU11="Married",IF($AZ11&gt;=2155350,IF($AZ11&gt;25000000,0.117,IF($AZ11&gt;5000000,0.111,0.1045)),SUMPRODUCT(($AZ11&gt;=INDEX('How This Works &amp; Sources'!$B$184:$J$198,0,1))*INDEX('How This Works &amp; Sources'!$B$184:$J$198,0,1+2))),IF($AZ11&gt;=1077550,IF($AZ11&gt;25000000,0.117,IF($AZ11&gt;5000000,0.111,0.1045)),SUMPRODUCT(($AZ11&gt;=INDEX('How This Works &amp; Sources'!$B$167:$J$179,0,7))*INDEX('How This Works &amp; Sources'!$B$167:$J$179,0,7+2)))),"")))))))</f>
      </c>
      <c r="CB11" s="24">
        <f>IF($B11="","",IF($AN11="CA",SUMPRODUCT(($AJ11&gt;=INDEX('How This Works &amp; Sources'!$B$39:$J$48,0,IF($AU11="Married",4,IF($AU11="Head of household",7,1))))*INDEX('How This Works &amp; Sources'!$B$39:$J$48,0,IF($AU11="Married",4,IF($AU11="Head of household",7,1))+2)),IF($AN11="HI",IF($AU11="Married",SUMPRODUCT(($AZ11&gt;=INDEX('How This Works &amp; Sources'!$B$91:$J$98,0,7))*INDEX('How This Works &amp; Sources'!$B$91:$J$98,0,7+2)),SUMPRODUCT(($AZ11&gt;=INDEX('How This Works &amp; Sources'!$B$91:$J$98,0,4))*INDEX('How This Works &amp; Sources'!$B$91:$J$98,0,4+2))),IF($AN11="MN",IF($AU11="Married",SUMPRODUCT(($AZ11&gt;=INDEX('How This Works &amp; Sources'!$B$114:$J$120,0,7))*INDEX('How This Works &amp; Sources'!$B$114:$J$120,0,7+2)),SUMPRODUCT(($AZ11&gt;=INDEX('How This Works &amp; Sources'!$B$114:$J$120,0,4))*INDEX('How This Works &amp; Sources'!$B$114:$J$120,0,4+2))),IF($AN11="MO",SUMPRODUCT(($AZ11&gt;=INDEX('How This Works &amp; Sources'!$B$125:$J$132,0,1))*INDEX('How This Works &amp; Sources'!$B$125:$J$132,0,1+2)),IF($AN11="NE",MAX(IF($AU11="Married",SUMPRODUCT(($AZ11&gt;=INDEX('How This Works &amp; Sources'!$B$144:$J$150,0,7))*INDEX('How This Works &amp; Sources'!$B$144:$J$150,0,7+2)),SUMPRODUCT(($AZ11&gt;=INDEX('How This Works &amp; Sources'!$B$144:$J$150,0,4))*INDEX('How This Works &amp; Sources'!$B$144:$J$150,0,4+2))),0.015),IF($AN11="OH",IF($B11&gt;=DATE(2026,8,1),SUMPRODUCT(($AZ11&gt;=INDEX('How This Works &amp; Sources'!$B$203:$J$206,0,1))*INDEX('How This Works &amp; Sources'!$B$203:$J$206,0,1+2)),SUMPRODUCT(($AZ11&gt;=INDEX('How This Works &amp; Sources'!$B$184:$J$198,0,7))*INDEX('How This Works &amp; Sources'!$B$184:$J$198,0,7+2))),IF($AN11="OK",IF($AU11="Married",SUMPRODUCT(($AZ11&gt;=INDEX('How This Works &amp; Sources'!$B$203:$J$206,0,7))*INDEX('How This Works &amp; Sources'!$B$203:$J$206,0,7+2)),SUMPRODUCT(($AZ11&gt;=INDEX('How This Works &amp; Sources'!$B$203:$J$206,0,4))*INDEX('How This Works &amp; Sources'!$B$203:$J$206,0,4+2))),IF($AN11="RI",SUMPRODUCT(($AZ11&gt;=INDEX('How This Works &amp; Sources'!$B$211:$J$214,0,7))*INDEX('How This Works &amp; Sources'!$B$211:$J$214,0,7+2)),IF($AN11="SC",SUMPRODUCT(($AZ11&gt;=INDEX('How This Works &amp; Sources'!$B$219:$J$223,0,1))*INDEX('How This Works &amp; Sources'!$B$219:$J$223,0,1+2)),IF($AN11="VT",IF($AU11="Married",SUMPRODUCT(($AZ11&gt;=INDEX('How This Works &amp; Sources'!$B$228:$J$232,0,1))*INDEX('How This Works &amp; Sources'!$B$228:$J$232,0,1+2)),SUMPRODUCT(($AZ11&gt;=INDEX('How This Works &amp; Sources'!$B$219:$J$223,0,7))*INDEX('How This Works &amp; Sources'!$B$219:$J$223,0,7+2))),IF($AN11="WV",IF($AU11="Married",SUMPRODUCT(($AZ11&gt;=INDEX('How This Works &amp; Sources'!$B$237:$J$241,0,7))*INDEX('How This Works &amp; Sources'!$B$237:$J$241,0,7+2)),SUMPRODUCT(($AZ11&gt;=INDEX('How This Works &amp; Sources'!$B$228:$J$232,0,7))*INDEX('How This Works &amp; Sources'!$B$228:$J$232,0,7+2))),IF($AN11="IN",(0.0295+'Your Pay &amp; Benefits'!$C$76),"")))))))))))))</f>
      </c>
      <c r="CC11" s="24">
        <f>IF($B11="","",IF($AN11="AR",SUMPRODUCT(($AZ11&gt;=INDEX('How This Works &amp; Sources'!$B$82:$J$86,0,7))*INDEX('How This Works &amp; Sources'!$B$82:$J$86,0,7+2)),IF($AN11="DE",SUMPRODUCT(($AZ11&gt;=INDEX('How This Works &amp; Sources'!$B$91:$J$98,0,1))*INDEX('How This Works &amp; Sources'!$B$91:$J$98,0,1+2)),IF($AN11="VA",SUMPRODUCT(($AZ11&gt;=INDEX('How This Works &amp; Sources'!$B$219:$J$223,0,4))*INDEX('How This Works &amp; Sources'!$B$219:$J$223,0,4+2)),IF($AN11="WI",SUMPRODUCT(($AZ11&gt;=INDEX('How This Works &amp; Sources'!$B$228:$J$232,0,4))*INDEX('How This Works &amp; Sources'!$B$228:$J$232,0,4+2)),IF($AN11="AZ",'Your Pay &amp; Benefits'!$C$82,IF($AN11="CO",IF($AY11&gt;IF($AU11="Married",10000,5000),0.044,0),IF($AN11="IA",IF($AY11&gt;IF($AU11="Head of household",19500,IF($AU11="Married",26000,13000)),0.038,0),IF($AN11="ID",IF($AY11&gt;IF($AU11="Married",32000,16094),0.053,0),IF($AN11="IL",IF($AY11&gt;(2925*$AS11+1000*$AT11),0.0495,0),IF($AN11="KY",IF($AI11&gt;3360,0.035,0),IF($AN11="LA",0.0309,IF($AN11="MA",IF(MAX(0,$AY11-MIN(($BD10+$Q11+$R11+$S11),2000)-IF($AS11=0,0,IF($AS11=1,4400,1000*$AS11+3400)))&gt;=1107750,0.09,0.05),IF($AN11="MS",IF($AI11-IF($AU11="Head of household",3400,IF($AU11="Married",4600,2300))-'Your Pay &amp; Benefits'!$C$85&gt;10000,0.04,0),IF($AN11="PA",0.0307,"")))))))))))))))</f>
      </c>
      <c r="CD11" s="21">
        <f>IF(YEAR(IF('Your Pay &amp; Benefits'!$C$7="Weekly",'Your Pay &amp; Benefits'!$C$9+7*(($BE10+1)-1),IF('Your Pay &amp; Benefits'!$C$7="Biweekly",'Your Pay &amp; Benefits'!$C$9+14*(($BE10+1)-1),IF('Your Pay &amp; Benefits'!$C$7="Semimonthly",DATE(YEAR('Your Pay &amp; Benefits'!$C$9),MONTH('Your Pay &amp; Benefits'!$C$9)+INT((($BE10+1)-1)/2),MIN(DAY('Your Pay &amp; Benefits'!$C$9),DAY(EOMONTH(DATE(YEAR('Your Pay &amp; Benefits'!$C$9),MONTH('Your Pay &amp; Benefits'!$C$9)+INT((($BE10+1)-1)/2),1),0))))+IF(MOD(($BE10+1)-1,2)=1,15,0),EDATE('Your Pay &amp; Benefits'!$C$9,($BE10+1)-1)))))&lt;&gt;'Your Pay &amp; Benefits'!$C$10,"",IF('Your Pay &amp; Benefits'!$C$7="Weekly",'Your Pay &amp; Benefits'!$C$9+7*(($BE10+1)-1),IF('Your Pay &amp; Benefits'!$C$7="Biweekly",'Your Pay &amp; Benefits'!$C$9+14*(($BE10+1)-1),IF('Your Pay &amp; Benefits'!$C$7="Semimonthly",DATE(YEAR('Your Pay &amp; Benefits'!$C$9),MONTH('Your Pay &amp; Benefits'!$C$9)+INT((($BE10+1)-1)/2),MIN(DAY('Your Pay &amp; Benefits'!$C$9),DAY(EOMONTH(DATE(YEAR('Your Pay &amp; Benefits'!$C$9),MONTH('Your Pay &amp; Benefits'!$C$9)+INT((($BE10+1)-1)/2),1),0))))+IF(MOD(($BE10+1)-1,2)=1,15,0),EDATE('Your Pay &amp; Benefits'!$C$9,($BE10+1)-1)))))</f>
      </c>
      <c r="CE11" s="21">
        <f>IF(MIN(IF(AND('Your Pay &amp; Benefits'!$C$58&gt;MAX($B$6:$B10),'Your Pay &amp; Benefits'!$C$58&gt;=DATE('Your Pay &amp; Benefits'!$C$10,1,1),'Your Pay &amp; Benefits'!$C$58&lt;=DATE('Your Pay &amp; Benefits'!$C$10,12,31)),'Your Pay &amp; Benefits'!$C$58,999999),IF(AND('Your Pay &amp; Benefits'!$C$59&gt;MAX($B$6:$B10),'Your Pay &amp; Benefits'!$C$59&gt;=DATE('Your Pay &amp; Benefits'!$C$10,1,1),'Your Pay &amp; Benefits'!$C$59&lt;=DATE('Your Pay &amp; Benefits'!$C$10,12,31)),'Your Pay &amp; Benefits'!$C$59,999999),IF(AND('Your Pay &amp; Benefits'!$C$60&gt;MAX($B$6:$B10),'Your Pay &amp; Benefits'!$C$60&gt;=DATE('Your Pay &amp; Benefits'!$C$10,1,1),'Your Pay &amp; Benefits'!$C$60&lt;=DATE('Your Pay &amp; Benefits'!$C$10,12,31)),'Your Pay &amp; Benefits'!$C$60,999999),IF(AND('Your Pay &amp; Benefits'!$C$61&gt;MAX($B$6:$B10),'Your Pay &amp; Benefits'!$C$61&gt;=DATE('Your Pay &amp; Benefits'!$C$10,1,1),'Your Pay &amp; Benefits'!$C$61&lt;=DATE('Your Pay &amp; Benefits'!$C$10,12,31)),'Your Pay &amp; Benefits'!$C$61,999999),IF(AND('Your Pay &amp; Benefits'!$C$62&gt;MAX($B$6:$B10),'Your Pay &amp; Benefits'!$C$62&gt;=DATE('Your Pay &amp; Benefits'!$C$10,1,1),'Your Pay &amp; Benefits'!$C$62&lt;=DATE('Your Pay &amp; Benefits'!$C$10,12,31)),'Your Pay &amp; Benefits'!$C$62,999999),IF(AND('Your Pay &amp; Benefits'!$C$63&gt;MAX($B$6:$B10),'Your Pay &amp; Benefits'!$C$63&gt;=DATE('Your Pay &amp; Benefits'!$C$10,1,1),'Your Pay &amp; Benefits'!$C$63&lt;=DATE('Your Pay &amp; Benefits'!$C$10,12,31)),'Your Pay &amp; Benefits'!$C$63,999999),IF(AND('Your Pay &amp; Benefits'!$C$64&gt;MAX($B$6:$B10),'Your Pay &amp; Benefits'!$C$64&gt;=DATE('Your Pay &amp; Benefits'!$C$10,1,1),'Your Pay &amp; Benefits'!$C$64&lt;=DATE('Your Pay &amp; Benefits'!$C$10,12,31)),'Your Pay &amp; Benefits'!$C$64,999999),IF(AND('Your Pay &amp; Benefits'!$C$65&gt;MAX($B$6:$B10),'Your Pay &amp; Benefits'!$C$65&gt;=DATE('Your Pay &amp; Benefits'!$C$10,1,1),'Your Pay &amp; Benefits'!$C$65&lt;=DATE('Your Pay &amp; Benefits'!$C$10,12,31)),'Your Pay &amp; Benefits'!$C$65,999999),IF(AND('Your Pay &amp; Benefits'!$C$66&gt;MAX($B$6:$B10),'Your Pay &amp; Benefits'!$C$66&gt;=DATE('Your Pay &amp; Benefits'!$C$10,1,1),'Your Pay &amp; Benefits'!$C$66&lt;=DATE('Your Pay &amp; Benefits'!$C$10,12,31)),'Your Pay &amp; Benefits'!$C$66,999999),IF(AND('Your Pay &amp; Benefits'!$C$67&gt;MAX($B$6:$B10),'Your Pay &amp; Benefits'!$C$67&gt;=DATE('Your Pay &amp; Benefits'!$C$10,1,1),'Your Pay &amp; Benefits'!$C$67&lt;=DATE('Your Pay &amp; Benefits'!$C$10,12,31)),'Your Pay &amp; Benefits'!$C$67,999999))=999999,"",MIN(IF(AND('Your Pay &amp; Benefits'!$C$58&gt;MAX($B$6:$B10),'Your Pay &amp; Benefits'!$C$58&gt;=DATE('Your Pay &amp; Benefits'!$C$10,1,1),'Your Pay &amp; Benefits'!$C$58&lt;=DATE('Your Pay &amp; Benefits'!$C$10,12,31)),'Your Pay &amp; Benefits'!$C$58,999999),IF(AND('Your Pay &amp; Benefits'!$C$59&gt;MAX($B$6:$B10),'Your Pay &amp; Benefits'!$C$59&gt;=DATE('Your Pay &amp; Benefits'!$C$10,1,1),'Your Pay &amp; Benefits'!$C$59&lt;=DATE('Your Pay &amp; Benefits'!$C$10,12,31)),'Your Pay &amp; Benefits'!$C$59,999999),IF(AND('Your Pay &amp; Benefits'!$C$60&gt;MAX($B$6:$B10),'Your Pay &amp; Benefits'!$C$60&gt;=DATE('Your Pay &amp; Benefits'!$C$10,1,1),'Your Pay &amp; Benefits'!$C$60&lt;=DATE('Your Pay &amp; Benefits'!$C$10,12,31)),'Your Pay &amp; Benefits'!$C$60,999999),IF(AND('Your Pay &amp; Benefits'!$C$61&gt;MAX($B$6:$B10),'Your Pay &amp; Benefits'!$C$61&gt;=DATE('Your Pay &amp; Benefits'!$C$10,1,1),'Your Pay &amp; Benefits'!$C$61&lt;=DATE('Your Pay &amp; Benefits'!$C$10,12,31)),'Your Pay &amp; Benefits'!$C$61,999999),IF(AND('Your Pay &amp; Benefits'!$C$62&gt;MAX($B$6:$B10),'Your Pay &amp; Benefits'!$C$62&gt;=DATE('Your Pay &amp; Benefits'!$C$10,1,1),'Your Pay &amp; Benefits'!$C$62&lt;=DATE('Your Pay &amp; Benefits'!$C$10,12,31)),'Your Pay &amp; Benefits'!$C$62,999999),IF(AND('Your Pay &amp; Benefits'!$C$63&gt;MAX($B$6:$B10),'Your Pay &amp; Benefits'!$C$63&gt;=DATE('Your Pay &amp; Benefits'!$C$10,1,1),'Your Pay &amp; Benefits'!$C$63&lt;=DATE('Your Pay &amp; Benefits'!$C$10,12,31)),'Your Pay &amp; Benefits'!$C$63,999999),IF(AND('Your Pay &amp; Benefits'!$C$64&gt;MAX($B$6:$B10),'Your Pay &amp; Benefits'!$C$64&gt;=DATE('Your Pay &amp; Benefits'!$C$10,1,1),'Your Pay &amp; Benefits'!$C$64&lt;=DATE('Your Pay &amp; Benefits'!$C$10,12,31)),'Your Pay &amp; Benefits'!$C$64,999999),IF(AND('Your Pay &amp; Benefits'!$C$65&gt;MAX($B$6:$B10),'Your Pay &amp; Benefits'!$C$65&gt;=DATE('Your Pay &amp; Benefits'!$C$10,1,1),'Your Pay &amp; Benefits'!$C$65&lt;=DATE('Your Pay &amp; Benefits'!$C$10,12,31)),'Your Pay &amp; Benefits'!$C$65,999999),IF(AND('Your Pay &amp; Benefits'!$C$66&gt;MAX($B$6:$B10),'Your Pay &amp; Benefits'!$C$66&gt;=DATE('Your Pay &amp; Benefits'!$C$10,1,1),'Your Pay &amp; Benefits'!$C$66&lt;=DATE('Your Pay &amp; Benefits'!$C$10,12,31)),'Your Pay &amp; Benefits'!$C$66,999999),IF(AND('Your Pay &amp; Benefits'!$C$67&gt;MAX($B$6:$B10),'Your Pay &amp; Benefits'!$C$67&gt;=DATE('Your Pay &amp; Benefits'!$C$10,1,1),'Your Pay &amp; Benefits'!$C$67&lt;=DATE('Your Pay &amp; Benefits'!$C$10,12,31)),'Your Pay &amp; Benefits'!$C$67,999999)))</f>
      </c>
      <c r="CF11">
        <f>IF($B11="","",IF($D11=0,$Y11,""))</f>
      </c>
    </row>
    <row r="12">
      <c r="A12" t="n">
        <v>7</v>
      </c>
      <c r="B12" s="21">
        <f>IF(AND($CD12="",$CE12=""),"",IF($CE12="",$CD12,IF($CD12="",$CE12,MIN($CD12,$CE12))))</f>
      </c>
      <c r="C12" s="7">
        <f>IF($B12="","",IF($BF12=0,0,IF('Your Pay &amp; Benefits'!$C$4="Annual salary",ROUND($AK12/IF(AND('Your Pay &amp; Benefits'!$C$88="Actual paydays",MONTH('Your Pay &amp; Benefits'!$C$9)=1),MAX(1,MAX($BE$6:$BE$68)),'Your Pay &amp; Benefits'!$C$8),2),$AK12)))</f>
      </c>
      <c r="D12" s="7">
        <f>IF($B12="","",SUMIF('Your Pay &amp; Benefits'!$C$58:$C$67,$B12,'Your Pay &amp; Benefits'!$D$58:$D$67))</f>
      </c>
      <c r="E12" s="7">
        <f>IF($B12="","",ROUND(MAX(0,MIN(IF($AL12="Percent",$AM12*($C12+$D12),$AM12),MAX(0,'Your Pay &amp; Benefits'!$C$34-$AC11))),2))</f>
      </c>
      <c r="F12" s="7">
        <f>IF($B12="","",ROUND(MAX(0,MIN(IF('Your Pay &amp; Benefits'!$C$32="Percent",'Your Pay &amp; Benefits'!$D$32*($C12+$D12),'Your Pay &amp; Benefits'!$D$32),MAX(0,'Your Pay &amp; Benefits'!$C$34-$AC11-$E12))),2))</f>
      </c>
      <c r="G12" s="7">
        <f>IF($B12="","",IF($BF12=0,0,ROUND(MAX(0,MIN($BL12,'Your Pay &amp; Benefits'!$C$37-'Your Pay &amp; Benefits'!$C$54-$BI11)),2)))</f>
      </c>
      <c r="H12" s="7">
        <f>IF($B12="","",IF(OR($BF12=0,$BQ12=1),0,ROUND(MAX(0,MIN(IF($BS12=1,ROUND(MAX(0,MIN($BJ12,'How This Works &amp; Sources'!$C$13)-$BG11)/MAX(1,MAX($BE$6:$BE$68)-($BE11)),2),ROUND(MIN($BJ12,'How This Works &amp; Sources'!$C$13)/'Your Pay &amp; Benefits'!$C$8,2)),MIN($BJ12,'How This Works &amp; Sources'!$C$13)-$BG11)),2)))</f>
      </c>
      <c r="I12" s="7">
        <f>IF($B12="","",IF(OR($BF12=0,$BR12=1),0,ROUND(MAX(0,MIN(IF($BT12=1,ROUND(MAX(0,MIN($BK12,IF('Your Pay &amp; Benefits'!$C$12="MFJ",'How This Works &amp; Sources'!$C$14,'How This Works &amp; Sources'!$C$15))-$BH11)/MAX(1,MAX($BE$6:$BE$68)-($BE11)),2),ROUND(MIN($BK12,IF('Your Pay &amp; Benefits'!$C$12="MFJ",'How This Works &amp; Sources'!$C$14,'How This Works &amp; Sources'!$C$15))/'Your Pay &amp; Benefits'!$C$8,2)),MIN($BK12,IF('Your Pay &amp; Benefits'!$C$12="MFJ",'How This Works &amp; Sources'!$C$14,'How This Works &amp; Sources'!$C$15))-$BH11)),2)))</f>
      </c>
      <c r="J12" s="7">
        <f>IF($B12="","",IF($BF12=0,0,$BM12))</f>
      </c>
      <c r="K12" s="7">
        <f>IF($B12="","",IF($BF12=0,0,$BN12+$BO12))</f>
      </c>
      <c r="L12" s="7">
        <f>IF($B12="","",IF($BF12=0,0,'Your Pay &amp; Benefits'!$D$46))</f>
      </c>
      <c r="M12" s="7">
        <f>IF($B12="","",$C12+$D12+$L12-$E12-$G12-$H12-$I12-$J12-$K12)</f>
      </c>
      <c r="N12" s="7">
        <f>IF($B12="","",$C12+$D12+$L12-$G12-$H12-$I12-$J12-$K12)</f>
      </c>
      <c r="O12" s="7">
        <f>IF($B12="","",$C12+$D12+$L12-$E12-$H12-$I12-$J12-$K12-IF(OR($AN12="CA",$AN12="NJ"),0,$G12))</f>
      </c>
      <c r="P12" s="7">
        <f>IF($B12="","",IF('Your Pay &amp; Benefits'!$C$18,0,ROUND(MAX(0,IF('Your Pay &amp; Benefits'!$C$13,SUMPRODUCT(($AH12&gt;INDEX('How This Works &amp; Sources'!$B$29:$J$36,0,IF('Your Pay &amp; Benefits'!$C$12="MFJ",1,IF('Your Pay &amp; Benefits'!$C$12="HoH",7,4))))*($AH12-INDEX('How This Works &amp; Sources'!$B$29:$J$36,0,IF('Your Pay &amp; Benefits'!$C$12="MFJ",1,IF('Your Pay &amp; Benefits'!$C$12="HoH",7,4))))*INDEX('How This Works &amp; Sources'!$B$29:$J$36,0,IF('Your Pay &amp; Benefits'!$C$12="MFJ",1,IF('Your Pay &amp; Benefits'!$C$12="HoH",7,4))+2)),SUMPRODUCT(($AH12&gt;INDEX('How This Works &amp; Sources'!$B$19:$J$26,0,IF('Your Pay &amp; Benefits'!$C$12="MFJ",1,IF('Your Pay &amp; Benefits'!$C$12="HoH",7,4))))*($AH12-INDEX('How This Works &amp; Sources'!$B$19:$J$26,0,IF('Your Pay &amp; Benefits'!$C$12="MFJ",1,IF('Your Pay &amp; Benefits'!$C$12="HoH",7,4))))*INDEX('How This Works &amp; Sources'!$B$19:$J$26,0,IF('Your Pay &amp; Benefits'!$C$12="MFJ",1,IF('Your Pay &amp; Benefits'!$C$12="HoH",7,4))+2)))/'Your Pay &amp; Benefits'!$C$8-$AO12/'Your Pay &amp; Benefits'!$C$8)+$AR12+IF('Your Pay &amp; Benefits'!$C$89="Aggregate",MAX(0,IF('Your Pay &amp; Benefits'!$C$13,SUMPRODUCT((($AH12+$D12)&gt;INDEX('How This Works &amp; Sources'!$B$29:$J$36,0,IF('Your Pay &amp; Benefits'!$C$12="MFJ",1,IF('Your Pay &amp; Benefits'!$C$12="HoH",7,4))))*(($AH12+$D12)-INDEX('How This Works &amp; Sources'!$B$29:$J$36,0,IF('Your Pay &amp; Benefits'!$C$12="MFJ",1,IF('Your Pay &amp; Benefits'!$C$12="HoH",7,4))))*INDEX('How This Works &amp; Sources'!$B$29:$J$36,0,IF('Your Pay &amp; Benefits'!$C$12="MFJ",1,IF('Your Pay &amp; Benefits'!$C$12="HoH",7,4))+2)),SUMPRODUCT((($AH12+$D12)&gt;INDEX('How This Works &amp; Sources'!$B$19:$J$26,0,IF('Your Pay &amp; Benefits'!$C$12="MFJ",1,IF('Your Pay &amp; Benefits'!$C$12="HoH",7,4))))*(($AH12+$D12)-INDEX('How This Works &amp; Sources'!$B$19:$J$26,0,IF('Your Pay &amp; Benefits'!$C$12="MFJ",1,IF('Your Pay &amp; Benefits'!$C$12="HoH",7,4))))*INDEX('How This Works &amp; Sources'!$B$19:$J$26,0,IF('Your Pay &amp; Benefits'!$C$12="MFJ",1,IF('Your Pay &amp; Benefits'!$C$12="HoH",7,4))+2)))-IF('Your Pay &amp; Benefits'!$C$13,SUMPRODUCT(($AH12&gt;INDEX('How This Works &amp; Sources'!$B$29:$J$36,0,IF('Your Pay &amp; Benefits'!$C$12="MFJ",1,IF('Your Pay &amp; Benefits'!$C$12="HoH",7,4))))*($AH12-INDEX('How This Works &amp; Sources'!$B$29:$J$36,0,IF('Your Pay &amp; Benefits'!$C$12="MFJ",1,IF('Your Pay &amp; Benefits'!$C$12="HoH",7,4))))*INDEX('How This Works &amp; Sources'!$B$29:$J$36,0,IF('Your Pay &amp; Benefits'!$C$12="MFJ",1,IF('Your Pay &amp; Benefits'!$C$12="HoH",7,4))+2)),SUMPRODUCT(($AH12&gt;INDEX('How This Works &amp; Sources'!$B$19:$J$26,0,IF('Your Pay &amp; Benefits'!$C$12="MFJ",1,IF('Your Pay &amp; Benefits'!$C$12="HoH",7,4))))*($AH12-INDEX('How This Works &amp; Sources'!$B$19:$J$26,0,IF('Your Pay &amp; Benefits'!$C$12="MFJ",1,IF('Your Pay &amp; Benefits'!$C$12="HoH",7,4))))*INDEX('How This Works &amp; Sources'!$B$19:$J$26,0,IF('Your Pay &amp; Benefits'!$C$12="MFJ",1,IF('Your Pay &amp; Benefits'!$C$12="HoH",7,4))+2)))),'How This Works &amp; Sources'!$C$10*$D12),2)))</f>
      </c>
      <c r="Q12" s="7">
        <f>IF($B12="","",ROUND('How This Works &amp; Sources'!$C$4*MIN($N12,MAX(0,'How This Works &amp; Sources'!$C$3-($AX12+$AB11-$AW12))),2))</f>
      </c>
      <c r="R12" s="7">
        <f>IF($B12="","",ROUND('How This Works &amp; Sources'!$C$5*$N12,2))</f>
      </c>
      <c r="S12" s="7">
        <f>IF($B12="","",ROUND('How This Works &amp; Sources'!$C$6*MAX(0,MIN($N12,$AG11+$N12-'How This Works &amp; Sources'!$C$7)),2))</f>
      </c>
      <c r="T12" s="7">
        <f>IF($B12="","",IF('Your Pay &amp; Benefits'!$C$26,0,IF($AN12="CA",ROUND(IF($AI12&lt;=IF(($AS12+$AT12)&gt;=2,VLOOKUP($AN12,StateTables!$A$6:$AB$56,10,FALSE),VLOOKUP($AN12,StateTables!$A$6:$AB$56,9,FALSE)),0,MAX(0,SUMPRODUCT(($AJ12&gt;INDEX('How This Works &amp; Sources'!$B$39:$J$48,0,IF($AU12="Married",4,IF($AU12="Head of household",7,1))))*($AJ12-INDEX('How This Works &amp; Sources'!$B$39:$J$48,0,IF($AU12="Married",4,IF($AU12="Head of household",7,1))))*INDEX('How This Works &amp; Sources'!$B$39:$J$48,0,IF($AU12="Married",4,IF($AU12="Head of household",7,1))+2))-VLOOKUP($AN12,StateTables!$A$6:$AB$56,11,FALSE)*$AS12)/'Your Pay &amp; Benefits'!$C$8)+'Your Pay &amp; Benefits'!$C$25+VLOOKUP($AN12,StateTables!$A$6:$AB$56,13,FALSE)*$D12,2),IF(VLOOKUP($AN12,StateTables!$A$6:$AB$56,4,FALSE)="None",0,IF(ISNUMBER(SEARCH("MANUAL",VLOOKUP($AN12,StateTables!$A$6:$AB$56,5,FALSE))),'Your Pay &amp; Benefits'!$C$28,ROUND(MAX(0,$BA12+$BB12)/'Your Pay &amp; Benefits'!$C$8+'Your Pay &amp; Benefits'!$C$25+$BC12,2))))))</f>
      </c>
      <c r="U12" s="7">
        <f>IF($B12="","",IF(VLOOKUP($AN12,StateTables!$A$6:$AB$56,24,FALSE)="flatq",IF(OR(MONTH($B12)=1,MONTH($B12)=4,MONTH($B12)=7,MONTH($B12)=10),VLOOKUP($AN12,StateTables!$A$6:$AB$56,25,FALSE),0),IF(VLOOKUP($AN12,StateTables!$A$6:$AB$56,24,FALSE)="dbl",MIN(ROUND(0.005*$N12,2),ROUND(0.6*52/'Your Pay &amp; Benefits'!$C$8,2)),IF(OR(VLOOKUP($AN12,StateTables!$A$6:$AB$56,15,FALSE)="",VLOOKUP($AN12,StateTables!$A$6:$AB$56,15,FALSE)=0),0,ROUND(VLOOKUP($AN12,StateTables!$A$6:$AB$56,15,FALSE)*IF(OR(VLOOKUP($AN12,StateTables!$A$6:$AB$56,16,FALSE)="",VLOOKUP($AN12,StateTables!$A$6:$AB$56,16,FALSE)=0),$N12,MIN($N12,MAX(0,VLOOKUP($AN12,StateTables!$A$6:$AB$56,16,FALSE)-($AX12+$AB11-$AW12)))),2))))+IF(VLOOKUP($AN12,StateTables!$A$6:$AB$56,27,FALSE)="flatq",IF(OR(MONTH($B12)=1,MONTH($B12)=4,MONTH($B12)=7,MONTH($B12)=10),VLOOKUP($AN12,StateTables!$A$6:$AB$56,28,FALSE),0),IF(VLOOKUP($AN12,StateTables!$A$6:$AB$56,27,FALSE)="dbl",MIN(ROUND(0.005*$N12,2),ROUND(0.6*52/'Your Pay &amp; Benefits'!$C$8,2)),IF(OR(VLOOKUP($AN12,StateTables!$A$6:$AB$56,18,FALSE)="",VLOOKUP($AN12,StateTables!$A$6:$AB$56,18,FALSE)=0),0,ROUND(VLOOKUP($AN12,StateTables!$A$6:$AB$56,18,FALSE)*IF(OR(VLOOKUP($AN12,StateTables!$A$6:$AB$56,19,FALSE)="",VLOOKUP($AN12,StateTables!$A$6:$AB$56,19,FALSE)=0),$N12,MIN($N12,MAX(0,VLOOKUP($AN12,StateTables!$A$6:$AB$56,19,FALSE)-($AX12+$AB11-$AW12)))),2)))))</f>
      </c>
      <c r="V12" s="7">
        <f>IF($B12="","",IF($AN12="NY",IF('Your Pay &amp; Benefits'!$C$78,ROUND(SUMPRODUCT((MAX(0,($O12-$D12)*'Your Pay &amp; Benefits'!$C$8-(IF($AU12="Married",5500,5000)+1000*$AS12))&gt;INDEX('How This Works &amp; Sources'!$B$184:$J$198,0,4))*(MAX(0,($O12-$D12)*'Your Pay &amp; Benefits'!$C$8-(IF($AU12="Married",5500,5000)+1000*$AS12))-INDEX('How This Works &amp; Sources'!$B$184:$J$198,0,4))*INDEX('How This Works &amp; Sources'!$B$184:$J$198,0,4+2))/'Your Pay &amp; Benefits'!$C$8+0.0425*$D12,2),0)+IF('Your Pay &amp; Benefits'!$C$79="Resident",ROUND(0.1675*$T12,2),IF('Your Pay &amp; Benefits'!$C$79="Nonresident",ROUND(0.005*MAX(0,($O12-$D12)-(IF($AU12="Married",7950,7400)+1000*$AS12)/'Your Pay &amp; Benefits'!$C$8),2),0)),IF($AN12="PA",IF('Your Pay &amp; Benefits'!$C$80="None",'Your Pay &amp; Benefits'!$C$27+ROUND('Your Pay &amp; Benefits'!$C$81*($C12+$D12),2),ROUND(IF('Your Pay &amp; Benefits'!$C$80="Resident",IF($B12&lt;DATE(2026,7,1),0.0374,0.03735),IF($B12&lt;DATE(2026,7,1),0.0343,0.03425))*($C12+$D12),2)),IF($BF12=0,ROUND('Your Pay &amp; Benefits'!$C$81*($C12+$D12),2),'Your Pay &amp; Benefits'!$C$27+ROUND('Your Pay &amp; Benefits'!$C$81*($C12+$D12),2)))))</f>
      </c>
      <c r="W12" s="7">
        <f>IF($B12="","",IF($BF12=0,0,$BP12))</f>
      </c>
      <c r="X12" s="7">
        <f>IF($B12="","",SUM($E12:$K12)+$P12+$Q12+$R12+$S12+$T12+$U12+$V12+$W12)</f>
      </c>
      <c r="Y12" s="22">
        <f>IF($B12="","",$C12+$D12-$X12)</f>
      </c>
      <c r="Z12" s="7">
        <f>IF($B12="","",$Z11+$C12+$D12)</f>
      </c>
      <c r="AA12" s="7">
        <f>IF($B12="","",$AA11+$Y12)</f>
      </c>
      <c r="AB12" s="7">
        <f>IF($B12="","",$AB11+MIN($N12,MAX(0,'How This Works &amp; Sources'!$C$3-($AX12+$AB11-$AW12))))</f>
      </c>
      <c r="AC12" s="7">
        <f>IF($B12="","",$AC11+$E12+$F12)</f>
      </c>
      <c r="AD12" s="3">
        <f>IF($B12="","",IF(AND($AB11&lt;'How This Works &amp; Sources'!$C$3,$AB12&gt;='How This Works &amp; Sources'!$C$3),"★ Social Security maxed on this check — from the next check your net rises by about $"&amp;TEXT(ROUND('How This Works &amp; Sources'!$C$4*$N12,2),"#,##0.00")&amp;". ","")&amp;IF(AND($AC11&lt;'Your Pay &amp; Benefits'!$C$34,$AC12&gt;='Your Pay &amp; Benefits'!$C$34),"★ 401(k) reaches the $"&amp;TEXT('Your Pay &amp; Benefits'!$C$34,"#,##0")&amp;" cap on this check — deferrals stop and net pay rises. ","")&amp;IF(AND($AG11&lt;'How This Works &amp; Sources'!$C$7,$AG12&gt;='How This Works &amp; Sources'!$C$7),"★ Wages pass $200,000 — the 0.9% Additional Medicare Tax starts here. ","")&amp;IF(AND($BJ12&gt;0,$H12&gt;0,$BG11&lt;MIN($BJ12,'How This Works &amp; Sources'!$C$13),$BG11+$H12&gt;=MIN($BJ12,'How This Works &amp; Sources'!$C$13)),"★ Health FSA election is now fully deferred for the year. ",""))</f>
      </c>
      <c r="AE12" s="41" t="n"/>
      <c r="AF12" s="7">
        <f>IF(OR($B12="",$AE12=""),"",$AE12-$Y12)</f>
      </c>
      <c r="AG12" s="7">
        <f>IF($B12="","",$AG11+$N12)</f>
      </c>
      <c r="AH12" s="7">
        <f>IF($B12="","",MAX(0,($M12-$D12)*'Your Pay &amp; Benefits'!$C$8+$AP12-$AQ12-IF('Your Pay &amp; Benefits'!$C$13,0,IF('Your Pay &amp; Benefits'!$C$12="MFJ",'How This Works &amp; Sources'!$C$8,'How This Works &amp; Sources'!$C$9))))</f>
      </c>
      <c r="AI12" s="7">
        <f>IF($B12="","",$O12*'Your Pay &amp; Benefits'!$C$8)</f>
      </c>
      <c r="AJ12" s="7">
        <f>IF($B12="","",MAX(0,$AI12-VLOOKUP($AN12,StateTables!$A$6:$AB$56,12,FALSE)*$AT12-IF(($AS12+$AT12)&gt;=2,VLOOKUP($AN12,StateTables!$A$6:$AB$56,8,FALSE),VLOOKUP($AN12,StateTables!$A$6:$AB$56,7,FALSE))))</f>
      </c>
      <c r="AK12" s="7">
        <f>IF($B12="","",IFERROR(LOOKUP(2,1/(('Changes &amp; Events'!$C$6:$C$17="Salary change")*('Changes &amp; Events'!$B$6:$B$17&lt;=$B12)*('Changes &amp; Events'!$B$6:$B$17&lt;&gt;"")),'Changes &amp; Events'!$D$6:$D$17),IF('Your Pay &amp; Benefits'!$C$4="Annual salary",'Your Pay &amp; Benefits'!$C$5,'Your Pay &amp; Benefits'!$C$6)))</f>
      </c>
      <c r="AL12">
        <f>IF($B12="","",IFERROR(LOOKUP(2,1/(('Changes &amp; Events'!$C$6:$C$17="401(k) change")*('Changes &amp; Events'!$B$6:$B$17&lt;=$B12)*('Changes &amp; Events'!$B$6:$B$17&lt;&gt;"")),'Changes &amp; Events'!$D$6:$D$17),'Your Pay &amp; Benefits'!$C$30))</f>
      </c>
      <c r="AM12" s="7">
        <f>IF($B12="","",IFERROR(LOOKUP(2,1/(('Changes &amp; Events'!$C$6:$C$17="401(k) change")*('Changes &amp; Events'!$B$6:$B$17&lt;=$B12)*('Changes &amp; Events'!$B$6:$B$17&lt;&gt;"")),'Changes &amp; Events'!$E$6:$E$17),'Your Pay &amp; Benefits'!$D$31))</f>
      </c>
      <c r="AN12">
        <f>IF($B12="","",IFERROR(LOOKUP(2,1/(('Changes &amp; Events'!$C$6:$C$17="State move")*('Changes &amp; Events'!$B$6:$B$17&lt;=$B12)*('Changes &amp; Events'!$B$6:$B$17&lt;&gt;"")),'Changes &amp; Events'!$D$6:$D$17),'Your Pay &amp; Benefits'!$C$21))</f>
      </c>
      <c r="AO12" s="7">
        <f>IF($B12="","",IFERROR(LOOKUP(2,1/(('Changes &amp; Events'!$C$6:$C$17="W-4 change")*('Changes &amp; Events'!$B$6:$B$17&lt;=$B12)*('Changes &amp; Events'!$B$6:$B$17&lt;&gt;"")),'Changes &amp; Events'!$D$6:$D$17),'Your Pay &amp; Benefits'!$C$14))</f>
      </c>
      <c r="AP12" s="7">
        <f>IF($B12="","",IFERROR(LOOKUP(2,1/(('Changes &amp; Events'!$C$6:$C$17="W-4 change")*('Changes &amp; Events'!$B$6:$B$17&lt;=$B12)*('Changes &amp; Events'!$B$6:$B$17&lt;&gt;"")),'Changes &amp; Events'!$E$6:$E$17),'Your Pay &amp; Benefits'!$C$15))</f>
      </c>
      <c r="AQ12" s="7">
        <f>IF($B12="","",IFERROR(LOOKUP(2,1/(('Changes &amp; Events'!$C$6:$C$17="W-4 change")*('Changes &amp; Events'!$B$6:$B$17&lt;=$B12)*('Changes &amp; Events'!$B$6:$B$17&lt;&gt;"")),'Changes &amp; Events'!$F$6:$F$17),'Your Pay &amp; Benefits'!$C$16))</f>
      </c>
      <c r="AR12" s="7">
        <f>IF($B12="","",IFERROR(LOOKUP(2,1/(('Changes &amp; Events'!$C$6:$C$17="W-4 change")*('Changes &amp; Events'!$B$6:$B$17&lt;=$B12)*('Changes &amp; Events'!$B$6:$B$17&lt;&gt;"")),'Changes &amp; Events'!$G$6:$G$17),'Your Pay &amp; Benefits'!$C$17))</f>
      </c>
      <c r="AS12" s="6">
        <f>IF($B12="","",IFERROR(LOOKUP(2,1/((('Changes &amp; Events'!$C$6:$C$17="State move")+('Changes &amp; Events'!$C$6:$C$17="State cert change"))*('Changes &amp; Events'!$B$6:$B$17&lt;=$B12)*('Changes &amp; Events'!$B$6:$B$17&lt;&gt;"")),'Changes &amp; Events'!$F$6:$F$17),'Your Pay &amp; Benefits'!$C$23))</f>
      </c>
      <c r="AT12" s="6">
        <f>IF($B12="","",IFERROR(LOOKUP(2,1/((('Changes &amp; Events'!$C$6:$C$17="State move")+('Changes &amp; Events'!$C$6:$C$17="State cert change"))*('Changes &amp; Events'!$B$6:$B$17&lt;=$B12)*('Changes &amp; Events'!$B$6:$B$17&lt;&gt;"")),'Changes &amp; Events'!$G$6:$G$17),'Your Pay &amp; Benefits'!$C$24))</f>
      </c>
      <c r="AU12">
        <f>IF($B12="","",IFERROR(LOOKUP(2,1/(('Changes &amp; Events'!$C$6:$C$17="State move")*('Changes &amp; Events'!$B$6:$B$17&lt;=$B12)*('Changes &amp; Events'!$B$6:$B$17&lt;&gt;"")),'Changes &amp; Events'!$E$6:$E$17),'Your Pay &amp; Benefits'!$C$22))</f>
      </c>
      <c r="AV12" s="6">
        <f>IF($B12="","",1+COUNTIFS('Changes &amp; Events'!$C$6:$C$17,"Employer change",'Changes &amp; Events'!$B$6:$B$17,"&lt;="&amp;$B12,'Changes &amp; Events'!$B$6:$B$17,"&lt;&gt;"))</f>
      </c>
      <c r="AW12" s="7">
        <f>IF($B12="","",IF($AV12=1,'Your Pay &amp; Benefits'!$C$49,IF(IFERROR(MATCH(IFERROR(LOOKUP(2,1/(('Changes &amp; Events'!$C$6:$C$17="Employer change")*('Changes &amp; Events'!$B$6:$B$17&lt;=$B12)*('Changes &amp; Events'!$B$6:$B$17&lt;&gt;"")),'Changes &amp; Events'!$B$6:$B$17),""),$B$6:$B$68,1),1)&lt;=1,'Your Pay &amp; Benefits'!$C$49,INDEX($AB$6:$AB$68,MATCH(IFERROR(LOOKUP(2,1/(('Changes &amp; Events'!$C$6:$C$17="Employer change")*('Changes &amp; Events'!$B$6:$B$17&lt;=$B12)*('Changes &amp; Events'!$B$6:$B$17&lt;&gt;"")),'Changes &amp; Events'!$B$6:$B$17),""),$B$6:$B$68,1)-1))))</f>
      </c>
      <c r="AX12" s="7">
        <f>IF($B12="","",IF($AV12=1,'Your Pay &amp; Benefits'!$C$49,IFERROR(LOOKUP(2,1/(('Changes &amp; Events'!$C$6:$C$17="Employer change")*('Changes &amp; Events'!$B$6:$B$17&lt;=$B12)*('Changes &amp; Events'!$B$6:$B$17&lt;&gt;"")),'Changes &amp; Events'!$D$6:$D$17),0)))</f>
      </c>
      <c r="AY12" s="7">
        <f>IF($B12="","",($O12-$D12)*'Your Pay &amp; Benefits'!$C$8)</f>
      </c>
      <c r="AZ12" s="7">
        <f>IF($B12="","",IF($AN12="AL",MAX(0,$AY12-IF($AU12="Married",IF($AY12&lt;=25999,8500,MAX(5000,8500-175*CEILING(($AY12-25999)/500,1))),IF($AU12="Head of household",IF($AY12&lt;=25999,5200,MAX(2500,5200-135*CEILING(($AY12-25999)/500,1))),IF($AY12&lt;=25999,3000,MAX(2500,3000-25*CEILING(($AY12-25999)/500,1)))))-($P12-'How This Works &amp; Sources'!$C$10*$D12)*'Your Pay &amp; Benefits'!$C$8-IF(OR($AU12="Married",$AU12="Head of household"),3000,1500)-$AT12*IF($AY12&lt;=50000,1000,IF($AY12&lt;=100000,500,300))),IF($AN12="AR",IF(MAX(0,$AY12-2470)&lt;97701,INT(MAX(0,$AY12-2470)/100)*100+50,MAX(0,$AY12-2470)),IF($AN12="DE",MAX(0,$AI12-3250),IF($AN12="HI",MAX(0,$AI12-1144*$AS12-4350),IF($AN12="KS",MAX(0,$AI12-(9160*IF($AU12="Married",2,1)+2320*$AT12+IF($AU12="Head of household",2320,0))),IF($AN12="MD",MAX(0,$AI12-3400-3200*$AS12),IF($AN12="MN",MAX(0,$AY12-5300*$AS12),IF($AN12="MO",MAX(0,$AI12-IF($AU12="Head of household",24150,IF($AU12="Married",IF('Your Pay &amp; Benefits'!$C$83,16100,32200),16100))),IF($AN12="MT",$AY12,IF($AN12="ND",($C12+$L12)*'Your Pay &amp; Benefits'!$C$8,IF($AN12="NE",MAX(0,$AY12-2440*$AS12),IF($AN12="NJ",MAX(0,$AY12-1000*$AS12),IF($AN12="NY",MAX(0,$AY12-(IF($AU12="Married",7950,7400)+1000*$AS12)),IF($AN12="OH",MAX(0,$AY12-650*$AS12),IF($AN12="OK",MAX(0,$AY12-1000*$AS12),IF($AN12="RI",MAX(0,$AI12-1000*$AS12),IF($AN12="SC",MAX(0,$AI12-5000*$AS12-IF($AS12=0,0,MIN(0.1*$AI12,7500))),IF($AN12="VA",MAX(0,$AI12-IF($AU12="Married",17500,8750)-930*$AS12-800*$AT12),IF($AN12="VT",MAX(0,$AI12-5400*$AS12),IF($AN12="WI",MAX(0,$AI12-MAX(0,IF($AU12="Married",9461-0.2*MAX(0,$AI12-25727),6702-0.12*MAX(0,$AI12-17780)))-400*$AS12),IF($AN12="WV",MAX(0,$AI12-2000*$AS12),$AI12))))))))))))))))))))))</f>
      </c>
      <c r="BA12" s="7">
        <f>IF($B12="","",IF($BW12&lt;&gt;"",$BW12,IF($BX12&lt;&gt;"",$BX12,IF($BY12&lt;&gt;"",$BY12,0))))</f>
      </c>
      <c r="BB12" s="7">
        <f>IF($B12="","",IF($AN12="AR",-29*$AS12,IF($AN12="DE",-110*$AS12,IF($AN12="MD",$AZ12*'Your Pay &amp; Benefits'!$C$74,IF($AN12="AZ",'Your Pay &amp; Benefits'!$C$82*($M12-$D12)*'Your Pay &amp; Benefits'!$C$8,IF($AN12="CO",0.044*MAX(0,$AY12-IF($AU12="Married",10000,5000)),IF($AN12="IA",MAX(0,0.038*MAX(0,$AY12-IF($AU12="Head of household",19500,IF($AU12="Married",26000,13000)))-40*$AS12),IF($AN12="ID",0.053*MAX(0,$AY12-IF($AU12="Married",32000,16094)),IF($AN12="IL",0.0495*MAX(0,$AY12-(2925*$AS12+1000*$AT12)),IF($AN12="IN",(0.0295+'Your Pay &amp; Benefits'!$C$76)*MAX(0,$AY12-(1000*$AS12+1500*$AT12+3000*'Your Pay &amp; Benefits'!$C$86)),IF($AN12="KY",0.035*MAX(0,$AI12-3360),IF($AN12="LA",IF('Your Pay &amp; Benefits'!$C$84="0",0.0309*$AI12,0.0309*MAX(0,$AI12-IF('Your Pay &amp; Benefits'!$C$84="2",25750,12875))),IF($AN12="MA",0.05*MIN(MAX(0,$AY12-MIN(($BD11+$Q12+$R12+$S12),2000)-IF($AS12=0,0,IF($AS12=1,4400,1000*$AS12+3400))),1107750)+0.09*MAX(0,MAX(0,$AY12-MIN(($BD11+$Q12+$R12+$S12),2000)-IF($AS12=0,0,IF($AS12=1,4400,1000*$AS12+3400)))-1107750)-IF($AU12="Head of household",120,0)-110*'Your Pay &amp; Benefits'!$C$75,IF($AN12="MI",0.0425*MAX(0,$AY12-5900*$AS12),IF($AN12="MS",0.04*MAX(0,$AI12-IF($AU12="Head of household",3400,IF($AU12="Married",4600,2300))-'Your Pay &amp; Benefits'!$C$85-10000),IF($AN12="OR",IF(OR($AU12="Married",AND($AU12="Single",$AS12&gt;=3)),SUMPRODUCT((MAX(0,$AY12-MIN(($P12-'How This Works &amp; Sources'!$C$10*$D12)*'Your Pay &amp; Benefits'!$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Sources'!$B$211:$J$214,0,4))*(MAX(0,$AY12-MIN(($P12-'How This Works &amp; Sources'!$C$10*$D12)*'Your Pay &amp; Benefits'!$C$8,IF(OR($AU12="Married",AND($AU12="Single",$AS12&gt;=3)),IF($AY12&lt;250000,8750,IF($AY12&lt;260000,7000,IF($AY12&lt;270000,5250,IF($AY12&lt;280000,3500,IF($AY12&lt;290000,1750,0))))),IF($AY12&lt;125000,8750,IF($AY12&lt;130000,7000,IF($AY12&lt;135000,5250,IF($AY12&lt;140000,3500,IF($AY12&lt;145000,1750,0)))))))-IF(OR($AU12="Married",AND($AU12="Single",$AS12&gt;=3)),5820,2910))-INDEX('How This Works &amp; Sources'!$B$211:$J$214,0,4))*INDEX('How This Works &amp; Sources'!$B$211:$J$214,0,4+2)),SUMPRODUCT((MAX(0,$AY12-MIN(($P12-'How This Works &amp; Sources'!$C$10*$D12)*'Your Pay &amp; Benefits'!$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Sources'!$B$211:$J$214,0,1))*(MAX(0,$AY12-MIN(($P12-'How This Works &amp; Sources'!$C$10*$D12)*'Your Pay &amp; Benefits'!$C$8,IF(OR($AU12="Married",AND($AU12="Single",$AS12&gt;=3)),IF($AY12&lt;250000,8750,IF($AY12&lt;260000,7000,IF($AY12&lt;270000,5250,IF($AY12&lt;280000,3500,IF($AY12&lt;290000,1750,0))))),IF($AY12&lt;125000,8750,IF($AY12&lt;130000,7000,IF($AY12&lt;135000,5250,IF($AY12&lt;140000,3500,IF($AY12&lt;145000,1750,0)))))))-IF(OR($AU12="Married",AND($AU12="Single",$AS12&gt;=3)),5820,2910))-INDEX('How This Works &amp; Sources'!$B$211:$J$214,0,1))*INDEX('How This Works &amp; Sources'!$B$211:$J$214,0,1+2)))+263-263*IF(IF($AU12="Married",$AY12&gt;200000,$AY12&gt;100000),0,$AS12),IF($AN12="PA",0.0307*(($O12+$E12+$G12)*'Your Pay &amp; Benefits'!$C$8),IF($AN12="NY",IF($AU12="Married",IF($AZ12&gt;=2155350,0,IF($AZ12&gt;=1077550,0.48,IF($AZ12&gt;=373200,1.21,IF($AZ12&gt;=323200,0.21,IF($AZ12&gt;=211550,-0.19,IF($AZ12&gt;=157650,-2.8,IF($AZ12&gt;=107650,-0.8,IF($AZ12&gt;=96800,0.05,IF($AZ12&gt;=80650,-0.1,IF($AZ12&gt;=13900,0.4,IF($AZ12&gt;=11700,-0.3,IF($AZ12&gt;=8500,0.5,0)))))))))))),IF($AZ12&gt;=1077550,0,IF($AZ12&gt;=265400,4.29,IF($AZ12&gt;=215400,2.29,IF($AZ12&gt;=157650,2.29,IF($AZ12&gt;=107650,0.29,IF($AZ12&gt;=96800,0.05,IF($AZ12&gt;=80650,-0.1,IF($AZ12&gt;=13900,0.4,IF($AZ12&gt;=11700,-0.3,IF($AZ12&gt;=8500,0.5,0))))))))))),0))))))))))))))))))</f>
      </c>
      <c r="BC12" s="7">
        <f>IF($B12="","",IF($AN12="AL",0.05*$D12,IF($AN12="AR",0.039*$D12,IF($AN12="ID",0.053*$D12,IF($AN12="IN",(0.0295+'Your Pay &amp; Benefits'!$C$76)*$D12,IF($AN12="KS",0.05*$D12,IF($AN12="MA",0.09*MIN($D12,MAX(0,MAX(0,$AY12-MIN(($BD11+$Q12+$R12+$S12),2000)-IF($AS12=0,0,IF($AS12=1,4400,1000*$AS12+3400)))+$D12-1107750))+0.05*($D12-MIN($D12,MAX(0,MAX(0,$AY12-MIN(($BD11+$Q12+$R12+$S12),2000)-IF($AS12=0,0,IF($AS12=1,4400,1000*$AS12+3400)))+$D12-1107750))),IF($AN12="MD",(0.065+'Your Pay &amp; Benefits'!$C$74)*$D12,IF($AN12="MI",0.0425*$D12,IF($AN12="MN",0.0625*$D12,IF($AN12="MO",0.047*$D12,IF($AN12="MT",0.05*$D12,IF($AN12="ND",0.015*$D12,IF($AN12="NE",0.035*$D12,IF($AN12="NJ",IF('Your Pay &amp; Benefits'!$C$77="B",SUMPRODUCT(($D12*'Your Pay &amp; Benefits'!$C$8&gt;INDEX('How This Works &amp; Sources'!$B$155:$J$162,0,4))*($D12*'Your Pay &amp; Benefits'!$C$8-INDEX('How This Works &amp; Sources'!$B$155:$J$162,0,4))*INDEX('How This Works &amp; Sources'!$B$155:$J$162,0,4+2)),IF('Your Pay &amp; Benefits'!$C$77="C",SUMPRODUCT(($D12*'Your Pay &amp; Benefits'!$C$8&gt;INDEX('How This Works &amp; Sources'!$B$155:$J$162,0,7))*($D12*'Your Pay &amp; Benefits'!$C$8-INDEX('How This Works &amp; Sources'!$B$155:$J$162,0,7))*INDEX('How This Works &amp; Sources'!$B$155:$J$162,0,7+2)),IF('Your Pay &amp; Benefits'!$C$77="D",SUMPRODUCT(($D12*'Your Pay &amp; Benefits'!$C$8&gt;INDEX('How This Works &amp; Sources'!$B$167:$J$179,0,1))*($D12*'Your Pay &amp; Benefits'!$C$8-INDEX('How This Works &amp; Sources'!$B$167:$J$179,0,1))*INDEX('How This Works &amp; Sources'!$B$167:$J$179,0,1+2)),IF('Your Pay &amp; Benefits'!$C$77="E",SUMPRODUCT(($D12*'Your Pay &amp; Benefits'!$C$8&gt;INDEX('How This Works &amp; Sources'!$B$167:$J$179,0,4))*($D12*'Your Pay &amp; Benefits'!$C$8-INDEX('How This Works &amp; Sources'!$B$167:$J$179,0,4))*INDEX('How This Works &amp; Sources'!$B$167:$J$179,0,4+2)),SUMPRODUCT(($D12*'Your Pay &amp; Benefits'!$C$8&gt;INDEX('How This Works &amp; Sources'!$B$155:$J$162,0,1))*($D12*'Your Pay &amp; Benefits'!$C$8-INDEX('How This Works &amp; Sources'!$B$155:$J$162,0,1))*INDEX('How This Works &amp; Sources'!$B$155:$J$162,0,1+2))))))/'Your Pay &amp; Benefits'!$C$8,IF($AN12="NY",0.117*$D12,IF($AN12="OH",0.0275*$D12,IF($AN12="OK",0.045*$D12,IF($AN12="OR",0.08*$D12,IF($AN12="WI",IF($AY12&lt;12760,0.0354,IF($AY12&lt;25520,0.0465,IF($AY12&lt;280950,0.053,0.0765)))*$D12,0))))))))))))))))))))</f>
      </c>
      <c r="BD12" s="7">
        <f>IF($B12="","",$BD11+$Q12+$R12+$S12)</f>
      </c>
      <c r="BE12" s="6">
        <f>IF($B12="",$BE11,$BE11+$BF12)</f>
      </c>
      <c r="BF12" s="6">
        <f>IF($B12="","",IF(AND(IF(YEAR(IF('Your Pay &amp; Benefits'!$C$7="Weekly",'Your Pay &amp; Benefits'!$C$9+7*(($BE11+1)-1),IF('Your Pay &amp; Benefits'!$C$7="Biweekly",'Your Pay &amp; Benefits'!$C$9+14*(($BE11+1)-1),IF('Your Pay &amp; Benefits'!$C$7="Semimonthly",DATE(YEAR('Your Pay &amp; Benefits'!$C$9),MONTH('Your Pay &amp; Benefits'!$C$9)+INT((($BE11+1)-1)/2),MIN(DAY('Your Pay &amp; Benefits'!$C$9),DAY(EOMONTH(DATE(YEAR('Your Pay &amp; Benefits'!$C$9),MONTH('Your Pay &amp; Benefits'!$C$9)+INT((($BE11+1)-1)/2),1),0))))+IF(MOD(($BE11+1)-1,2)=1,15,0),EDATE('Your Pay &amp; Benefits'!$C$9,($BE11+1)-1)))))&lt;&gt;'Your Pay &amp; Benefits'!$C$10,"",IF('Your Pay &amp; Benefits'!$C$7="Weekly",'Your Pay &amp; Benefits'!$C$9+7*(($BE11+1)-1),IF('Your Pay &amp; Benefits'!$C$7="Biweekly",'Your Pay &amp; Benefits'!$C$9+14*(($BE11+1)-1),IF('Your Pay &amp; Benefits'!$C$7="Semimonthly",DATE(YEAR('Your Pay &amp; Benefits'!$C$9),MONTH('Your Pay &amp; Benefits'!$C$9)+INT((($BE11+1)-1)/2),MIN(DAY('Your Pay &amp; Benefits'!$C$9),DAY(EOMONTH(DATE(YEAR('Your Pay &amp; Benefits'!$C$9),MONTH('Your Pay &amp; Benefits'!$C$9)+INT((($BE11+1)-1)/2),1),0))))+IF(MOD(($BE11+1)-1,2)=1,15,0),EDATE('Your Pay &amp; Benefits'!$C$9,($BE11+1)-1)))))&lt;&gt;"",$B12=IF(YEAR(IF('Your Pay &amp; Benefits'!$C$7="Weekly",'Your Pay &amp; Benefits'!$C$9+7*(($BE11+1)-1),IF('Your Pay &amp; Benefits'!$C$7="Biweekly",'Your Pay &amp; Benefits'!$C$9+14*(($BE11+1)-1),IF('Your Pay &amp; Benefits'!$C$7="Semimonthly",DATE(YEAR('Your Pay &amp; Benefits'!$C$9),MONTH('Your Pay &amp; Benefits'!$C$9)+INT((($BE11+1)-1)/2),MIN(DAY('Your Pay &amp; Benefits'!$C$9),DAY(EOMONTH(DATE(YEAR('Your Pay &amp; Benefits'!$C$9),MONTH('Your Pay &amp; Benefits'!$C$9)+INT((($BE11+1)-1)/2),1),0))))+IF(MOD(($BE11+1)-1,2)=1,15,0),EDATE('Your Pay &amp; Benefits'!$C$9,($BE11+1)-1)))))&lt;&gt;'Your Pay &amp; Benefits'!$C$10,"",IF('Your Pay &amp; Benefits'!$C$7="Weekly",'Your Pay &amp; Benefits'!$C$9+7*(($BE11+1)-1),IF('Your Pay &amp; Benefits'!$C$7="Biweekly",'Your Pay &amp; Benefits'!$C$9+14*(($BE11+1)-1),IF('Your Pay &amp; Benefits'!$C$7="Semimonthly",DATE(YEAR('Your Pay &amp; Benefits'!$C$9),MONTH('Your Pay &amp; Benefits'!$C$9)+INT((($BE11+1)-1)/2),MIN(DAY('Your Pay &amp; Benefits'!$C$9),DAY(EOMONTH(DATE(YEAR('Your Pay &amp; Benefits'!$C$9),MONTH('Your Pay &amp; Benefits'!$C$9)+INT((($BE11+1)-1)/2),1),0))))+IF(MOD(($BE11+1)-1,2)=1,15,0),EDATE('Your Pay &amp; Benefits'!$C$9,($BE11+1)-1)))))),1,0))</f>
      </c>
      <c r="BG12" s="7">
        <f>IF($B12="","",$BG11+$H12)</f>
      </c>
      <c r="BH12" s="7">
        <f>IF($B12="","",$BH11+$I12)</f>
      </c>
      <c r="BI12" s="7">
        <f>IF($B12="","",$BI11+$G12)</f>
      </c>
      <c r="BJ12" s="7">
        <f>IF($B12="","",IFERROR(LOOKUP(2,1/(((('Changes &amp; Events'!$C$6:$C$17="Deduction start"))*('Changes &amp; Events'!$D$6:$D$17="Health FSA"))*('Changes &amp; Events'!$B$6:$B$17&lt;=$B12)*('Changes &amp; Events'!$B$6:$B$17&lt;&gt;"")),'Changes &amp; Events'!$E$6:$E$17),'Your Pay &amp; Benefits'!$D$38))</f>
      </c>
      <c r="BK12" s="7">
        <f>IF($B12="","",IFERROR(LOOKUP(2,1/(((('Changes &amp; Events'!$C$6:$C$17="Deduction start"))*('Changes &amp; Events'!$D$6:$D$17="Dependent-care FSA"))*('Changes &amp; Events'!$B$6:$B$17&lt;=$B12)*('Changes &amp; Events'!$B$6:$B$17&lt;&gt;"")),'Changes &amp; Events'!$E$6:$E$17),'Your Pay &amp; Benefits'!$D$39))</f>
      </c>
      <c r="BL12" s="7">
        <f>IF($B12="","",IFERROR(LOOKUP(2,1/(((('Changes &amp; Events'!$C$6:$C$17="Deduction start")+('Changes &amp; Events'!$C$6:$C$17="Deduction stop"))*('Changes &amp; Events'!$D$6:$D$17="HSA"))*('Changes &amp; Events'!$B$6:$B$17&lt;=$B12)*('Changes &amp; Events'!$B$6:$B$17&lt;&gt;"")),'Changes &amp; Events'!$I$6:$I$17),'Your Pay &amp; Benefits'!$D$35))</f>
      </c>
      <c r="BM12" s="7">
        <f>IF($B12="","",IFERROR(LOOKUP(2,1/(((('Changes &amp; Events'!$C$6:$C$17="Deduction start")+('Changes &amp; Events'!$C$6:$C$17="Deduction stop"))*('Changes &amp; Events'!$D$6:$D$17="Premiums"))*('Changes &amp; Events'!$B$6:$B$17&lt;=$B12)*('Changes &amp; Events'!$B$6:$B$17&lt;&gt;"")),'Changes &amp; Events'!$I$6:$I$17),'Your Pay &amp; Benefits'!$D$40+'Your Pay &amp; Benefits'!$D$41+'Your Pay &amp; Benefits'!$D$42))</f>
      </c>
      <c r="BN12" s="7">
        <f>IF($B12="","",IFERROR(LOOKUP(2,1/(((('Changes &amp; Events'!$C$6:$C$17="Deduction start")+('Changes &amp; Events'!$C$6:$C$17="Deduction stop"))*('Changes &amp; Events'!$D$6:$D$17="Commuter"))*('Changes &amp; Events'!$B$6:$B$17&lt;=$B12)*('Changes &amp; Events'!$B$6:$B$17&lt;&gt;"")),'Changes &amp; Events'!$I$6:$I$17),'Your Pay &amp; Benefits'!$D$43))</f>
      </c>
      <c r="BO12" s="7">
        <f>IF($B12="","",IFERROR(LOOKUP(2,1/(((('Changes &amp; Events'!$C$6:$C$17="Deduction start")+('Changes &amp; Events'!$C$6:$C$17="Deduction stop"))*('Changes &amp; Events'!$D$6:$D$17="Other pre-tax"))*('Changes &amp; Events'!$B$6:$B$17&lt;=$B12)*('Changes &amp; Events'!$B$6:$B$17&lt;&gt;"")),'Changes &amp; Events'!$I$6:$I$17),'Your Pay &amp; Benefits'!$D$44))</f>
      </c>
      <c r="BP12" s="7">
        <f>IF($B12="","",IFERROR(LOOKUP(2,1/(((('Changes &amp; Events'!$C$6:$C$17="Deduction start")+('Changes &amp; Events'!$C$6:$C$17="Deduction stop"))*('Changes &amp; Events'!$D$6:$D$17="Other post-tax"))*('Changes &amp; Events'!$B$6:$B$17&lt;=$B12)*('Changes &amp; Events'!$B$6:$B$17&lt;&gt;"")),'Changes &amp; Events'!$I$6:$I$17),'Your Pay &amp; Benefits'!$D$45))</f>
      </c>
      <c r="BQ12" s="6">
        <f>IF($B12="","",IFERROR(LOOKUP(2,1/(((('Changes &amp; Events'!$C$6:$C$17="Deduction start")+('Changes &amp; Events'!$C$6:$C$17="Deduction stop"))*('Changes &amp; Events'!$D$6:$D$17="Health FSA"))*('Changes &amp; Events'!$B$6:$B$17&lt;=$B12)*('Changes &amp; Events'!$B$6:$B$17&lt;&gt;"")),'Changes &amp; Events'!$J$6:$J$17),0))</f>
      </c>
      <c r="BR12" s="6">
        <f>IF($B12="","",IFERROR(LOOKUP(2,1/(((('Changes &amp; Events'!$C$6:$C$17="Deduction start")+('Changes &amp; Events'!$C$6:$C$17="Deduction stop"))*('Changes &amp; Events'!$D$6:$D$17="Dependent-care FSA"))*('Changes &amp; Events'!$B$6:$B$17&lt;=$B12)*('Changes &amp; Events'!$B$6:$B$17&lt;&gt;"")),'Changes &amp; Events'!$J$6:$J$17),0))</f>
      </c>
      <c r="BS12" s="6">
        <f>IF($B12="","",IF(SUMPRODUCT(('Changes &amp; Events'!$C$6:$C$17="Deduction start")*('Changes &amp; Events'!$B$6:$B$17&lt;=$B12)*('Changes &amp; Events'!$B$6:$B$17&lt;&gt;"")*('Changes &amp; Events'!$D$6:$D$17="Health FSA"))&gt;0,1,0))</f>
      </c>
      <c r="BT12" s="6">
        <f>IF($B12="","",IF(SUMPRODUCT(('Changes &amp; Events'!$C$6:$C$17="Deduction start")*('Changes &amp; Events'!$B$6:$B$17&lt;=$B12)*('Changes &amp; Events'!$B$6:$B$17&lt;&gt;"")*('Changes &amp; Events'!$D$6:$D$17="Dependent-care FSA"))&gt;0,1,0))</f>
      </c>
      <c r="BU12" s="24">
        <f>IF($B12="","",IF('Your Pay &amp; Benefits'!$C$13,SUMPRODUCT(($AH12&gt;=INDEX('How This Works &amp; Sources'!$B$29:$J$36,0,IF('Your Pay &amp; Benefits'!$C$12="MFJ",1,IF('Your Pay &amp; Benefits'!$C$12="HoH",7,4))))*INDEX('How This Works &amp; Sources'!$B$29:$J$36,0,IF('Your Pay &amp; Benefits'!$C$12="MFJ",1,IF('Your Pay &amp; Benefits'!$C$12="HoH",7,4))+2)),SUMPRODUCT(($AH12&gt;=INDEX('How This Works &amp; Sources'!$B$19:$J$26,0,IF('Your Pay &amp; Benefits'!$C$12="MFJ",1,IF('Your Pay &amp; Benefits'!$C$12="HoH",7,4))))*INDEX('How This Works &amp; Sources'!$B$19:$J$26,0,IF('Your Pay &amp; Benefits'!$C$12="MFJ",1,IF('Your Pay &amp; Benefits'!$C$12="HoH",7,4))+2))))</f>
      </c>
      <c r="BV12" s="24">
        <f>IF($B12="","",IF($BZ12&lt;&gt;"",$BZ12,IF($CA12&lt;&gt;"",$CA12,IF($CB12&lt;&gt;"",$CB12,IF($CC12&lt;&gt;"",$CC12,0)))))</f>
      </c>
      <c r="BW12" s="7">
        <f>IF($B12="","",IF($AN12="MD",IF(OR($AU12="Married",$AU12="Head of household"),SUMPRODUCT(($AZ12&gt;INDEX('How This Works &amp; Sources'!$B$114:$J$120,0,1))*($AZ12-INDEX('How This Works &amp; Sources'!$B$114:$J$120,0,1))*INDEX('How This Works &amp; Sources'!$B$114:$J$120,0,1+2)),SUMPRODUCT(($AZ12&gt;INDEX('How This Works &amp; Sources'!$B$103:$J$109,0,7))*($AZ12-INDEX('How This Works &amp; Sources'!$B$103:$J$109,0,7))*INDEX('How This Works &amp; Sources'!$B$103:$J$109,0,7+2))),IF($AN12="MO",SUMPRODUCT(($AZ12&gt;INDEX('How This Works &amp; Sources'!$B$125:$J$132,0,1))*($AZ12-INDEX('How This Works &amp; Sources'!$B$125:$J$132,0,1))*INDEX('How This Works &amp; Sources'!$B$125:$J$132,0,1+2)),IF($AN12="MT",IF($AU12="Head of household",SUMPRODUCT(($AZ12&gt;INDEX('How This Works &amp; Sources'!$B$137:$J$139,0,1))*($AZ12-INDEX('How This Works &amp; Sources'!$B$137:$J$139,0,1))*INDEX('How This Works &amp; Sources'!$B$137:$J$139,0,1+2)),IF($AU12="Married",SUMPRODUCT(($AZ12&gt;INDEX('How This Works &amp; Sources'!$B$125:$J$132,0,7))*($AZ12-INDEX('How This Works &amp; Sources'!$B$125:$J$132,0,7))*INDEX('How This Works &amp; Sources'!$B$125:$J$132,0,7+2)),SUMPRODUCT(($AZ12&gt;INDEX('How This Works &amp; Sources'!$B$125:$J$132,0,4))*($AZ12-INDEX('How This Works &amp; Sources'!$B$125:$J$132,0,4))*INDEX('How This Works &amp; Sources'!$B$125:$J$132,0,4+2)))),IF($AN12="ND",IF($AU12="Head of household",SUMPRODUCT(($AZ12&gt;INDEX('How This Works &amp; Sources'!$B$144:$J$150,0,1))*($AZ12-INDEX('How This Works &amp; Sources'!$B$144:$J$150,0,1))*INDEX('How This Works &amp; Sources'!$B$144:$J$150,0,1+2)),IF($AU12="Married",SUMPRODUCT(($AZ12&gt;INDEX('How This Works &amp; Sources'!$B$137:$J$139,0,7))*($AZ12-INDEX('How This Works &amp; Sources'!$B$137:$J$139,0,7))*INDEX('How This Works &amp; Sources'!$B$137:$J$139,0,7+2)),SUMPRODUCT(($AZ12&gt;INDEX('How This Works &amp; Sources'!$B$137:$J$139,0,4))*($AZ12-INDEX('How This Works &amp; Sources'!$B$137:$J$139,0,4))*INDEX('How This Works &amp; Sources'!$B$137:$J$139,0,4+2)))),IF($AN12="NJ",IF('Your Pay &amp; Benefits'!$C$77="B",SUMPRODUCT(($AZ12&gt;INDEX('How This Works &amp; Sources'!$B$155:$J$162,0,4))*($AZ12-INDEX('How This Works &amp; Sources'!$B$155:$J$162,0,4))*INDEX('How This Works &amp; Sources'!$B$155:$J$162,0,4+2)),IF('Your Pay &amp; Benefits'!$C$77="C",SUMPRODUCT(($AZ12&gt;INDEX('How This Works &amp; Sources'!$B$155:$J$162,0,7))*($AZ12-INDEX('How This Works &amp; Sources'!$B$155:$J$162,0,7))*INDEX('How This Works &amp; Sources'!$B$155:$J$162,0,7+2)),IF('Your Pay &amp; Benefits'!$C$77="D",SUMPRODUCT(($AZ12&gt;INDEX('How This Works &amp; Sources'!$B$167:$J$179,0,1))*($AZ12-INDEX('How This Works &amp; Sources'!$B$167:$J$179,0,1))*INDEX('How This Works &amp; Sources'!$B$167:$J$179,0,1+2)),IF('Your Pay &amp; Benefits'!$C$77="E",SUMPRODUCT(($AZ12&gt;INDEX('How This Works &amp; Sources'!$B$167:$J$179,0,4))*($AZ12-INDEX('How This Works &amp; Sources'!$B$167:$J$179,0,4))*INDEX('How This Works &amp; Sources'!$B$167:$J$179,0,4+2)),SUMPRODUCT(($AZ12&gt;INDEX('How This Works &amp; Sources'!$B$155:$J$162,0,1))*($AZ12-INDEX('How This Works &amp; Sources'!$B$155:$J$162,0,1))*INDEX('How This Works &amp; Sources'!$B$155:$J$162,0,1+2)))))),IF($AN12="NY",IF($AU12="Married",IF($AZ12&gt;=2155350,$AZ12*IF($AZ12&gt;25000000,0.117,IF($AZ12&gt;5000000,0.111,0.1045)),SUMPRODUCT(($AZ12&gt;INDEX('How This Works &amp; Sources'!$B$184:$J$198,0,1))*($AZ12-INDEX('How This Works &amp; Sources'!$B$184:$J$198,0,1))*INDEX('How This Works &amp; Sources'!$B$184:$J$198,0,1+2))),IF($AZ12&gt;=1077550,$AZ12*IF($AZ12&gt;25000000,0.117,IF($AZ12&gt;5000000,0.111,0.1045)),SUMPRODUCT(($AZ12&gt;INDEX('How This Works &amp; Sources'!$B$167:$J$179,0,7))*($AZ12-INDEX('How This Works &amp; Sources'!$B$167:$J$179,0,7))*INDEX('How This Works &amp; Sources'!$B$167:$J$179,0,7+2)))),"")))))))</f>
      </c>
      <c r="BX12" s="7">
        <f>IF($B12="","",IF($AN12="AL",IF(OR($AU12="Married",$AU12="Head of household"),SUMPRODUCT(($AZ12&gt;INDEX('How This Works &amp; Sources'!$B$82:$J$86,0,4))*($AZ12-INDEX('How This Works &amp; Sources'!$B$82:$J$86,0,4))*INDEX('How This Works &amp; Sources'!$B$82:$J$86,0,4+2)),SUMPRODUCT(($AZ12&gt;INDEX('How This Works &amp; Sources'!$B$82:$J$86,0,1))*($AZ12-INDEX('How This Works &amp; Sources'!$B$82:$J$86,0,1))*INDEX('How This Works &amp; Sources'!$B$82:$J$86,0,1+2))),IF($AN12="KS",IF($AU12="Married",SUMPRODUCT(($AZ12&gt;INDEX('How This Works &amp; Sources'!$B$103:$J$109,0,4))*($AZ12-INDEX('How This Works &amp; Sources'!$B$103:$J$109,0,4))*INDEX('How This Works &amp; Sources'!$B$103:$J$109,0,4+2)),SUMPRODUCT(($AZ12&gt;INDEX('How This Works &amp; Sources'!$B$103:$J$109,0,1))*($AZ12-INDEX('How This Works &amp; Sources'!$B$103:$J$109,0,1))*INDEX('How This Works &amp; Sources'!$B$103:$J$109,0,1+2))),IF($AN12="MN",IF($AU12="Married",SUMPRODUCT(($AZ12&gt;INDEX('How This Works &amp; Sources'!$B$114:$J$120,0,7))*($AZ12-INDEX('How This Works &amp; Sources'!$B$114:$J$120,0,7))*INDEX('How This Works &amp; Sources'!$B$114:$J$120,0,7+2)),SUMPRODUCT(($AZ12&gt;INDEX('How This Works &amp; Sources'!$B$114:$J$120,0,4))*($AZ12-INDEX('How This Works &amp; Sources'!$B$114:$J$120,0,4))*INDEX('How This Works &amp; Sources'!$B$114:$J$120,0,4+2))),IF($AN12="NE",MAX(IF($AU12="Married",SUMPRODUCT(($AZ12&gt;INDEX('How This Works &amp; Sources'!$B$144:$J$150,0,7))*($AZ12-INDEX('How This Works &amp; Sources'!$B$144:$J$150,0,7))*INDEX('How This Works &amp; Sources'!$B$144:$J$150,0,7+2)),SUMPRODUCT(($AZ12&gt;INDEX('How This Works &amp; Sources'!$B$144:$J$150,0,4))*($AZ12-INDEX('How This Works &amp; Sources'!$B$144:$J$150,0,4))*INDEX('How This Works &amp; Sources'!$B$144:$J$150,0,4+2))),0.015*$AZ12),IF($AN12="OH",IF($B12&gt;=DATE(2026,8,1),SUMPRODUCT(($AZ12&gt;INDEX('How This Works &amp; Sources'!$B$203:$J$206,0,1))*($AZ12-INDEX('How This Works &amp; Sources'!$B$203:$J$206,0,1))*INDEX('How This Works &amp; Sources'!$B$203:$J$206,0,1+2)),SUMPRODUCT(($AZ12&gt;INDEX('How This Works &amp; Sources'!$B$184:$J$198,0,7))*($AZ12-INDEX('How This Works &amp; Sources'!$B$184:$J$198,0,7))*INDEX('How This Works &amp; Sources'!$B$184:$J$198,0,7+2))),IF($AN12="OK",IF($AU12="Married",SUMPRODUCT(($AZ12&gt;INDEX('How This Works &amp; Sources'!$B$203:$J$206,0,7))*($AZ12-INDEX('How This Works &amp; Sources'!$B$203:$J$206,0,7))*INDEX('How This Works &amp; Sources'!$B$203:$J$206,0,7+2)),SUMPRODUCT(($AZ12&gt;INDEX('How This Works &amp; Sources'!$B$203:$J$206,0,4))*($AZ12-INDEX('How This Works &amp; Sources'!$B$203:$J$206,0,4))*INDEX('How This Works &amp; Sources'!$B$203:$J$206,0,4+2))),IF($AN12="RI",SUMPRODUCT(($AZ12&gt;INDEX('How This Works &amp; Sources'!$B$211:$J$214,0,7))*($AZ12-INDEX('How This Works &amp; Sources'!$B$211:$J$214,0,7))*INDEX('How This Works &amp; Sources'!$B$211:$J$214,0,7+2)),IF($AN12="VT",IF($AU12="Married",SUMPRODUCT(($AZ12&gt;INDEX('How This Works &amp; Sources'!$B$228:$J$232,0,1))*($AZ12-INDEX('How This Works &amp; Sources'!$B$228:$J$232,0,1))*INDEX('How This Works &amp; Sources'!$B$228:$J$232,0,1+2)),SUMPRODUCT(($AZ12&gt;INDEX('How This Works &amp; Sources'!$B$219:$J$223,0,7))*($AZ12-INDEX('How This Works &amp; Sources'!$B$219:$J$223,0,7))*INDEX('How This Works &amp; Sources'!$B$219:$J$223,0,7+2))),IF($AN12="WV",IF($AU12="Married",SUMPRODUCT(($AZ12&gt;INDEX('How This Works &amp; Sources'!$B$237:$J$241,0,7))*($AZ12-INDEX('How This Works &amp; Sources'!$B$237:$J$241,0,7))*INDEX('How This Works &amp; Sources'!$B$237:$J$241,0,7+2)),SUMPRODUCT(($AZ12&gt;INDEX('How This Works &amp; Sources'!$B$228:$J$232,0,7))*($AZ12-INDEX('How This Works &amp; Sources'!$B$228:$J$232,0,7))*INDEX('How This Works &amp; Sources'!$B$228:$J$232,0,7+2))),""))))))))))</f>
      </c>
      <c r="BY12" s="7">
        <f>IF($B12="","",IF($AN12="AR",SUMPRODUCT(($AZ12&gt;INDEX('How This Works &amp; Sources'!$B$82:$J$86,0,7))*($AZ12-INDEX('How This Works &amp; Sources'!$B$82:$J$86,0,7))*INDEX('How This Works &amp; Sources'!$B$82:$J$86,0,7+2)),IF($AN12="DE",SUMPRODUCT(($AZ12&gt;INDEX('How This Works &amp; Sources'!$B$91:$J$98,0,1))*($AZ12-INDEX('How This Works &amp; Sources'!$B$91:$J$98,0,1))*INDEX('How This Works &amp; Sources'!$B$91:$J$98,0,1+2)),IF($AN12="HI",IF($AU12="Married",SUMPRODUCT(($AZ12&gt;INDEX('How This Works &amp; Sources'!$B$91:$J$98,0,7))*($AZ12-INDEX('How This Works &amp; Sources'!$B$91:$J$98,0,7))*INDEX('How This Works &amp; Sources'!$B$91:$J$98,0,7+2)),SUMPRODUCT(($AZ12&gt;INDEX('How This Works &amp; Sources'!$B$91:$J$98,0,4))*($AZ12-INDEX('How This Works &amp; Sources'!$B$91:$J$98,0,4))*INDEX('How This Works &amp; Sources'!$B$91:$J$98,0,4+2))),IF($AN12="SC",SUMPRODUCT(($AZ12&gt;INDEX('How This Works &amp; Sources'!$B$219:$J$223,0,1))*($AZ12-INDEX('How This Works &amp; Sources'!$B$219:$J$223,0,1))*INDEX('How This Works &amp; Sources'!$B$219:$J$223,0,1+2)),IF($AN12="VA",SUMPRODUCT(($AZ12&gt;INDEX('How This Works &amp; Sources'!$B$219:$J$223,0,4))*($AZ12-INDEX('How This Works &amp; Sources'!$B$219:$J$223,0,4))*INDEX('How This Works &amp; Sources'!$B$219:$J$223,0,4+2)),IF($AN12="WI",SUMPRODUCT(($AZ12&gt;INDEX('How This Works &amp; Sources'!$B$228:$J$232,0,4))*($AZ12-INDEX('How This Works &amp; Sources'!$B$228:$J$232,0,4))*INDEX('How This Works &amp; Sources'!$B$228:$J$232,0,4+2)),"")))))))</f>
      </c>
      <c r="BZ12" s="24">
        <f>IF($B12="","",IF($AN12="NJ",IF('Your Pay &amp; Benefits'!$C$77="B",SUMPRODUCT(($AZ12&gt;=INDEX('How This Works &amp; Sources'!$B$155:$J$162,0,4))*INDEX('How This Works &amp; Sources'!$B$155:$J$162,0,4+2)),IF('Your Pay &amp; Benefits'!$C$77="C",SUMPRODUCT(($AZ12&gt;=INDEX('How This Works &amp; Sources'!$B$155:$J$162,0,7))*INDEX('How This Works &amp; Sources'!$B$155:$J$162,0,7+2)),IF('Your Pay &amp; Benefits'!$C$77="D",SUMPRODUCT(($AZ12&gt;=INDEX('How This Works &amp; Sources'!$B$167:$J$179,0,1))*INDEX('How This Works &amp; Sources'!$B$167:$J$179,0,1+2)),IF('Your Pay &amp; Benefits'!$C$77="E",SUMPRODUCT(($AZ12&gt;=INDEX('How This Works &amp; Sources'!$B$167:$J$179,0,4))*INDEX('How This Works &amp; Sources'!$B$167:$J$179,0,4+2)),SUMPRODUCT(($AZ12&gt;=INDEX('How This Works &amp; Sources'!$B$155:$J$162,0,1))*INDEX('How This Works &amp; Sources'!$B$155:$J$162,0,1+2)))))),IF($AN12="OR",IF(OR($AU12="Married",AND($AU12="Single",$AS12&gt;=3)),SUMPRODUCT((MAX(0,$AY12-MIN(($P12-'How This Works &amp; Sources'!$C$10*$D12)*'Your Pay &amp; Benefits'!$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Sources'!$B$211:$J$214,0,4))*INDEX('How This Works &amp; Sources'!$B$211:$J$214,0,4+2)),SUMPRODUCT((MAX(0,$AY12-MIN(($P12-'How This Works &amp; Sources'!$C$10*$D12)*'Your Pay &amp; Benefits'!$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Sources'!$B$211:$J$214,0,1))*INDEX('How This Works &amp; Sources'!$B$211:$J$214,0,1+2)))*IF(($P12-'How This Works &amp; Sources'!$C$10*$D12)*'Your Pay &amp; Benefits'!$C$8&gt;=IF(OR($AU12="Married",AND($AU12="Single",$AS12&gt;=3)),IF($AY12&lt;250000,8750,IF($AY12&lt;260000,7000,IF($AY12&lt;270000,5250,IF($AY12&lt;280000,3500,IF($AY12&lt;290000,1750,0))))),IF($AY12&lt;125000,8750,IF($AY12&lt;130000,7000,IF($AY12&lt;135000,5250,IF($AY12&lt;140000,3500,IF($AY12&lt;145000,1750,0)))))),1,1-IF('Your Pay &amp; Benefits'!$C$13,SUMPRODUCT(($AH12&gt;=INDEX('How This Works &amp; Sources'!$B$29:$J$36,0,IF('Your Pay &amp; Benefits'!$C$12="MFJ",1,IF('Your Pay &amp; Benefits'!$C$12="HoH",7,4))))*INDEX('How This Works &amp; Sources'!$B$29:$J$36,0,IF('Your Pay &amp; Benefits'!$C$12="MFJ",1,IF('Your Pay &amp; Benefits'!$C$12="HoH",7,4))+2)),SUMPRODUCT(($AH12&gt;=INDEX('How This Works &amp; Sources'!$B$19:$J$26,0,IF('Your Pay &amp; Benefits'!$C$12="MFJ",1,IF('Your Pay &amp; Benefits'!$C$12="HoH",7,4))))*INDEX('How This Works &amp; Sources'!$B$19:$J$26,0,IF('Your Pay &amp; Benefits'!$C$12="MFJ",1,IF('Your Pay &amp; Benefits'!$C$12="HoH",7,4))+2)))),IF($AN12="MI",IF($AY12&gt;5900*$AS12,0.0425,0),""))))</f>
      </c>
      <c r="CA12" s="24">
        <f>IF($B12="","",IF($AN12="AL",IF(OR($AU12="Married",$AU12="Head of household"),SUMPRODUCT(($AZ12&gt;=INDEX('How This Works &amp; Sources'!$B$82:$J$86,0,4))*INDEX('How This Works &amp; Sources'!$B$82:$J$86,0,4+2)),SUMPRODUCT(($AZ12&gt;=INDEX('How This Works &amp; Sources'!$B$82:$J$86,0,1))*INDEX('How This Works &amp; Sources'!$B$82:$J$86,0,1+2)))*(1-IF('Your Pay &amp; Benefits'!$C$13,SUMPRODUCT(($AH12&gt;=INDEX('How This Works &amp; Sources'!$B$29:$J$36,0,IF('Your Pay &amp; Benefits'!$C$12="MFJ",1,IF('Your Pay &amp; Benefits'!$C$12="HoH",7,4))))*INDEX('How This Works &amp; Sources'!$B$29:$J$36,0,IF('Your Pay &amp; Benefits'!$C$12="MFJ",1,IF('Your Pay &amp; Benefits'!$C$12="HoH",7,4))+2)),SUMPRODUCT(($AH12&gt;=INDEX('How This Works &amp; Sources'!$B$19:$J$26,0,IF('Your Pay &amp; Benefits'!$C$12="MFJ",1,IF('Your Pay &amp; Benefits'!$C$12="HoH",7,4))))*INDEX('How This Works &amp; Sources'!$B$19:$J$26,0,IF('Your Pay &amp; Benefits'!$C$12="MFJ",1,IF('Your Pay &amp; Benefits'!$C$12="HoH",7,4))+2)))),IF($AN12="KS",IF($AU12="Married",SUMPRODUCT(($AZ12&gt;=INDEX('How This Works &amp; Sources'!$B$103:$J$109,0,4))*INDEX('How This Works &amp; Sources'!$B$103:$J$109,0,4+2)),SUMPRODUCT(($AZ12&gt;=INDEX('How This Works &amp; Sources'!$B$103:$J$109,0,1))*INDEX('How This Works &amp; Sources'!$B$103:$J$109,0,1+2))),IF($AN12="MD",IF(OR($AU12="Married",$AU12="Head of household"),SUMPRODUCT(($AZ12&gt;=INDEX('How This Works &amp; Sources'!$B$114:$J$120,0,1))*INDEX('How This Works &amp; Sources'!$B$114:$J$120,0,1+2)),SUMPRODUCT(($AZ12&gt;=INDEX('How This Works &amp; Sources'!$B$103:$J$109,0,7))*INDEX('How This Works &amp; Sources'!$B$103:$J$109,0,7+2)))+'Your Pay &amp; Benefits'!$C$74,IF($AN12="MT",IF($AU12="Head of household",SUMPRODUCT(($AZ12&gt;=INDEX('How This Works &amp; Sources'!$B$137:$J$139,0,1))*INDEX('How This Works &amp; Sources'!$B$137:$J$139,0,1+2)),IF($AU12="Married",SUMPRODUCT(($AZ12&gt;=INDEX('How This Works &amp; Sources'!$B$125:$J$132,0,7))*INDEX('How This Works &amp; Sources'!$B$125:$J$132,0,7+2)),SUMPRODUCT(($AZ12&gt;=INDEX('How This Works &amp; Sources'!$B$125:$J$132,0,4))*INDEX('How This Works &amp; Sources'!$B$125:$J$132,0,4+2)))),IF($AN12="ND",IF($AU12="Head of household",SUMPRODUCT(($AZ12&gt;=INDEX('How This Works &amp; Sources'!$B$144:$J$150,0,1))*INDEX('How This Works &amp; Sources'!$B$144:$J$150,0,1+2)),IF($AU12="Married",SUMPRODUCT(($AZ12&gt;=INDEX('How This Works &amp; Sources'!$B$137:$J$139,0,7))*INDEX('How This Works &amp; Sources'!$B$137:$J$139,0,7+2)),SUMPRODUCT(($AZ12&gt;=INDEX('How This Works &amp; Sources'!$B$137:$J$139,0,4))*INDEX('How This Works &amp; Sources'!$B$137:$J$139,0,4+2)))),IF($AN12="NY",IF($AU12="Married",IF($AZ12&gt;=2155350,IF($AZ12&gt;25000000,0.117,IF($AZ12&gt;5000000,0.111,0.1045)),SUMPRODUCT(($AZ12&gt;=INDEX('How This Works &amp; Sources'!$B$184:$J$198,0,1))*INDEX('How This Works &amp; Sources'!$B$184:$J$198,0,1+2))),IF($AZ12&gt;=1077550,IF($AZ12&gt;25000000,0.117,IF($AZ12&gt;5000000,0.111,0.1045)),SUMPRODUCT(($AZ12&gt;=INDEX('How This Works &amp; Sources'!$B$167:$J$179,0,7))*INDEX('How This Works &amp; Sources'!$B$167:$J$179,0,7+2)))),"")))))))</f>
      </c>
      <c r="CB12" s="24">
        <f>IF($B12="","",IF($AN12="CA",SUMPRODUCT(($AJ12&gt;=INDEX('How This Works &amp; Sources'!$B$39:$J$48,0,IF($AU12="Married",4,IF($AU12="Head of household",7,1))))*INDEX('How This Works &amp; Sources'!$B$39:$J$48,0,IF($AU12="Married",4,IF($AU12="Head of household",7,1))+2)),IF($AN12="HI",IF($AU12="Married",SUMPRODUCT(($AZ12&gt;=INDEX('How This Works &amp; Sources'!$B$91:$J$98,0,7))*INDEX('How This Works &amp; Sources'!$B$91:$J$98,0,7+2)),SUMPRODUCT(($AZ12&gt;=INDEX('How This Works &amp; Sources'!$B$91:$J$98,0,4))*INDEX('How This Works &amp; Sources'!$B$91:$J$98,0,4+2))),IF($AN12="MN",IF($AU12="Married",SUMPRODUCT(($AZ12&gt;=INDEX('How This Works &amp; Sources'!$B$114:$J$120,0,7))*INDEX('How This Works &amp; Sources'!$B$114:$J$120,0,7+2)),SUMPRODUCT(($AZ12&gt;=INDEX('How This Works &amp; Sources'!$B$114:$J$120,0,4))*INDEX('How This Works &amp; Sources'!$B$114:$J$120,0,4+2))),IF($AN12="MO",SUMPRODUCT(($AZ12&gt;=INDEX('How This Works &amp; Sources'!$B$125:$J$132,0,1))*INDEX('How This Works &amp; Sources'!$B$125:$J$132,0,1+2)),IF($AN12="NE",MAX(IF($AU12="Married",SUMPRODUCT(($AZ12&gt;=INDEX('How This Works &amp; Sources'!$B$144:$J$150,0,7))*INDEX('How This Works &amp; Sources'!$B$144:$J$150,0,7+2)),SUMPRODUCT(($AZ12&gt;=INDEX('How This Works &amp; Sources'!$B$144:$J$150,0,4))*INDEX('How This Works &amp; Sources'!$B$144:$J$150,0,4+2))),0.015),IF($AN12="OH",IF($B12&gt;=DATE(2026,8,1),SUMPRODUCT(($AZ12&gt;=INDEX('How This Works &amp; Sources'!$B$203:$J$206,0,1))*INDEX('How This Works &amp; Sources'!$B$203:$J$206,0,1+2)),SUMPRODUCT(($AZ12&gt;=INDEX('How This Works &amp; Sources'!$B$184:$J$198,0,7))*INDEX('How This Works &amp; Sources'!$B$184:$J$198,0,7+2))),IF($AN12="OK",IF($AU12="Married",SUMPRODUCT(($AZ12&gt;=INDEX('How This Works &amp; Sources'!$B$203:$J$206,0,7))*INDEX('How This Works &amp; Sources'!$B$203:$J$206,0,7+2)),SUMPRODUCT(($AZ12&gt;=INDEX('How This Works &amp; Sources'!$B$203:$J$206,0,4))*INDEX('How This Works &amp; Sources'!$B$203:$J$206,0,4+2))),IF($AN12="RI",SUMPRODUCT(($AZ12&gt;=INDEX('How This Works &amp; Sources'!$B$211:$J$214,0,7))*INDEX('How This Works &amp; Sources'!$B$211:$J$214,0,7+2)),IF($AN12="SC",SUMPRODUCT(($AZ12&gt;=INDEX('How This Works &amp; Sources'!$B$219:$J$223,0,1))*INDEX('How This Works &amp; Sources'!$B$219:$J$223,0,1+2)),IF($AN12="VT",IF($AU12="Married",SUMPRODUCT(($AZ12&gt;=INDEX('How This Works &amp; Sources'!$B$228:$J$232,0,1))*INDEX('How This Works &amp; Sources'!$B$228:$J$232,0,1+2)),SUMPRODUCT(($AZ12&gt;=INDEX('How This Works &amp; Sources'!$B$219:$J$223,0,7))*INDEX('How This Works &amp; Sources'!$B$219:$J$223,0,7+2))),IF($AN12="WV",IF($AU12="Married",SUMPRODUCT(($AZ12&gt;=INDEX('How This Works &amp; Sources'!$B$237:$J$241,0,7))*INDEX('How This Works &amp; Sources'!$B$237:$J$241,0,7+2)),SUMPRODUCT(($AZ12&gt;=INDEX('How This Works &amp; Sources'!$B$228:$J$232,0,7))*INDEX('How This Works &amp; Sources'!$B$228:$J$232,0,7+2))),IF($AN12="IN",(0.0295+'Your Pay &amp; Benefits'!$C$76),"")))))))))))))</f>
      </c>
      <c r="CC12" s="24">
        <f>IF($B12="","",IF($AN12="AR",SUMPRODUCT(($AZ12&gt;=INDEX('How This Works &amp; Sources'!$B$82:$J$86,0,7))*INDEX('How This Works &amp; Sources'!$B$82:$J$86,0,7+2)),IF($AN12="DE",SUMPRODUCT(($AZ12&gt;=INDEX('How This Works &amp; Sources'!$B$91:$J$98,0,1))*INDEX('How This Works &amp; Sources'!$B$91:$J$98,0,1+2)),IF($AN12="VA",SUMPRODUCT(($AZ12&gt;=INDEX('How This Works &amp; Sources'!$B$219:$J$223,0,4))*INDEX('How This Works &amp; Sources'!$B$219:$J$223,0,4+2)),IF($AN12="WI",SUMPRODUCT(($AZ12&gt;=INDEX('How This Works &amp; Sources'!$B$228:$J$232,0,4))*INDEX('How This Works &amp; Sources'!$B$228:$J$232,0,4+2)),IF($AN12="AZ",'Your Pay &amp; Benefits'!$C$82,IF($AN12="CO",IF($AY12&gt;IF($AU12="Married",10000,5000),0.044,0),IF($AN12="IA",IF($AY12&gt;IF($AU12="Head of household",19500,IF($AU12="Married",26000,13000)),0.038,0),IF($AN12="ID",IF($AY12&gt;IF($AU12="Married",32000,16094),0.053,0),IF($AN12="IL",IF($AY12&gt;(2925*$AS12+1000*$AT12),0.0495,0),IF($AN12="KY",IF($AI12&gt;3360,0.035,0),IF($AN12="LA",0.0309,IF($AN12="MA",IF(MAX(0,$AY12-MIN(($BD11+$Q12+$R12+$S12),2000)-IF($AS12=0,0,IF($AS12=1,4400,1000*$AS12+3400)))&gt;=1107750,0.09,0.05),IF($AN12="MS",IF($AI12-IF($AU12="Head of household",3400,IF($AU12="Married",4600,2300))-'Your Pay &amp; Benefits'!$C$85&gt;10000,0.04,0),IF($AN12="PA",0.0307,"")))))))))))))))</f>
      </c>
      <c r="CD12" s="21">
        <f>IF(YEAR(IF('Your Pay &amp; Benefits'!$C$7="Weekly",'Your Pay &amp; Benefits'!$C$9+7*(($BE11+1)-1),IF('Your Pay &amp; Benefits'!$C$7="Biweekly",'Your Pay &amp; Benefits'!$C$9+14*(($BE11+1)-1),IF('Your Pay &amp; Benefits'!$C$7="Semimonthly",DATE(YEAR('Your Pay &amp; Benefits'!$C$9),MONTH('Your Pay &amp; Benefits'!$C$9)+INT((($BE11+1)-1)/2),MIN(DAY('Your Pay &amp; Benefits'!$C$9),DAY(EOMONTH(DATE(YEAR('Your Pay &amp; Benefits'!$C$9),MONTH('Your Pay &amp; Benefits'!$C$9)+INT((($BE11+1)-1)/2),1),0))))+IF(MOD(($BE11+1)-1,2)=1,15,0),EDATE('Your Pay &amp; Benefits'!$C$9,($BE11+1)-1)))))&lt;&gt;'Your Pay &amp; Benefits'!$C$10,"",IF('Your Pay &amp; Benefits'!$C$7="Weekly",'Your Pay &amp; Benefits'!$C$9+7*(($BE11+1)-1),IF('Your Pay &amp; Benefits'!$C$7="Biweekly",'Your Pay &amp; Benefits'!$C$9+14*(($BE11+1)-1),IF('Your Pay &amp; Benefits'!$C$7="Semimonthly",DATE(YEAR('Your Pay &amp; Benefits'!$C$9),MONTH('Your Pay &amp; Benefits'!$C$9)+INT((($BE11+1)-1)/2),MIN(DAY('Your Pay &amp; Benefits'!$C$9),DAY(EOMONTH(DATE(YEAR('Your Pay &amp; Benefits'!$C$9),MONTH('Your Pay &amp; Benefits'!$C$9)+INT((($BE11+1)-1)/2),1),0))))+IF(MOD(($BE11+1)-1,2)=1,15,0),EDATE('Your Pay &amp; Benefits'!$C$9,($BE11+1)-1)))))</f>
      </c>
      <c r="CE12" s="21">
        <f>IF(MIN(IF(AND('Your Pay &amp; Benefits'!$C$58&gt;MAX($B$6:$B11),'Your Pay &amp; Benefits'!$C$58&gt;=DATE('Your Pay &amp; Benefits'!$C$10,1,1),'Your Pay &amp; Benefits'!$C$58&lt;=DATE('Your Pay &amp; Benefits'!$C$10,12,31)),'Your Pay &amp; Benefits'!$C$58,999999),IF(AND('Your Pay &amp; Benefits'!$C$59&gt;MAX($B$6:$B11),'Your Pay &amp; Benefits'!$C$59&gt;=DATE('Your Pay &amp; Benefits'!$C$10,1,1),'Your Pay &amp; Benefits'!$C$59&lt;=DATE('Your Pay &amp; Benefits'!$C$10,12,31)),'Your Pay &amp; Benefits'!$C$59,999999),IF(AND('Your Pay &amp; Benefits'!$C$60&gt;MAX($B$6:$B11),'Your Pay &amp; Benefits'!$C$60&gt;=DATE('Your Pay &amp; Benefits'!$C$10,1,1),'Your Pay &amp; Benefits'!$C$60&lt;=DATE('Your Pay &amp; Benefits'!$C$10,12,31)),'Your Pay &amp; Benefits'!$C$60,999999),IF(AND('Your Pay &amp; Benefits'!$C$61&gt;MAX($B$6:$B11),'Your Pay &amp; Benefits'!$C$61&gt;=DATE('Your Pay &amp; Benefits'!$C$10,1,1),'Your Pay &amp; Benefits'!$C$61&lt;=DATE('Your Pay &amp; Benefits'!$C$10,12,31)),'Your Pay &amp; Benefits'!$C$61,999999),IF(AND('Your Pay &amp; Benefits'!$C$62&gt;MAX($B$6:$B11),'Your Pay &amp; Benefits'!$C$62&gt;=DATE('Your Pay &amp; Benefits'!$C$10,1,1),'Your Pay &amp; Benefits'!$C$62&lt;=DATE('Your Pay &amp; Benefits'!$C$10,12,31)),'Your Pay &amp; Benefits'!$C$62,999999),IF(AND('Your Pay &amp; Benefits'!$C$63&gt;MAX($B$6:$B11),'Your Pay &amp; Benefits'!$C$63&gt;=DATE('Your Pay &amp; Benefits'!$C$10,1,1),'Your Pay &amp; Benefits'!$C$63&lt;=DATE('Your Pay &amp; Benefits'!$C$10,12,31)),'Your Pay &amp; Benefits'!$C$63,999999),IF(AND('Your Pay &amp; Benefits'!$C$64&gt;MAX($B$6:$B11),'Your Pay &amp; Benefits'!$C$64&gt;=DATE('Your Pay &amp; Benefits'!$C$10,1,1),'Your Pay &amp; Benefits'!$C$64&lt;=DATE('Your Pay &amp; Benefits'!$C$10,12,31)),'Your Pay &amp; Benefits'!$C$64,999999),IF(AND('Your Pay &amp; Benefits'!$C$65&gt;MAX($B$6:$B11),'Your Pay &amp; Benefits'!$C$65&gt;=DATE('Your Pay &amp; Benefits'!$C$10,1,1),'Your Pay &amp; Benefits'!$C$65&lt;=DATE('Your Pay &amp; Benefits'!$C$10,12,31)),'Your Pay &amp; Benefits'!$C$65,999999),IF(AND('Your Pay &amp; Benefits'!$C$66&gt;MAX($B$6:$B11),'Your Pay &amp; Benefits'!$C$66&gt;=DATE('Your Pay &amp; Benefits'!$C$10,1,1),'Your Pay &amp; Benefits'!$C$66&lt;=DATE('Your Pay &amp; Benefits'!$C$10,12,31)),'Your Pay &amp; Benefits'!$C$66,999999),IF(AND('Your Pay &amp; Benefits'!$C$67&gt;MAX($B$6:$B11),'Your Pay &amp; Benefits'!$C$67&gt;=DATE('Your Pay &amp; Benefits'!$C$10,1,1),'Your Pay &amp; Benefits'!$C$67&lt;=DATE('Your Pay &amp; Benefits'!$C$10,12,31)),'Your Pay &amp; Benefits'!$C$67,999999))=999999,"",MIN(IF(AND('Your Pay &amp; Benefits'!$C$58&gt;MAX($B$6:$B11),'Your Pay &amp; Benefits'!$C$58&gt;=DATE('Your Pay &amp; Benefits'!$C$10,1,1),'Your Pay &amp; Benefits'!$C$58&lt;=DATE('Your Pay &amp; Benefits'!$C$10,12,31)),'Your Pay &amp; Benefits'!$C$58,999999),IF(AND('Your Pay &amp; Benefits'!$C$59&gt;MAX($B$6:$B11),'Your Pay &amp; Benefits'!$C$59&gt;=DATE('Your Pay &amp; Benefits'!$C$10,1,1),'Your Pay &amp; Benefits'!$C$59&lt;=DATE('Your Pay &amp; Benefits'!$C$10,12,31)),'Your Pay &amp; Benefits'!$C$59,999999),IF(AND('Your Pay &amp; Benefits'!$C$60&gt;MAX($B$6:$B11),'Your Pay &amp; Benefits'!$C$60&gt;=DATE('Your Pay &amp; Benefits'!$C$10,1,1),'Your Pay &amp; Benefits'!$C$60&lt;=DATE('Your Pay &amp; Benefits'!$C$10,12,31)),'Your Pay &amp; Benefits'!$C$60,999999),IF(AND('Your Pay &amp; Benefits'!$C$61&gt;MAX($B$6:$B11),'Your Pay &amp; Benefits'!$C$61&gt;=DATE('Your Pay &amp; Benefits'!$C$10,1,1),'Your Pay &amp; Benefits'!$C$61&lt;=DATE('Your Pay &amp; Benefits'!$C$10,12,31)),'Your Pay &amp; Benefits'!$C$61,999999),IF(AND('Your Pay &amp; Benefits'!$C$62&gt;MAX($B$6:$B11),'Your Pay &amp; Benefits'!$C$62&gt;=DATE('Your Pay &amp; Benefits'!$C$10,1,1),'Your Pay &amp; Benefits'!$C$62&lt;=DATE('Your Pay &amp; Benefits'!$C$10,12,31)),'Your Pay &amp; Benefits'!$C$62,999999),IF(AND('Your Pay &amp; Benefits'!$C$63&gt;MAX($B$6:$B11),'Your Pay &amp; Benefits'!$C$63&gt;=DATE('Your Pay &amp; Benefits'!$C$10,1,1),'Your Pay &amp; Benefits'!$C$63&lt;=DATE('Your Pay &amp; Benefits'!$C$10,12,31)),'Your Pay &amp; Benefits'!$C$63,999999),IF(AND('Your Pay &amp; Benefits'!$C$64&gt;MAX($B$6:$B11),'Your Pay &amp; Benefits'!$C$64&gt;=DATE('Your Pay &amp; Benefits'!$C$10,1,1),'Your Pay &amp; Benefits'!$C$64&lt;=DATE('Your Pay &amp; Benefits'!$C$10,12,31)),'Your Pay &amp; Benefits'!$C$64,999999),IF(AND('Your Pay &amp; Benefits'!$C$65&gt;MAX($B$6:$B11),'Your Pay &amp; Benefits'!$C$65&gt;=DATE('Your Pay &amp; Benefits'!$C$10,1,1),'Your Pay &amp; Benefits'!$C$65&lt;=DATE('Your Pay &amp; Benefits'!$C$10,12,31)),'Your Pay &amp; Benefits'!$C$65,999999),IF(AND('Your Pay &amp; Benefits'!$C$66&gt;MAX($B$6:$B11),'Your Pay &amp; Benefits'!$C$66&gt;=DATE('Your Pay &amp; Benefits'!$C$10,1,1),'Your Pay &amp; Benefits'!$C$66&lt;=DATE('Your Pay &amp; Benefits'!$C$10,12,31)),'Your Pay &amp; Benefits'!$C$66,999999),IF(AND('Your Pay &amp; Benefits'!$C$67&gt;MAX($B$6:$B11),'Your Pay &amp; Benefits'!$C$67&gt;=DATE('Your Pay &amp; Benefits'!$C$10,1,1),'Your Pay &amp; Benefits'!$C$67&lt;=DATE('Your Pay &amp; Benefits'!$C$10,12,31)),'Your Pay &amp; Benefits'!$C$67,999999)))</f>
      </c>
      <c r="CF12">
        <f>IF($B12="","",IF($D12=0,$Y12,""))</f>
      </c>
    </row>
    <row r="13">
      <c r="A13" t="n">
        <v>8</v>
      </c>
      <c r="B13" s="21">
        <f>IF(AND($CD13="",$CE13=""),"",IF($CE13="",$CD13,IF($CD13="",$CE13,MIN($CD13,$CE13))))</f>
      </c>
      <c r="C13" s="7">
        <f>IF($B13="","",IF($BF13=0,0,IF('Your Pay &amp; Benefits'!$C$4="Annual salary",ROUND($AK13/IF(AND('Your Pay &amp; Benefits'!$C$88="Actual paydays",MONTH('Your Pay &amp; Benefits'!$C$9)=1),MAX(1,MAX($BE$6:$BE$68)),'Your Pay &amp; Benefits'!$C$8),2),$AK13)))</f>
      </c>
      <c r="D13" s="7">
        <f>IF($B13="","",SUMIF('Your Pay &amp; Benefits'!$C$58:$C$67,$B13,'Your Pay &amp; Benefits'!$D$58:$D$67))</f>
      </c>
      <c r="E13" s="7">
        <f>IF($B13="","",ROUND(MAX(0,MIN(IF($AL13="Percent",$AM13*($C13+$D13),$AM13),MAX(0,'Your Pay &amp; Benefits'!$C$34-$AC12))),2))</f>
      </c>
      <c r="F13" s="7">
        <f>IF($B13="","",ROUND(MAX(0,MIN(IF('Your Pay &amp; Benefits'!$C$32="Percent",'Your Pay &amp; Benefits'!$D$32*($C13+$D13),'Your Pay &amp; Benefits'!$D$32),MAX(0,'Your Pay &amp; Benefits'!$C$34-$AC12-$E13))),2))</f>
      </c>
      <c r="G13" s="7">
        <f>IF($B13="","",IF($BF13=0,0,ROUND(MAX(0,MIN($BL13,'Your Pay &amp; Benefits'!$C$37-'Your Pay &amp; Benefits'!$C$54-$BI12)),2)))</f>
      </c>
      <c r="H13" s="7">
        <f>IF($B13="","",IF(OR($BF13=0,$BQ13=1),0,ROUND(MAX(0,MIN(IF($BS13=1,ROUND(MAX(0,MIN($BJ13,'How This Works &amp; Sources'!$C$13)-$BG12)/MAX(1,MAX($BE$6:$BE$68)-($BE12)),2),ROUND(MIN($BJ13,'How This Works &amp; Sources'!$C$13)/'Your Pay &amp; Benefits'!$C$8,2)),MIN($BJ13,'How This Works &amp; Sources'!$C$13)-$BG12)),2)))</f>
      </c>
      <c r="I13" s="7">
        <f>IF($B13="","",IF(OR($BF13=0,$BR13=1),0,ROUND(MAX(0,MIN(IF($BT13=1,ROUND(MAX(0,MIN($BK13,IF('Your Pay &amp; Benefits'!$C$12="MFJ",'How This Works &amp; Sources'!$C$14,'How This Works &amp; Sources'!$C$15))-$BH12)/MAX(1,MAX($BE$6:$BE$68)-($BE12)),2),ROUND(MIN($BK13,IF('Your Pay &amp; Benefits'!$C$12="MFJ",'How This Works &amp; Sources'!$C$14,'How This Works &amp; Sources'!$C$15))/'Your Pay &amp; Benefits'!$C$8,2)),MIN($BK13,IF('Your Pay &amp; Benefits'!$C$12="MFJ",'How This Works &amp; Sources'!$C$14,'How This Works &amp; Sources'!$C$15))-$BH12)),2)))</f>
      </c>
      <c r="J13" s="7">
        <f>IF($B13="","",IF($BF13=0,0,$BM13))</f>
      </c>
      <c r="K13" s="7">
        <f>IF($B13="","",IF($BF13=0,0,$BN13+$BO13))</f>
      </c>
      <c r="L13" s="7">
        <f>IF($B13="","",IF($BF13=0,0,'Your Pay &amp; Benefits'!$D$46))</f>
      </c>
      <c r="M13" s="7">
        <f>IF($B13="","",$C13+$D13+$L13-$E13-$G13-$H13-$I13-$J13-$K13)</f>
      </c>
      <c r="N13" s="7">
        <f>IF($B13="","",$C13+$D13+$L13-$G13-$H13-$I13-$J13-$K13)</f>
      </c>
      <c r="O13" s="7">
        <f>IF($B13="","",$C13+$D13+$L13-$E13-$H13-$I13-$J13-$K13-IF(OR($AN13="CA",$AN13="NJ"),0,$G13))</f>
      </c>
      <c r="P13" s="7">
        <f>IF($B13="","",IF('Your Pay &amp; Benefits'!$C$18,0,ROUND(MAX(0,IF('Your Pay &amp; Benefits'!$C$13,SUMPRODUCT(($AH13&gt;INDEX('How This Works &amp; Sources'!$B$29:$J$36,0,IF('Your Pay &amp; Benefits'!$C$12="MFJ",1,IF('Your Pay &amp; Benefits'!$C$12="HoH",7,4))))*($AH13-INDEX('How This Works &amp; Sources'!$B$29:$J$36,0,IF('Your Pay &amp; Benefits'!$C$12="MFJ",1,IF('Your Pay &amp; Benefits'!$C$12="HoH",7,4))))*INDEX('How This Works &amp; Sources'!$B$29:$J$36,0,IF('Your Pay &amp; Benefits'!$C$12="MFJ",1,IF('Your Pay &amp; Benefits'!$C$12="HoH",7,4))+2)),SUMPRODUCT(($AH13&gt;INDEX('How This Works &amp; Sources'!$B$19:$J$26,0,IF('Your Pay &amp; Benefits'!$C$12="MFJ",1,IF('Your Pay &amp; Benefits'!$C$12="HoH",7,4))))*($AH13-INDEX('How This Works &amp; Sources'!$B$19:$J$26,0,IF('Your Pay &amp; Benefits'!$C$12="MFJ",1,IF('Your Pay &amp; Benefits'!$C$12="HoH",7,4))))*INDEX('How This Works &amp; Sources'!$B$19:$J$26,0,IF('Your Pay &amp; Benefits'!$C$12="MFJ",1,IF('Your Pay &amp; Benefits'!$C$12="HoH",7,4))+2)))/'Your Pay &amp; Benefits'!$C$8-$AO13/'Your Pay &amp; Benefits'!$C$8)+$AR13+IF('Your Pay &amp; Benefits'!$C$89="Aggregate",MAX(0,IF('Your Pay &amp; Benefits'!$C$13,SUMPRODUCT((($AH13+$D13)&gt;INDEX('How This Works &amp; Sources'!$B$29:$J$36,0,IF('Your Pay &amp; Benefits'!$C$12="MFJ",1,IF('Your Pay &amp; Benefits'!$C$12="HoH",7,4))))*(($AH13+$D13)-INDEX('How This Works &amp; Sources'!$B$29:$J$36,0,IF('Your Pay &amp; Benefits'!$C$12="MFJ",1,IF('Your Pay &amp; Benefits'!$C$12="HoH",7,4))))*INDEX('How This Works &amp; Sources'!$B$29:$J$36,0,IF('Your Pay &amp; Benefits'!$C$12="MFJ",1,IF('Your Pay &amp; Benefits'!$C$12="HoH",7,4))+2)),SUMPRODUCT((($AH13+$D13)&gt;INDEX('How This Works &amp; Sources'!$B$19:$J$26,0,IF('Your Pay &amp; Benefits'!$C$12="MFJ",1,IF('Your Pay &amp; Benefits'!$C$12="HoH",7,4))))*(($AH13+$D13)-INDEX('How This Works &amp; Sources'!$B$19:$J$26,0,IF('Your Pay &amp; Benefits'!$C$12="MFJ",1,IF('Your Pay &amp; Benefits'!$C$12="HoH",7,4))))*INDEX('How This Works &amp; Sources'!$B$19:$J$26,0,IF('Your Pay &amp; Benefits'!$C$12="MFJ",1,IF('Your Pay &amp; Benefits'!$C$12="HoH",7,4))+2)))-IF('Your Pay &amp; Benefits'!$C$13,SUMPRODUCT(($AH13&gt;INDEX('How This Works &amp; Sources'!$B$29:$J$36,0,IF('Your Pay &amp; Benefits'!$C$12="MFJ",1,IF('Your Pay &amp; Benefits'!$C$12="HoH",7,4))))*($AH13-INDEX('How This Works &amp; Sources'!$B$29:$J$36,0,IF('Your Pay &amp; Benefits'!$C$12="MFJ",1,IF('Your Pay &amp; Benefits'!$C$12="HoH",7,4))))*INDEX('How This Works &amp; Sources'!$B$29:$J$36,0,IF('Your Pay &amp; Benefits'!$C$12="MFJ",1,IF('Your Pay &amp; Benefits'!$C$12="HoH",7,4))+2)),SUMPRODUCT(($AH13&gt;INDEX('How This Works &amp; Sources'!$B$19:$J$26,0,IF('Your Pay &amp; Benefits'!$C$12="MFJ",1,IF('Your Pay &amp; Benefits'!$C$12="HoH",7,4))))*($AH13-INDEX('How This Works &amp; Sources'!$B$19:$J$26,0,IF('Your Pay &amp; Benefits'!$C$12="MFJ",1,IF('Your Pay &amp; Benefits'!$C$12="HoH",7,4))))*INDEX('How This Works &amp; Sources'!$B$19:$J$26,0,IF('Your Pay &amp; Benefits'!$C$12="MFJ",1,IF('Your Pay &amp; Benefits'!$C$12="HoH",7,4))+2)))),'How This Works &amp; Sources'!$C$10*$D13),2)))</f>
      </c>
      <c r="Q13" s="7">
        <f>IF($B13="","",ROUND('How This Works &amp; Sources'!$C$4*MIN($N13,MAX(0,'How This Works &amp; Sources'!$C$3-($AX13+$AB12-$AW13))),2))</f>
      </c>
      <c r="R13" s="7">
        <f>IF($B13="","",ROUND('How This Works &amp; Sources'!$C$5*$N13,2))</f>
      </c>
      <c r="S13" s="7">
        <f>IF($B13="","",ROUND('How This Works &amp; Sources'!$C$6*MAX(0,MIN($N13,$AG12+$N13-'How This Works &amp; Sources'!$C$7)),2))</f>
      </c>
      <c r="T13" s="7">
        <f>IF($B13="","",IF('Your Pay &amp; Benefits'!$C$26,0,IF($AN13="CA",ROUND(IF($AI13&lt;=IF(($AS13+$AT13)&gt;=2,VLOOKUP($AN13,StateTables!$A$6:$AB$56,10,FALSE),VLOOKUP($AN13,StateTables!$A$6:$AB$56,9,FALSE)),0,MAX(0,SUMPRODUCT(($AJ13&gt;INDEX('How This Works &amp; Sources'!$B$39:$J$48,0,IF($AU13="Married",4,IF($AU13="Head of household",7,1))))*($AJ13-INDEX('How This Works &amp; Sources'!$B$39:$J$48,0,IF($AU13="Married",4,IF($AU13="Head of household",7,1))))*INDEX('How This Works &amp; Sources'!$B$39:$J$48,0,IF($AU13="Married",4,IF($AU13="Head of household",7,1))+2))-VLOOKUP($AN13,StateTables!$A$6:$AB$56,11,FALSE)*$AS13)/'Your Pay &amp; Benefits'!$C$8)+'Your Pay &amp; Benefits'!$C$25+VLOOKUP($AN13,StateTables!$A$6:$AB$56,13,FALSE)*$D13,2),IF(VLOOKUP($AN13,StateTables!$A$6:$AB$56,4,FALSE)="None",0,IF(ISNUMBER(SEARCH("MANUAL",VLOOKUP($AN13,StateTables!$A$6:$AB$56,5,FALSE))),'Your Pay &amp; Benefits'!$C$28,ROUND(MAX(0,$BA13+$BB13)/'Your Pay &amp; Benefits'!$C$8+'Your Pay &amp; Benefits'!$C$25+$BC13,2))))))</f>
      </c>
      <c r="U13" s="7">
        <f>IF($B13="","",IF(VLOOKUP($AN13,StateTables!$A$6:$AB$56,24,FALSE)="flatq",IF(OR(MONTH($B13)=1,MONTH($B13)=4,MONTH($B13)=7,MONTH($B13)=10),VLOOKUP($AN13,StateTables!$A$6:$AB$56,25,FALSE),0),IF(VLOOKUP($AN13,StateTables!$A$6:$AB$56,24,FALSE)="dbl",MIN(ROUND(0.005*$N13,2),ROUND(0.6*52/'Your Pay &amp; Benefits'!$C$8,2)),IF(OR(VLOOKUP($AN13,StateTables!$A$6:$AB$56,15,FALSE)="",VLOOKUP($AN13,StateTables!$A$6:$AB$56,15,FALSE)=0),0,ROUND(VLOOKUP($AN13,StateTables!$A$6:$AB$56,15,FALSE)*IF(OR(VLOOKUP($AN13,StateTables!$A$6:$AB$56,16,FALSE)="",VLOOKUP($AN13,StateTables!$A$6:$AB$56,16,FALSE)=0),$N13,MIN($N13,MAX(0,VLOOKUP($AN13,StateTables!$A$6:$AB$56,16,FALSE)-($AX13+$AB12-$AW13)))),2))))+IF(VLOOKUP($AN13,StateTables!$A$6:$AB$56,27,FALSE)="flatq",IF(OR(MONTH($B13)=1,MONTH($B13)=4,MONTH($B13)=7,MONTH($B13)=10),VLOOKUP($AN13,StateTables!$A$6:$AB$56,28,FALSE),0),IF(VLOOKUP($AN13,StateTables!$A$6:$AB$56,27,FALSE)="dbl",MIN(ROUND(0.005*$N13,2),ROUND(0.6*52/'Your Pay &amp; Benefits'!$C$8,2)),IF(OR(VLOOKUP($AN13,StateTables!$A$6:$AB$56,18,FALSE)="",VLOOKUP($AN13,StateTables!$A$6:$AB$56,18,FALSE)=0),0,ROUND(VLOOKUP($AN13,StateTables!$A$6:$AB$56,18,FALSE)*IF(OR(VLOOKUP($AN13,StateTables!$A$6:$AB$56,19,FALSE)="",VLOOKUP($AN13,StateTables!$A$6:$AB$56,19,FALSE)=0),$N13,MIN($N13,MAX(0,VLOOKUP($AN13,StateTables!$A$6:$AB$56,19,FALSE)-($AX13+$AB12-$AW13)))),2)))))</f>
      </c>
      <c r="V13" s="7">
        <f>IF($B13="","",IF($AN13="NY",IF('Your Pay &amp; Benefits'!$C$78,ROUND(SUMPRODUCT((MAX(0,($O13-$D13)*'Your Pay &amp; Benefits'!$C$8-(IF($AU13="Married",5500,5000)+1000*$AS13))&gt;INDEX('How This Works &amp; Sources'!$B$184:$J$198,0,4))*(MAX(0,($O13-$D13)*'Your Pay &amp; Benefits'!$C$8-(IF($AU13="Married",5500,5000)+1000*$AS13))-INDEX('How This Works &amp; Sources'!$B$184:$J$198,0,4))*INDEX('How This Works &amp; Sources'!$B$184:$J$198,0,4+2))/'Your Pay &amp; Benefits'!$C$8+0.0425*$D13,2),0)+IF('Your Pay &amp; Benefits'!$C$79="Resident",ROUND(0.1675*$T13,2),IF('Your Pay &amp; Benefits'!$C$79="Nonresident",ROUND(0.005*MAX(0,($O13-$D13)-(IF($AU13="Married",7950,7400)+1000*$AS13)/'Your Pay &amp; Benefits'!$C$8),2),0)),IF($AN13="PA",IF('Your Pay &amp; Benefits'!$C$80="None",'Your Pay &amp; Benefits'!$C$27+ROUND('Your Pay &amp; Benefits'!$C$81*($C13+$D13),2),ROUND(IF('Your Pay &amp; Benefits'!$C$80="Resident",IF($B13&lt;DATE(2026,7,1),0.0374,0.03735),IF($B13&lt;DATE(2026,7,1),0.0343,0.03425))*($C13+$D13),2)),IF($BF13=0,ROUND('Your Pay &amp; Benefits'!$C$81*($C13+$D13),2),'Your Pay &amp; Benefits'!$C$27+ROUND('Your Pay &amp; Benefits'!$C$81*($C13+$D13),2)))))</f>
      </c>
      <c r="W13" s="7">
        <f>IF($B13="","",IF($BF13=0,0,$BP13))</f>
      </c>
      <c r="X13" s="7">
        <f>IF($B13="","",SUM($E13:$K13)+$P13+$Q13+$R13+$S13+$T13+$U13+$V13+$W13)</f>
      </c>
      <c r="Y13" s="22">
        <f>IF($B13="","",$C13+$D13-$X13)</f>
      </c>
      <c r="Z13" s="7">
        <f>IF($B13="","",$Z12+$C13+$D13)</f>
      </c>
      <c r="AA13" s="7">
        <f>IF($B13="","",$AA12+$Y13)</f>
      </c>
      <c r="AB13" s="7">
        <f>IF($B13="","",$AB12+MIN($N13,MAX(0,'How This Works &amp; Sources'!$C$3-($AX13+$AB12-$AW13))))</f>
      </c>
      <c r="AC13" s="7">
        <f>IF($B13="","",$AC12+$E13+$F13)</f>
      </c>
      <c r="AD13" s="3">
        <f>IF($B13="","",IF(AND($AB12&lt;'How This Works &amp; Sources'!$C$3,$AB13&gt;='How This Works &amp; Sources'!$C$3),"★ Social Security maxed on this check — from the next check your net rises by about $"&amp;TEXT(ROUND('How This Works &amp; Sources'!$C$4*$N13,2),"#,##0.00")&amp;". ","")&amp;IF(AND($AC12&lt;'Your Pay &amp; Benefits'!$C$34,$AC13&gt;='Your Pay &amp; Benefits'!$C$34),"★ 401(k) reaches the $"&amp;TEXT('Your Pay &amp; Benefits'!$C$34,"#,##0")&amp;" cap on this check — deferrals stop and net pay rises. ","")&amp;IF(AND($AG12&lt;'How This Works &amp; Sources'!$C$7,$AG13&gt;='How This Works &amp; Sources'!$C$7),"★ Wages pass $200,000 — the 0.9% Additional Medicare Tax starts here. ","")&amp;IF(AND($BJ13&gt;0,$H13&gt;0,$BG12&lt;MIN($BJ13,'How This Works &amp; Sources'!$C$13),$BG12+$H13&gt;=MIN($BJ13,'How This Works &amp; Sources'!$C$13)),"★ Health FSA election is now fully deferred for the year. ",""))</f>
      </c>
      <c r="AE13" s="41" t="n"/>
      <c r="AF13" s="7">
        <f>IF(OR($B13="",$AE13=""),"",$AE13-$Y13)</f>
      </c>
      <c r="AG13" s="7">
        <f>IF($B13="","",$AG12+$N13)</f>
      </c>
      <c r="AH13" s="7">
        <f>IF($B13="","",MAX(0,($M13-$D13)*'Your Pay &amp; Benefits'!$C$8+$AP13-$AQ13-IF('Your Pay &amp; Benefits'!$C$13,0,IF('Your Pay &amp; Benefits'!$C$12="MFJ",'How This Works &amp; Sources'!$C$8,'How This Works &amp; Sources'!$C$9))))</f>
      </c>
      <c r="AI13" s="7">
        <f>IF($B13="","",$O13*'Your Pay &amp; Benefits'!$C$8)</f>
      </c>
      <c r="AJ13" s="7">
        <f>IF($B13="","",MAX(0,$AI13-VLOOKUP($AN13,StateTables!$A$6:$AB$56,12,FALSE)*$AT13-IF(($AS13+$AT13)&gt;=2,VLOOKUP($AN13,StateTables!$A$6:$AB$56,8,FALSE),VLOOKUP($AN13,StateTables!$A$6:$AB$56,7,FALSE))))</f>
      </c>
      <c r="AK13" s="7">
        <f>IF($B13="","",IFERROR(LOOKUP(2,1/(('Changes &amp; Events'!$C$6:$C$17="Salary change")*('Changes &amp; Events'!$B$6:$B$17&lt;=$B13)*('Changes &amp; Events'!$B$6:$B$17&lt;&gt;"")),'Changes &amp; Events'!$D$6:$D$17),IF('Your Pay &amp; Benefits'!$C$4="Annual salary",'Your Pay &amp; Benefits'!$C$5,'Your Pay &amp; Benefits'!$C$6)))</f>
      </c>
      <c r="AL13">
        <f>IF($B13="","",IFERROR(LOOKUP(2,1/(('Changes &amp; Events'!$C$6:$C$17="401(k) change")*('Changes &amp; Events'!$B$6:$B$17&lt;=$B13)*('Changes &amp; Events'!$B$6:$B$17&lt;&gt;"")),'Changes &amp; Events'!$D$6:$D$17),'Your Pay &amp; Benefits'!$C$30))</f>
      </c>
      <c r="AM13" s="7">
        <f>IF($B13="","",IFERROR(LOOKUP(2,1/(('Changes &amp; Events'!$C$6:$C$17="401(k) change")*('Changes &amp; Events'!$B$6:$B$17&lt;=$B13)*('Changes &amp; Events'!$B$6:$B$17&lt;&gt;"")),'Changes &amp; Events'!$E$6:$E$17),'Your Pay &amp; Benefits'!$D$31))</f>
      </c>
      <c r="AN13">
        <f>IF($B13="","",IFERROR(LOOKUP(2,1/(('Changes &amp; Events'!$C$6:$C$17="State move")*('Changes &amp; Events'!$B$6:$B$17&lt;=$B13)*('Changes &amp; Events'!$B$6:$B$17&lt;&gt;"")),'Changes &amp; Events'!$D$6:$D$17),'Your Pay &amp; Benefits'!$C$21))</f>
      </c>
      <c r="AO13" s="7">
        <f>IF($B13="","",IFERROR(LOOKUP(2,1/(('Changes &amp; Events'!$C$6:$C$17="W-4 change")*('Changes &amp; Events'!$B$6:$B$17&lt;=$B13)*('Changes &amp; Events'!$B$6:$B$17&lt;&gt;"")),'Changes &amp; Events'!$D$6:$D$17),'Your Pay &amp; Benefits'!$C$14))</f>
      </c>
      <c r="AP13" s="7">
        <f>IF($B13="","",IFERROR(LOOKUP(2,1/(('Changes &amp; Events'!$C$6:$C$17="W-4 change")*('Changes &amp; Events'!$B$6:$B$17&lt;=$B13)*('Changes &amp; Events'!$B$6:$B$17&lt;&gt;"")),'Changes &amp; Events'!$E$6:$E$17),'Your Pay &amp; Benefits'!$C$15))</f>
      </c>
      <c r="AQ13" s="7">
        <f>IF($B13="","",IFERROR(LOOKUP(2,1/(('Changes &amp; Events'!$C$6:$C$17="W-4 change")*('Changes &amp; Events'!$B$6:$B$17&lt;=$B13)*('Changes &amp; Events'!$B$6:$B$17&lt;&gt;"")),'Changes &amp; Events'!$F$6:$F$17),'Your Pay &amp; Benefits'!$C$16))</f>
      </c>
      <c r="AR13" s="7">
        <f>IF($B13="","",IFERROR(LOOKUP(2,1/(('Changes &amp; Events'!$C$6:$C$17="W-4 change")*('Changes &amp; Events'!$B$6:$B$17&lt;=$B13)*('Changes &amp; Events'!$B$6:$B$17&lt;&gt;"")),'Changes &amp; Events'!$G$6:$G$17),'Your Pay &amp; Benefits'!$C$17))</f>
      </c>
      <c r="AS13" s="6">
        <f>IF($B13="","",IFERROR(LOOKUP(2,1/((('Changes &amp; Events'!$C$6:$C$17="State move")+('Changes &amp; Events'!$C$6:$C$17="State cert change"))*('Changes &amp; Events'!$B$6:$B$17&lt;=$B13)*('Changes &amp; Events'!$B$6:$B$17&lt;&gt;"")),'Changes &amp; Events'!$F$6:$F$17),'Your Pay &amp; Benefits'!$C$23))</f>
      </c>
      <c r="AT13" s="6">
        <f>IF($B13="","",IFERROR(LOOKUP(2,1/((('Changes &amp; Events'!$C$6:$C$17="State move")+('Changes &amp; Events'!$C$6:$C$17="State cert change"))*('Changes &amp; Events'!$B$6:$B$17&lt;=$B13)*('Changes &amp; Events'!$B$6:$B$17&lt;&gt;"")),'Changes &amp; Events'!$G$6:$G$17),'Your Pay &amp; Benefits'!$C$24))</f>
      </c>
      <c r="AU13">
        <f>IF($B13="","",IFERROR(LOOKUP(2,1/(('Changes &amp; Events'!$C$6:$C$17="State move")*('Changes &amp; Events'!$B$6:$B$17&lt;=$B13)*('Changes &amp; Events'!$B$6:$B$17&lt;&gt;"")),'Changes &amp; Events'!$E$6:$E$17),'Your Pay &amp; Benefits'!$C$22))</f>
      </c>
      <c r="AV13" s="6">
        <f>IF($B13="","",1+COUNTIFS('Changes &amp; Events'!$C$6:$C$17,"Employer change",'Changes &amp; Events'!$B$6:$B$17,"&lt;="&amp;$B13,'Changes &amp; Events'!$B$6:$B$17,"&lt;&gt;"))</f>
      </c>
      <c r="AW13" s="7">
        <f>IF($B13="","",IF($AV13=1,'Your Pay &amp; Benefits'!$C$49,IF(IFERROR(MATCH(IFERROR(LOOKUP(2,1/(('Changes &amp; Events'!$C$6:$C$17="Employer change")*('Changes &amp; Events'!$B$6:$B$17&lt;=$B13)*('Changes &amp; Events'!$B$6:$B$17&lt;&gt;"")),'Changes &amp; Events'!$B$6:$B$17),""),$B$6:$B$68,1),1)&lt;=1,'Your Pay &amp; Benefits'!$C$49,INDEX($AB$6:$AB$68,MATCH(IFERROR(LOOKUP(2,1/(('Changes &amp; Events'!$C$6:$C$17="Employer change")*('Changes &amp; Events'!$B$6:$B$17&lt;=$B13)*('Changes &amp; Events'!$B$6:$B$17&lt;&gt;"")),'Changes &amp; Events'!$B$6:$B$17),""),$B$6:$B$68,1)-1))))</f>
      </c>
      <c r="AX13" s="7">
        <f>IF($B13="","",IF($AV13=1,'Your Pay &amp; Benefits'!$C$49,IFERROR(LOOKUP(2,1/(('Changes &amp; Events'!$C$6:$C$17="Employer change")*('Changes &amp; Events'!$B$6:$B$17&lt;=$B13)*('Changes &amp; Events'!$B$6:$B$17&lt;&gt;"")),'Changes &amp; Events'!$D$6:$D$17),0)))</f>
      </c>
      <c r="AY13" s="7">
        <f>IF($B13="","",($O13-$D13)*'Your Pay &amp; Benefits'!$C$8)</f>
      </c>
      <c r="AZ13" s="7">
        <f>IF($B13="","",IF($AN13="AL",MAX(0,$AY13-IF($AU13="Married",IF($AY13&lt;=25999,8500,MAX(5000,8500-175*CEILING(($AY13-25999)/500,1))),IF($AU13="Head of household",IF($AY13&lt;=25999,5200,MAX(2500,5200-135*CEILING(($AY13-25999)/500,1))),IF($AY13&lt;=25999,3000,MAX(2500,3000-25*CEILING(($AY13-25999)/500,1)))))-($P13-'How This Works &amp; Sources'!$C$10*$D13)*'Your Pay &amp; Benefits'!$C$8-IF(OR($AU13="Married",$AU13="Head of household"),3000,1500)-$AT13*IF($AY13&lt;=50000,1000,IF($AY13&lt;=100000,500,300))),IF($AN13="AR",IF(MAX(0,$AY13-2470)&lt;97701,INT(MAX(0,$AY13-2470)/100)*100+50,MAX(0,$AY13-2470)),IF($AN13="DE",MAX(0,$AI13-3250),IF($AN13="HI",MAX(0,$AI13-1144*$AS13-4350),IF($AN13="KS",MAX(0,$AI13-(9160*IF($AU13="Married",2,1)+2320*$AT13+IF($AU13="Head of household",2320,0))),IF($AN13="MD",MAX(0,$AI13-3400-3200*$AS13),IF($AN13="MN",MAX(0,$AY13-5300*$AS13),IF($AN13="MO",MAX(0,$AI13-IF($AU13="Head of household",24150,IF($AU13="Married",IF('Your Pay &amp; Benefits'!$C$83,16100,32200),16100))),IF($AN13="MT",$AY13,IF($AN13="ND",($C13+$L13)*'Your Pay &amp; Benefits'!$C$8,IF($AN13="NE",MAX(0,$AY13-2440*$AS13),IF($AN13="NJ",MAX(0,$AY13-1000*$AS13),IF($AN13="NY",MAX(0,$AY13-(IF($AU13="Married",7950,7400)+1000*$AS13)),IF($AN13="OH",MAX(0,$AY13-650*$AS13),IF($AN13="OK",MAX(0,$AY13-1000*$AS13),IF($AN13="RI",MAX(0,$AI13-1000*$AS13),IF($AN13="SC",MAX(0,$AI13-5000*$AS13-IF($AS13=0,0,MIN(0.1*$AI13,7500))),IF($AN13="VA",MAX(0,$AI13-IF($AU13="Married",17500,8750)-930*$AS13-800*$AT13),IF($AN13="VT",MAX(0,$AI13-5400*$AS13),IF($AN13="WI",MAX(0,$AI13-MAX(0,IF($AU13="Married",9461-0.2*MAX(0,$AI13-25727),6702-0.12*MAX(0,$AI13-17780)))-400*$AS13),IF($AN13="WV",MAX(0,$AI13-2000*$AS13),$AI13))))))))))))))))))))))</f>
      </c>
      <c r="BA13" s="7">
        <f>IF($B13="","",IF($BW13&lt;&gt;"",$BW13,IF($BX13&lt;&gt;"",$BX13,IF($BY13&lt;&gt;"",$BY13,0))))</f>
      </c>
      <c r="BB13" s="7">
        <f>IF($B13="","",IF($AN13="AR",-29*$AS13,IF($AN13="DE",-110*$AS13,IF($AN13="MD",$AZ13*'Your Pay &amp; Benefits'!$C$74,IF($AN13="AZ",'Your Pay &amp; Benefits'!$C$82*($M13-$D13)*'Your Pay &amp; Benefits'!$C$8,IF($AN13="CO",0.044*MAX(0,$AY13-IF($AU13="Married",10000,5000)),IF($AN13="IA",MAX(0,0.038*MAX(0,$AY13-IF($AU13="Head of household",19500,IF($AU13="Married",26000,13000)))-40*$AS13),IF($AN13="ID",0.053*MAX(0,$AY13-IF($AU13="Married",32000,16094)),IF($AN13="IL",0.0495*MAX(0,$AY13-(2925*$AS13+1000*$AT13)),IF($AN13="IN",(0.0295+'Your Pay &amp; Benefits'!$C$76)*MAX(0,$AY13-(1000*$AS13+1500*$AT13+3000*'Your Pay &amp; Benefits'!$C$86)),IF($AN13="KY",0.035*MAX(0,$AI13-3360),IF($AN13="LA",IF('Your Pay &amp; Benefits'!$C$84="0",0.0309*$AI13,0.0309*MAX(0,$AI13-IF('Your Pay &amp; Benefits'!$C$84="2",25750,12875))),IF($AN13="MA",0.05*MIN(MAX(0,$AY13-MIN(($BD12+$Q13+$R13+$S13),2000)-IF($AS13=0,0,IF($AS13=1,4400,1000*$AS13+3400))),1107750)+0.09*MAX(0,MAX(0,$AY13-MIN(($BD12+$Q13+$R13+$S13),2000)-IF($AS13=0,0,IF($AS13=1,4400,1000*$AS13+3400)))-1107750)-IF($AU13="Head of household",120,0)-110*'Your Pay &amp; Benefits'!$C$75,IF($AN13="MI",0.0425*MAX(0,$AY13-5900*$AS13),IF($AN13="MS",0.04*MAX(0,$AI13-IF($AU13="Head of household",3400,IF($AU13="Married",4600,2300))-'Your Pay &amp; Benefits'!$C$85-10000),IF($AN13="OR",IF(OR($AU13="Married",AND($AU13="Single",$AS13&gt;=3)),SUMPRODUCT((MAX(0,$AY13-MIN(($P13-'How This Works &amp; Sources'!$C$10*$D13)*'Your Pay &amp; Benefits'!$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Sources'!$B$211:$J$214,0,4))*(MAX(0,$AY13-MIN(($P13-'How This Works &amp; Sources'!$C$10*$D13)*'Your Pay &amp; Benefits'!$C$8,IF(OR($AU13="Married",AND($AU13="Single",$AS13&gt;=3)),IF($AY13&lt;250000,8750,IF($AY13&lt;260000,7000,IF($AY13&lt;270000,5250,IF($AY13&lt;280000,3500,IF($AY13&lt;290000,1750,0))))),IF($AY13&lt;125000,8750,IF($AY13&lt;130000,7000,IF($AY13&lt;135000,5250,IF($AY13&lt;140000,3500,IF($AY13&lt;145000,1750,0)))))))-IF(OR($AU13="Married",AND($AU13="Single",$AS13&gt;=3)),5820,2910))-INDEX('How This Works &amp; Sources'!$B$211:$J$214,0,4))*INDEX('How This Works &amp; Sources'!$B$211:$J$214,0,4+2)),SUMPRODUCT((MAX(0,$AY13-MIN(($P13-'How This Works &amp; Sources'!$C$10*$D13)*'Your Pay &amp; Benefits'!$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Sources'!$B$211:$J$214,0,1))*(MAX(0,$AY13-MIN(($P13-'How This Works &amp; Sources'!$C$10*$D13)*'Your Pay &amp; Benefits'!$C$8,IF(OR($AU13="Married",AND($AU13="Single",$AS13&gt;=3)),IF($AY13&lt;250000,8750,IF($AY13&lt;260000,7000,IF($AY13&lt;270000,5250,IF($AY13&lt;280000,3500,IF($AY13&lt;290000,1750,0))))),IF($AY13&lt;125000,8750,IF($AY13&lt;130000,7000,IF($AY13&lt;135000,5250,IF($AY13&lt;140000,3500,IF($AY13&lt;145000,1750,0)))))))-IF(OR($AU13="Married",AND($AU13="Single",$AS13&gt;=3)),5820,2910))-INDEX('How This Works &amp; Sources'!$B$211:$J$214,0,1))*INDEX('How This Works &amp; Sources'!$B$211:$J$214,0,1+2)))+263-263*IF(IF($AU13="Married",$AY13&gt;200000,$AY13&gt;100000),0,$AS13),IF($AN13="PA",0.0307*(($O13+$E13+$G13)*'Your Pay &amp; Benefits'!$C$8),IF($AN13="NY",IF($AU13="Married",IF($AZ13&gt;=2155350,0,IF($AZ13&gt;=1077550,0.48,IF($AZ13&gt;=373200,1.21,IF($AZ13&gt;=323200,0.21,IF($AZ13&gt;=211550,-0.19,IF($AZ13&gt;=157650,-2.8,IF($AZ13&gt;=107650,-0.8,IF($AZ13&gt;=96800,0.05,IF($AZ13&gt;=80650,-0.1,IF($AZ13&gt;=13900,0.4,IF($AZ13&gt;=11700,-0.3,IF($AZ13&gt;=8500,0.5,0)))))))))))),IF($AZ13&gt;=1077550,0,IF($AZ13&gt;=265400,4.29,IF($AZ13&gt;=215400,2.29,IF($AZ13&gt;=157650,2.29,IF($AZ13&gt;=107650,0.29,IF($AZ13&gt;=96800,0.05,IF($AZ13&gt;=80650,-0.1,IF($AZ13&gt;=13900,0.4,IF($AZ13&gt;=11700,-0.3,IF($AZ13&gt;=8500,0.5,0))))))))))),0))))))))))))))))))</f>
      </c>
      <c r="BC13" s="7">
        <f>IF($B13="","",IF($AN13="AL",0.05*$D13,IF($AN13="AR",0.039*$D13,IF($AN13="ID",0.053*$D13,IF($AN13="IN",(0.0295+'Your Pay &amp; Benefits'!$C$76)*$D13,IF($AN13="KS",0.05*$D13,IF($AN13="MA",0.09*MIN($D13,MAX(0,MAX(0,$AY13-MIN(($BD12+$Q13+$R13+$S13),2000)-IF($AS13=0,0,IF($AS13=1,4400,1000*$AS13+3400)))+$D13-1107750))+0.05*($D13-MIN($D13,MAX(0,MAX(0,$AY13-MIN(($BD12+$Q13+$R13+$S13),2000)-IF($AS13=0,0,IF($AS13=1,4400,1000*$AS13+3400)))+$D13-1107750))),IF($AN13="MD",(0.065+'Your Pay &amp; Benefits'!$C$74)*$D13,IF($AN13="MI",0.0425*$D13,IF($AN13="MN",0.0625*$D13,IF($AN13="MO",0.047*$D13,IF($AN13="MT",0.05*$D13,IF($AN13="ND",0.015*$D13,IF($AN13="NE",0.035*$D13,IF($AN13="NJ",IF('Your Pay &amp; Benefits'!$C$77="B",SUMPRODUCT(($D13*'Your Pay &amp; Benefits'!$C$8&gt;INDEX('How This Works &amp; Sources'!$B$155:$J$162,0,4))*($D13*'Your Pay &amp; Benefits'!$C$8-INDEX('How This Works &amp; Sources'!$B$155:$J$162,0,4))*INDEX('How This Works &amp; Sources'!$B$155:$J$162,0,4+2)),IF('Your Pay &amp; Benefits'!$C$77="C",SUMPRODUCT(($D13*'Your Pay &amp; Benefits'!$C$8&gt;INDEX('How This Works &amp; Sources'!$B$155:$J$162,0,7))*($D13*'Your Pay &amp; Benefits'!$C$8-INDEX('How This Works &amp; Sources'!$B$155:$J$162,0,7))*INDEX('How This Works &amp; Sources'!$B$155:$J$162,0,7+2)),IF('Your Pay &amp; Benefits'!$C$77="D",SUMPRODUCT(($D13*'Your Pay &amp; Benefits'!$C$8&gt;INDEX('How This Works &amp; Sources'!$B$167:$J$179,0,1))*($D13*'Your Pay &amp; Benefits'!$C$8-INDEX('How This Works &amp; Sources'!$B$167:$J$179,0,1))*INDEX('How This Works &amp; Sources'!$B$167:$J$179,0,1+2)),IF('Your Pay &amp; Benefits'!$C$77="E",SUMPRODUCT(($D13*'Your Pay &amp; Benefits'!$C$8&gt;INDEX('How This Works &amp; Sources'!$B$167:$J$179,0,4))*($D13*'Your Pay &amp; Benefits'!$C$8-INDEX('How This Works &amp; Sources'!$B$167:$J$179,0,4))*INDEX('How This Works &amp; Sources'!$B$167:$J$179,0,4+2)),SUMPRODUCT(($D13*'Your Pay &amp; Benefits'!$C$8&gt;INDEX('How This Works &amp; Sources'!$B$155:$J$162,0,1))*($D13*'Your Pay &amp; Benefits'!$C$8-INDEX('How This Works &amp; Sources'!$B$155:$J$162,0,1))*INDEX('How This Works &amp; Sources'!$B$155:$J$162,0,1+2))))))/'Your Pay &amp; Benefits'!$C$8,IF($AN13="NY",0.117*$D13,IF($AN13="OH",0.0275*$D13,IF($AN13="OK",0.045*$D13,IF($AN13="OR",0.08*$D13,IF($AN13="WI",IF($AY13&lt;12760,0.0354,IF($AY13&lt;25520,0.0465,IF($AY13&lt;280950,0.053,0.0765)))*$D13,0))))))))))))))))))))</f>
      </c>
      <c r="BD13" s="7">
        <f>IF($B13="","",$BD12+$Q13+$R13+$S13)</f>
      </c>
      <c r="BE13" s="6">
        <f>IF($B13="",$BE12,$BE12+$BF13)</f>
      </c>
      <c r="BF13" s="6">
        <f>IF($B13="","",IF(AND(IF(YEAR(IF('Your Pay &amp; Benefits'!$C$7="Weekly",'Your Pay &amp; Benefits'!$C$9+7*(($BE12+1)-1),IF('Your Pay &amp; Benefits'!$C$7="Biweekly",'Your Pay &amp; Benefits'!$C$9+14*(($BE12+1)-1),IF('Your Pay &amp; Benefits'!$C$7="Semimonthly",DATE(YEAR('Your Pay &amp; Benefits'!$C$9),MONTH('Your Pay &amp; Benefits'!$C$9)+INT((($BE12+1)-1)/2),MIN(DAY('Your Pay &amp; Benefits'!$C$9),DAY(EOMONTH(DATE(YEAR('Your Pay &amp; Benefits'!$C$9),MONTH('Your Pay &amp; Benefits'!$C$9)+INT((($BE12+1)-1)/2),1),0))))+IF(MOD(($BE12+1)-1,2)=1,15,0),EDATE('Your Pay &amp; Benefits'!$C$9,($BE12+1)-1)))))&lt;&gt;'Your Pay &amp; Benefits'!$C$10,"",IF('Your Pay &amp; Benefits'!$C$7="Weekly",'Your Pay &amp; Benefits'!$C$9+7*(($BE12+1)-1),IF('Your Pay &amp; Benefits'!$C$7="Biweekly",'Your Pay &amp; Benefits'!$C$9+14*(($BE12+1)-1),IF('Your Pay &amp; Benefits'!$C$7="Semimonthly",DATE(YEAR('Your Pay &amp; Benefits'!$C$9),MONTH('Your Pay &amp; Benefits'!$C$9)+INT((($BE12+1)-1)/2),MIN(DAY('Your Pay &amp; Benefits'!$C$9),DAY(EOMONTH(DATE(YEAR('Your Pay &amp; Benefits'!$C$9),MONTH('Your Pay &amp; Benefits'!$C$9)+INT((($BE12+1)-1)/2),1),0))))+IF(MOD(($BE12+1)-1,2)=1,15,0),EDATE('Your Pay &amp; Benefits'!$C$9,($BE12+1)-1)))))&lt;&gt;"",$B13=IF(YEAR(IF('Your Pay &amp; Benefits'!$C$7="Weekly",'Your Pay &amp; Benefits'!$C$9+7*(($BE12+1)-1),IF('Your Pay &amp; Benefits'!$C$7="Biweekly",'Your Pay &amp; Benefits'!$C$9+14*(($BE12+1)-1),IF('Your Pay &amp; Benefits'!$C$7="Semimonthly",DATE(YEAR('Your Pay &amp; Benefits'!$C$9),MONTH('Your Pay &amp; Benefits'!$C$9)+INT((($BE12+1)-1)/2),MIN(DAY('Your Pay &amp; Benefits'!$C$9),DAY(EOMONTH(DATE(YEAR('Your Pay &amp; Benefits'!$C$9),MONTH('Your Pay &amp; Benefits'!$C$9)+INT((($BE12+1)-1)/2),1),0))))+IF(MOD(($BE12+1)-1,2)=1,15,0),EDATE('Your Pay &amp; Benefits'!$C$9,($BE12+1)-1)))))&lt;&gt;'Your Pay &amp; Benefits'!$C$10,"",IF('Your Pay &amp; Benefits'!$C$7="Weekly",'Your Pay &amp; Benefits'!$C$9+7*(($BE12+1)-1),IF('Your Pay &amp; Benefits'!$C$7="Biweekly",'Your Pay &amp; Benefits'!$C$9+14*(($BE12+1)-1),IF('Your Pay &amp; Benefits'!$C$7="Semimonthly",DATE(YEAR('Your Pay &amp; Benefits'!$C$9),MONTH('Your Pay &amp; Benefits'!$C$9)+INT((($BE12+1)-1)/2),MIN(DAY('Your Pay &amp; Benefits'!$C$9),DAY(EOMONTH(DATE(YEAR('Your Pay &amp; Benefits'!$C$9),MONTH('Your Pay &amp; Benefits'!$C$9)+INT((($BE12+1)-1)/2),1),0))))+IF(MOD(($BE12+1)-1,2)=1,15,0),EDATE('Your Pay &amp; Benefits'!$C$9,($BE12+1)-1)))))),1,0))</f>
      </c>
      <c r="BG13" s="7">
        <f>IF($B13="","",$BG12+$H13)</f>
      </c>
      <c r="BH13" s="7">
        <f>IF($B13="","",$BH12+$I13)</f>
      </c>
      <c r="BI13" s="7">
        <f>IF($B13="","",$BI12+$G13)</f>
      </c>
      <c r="BJ13" s="7">
        <f>IF($B13="","",IFERROR(LOOKUP(2,1/(((('Changes &amp; Events'!$C$6:$C$17="Deduction start"))*('Changes &amp; Events'!$D$6:$D$17="Health FSA"))*('Changes &amp; Events'!$B$6:$B$17&lt;=$B13)*('Changes &amp; Events'!$B$6:$B$17&lt;&gt;"")),'Changes &amp; Events'!$E$6:$E$17),'Your Pay &amp; Benefits'!$D$38))</f>
      </c>
      <c r="BK13" s="7">
        <f>IF($B13="","",IFERROR(LOOKUP(2,1/(((('Changes &amp; Events'!$C$6:$C$17="Deduction start"))*('Changes &amp; Events'!$D$6:$D$17="Dependent-care FSA"))*('Changes &amp; Events'!$B$6:$B$17&lt;=$B13)*('Changes &amp; Events'!$B$6:$B$17&lt;&gt;"")),'Changes &amp; Events'!$E$6:$E$17),'Your Pay &amp; Benefits'!$D$39))</f>
      </c>
      <c r="BL13" s="7">
        <f>IF($B13="","",IFERROR(LOOKUP(2,1/(((('Changes &amp; Events'!$C$6:$C$17="Deduction start")+('Changes &amp; Events'!$C$6:$C$17="Deduction stop"))*('Changes &amp; Events'!$D$6:$D$17="HSA"))*('Changes &amp; Events'!$B$6:$B$17&lt;=$B13)*('Changes &amp; Events'!$B$6:$B$17&lt;&gt;"")),'Changes &amp; Events'!$I$6:$I$17),'Your Pay &amp; Benefits'!$D$35))</f>
      </c>
      <c r="BM13" s="7">
        <f>IF($B13="","",IFERROR(LOOKUP(2,1/(((('Changes &amp; Events'!$C$6:$C$17="Deduction start")+('Changes &amp; Events'!$C$6:$C$17="Deduction stop"))*('Changes &amp; Events'!$D$6:$D$17="Premiums"))*('Changes &amp; Events'!$B$6:$B$17&lt;=$B13)*('Changes &amp; Events'!$B$6:$B$17&lt;&gt;"")),'Changes &amp; Events'!$I$6:$I$17),'Your Pay &amp; Benefits'!$D$40+'Your Pay &amp; Benefits'!$D$41+'Your Pay &amp; Benefits'!$D$42))</f>
      </c>
      <c r="BN13" s="7">
        <f>IF($B13="","",IFERROR(LOOKUP(2,1/(((('Changes &amp; Events'!$C$6:$C$17="Deduction start")+('Changes &amp; Events'!$C$6:$C$17="Deduction stop"))*('Changes &amp; Events'!$D$6:$D$17="Commuter"))*('Changes &amp; Events'!$B$6:$B$17&lt;=$B13)*('Changes &amp; Events'!$B$6:$B$17&lt;&gt;"")),'Changes &amp; Events'!$I$6:$I$17),'Your Pay &amp; Benefits'!$D$43))</f>
      </c>
      <c r="BO13" s="7">
        <f>IF($B13="","",IFERROR(LOOKUP(2,1/(((('Changes &amp; Events'!$C$6:$C$17="Deduction start")+('Changes &amp; Events'!$C$6:$C$17="Deduction stop"))*('Changes &amp; Events'!$D$6:$D$17="Other pre-tax"))*('Changes &amp; Events'!$B$6:$B$17&lt;=$B13)*('Changes &amp; Events'!$B$6:$B$17&lt;&gt;"")),'Changes &amp; Events'!$I$6:$I$17),'Your Pay &amp; Benefits'!$D$44))</f>
      </c>
      <c r="BP13" s="7">
        <f>IF($B13="","",IFERROR(LOOKUP(2,1/(((('Changes &amp; Events'!$C$6:$C$17="Deduction start")+('Changes &amp; Events'!$C$6:$C$17="Deduction stop"))*('Changes &amp; Events'!$D$6:$D$17="Other post-tax"))*('Changes &amp; Events'!$B$6:$B$17&lt;=$B13)*('Changes &amp; Events'!$B$6:$B$17&lt;&gt;"")),'Changes &amp; Events'!$I$6:$I$17),'Your Pay &amp; Benefits'!$D$45))</f>
      </c>
      <c r="BQ13" s="6">
        <f>IF($B13="","",IFERROR(LOOKUP(2,1/(((('Changes &amp; Events'!$C$6:$C$17="Deduction start")+('Changes &amp; Events'!$C$6:$C$17="Deduction stop"))*('Changes &amp; Events'!$D$6:$D$17="Health FSA"))*('Changes &amp; Events'!$B$6:$B$17&lt;=$B13)*('Changes &amp; Events'!$B$6:$B$17&lt;&gt;"")),'Changes &amp; Events'!$J$6:$J$17),0))</f>
      </c>
      <c r="BR13" s="6">
        <f>IF($B13="","",IFERROR(LOOKUP(2,1/(((('Changes &amp; Events'!$C$6:$C$17="Deduction start")+('Changes &amp; Events'!$C$6:$C$17="Deduction stop"))*('Changes &amp; Events'!$D$6:$D$17="Dependent-care FSA"))*('Changes &amp; Events'!$B$6:$B$17&lt;=$B13)*('Changes &amp; Events'!$B$6:$B$17&lt;&gt;"")),'Changes &amp; Events'!$J$6:$J$17),0))</f>
      </c>
      <c r="BS13" s="6">
        <f>IF($B13="","",IF(SUMPRODUCT(('Changes &amp; Events'!$C$6:$C$17="Deduction start")*('Changes &amp; Events'!$B$6:$B$17&lt;=$B13)*('Changes &amp; Events'!$B$6:$B$17&lt;&gt;"")*('Changes &amp; Events'!$D$6:$D$17="Health FSA"))&gt;0,1,0))</f>
      </c>
      <c r="BT13" s="6">
        <f>IF($B13="","",IF(SUMPRODUCT(('Changes &amp; Events'!$C$6:$C$17="Deduction start")*('Changes &amp; Events'!$B$6:$B$17&lt;=$B13)*('Changes &amp; Events'!$B$6:$B$17&lt;&gt;"")*('Changes &amp; Events'!$D$6:$D$17="Dependent-care FSA"))&gt;0,1,0))</f>
      </c>
      <c r="BU13" s="24">
        <f>IF($B13="","",IF('Your Pay &amp; Benefits'!$C$13,SUMPRODUCT(($AH13&gt;=INDEX('How This Works &amp; Sources'!$B$29:$J$36,0,IF('Your Pay &amp; Benefits'!$C$12="MFJ",1,IF('Your Pay &amp; Benefits'!$C$12="HoH",7,4))))*INDEX('How This Works &amp; Sources'!$B$29:$J$36,0,IF('Your Pay &amp; Benefits'!$C$12="MFJ",1,IF('Your Pay &amp; Benefits'!$C$12="HoH",7,4))+2)),SUMPRODUCT(($AH13&gt;=INDEX('How This Works &amp; Sources'!$B$19:$J$26,0,IF('Your Pay &amp; Benefits'!$C$12="MFJ",1,IF('Your Pay &amp; Benefits'!$C$12="HoH",7,4))))*INDEX('How This Works &amp; Sources'!$B$19:$J$26,0,IF('Your Pay &amp; Benefits'!$C$12="MFJ",1,IF('Your Pay &amp; Benefits'!$C$12="HoH",7,4))+2))))</f>
      </c>
      <c r="BV13" s="24">
        <f>IF($B13="","",IF($BZ13&lt;&gt;"",$BZ13,IF($CA13&lt;&gt;"",$CA13,IF($CB13&lt;&gt;"",$CB13,IF($CC13&lt;&gt;"",$CC13,0)))))</f>
      </c>
      <c r="BW13" s="7">
        <f>IF($B13="","",IF($AN13="MD",IF(OR($AU13="Married",$AU13="Head of household"),SUMPRODUCT(($AZ13&gt;INDEX('How This Works &amp; Sources'!$B$114:$J$120,0,1))*($AZ13-INDEX('How This Works &amp; Sources'!$B$114:$J$120,0,1))*INDEX('How This Works &amp; Sources'!$B$114:$J$120,0,1+2)),SUMPRODUCT(($AZ13&gt;INDEX('How This Works &amp; Sources'!$B$103:$J$109,0,7))*($AZ13-INDEX('How This Works &amp; Sources'!$B$103:$J$109,0,7))*INDEX('How This Works &amp; Sources'!$B$103:$J$109,0,7+2))),IF($AN13="MO",SUMPRODUCT(($AZ13&gt;INDEX('How This Works &amp; Sources'!$B$125:$J$132,0,1))*($AZ13-INDEX('How This Works &amp; Sources'!$B$125:$J$132,0,1))*INDEX('How This Works &amp; Sources'!$B$125:$J$132,0,1+2)),IF($AN13="MT",IF($AU13="Head of household",SUMPRODUCT(($AZ13&gt;INDEX('How This Works &amp; Sources'!$B$137:$J$139,0,1))*($AZ13-INDEX('How This Works &amp; Sources'!$B$137:$J$139,0,1))*INDEX('How This Works &amp; Sources'!$B$137:$J$139,0,1+2)),IF($AU13="Married",SUMPRODUCT(($AZ13&gt;INDEX('How This Works &amp; Sources'!$B$125:$J$132,0,7))*($AZ13-INDEX('How This Works &amp; Sources'!$B$125:$J$132,0,7))*INDEX('How This Works &amp; Sources'!$B$125:$J$132,0,7+2)),SUMPRODUCT(($AZ13&gt;INDEX('How This Works &amp; Sources'!$B$125:$J$132,0,4))*($AZ13-INDEX('How This Works &amp; Sources'!$B$125:$J$132,0,4))*INDEX('How This Works &amp; Sources'!$B$125:$J$132,0,4+2)))),IF($AN13="ND",IF($AU13="Head of household",SUMPRODUCT(($AZ13&gt;INDEX('How This Works &amp; Sources'!$B$144:$J$150,0,1))*($AZ13-INDEX('How This Works &amp; Sources'!$B$144:$J$150,0,1))*INDEX('How This Works &amp; Sources'!$B$144:$J$150,0,1+2)),IF($AU13="Married",SUMPRODUCT(($AZ13&gt;INDEX('How This Works &amp; Sources'!$B$137:$J$139,0,7))*($AZ13-INDEX('How This Works &amp; Sources'!$B$137:$J$139,0,7))*INDEX('How This Works &amp; Sources'!$B$137:$J$139,0,7+2)),SUMPRODUCT(($AZ13&gt;INDEX('How This Works &amp; Sources'!$B$137:$J$139,0,4))*($AZ13-INDEX('How This Works &amp; Sources'!$B$137:$J$139,0,4))*INDEX('How This Works &amp; Sources'!$B$137:$J$139,0,4+2)))),IF($AN13="NJ",IF('Your Pay &amp; Benefits'!$C$77="B",SUMPRODUCT(($AZ13&gt;INDEX('How This Works &amp; Sources'!$B$155:$J$162,0,4))*($AZ13-INDEX('How This Works &amp; Sources'!$B$155:$J$162,0,4))*INDEX('How This Works &amp; Sources'!$B$155:$J$162,0,4+2)),IF('Your Pay &amp; Benefits'!$C$77="C",SUMPRODUCT(($AZ13&gt;INDEX('How This Works &amp; Sources'!$B$155:$J$162,0,7))*($AZ13-INDEX('How This Works &amp; Sources'!$B$155:$J$162,0,7))*INDEX('How This Works &amp; Sources'!$B$155:$J$162,0,7+2)),IF('Your Pay &amp; Benefits'!$C$77="D",SUMPRODUCT(($AZ13&gt;INDEX('How This Works &amp; Sources'!$B$167:$J$179,0,1))*($AZ13-INDEX('How This Works &amp; Sources'!$B$167:$J$179,0,1))*INDEX('How This Works &amp; Sources'!$B$167:$J$179,0,1+2)),IF('Your Pay &amp; Benefits'!$C$77="E",SUMPRODUCT(($AZ13&gt;INDEX('How This Works &amp; Sources'!$B$167:$J$179,0,4))*($AZ13-INDEX('How This Works &amp; Sources'!$B$167:$J$179,0,4))*INDEX('How This Works &amp; Sources'!$B$167:$J$179,0,4+2)),SUMPRODUCT(($AZ13&gt;INDEX('How This Works &amp; Sources'!$B$155:$J$162,0,1))*($AZ13-INDEX('How This Works &amp; Sources'!$B$155:$J$162,0,1))*INDEX('How This Works &amp; Sources'!$B$155:$J$162,0,1+2)))))),IF($AN13="NY",IF($AU13="Married",IF($AZ13&gt;=2155350,$AZ13*IF($AZ13&gt;25000000,0.117,IF($AZ13&gt;5000000,0.111,0.1045)),SUMPRODUCT(($AZ13&gt;INDEX('How This Works &amp; Sources'!$B$184:$J$198,0,1))*($AZ13-INDEX('How This Works &amp; Sources'!$B$184:$J$198,0,1))*INDEX('How This Works &amp; Sources'!$B$184:$J$198,0,1+2))),IF($AZ13&gt;=1077550,$AZ13*IF($AZ13&gt;25000000,0.117,IF($AZ13&gt;5000000,0.111,0.1045)),SUMPRODUCT(($AZ13&gt;INDEX('How This Works &amp; Sources'!$B$167:$J$179,0,7))*($AZ13-INDEX('How This Works &amp; Sources'!$B$167:$J$179,0,7))*INDEX('How This Works &amp; Sources'!$B$167:$J$179,0,7+2)))),"")))))))</f>
      </c>
      <c r="BX13" s="7">
        <f>IF($B13="","",IF($AN13="AL",IF(OR($AU13="Married",$AU13="Head of household"),SUMPRODUCT(($AZ13&gt;INDEX('How This Works &amp; Sources'!$B$82:$J$86,0,4))*($AZ13-INDEX('How This Works &amp; Sources'!$B$82:$J$86,0,4))*INDEX('How This Works &amp; Sources'!$B$82:$J$86,0,4+2)),SUMPRODUCT(($AZ13&gt;INDEX('How This Works &amp; Sources'!$B$82:$J$86,0,1))*($AZ13-INDEX('How This Works &amp; Sources'!$B$82:$J$86,0,1))*INDEX('How This Works &amp; Sources'!$B$82:$J$86,0,1+2))),IF($AN13="KS",IF($AU13="Married",SUMPRODUCT(($AZ13&gt;INDEX('How This Works &amp; Sources'!$B$103:$J$109,0,4))*($AZ13-INDEX('How This Works &amp; Sources'!$B$103:$J$109,0,4))*INDEX('How This Works &amp; Sources'!$B$103:$J$109,0,4+2)),SUMPRODUCT(($AZ13&gt;INDEX('How This Works &amp; Sources'!$B$103:$J$109,0,1))*($AZ13-INDEX('How This Works &amp; Sources'!$B$103:$J$109,0,1))*INDEX('How This Works &amp; Sources'!$B$103:$J$109,0,1+2))),IF($AN13="MN",IF($AU13="Married",SUMPRODUCT(($AZ13&gt;INDEX('How This Works &amp; Sources'!$B$114:$J$120,0,7))*($AZ13-INDEX('How This Works &amp; Sources'!$B$114:$J$120,0,7))*INDEX('How This Works &amp; Sources'!$B$114:$J$120,0,7+2)),SUMPRODUCT(($AZ13&gt;INDEX('How This Works &amp; Sources'!$B$114:$J$120,0,4))*($AZ13-INDEX('How This Works &amp; Sources'!$B$114:$J$120,0,4))*INDEX('How This Works &amp; Sources'!$B$114:$J$120,0,4+2))),IF($AN13="NE",MAX(IF($AU13="Married",SUMPRODUCT(($AZ13&gt;INDEX('How This Works &amp; Sources'!$B$144:$J$150,0,7))*($AZ13-INDEX('How This Works &amp; Sources'!$B$144:$J$150,0,7))*INDEX('How This Works &amp; Sources'!$B$144:$J$150,0,7+2)),SUMPRODUCT(($AZ13&gt;INDEX('How This Works &amp; Sources'!$B$144:$J$150,0,4))*($AZ13-INDEX('How This Works &amp; Sources'!$B$144:$J$150,0,4))*INDEX('How This Works &amp; Sources'!$B$144:$J$150,0,4+2))),0.015*$AZ13),IF($AN13="OH",IF($B13&gt;=DATE(2026,8,1),SUMPRODUCT(($AZ13&gt;INDEX('How This Works &amp; Sources'!$B$203:$J$206,0,1))*($AZ13-INDEX('How This Works &amp; Sources'!$B$203:$J$206,0,1))*INDEX('How This Works &amp; Sources'!$B$203:$J$206,0,1+2)),SUMPRODUCT(($AZ13&gt;INDEX('How This Works &amp; Sources'!$B$184:$J$198,0,7))*($AZ13-INDEX('How This Works &amp; Sources'!$B$184:$J$198,0,7))*INDEX('How This Works &amp; Sources'!$B$184:$J$198,0,7+2))),IF($AN13="OK",IF($AU13="Married",SUMPRODUCT(($AZ13&gt;INDEX('How This Works &amp; Sources'!$B$203:$J$206,0,7))*($AZ13-INDEX('How This Works &amp; Sources'!$B$203:$J$206,0,7))*INDEX('How This Works &amp; Sources'!$B$203:$J$206,0,7+2)),SUMPRODUCT(($AZ13&gt;INDEX('How This Works &amp; Sources'!$B$203:$J$206,0,4))*($AZ13-INDEX('How This Works &amp; Sources'!$B$203:$J$206,0,4))*INDEX('How This Works &amp; Sources'!$B$203:$J$206,0,4+2))),IF($AN13="RI",SUMPRODUCT(($AZ13&gt;INDEX('How This Works &amp; Sources'!$B$211:$J$214,0,7))*($AZ13-INDEX('How This Works &amp; Sources'!$B$211:$J$214,0,7))*INDEX('How This Works &amp; Sources'!$B$211:$J$214,0,7+2)),IF($AN13="VT",IF($AU13="Married",SUMPRODUCT(($AZ13&gt;INDEX('How This Works &amp; Sources'!$B$228:$J$232,0,1))*($AZ13-INDEX('How This Works &amp; Sources'!$B$228:$J$232,0,1))*INDEX('How This Works &amp; Sources'!$B$228:$J$232,0,1+2)),SUMPRODUCT(($AZ13&gt;INDEX('How This Works &amp; Sources'!$B$219:$J$223,0,7))*($AZ13-INDEX('How This Works &amp; Sources'!$B$219:$J$223,0,7))*INDEX('How This Works &amp; Sources'!$B$219:$J$223,0,7+2))),IF($AN13="WV",IF($AU13="Married",SUMPRODUCT(($AZ13&gt;INDEX('How This Works &amp; Sources'!$B$237:$J$241,0,7))*($AZ13-INDEX('How This Works &amp; Sources'!$B$237:$J$241,0,7))*INDEX('How This Works &amp; Sources'!$B$237:$J$241,0,7+2)),SUMPRODUCT(($AZ13&gt;INDEX('How This Works &amp; Sources'!$B$228:$J$232,0,7))*($AZ13-INDEX('How This Works &amp; Sources'!$B$228:$J$232,0,7))*INDEX('How This Works &amp; Sources'!$B$228:$J$232,0,7+2))),""))))))))))</f>
      </c>
      <c r="BY13" s="7">
        <f>IF($B13="","",IF($AN13="AR",SUMPRODUCT(($AZ13&gt;INDEX('How This Works &amp; Sources'!$B$82:$J$86,0,7))*($AZ13-INDEX('How This Works &amp; Sources'!$B$82:$J$86,0,7))*INDEX('How This Works &amp; Sources'!$B$82:$J$86,0,7+2)),IF($AN13="DE",SUMPRODUCT(($AZ13&gt;INDEX('How This Works &amp; Sources'!$B$91:$J$98,0,1))*($AZ13-INDEX('How This Works &amp; Sources'!$B$91:$J$98,0,1))*INDEX('How This Works &amp; Sources'!$B$91:$J$98,0,1+2)),IF($AN13="HI",IF($AU13="Married",SUMPRODUCT(($AZ13&gt;INDEX('How This Works &amp; Sources'!$B$91:$J$98,0,7))*($AZ13-INDEX('How This Works &amp; Sources'!$B$91:$J$98,0,7))*INDEX('How This Works &amp; Sources'!$B$91:$J$98,0,7+2)),SUMPRODUCT(($AZ13&gt;INDEX('How This Works &amp; Sources'!$B$91:$J$98,0,4))*($AZ13-INDEX('How This Works &amp; Sources'!$B$91:$J$98,0,4))*INDEX('How This Works &amp; Sources'!$B$91:$J$98,0,4+2))),IF($AN13="SC",SUMPRODUCT(($AZ13&gt;INDEX('How This Works &amp; Sources'!$B$219:$J$223,0,1))*($AZ13-INDEX('How This Works &amp; Sources'!$B$219:$J$223,0,1))*INDEX('How This Works &amp; Sources'!$B$219:$J$223,0,1+2)),IF($AN13="VA",SUMPRODUCT(($AZ13&gt;INDEX('How This Works &amp; Sources'!$B$219:$J$223,0,4))*($AZ13-INDEX('How This Works &amp; Sources'!$B$219:$J$223,0,4))*INDEX('How This Works &amp; Sources'!$B$219:$J$223,0,4+2)),IF($AN13="WI",SUMPRODUCT(($AZ13&gt;INDEX('How This Works &amp; Sources'!$B$228:$J$232,0,4))*($AZ13-INDEX('How This Works &amp; Sources'!$B$228:$J$232,0,4))*INDEX('How This Works &amp; Sources'!$B$228:$J$232,0,4+2)),"")))))))</f>
      </c>
      <c r="BZ13" s="24">
        <f>IF($B13="","",IF($AN13="NJ",IF('Your Pay &amp; Benefits'!$C$77="B",SUMPRODUCT(($AZ13&gt;=INDEX('How This Works &amp; Sources'!$B$155:$J$162,0,4))*INDEX('How This Works &amp; Sources'!$B$155:$J$162,0,4+2)),IF('Your Pay &amp; Benefits'!$C$77="C",SUMPRODUCT(($AZ13&gt;=INDEX('How This Works &amp; Sources'!$B$155:$J$162,0,7))*INDEX('How This Works &amp; Sources'!$B$155:$J$162,0,7+2)),IF('Your Pay &amp; Benefits'!$C$77="D",SUMPRODUCT(($AZ13&gt;=INDEX('How This Works &amp; Sources'!$B$167:$J$179,0,1))*INDEX('How This Works &amp; Sources'!$B$167:$J$179,0,1+2)),IF('Your Pay &amp; Benefits'!$C$77="E",SUMPRODUCT(($AZ13&gt;=INDEX('How This Works &amp; Sources'!$B$167:$J$179,0,4))*INDEX('How This Works &amp; Sources'!$B$167:$J$179,0,4+2)),SUMPRODUCT(($AZ13&gt;=INDEX('How This Works &amp; Sources'!$B$155:$J$162,0,1))*INDEX('How This Works &amp; Sources'!$B$155:$J$162,0,1+2)))))),IF($AN13="OR",IF(OR($AU13="Married",AND($AU13="Single",$AS13&gt;=3)),SUMPRODUCT((MAX(0,$AY13-MIN(($P13-'How This Works &amp; Sources'!$C$10*$D13)*'Your Pay &amp; Benefits'!$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Sources'!$B$211:$J$214,0,4))*INDEX('How This Works &amp; Sources'!$B$211:$J$214,0,4+2)),SUMPRODUCT((MAX(0,$AY13-MIN(($P13-'How This Works &amp; Sources'!$C$10*$D13)*'Your Pay &amp; Benefits'!$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Sources'!$B$211:$J$214,0,1))*INDEX('How This Works &amp; Sources'!$B$211:$J$214,0,1+2)))*IF(($P13-'How This Works &amp; Sources'!$C$10*$D13)*'Your Pay &amp; Benefits'!$C$8&gt;=IF(OR($AU13="Married",AND($AU13="Single",$AS13&gt;=3)),IF($AY13&lt;250000,8750,IF($AY13&lt;260000,7000,IF($AY13&lt;270000,5250,IF($AY13&lt;280000,3500,IF($AY13&lt;290000,1750,0))))),IF($AY13&lt;125000,8750,IF($AY13&lt;130000,7000,IF($AY13&lt;135000,5250,IF($AY13&lt;140000,3500,IF($AY13&lt;145000,1750,0)))))),1,1-IF('Your Pay &amp; Benefits'!$C$13,SUMPRODUCT(($AH13&gt;=INDEX('How This Works &amp; Sources'!$B$29:$J$36,0,IF('Your Pay &amp; Benefits'!$C$12="MFJ",1,IF('Your Pay &amp; Benefits'!$C$12="HoH",7,4))))*INDEX('How This Works &amp; Sources'!$B$29:$J$36,0,IF('Your Pay &amp; Benefits'!$C$12="MFJ",1,IF('Your Pay &amp; Benefits'!$C$12="HoH",7,4))+2)),SUMPRODUCT(($AH13&gt;=INDEX('How This Works &amp; Sources'!$B$19:$J$26,0,IF('Your Pay &amp; Benefits'!$C$12="MFJ",1,IF('Your Pay &amp; Benefits'!$C$12="HoH",7,4))))*INDEX('How This Works &amp; Sources'!$B$19:$J$26,0,IF('Your Pay &amp; Benefits'!$C$12="MFJ",1,IF('Your Pay &amp; Benefits'!$C$12="HoH",7,4))+2)))),IF($AN13="MI",IF($AY13&gt;5900*$AS13,0.0425,0),""))))</f>
      </c>
      <c r="CA13" s="24">
        <f>IF($B13="","",IF($AN13="AL",IF(OR($AU13="Married",$AU13="Head of household"),SUMPRODUCT(($AZ13&gt;=INDEX('How This Works &amp; Sources'!$B$82:$J$86,0,4))*INDEX('How This Works &amp; Sources'!$B$82:$J$86,0,4+2)),SUMPRODUCT(($AZ13&gt;=INDEX('How This Works &amp; Sources'!$B$82:$J$86,0,1))*INDEX('How This Works &amp; Sources'!$B$82:$J$86,0,1+2)))*(1-IF('Your Pay &amp; Benefits'!$C$13,SUMPRODUCT(($AH13&gt;=INDEX('How This Works &amp; Sources'!$B$29:$J$36,0,IF('Your Pay &amp; Benefits'!$C$12="MFJ",1,IF('Your Pay &amp; Benefits'!$C$12="HoH",7,4))))*INDEX('How This Works &amp; Sources'!$B$29:$J$36,0,IF('Your Pay &amp; Benefits'!$C$12="MFJ",1,IF('Your Pay &amp; Benefits'!$C$12="HoH",7,4))+2)),SUMPRODUCT(($AH13&gt;=INDEX('How This Works &amp; Sources'!$B$19:$J$26,0,IF('Your Pay &amp; Benefits'!$C$12="MFJ",1,IF('Your Pay &amp; Benefits'!$C$12="HoH",7,4))))*INDEX('How This Works &amp; Sources'!$B$19:$J$26,0,IF('Your Pay &amp; Benefits'!$C$12="MFJ",1,IF('Your Pay &amp; Benefits'!$C$12="HoH",7,4))+2)))),IF($AN13="KS",IF($AU13="Married",SUMPRODUCT(($AZ13&gt;=INDEX('How This Works &amp; Sources'!$B$103:$J$109,0,4))*INDEX('How This Works &amp; Sources'!$B$103:$J$109,0,4+2)),SUMPRODUCT(($AZ13&gt;=INDEX('How This Works &amp; Sources'!$B$103:$J$109,0,1))*INDEX('How This Works &amp; Sources'!$B$103:$J$109,0,1+2))),IF($AN13="MD",IF(OR($AU13="Married",$AU13="Head of household"),SUMPRODUCT(($AZ13&gt;=INDEX('How This Works &amp; Sources'!$B$114:$J$120,0,1))*INDEX('How This Works &amp; Sources'!$B$114:$J$120,0,1+2)),SUMPRODUCT(($AZ13&gt;=INDEX('How This Works &amp; Sources'!$B$103:$J$109,0,7))*INDEX('How This Works &amp; Sources'!$B$103:$J$109,0,7+2)))+'Your Pay &amp; Benefits'!$C$74,IF($AN13="MT",IF($AU13="Head of household",SUMPRODUCT(($AZ13&gt;=INDEX('How This Works &amp; Sources'!$B$137:$J$139,0,1))*INDEX('How This Works &amp; Sources'!$B$137:$J$139,0,1+2)),IF($AU13="Married",SUMPRODUCT(($AZ13&gt;=INDEX('How This Works &amp; Sources'!$B$125:$J$132,0,7))*INDEX('How This Works &amp; Sources'!$B$125:$J$132,0,7+2)),SUMPRODUCT(($AZ13&gt;=INDEX('How This Works &amp; Sources'!$B$125:$J$132,0,4))*INDEX('How This Works &amp; Sources'!$B$125:$J$132,0,4+2)))),IF($AN13="ND",IF($AU13="Head of household",SUMPRODUCT(($AZ13&gt;=INDEX('How This Works &amp; Sources'!$B$144:$J$150,0,1))*INDEX('How This Works &amp; Sources'!$B$144:$J$150,0,1+2)),IF($AU13="Married",SUMPRODUCT(($AZ13&gt;=INDEX('How This Works &amp; Sources'!$B$137:$J$139,0,7))*INDEX('How This Works &amp; Sources'!$B$137:$J$139,0,7+2)),SUMPRODUCT(($AZ13&gt;=INDEX('How This Works &amp; Sources'!$B$137:$J$139,0,4))*INDEX('How This Works &amp; Sources'!$B$137:$J$139,0,4+2)))),IF($AN13="NY",IF($AU13="Married",IF($AZ13&gt;=2155350,IF($AZ13&gt;25000000,0.117,IF($AZ13&gt;5000000,0.111,0.1045)),SUMPRODUCT(($AZ13&gt;=INDEX('How This Works &amp; Sources'!$B$184:$J$198,0,1))*INDEX('How This Works &amp; Sources'!$B$184:$J$198,0,1+2))),IF($AZ13&gt;=1077550,IF($AZ13&gt;25000000,0.117,IF($AZ13&gt;5000000,0.111,0.1045)),SUMPRODUCT(($AZ13&gt;=INDEX('How This Works &amp; Sources'!$B$167:$J$179,0,7))*INDEX('How This Works &amp; Sources'!$B$167:$J$179,0,7+2)))),"")))))))</f>
      </c>
      <c r="CB13" s="24">
        <f>IF($B13="","",IF($AN13="CA",SUMPRODUCT(($AJ13&gt;=INDEX('How This Works &amp; Sources'!$B$39:$J$48,0,IF($AU13="Married",4,IF($AU13="Head of household",7,1))))*INDEX('How This Works &amp; Sources'!$B$39:$J$48,0,IF($AU13="Married",4,IF($AU13="Head of household",7,1))+2)),IF($AN13="HI",IF($AU13="Married",SUMPRODUCT(($AZ13&gt;=INDEX('How This Works &amp; Sources'!$B$91:$J$98,0,7))*INDEX('How This Works &amp; Sources'!$B$91:$J$98,0,7+2)),SUMPRODUCT(($AZ13&gt;=INDEX('How This Works &amp; Sources'!$B$91:$J$98,0,4))*INDEX('How This Works &amp; Sources'!$B$91:$J$98,0,4+2))),IF($AN13="MN",IF($AU13="Married",SUMPRODUCT(($AZ13&gt;=INDEX('How This Works &amp; Sources'!$B$114:$J$120,0,7))*INDEX('How This Works &amp; Sources'!$B$114:$J$120,0,7+2)),SUMPRODUCT(($AZ13&gt;=INDEX('How This Works &amp; Sources'!$B$114:$J$120,0,4))*INDEX('How This Works &amp; Sources'!$B$114:$J$120,0,4+2))),IF($AN13="MO",SUMPRODUCT(($AZ13&gt;=INDEX('How This Works &amp; Sources'!$B$125:$J$132,0,1))*INDEX('How This Works &amp; Sources'!$B$125:$J$132,0,1+2)),IF($AN13="NE",MAX(IF($AU13="Married",SUMPRODUCT(($AZ13&gt;=INDEX('How This Works &amp; Sources'!$B$144:$J$150,0,7))*INDEX('How This Works &amp; Sources'!$B$144:$J$150,0,7+2)),SUMPRODUCT(($AZ13&gt;=INDEX('How This Works &amp; Sources'!$B$144:$J$150,0,4))*INDEX('How This Works &amp; Sources'!$B$144:$J$150,0,4+2))),0.015),IF($AN13="OH",IF($B13&gt;=DATE(2026,8,1),SUMPRODUCT(($AZ13&gt;=INDEX('How This Works &amp; Sources'!$B$203:$J$206,0,1))*INDEX('How This Works &amp; Sources'!$B$203:$J$206,0,1+2)),SUMPRODUCT(($AZ13&gt;=INDEX('How This Works &amp; Sources'!$B$184:$J$198,0,7))*INDEX('How This Works &amp; Sources'!$B$184:$J$198,0,7+2))),IF($AN13="OK",IF($AU13="Married",SUMPRODUCT(($AZ13&gt;=INDEX('How This Works &amp; Sources'!$B$203:$J$206,0,7))*INDEX('How This Works &amp; Sources'!$B$203:$J$206,0,7+2)),SUMPRODUCT(($AZ13&gt;=INDEX('How This Works &amp; Sources'!$B$203:$J$206,0,4))*INDEX('How This Works &amp; Sources'!$B$203:$J$206,0,4+2))),IF($AN13="RI",SUMPRODUCT(($AZ13&gt;=INDEX('How This Works &amp; Sources'!$B$211:$J$214,0,7))*INDEX('How This Works &amp; Sources'!$B$211:$J$214,0,7+2)),IF($AN13="SC",SUMPRODUCT(($AZ13&gt;=INDEX('How This Works &amp; Sources'!$B$219:$J$223,0,1))*INDEX('How This Works &amp; Sources'!$B$219:$J$223,0,1+2)),IF($AN13="VT",IF($AU13="Married",SUMPRODUCT(($AZ13&gt;=INDEX('How This Works &amp; Sources'!$B$228:$J$232,0,1))*INDEX('How This Works &amp; Sources'!$B$228:$J$232,0,1+2)),SUMPRODUCT(($AZ13&gt;=INDEX('How This Works &amp; Sources'!$B$219:$J$223,0,7))*INDEX('How This Works &amp; Sources'!$B$219:$J$223,0,7+2))),IF($AN13="WV",IF($AU13="Married",SUMPRODUCT(($AZ13&gt;=INDEX('How This Works &amp; Sources'!$B$237:$J$241,0,7))*INDEX('How This Works &amp; Sources'!$B$237:$J$241,0,7+2)),SUMPRODUCT(($AZ13&gt;=INDEX('How This Works &amp; Sources'!$B$228:$J$232,0,7))*INDEX('How This Works &amp; Sources'!$B$228:$J$232,0,7+2))),IF($AN13="IN",(0.0295+'Your Pay &amp; Benefits'!$C$76),"")))))))))))))</f>
      </c>
      <c r="CC13" s="24">
        <f>IF($B13="","",IF($AN13="AR",SUMPRODUCT(($AZ13&gt;=INDEX('How This Works &amp; Sources'!$B$82:$J$86,0,7))*INDEX('How This Works &amp; Sources'!$B$82:$J$86,0,7+2)),IF($AN13="DE",SUMPRODUCT(($AZ13&gt;=INDEX('How This Works &amp; Sources'!$B$91:$J$98,0,1))*INDEX('How This Works &amp; Sources'!$B$91:$J$98,0,1+2)),IF($AN13="VA",SUMPRODUCT(($AZ13&gt;=INDEX('How This Works &amp; Sources'!$B$219:$J$223,0,4))*INDEX('How This Works &amp; Sources'!$B$219:$J$223,0,4+2)),IF($AN13="WI",SUMPRODUCT(($AZ13&gt;=INDEX('How This Works &amp; Sources'!$B$228:$J$232,0,4))*INDEX('How This Works &amp; Sources'!$B$228:$J$232,0,4+2)),IF($AN13="AZ",'Your Pay &amp; Benefits'!$C$82,IF($AN13="CO",IF($AY13&gt;IF($AU13="Married",10000,5000),0.044,0),IF($AN13="IA",IF($AY13&gt;IF($AU13="Head of household",19500,IF($AU13="Married",26000,13000)),0.038,0),IF($AN13="ID",IF($AY13&gt;IF($AU13="Married",32000,16094),0.053,0),IF($AN13="IL",IF($AY13&gt;(2925*$AS13+1000*$AT13),0.0495,0),IF($AN13="KY",IF($AI13&gt;3360,0.035,0),IF($AN13="LA",0.0309,IF($AN13="MA",IF(MAX(0,$AY13-MIN(($BD12+$Q13+$R13+$S13),2000)-IF($AS13=0,0,IF($AS13=1,4400,1000*$AS13+3400)))&gt;=1107750,0.09,0.05),IF($AN13="MS",IF($AI13-IF($AU13="Head of household",3400,IF($AU13="Married",4600,2300))-'Your Pay &amp; Benefits'!$C$85&gt;10000,0.04,0),IF($AN13="PA",0.0307,"")))))))))))))))</f>
      </c>
      <c r="CD13" s="21">
        <f>IF(YEAR(IF('Your Pay &amp; Benefits'!$C$7="Weekly",'Your Pay &amp; Benefits'!$C$9+7*(($BE12+1)-1),IF('Your Pay &amp; Benefits'!$C$7="Biweekly",'Your Pay &amp; Benefits'!$C$9+14*(($BE12+1)-1),IF('Your Pay &amp; Benefits'!$C$7="Semimonthly",DATE(YEAR('Your Pay &amp; Benefits'!$C$9),MONTH('Your Pay &amp; Benefits'!$C$9)+INT((($BE12+1)-1)/2),MIN(DAY('Your Pay &amp; Benefits'!$C$9),DAY(EOMONTH(DATE(YEAR('Your Pay &amp; Benefits'!$C$9),MONTH('Your Pay &amp; Benefits'!$C$9)+INT((($BE12+1)-1)/2),1),0))))+IF(MOD(($BE12+1)-1,2)=1,15,0),EDATE('Your Pay &amp; Benefits'!$C$9,($BE12+1)-1)))))&lt;&gt;'Your Pay &amp; Benefits'!$C$10,"",IF('Your Pay &amp; Benefits'!$C$7="Weekly",'Your Pay &amp; Benefits'!$C$9+7*(($BE12+1)-1),IF('Your Pay &amp; Benefits'!$C$7="Biweekly",'Your Pay &amp; Benefits'!$C$9+14*(($BE12+1)-1),IF('Your Pay &amp; Benefits'!$C$7="Semimonthly",DATE(YEAR('Your Pay &amp; Benefits'!$C$9),MONTH('Your Pay &amp; Benefits'!$C$9)+INT((($BE12+1)-1)/2),MIN(DAY('Your Pay &amp; Benefits'!$C$9),DAY(EOMONTH(DATE(YEAR('Your Pay &amp; Benefits'!$C$9),MONTH('Your Pay &amp; Benefits'!$C$9)+INT((($BE12+1)-1)/2),1),0))))+IF(MOD(($BE12+1)-1,2)=1,15,0),EDATE('Your Pay &amp; Benefits'!$C$9,($BE12+1)-1)))))</f>
      </c>
      <c r="CE13" s="21">
        <f>IF(MIN(IF(AND('Your Pay &amp; Benefits'!$C$58&gt;MAX($B$6:$B12),'Your Pay &amp; Benefits'!$C$58&gt;=DATE('Your Pay &amp; Benefits'!$C$10,1,1),'Your Pay &amp; Benefits'!$C$58&lt;=DATE('Your Pay &amp; Benefits'!$C$10,12,31)),'Your Pay &amp; Benefits'!$C$58,999999),IF(AND('Your Pay &amp; Benefits'!$C$59&gt;MAX($B$6:$B12),'Your Pay &amp; Benefits'!$C$59&gt;=DATE('Your Pay &amp; Benefits'!$C$10,1,1),'Your Pay &amp; Benefits'!$C$59&lt;=DATE('Your Pay &amp; Benefits'!$C$10,12,31)),'Your Pay &amp; Benefits'!$C$59,999999),IF(AND('Your Pay &amp; Benefits'!$C$60&gt;MAX($B$6:$B12),'Your Pay &amp; Benefits'!$C$60&gt;=DATE('Your Pay &amp; Benefits'!$C$10,1,1),'Your Pay &amp; Benefits'!$C$60&lt;=DATE('Your Pay &amp; Benefits'!$C$10,12,31)),'Your Pay &amp; Benefits'!$C$60,999999),IF(AND('Your Pay &amp; Benefits'!$C$61&gt;MAX($B$6:$B12),'Your Pay &amp; Benefits'!$C$61&gt;=DATE('Your Pay &amp; Benefits'!$C$10,1,1),'Your Pay &amp; Benefits'!$C$61&lt;=DATE('Your Pay &amp; Benefits'!$C$10,12,31)),'Your Pay &amp; Benefits'!$C$61,999999),IF(AND('Your Pay &amp; Benefits'!$C$62&gt;MAX($B$6:$B12),'Your Pay &amp; Benefits'!$C$62&gt;=DATE('Your Pay &amp; Benefits'!$C$10,1,1),'Your Pay &amp; Benefits'!$C$62&lt;=DATE('Your Pay &amp; Benefits'!$C$10,12,31)),'Your Pay &amp; Benefits'!$C$62,999999),IF(AND('Your Pay &amp; Benefits'!$C$63&gt;MAX($B$6:$B12),'Your Pay &amp; Benefits'!$C$63&gt;=DATE('Your Pay &amp; Benefits'!$C$10,1,1),'Your Pay &amp; Benefits'!$C$63&lt;=DATE('Your Pay &amp; Benefits'!$C$10,12,31)),'Your Pay &amp; Benefits'!$C$63,999999),IF(AND('Your Pay &amp; Benefits'!$C$64&gt;MAX($B$6:$B12),'Your Pay &amp; Benefits'!$C$64&gt;=DATE('Your Pay &amp; Benefits'!$C$10,1,1),'Your Pay &amp; Benefits'!$C$64&lt;=DATE('Your Pay &amp; Benefits'!$C$10,12,31)),'Your Pay &amp; Benefits'!$C$64,999999),IF(AND('Your Pay &amp; Benefits'!$C$65&gt;MAX($B$6:$B12),'Your Pay &amp; Benefits'!$C$65&gt;=DATE('Your Pay &amp; Benefits'!$C$10,1,1),'Your Pay &amp; Benefits'!$C$65&lt;=DATE('Your Pay &amp; Benefits'!$C$10,12,31)),'Your Pay &amp; Benefits'!$C$65,999999),IF(AND('Your Pay &amp; Benefits'!$C$66&gt;MAX($B$6:$B12),'Your Pay &amp; Benefits'!$C$66&gt;=DATE('Your Pay &amp; Benefits'!$C$10,1,1),'Your Pay &amp; Benefits'!$C$66&lt;=DATE('Your Pay &amp; Benefits'!$C$10,12,31)),'Your Pay &amp; Benefits'!$C$66,999999),IF(AND('Your Pay &amp; Benefits'!$C$67&gt;MAX($B$6:$B12),'Your Pay &amp; Benefits'!$C$67&gt;=DATE('Your Pay &amp; Benefits'!$C$10,1,1),'Your Pay &amp; Benefits'!$C$67&lt;=DATE('Your Pay &amp; Benefits'!$C$10,12,31)),'Your Pay &amp; Benefits'!$C$67,999999))=999999,"",MIN(IF(AND('Your Pay &amp; Benefits'!$C$58&gt;MAX($B$6:$B12),'Your Pay &amp; Benefits'!$C$58&gt;=DATE('Your Pay &amp; Benefits'!$C$10,1,1),'Your Pay &amp; Benefits'!$C$58&lt;=DATE('Your Pay &amp; Benefits'!$C$10,12,31)),'Your Pay &amp; Benefits'!$C$58,999999),IF(AND('Your Pay &amp; Benefits'!$C$59&gt;MAX($B$6:$B12),'Your Pay &amp; Benefits'!$C$59&gt;=DATE('Your Pay &amp; Benefits'!$C$10,1,1),'Your Pay &amp; Benefits'!$C$59&lt;=DATE('Your Pay &amp; Benefits'!$C$10,12,31)),'Your Pay &amp; Benefits'!$C$59,999999),IF(AND('Your Pay &amp; Benefits'!$C$60&gt;MAX($B$6:$B12),'Your Pay &amp; Benefits'!$C$60&gt;=DATE('Your Pay &amp; Benefits'!$C$10,1,1),'Your Pay &amp; Benefits'!$C$60&lt;=DATE('Your Pay &amp; Benefits'!$C$10,12,31)),'Your Pay &amp; Benefits'!$C$60,999999),IF(AND('Your Pay &amp; Benefits'!$C$61&gt;MAX($B$6:$B12),'Your Pay &amp; Benefits'!$C$61&gt;=DATE('Your Pay &amp; Benefits'!$C$10,1,1),'Your Pay &amp; Benefits'!$C$61&lt;=DATE('Your Pay &amp; Benefits'!$C$10,12,31)),'Your Pay &amp; Benefits'!$C$61,999999),IF(AND('Your Pay &amp; Benefits'!$C$62&gt;MAX($B$6:$B12),'Your Pay &amp; Benefits'!$C$62&gt;=DATE('Your Pay &amp; Benefits'!$C$10,1,1),'Your Pay &amp; Benefits'!$C$62&lt;=DATE('Your Pay &amp; Benefits'!$C$10,12,31)),'Your Pay &amp; Benefits'!$C$62,999999),IF(AND('Your Pay &amp; Benefits'!$C$63&gt;MAX($B$6:$B12),'Your Pay &amp; Benefits'!$C$63&gt;=DATE('Your Pay &amp; Benefits'!$C$10,1,1),'Your Pay &amp; Benefits'!$C$63&lt;=DATE('Your Pay &amp; Benefits'!$C$10,12,31)),'Your Pay &amp; Benefits'!$C$63,999999),IF(AND('Your Pay &amp; Benefits'!$C$64&gt;MAX($B$6:$B12),'Your Pay &amp; Benefits'!$C$64&gt;=DATE('Your Pay &amp; Benefits'!$C$10,1,1),'Your Pay &amp; Benefits'!$C$64&lt;=DATE('Your Pay &amp; Benefits'!$C$10,12,31)),'Your Pay &amp; Benefits'!$C$64,999999),IF(AND('Your Pay &amp; Benefits'!$C$65&gt;MAX($B$6:$B12),'Your Pay &amp; Benefits'!$C$65&gt;=DATE('Your Pay &amp; Benefits'!$C$10,1,1),'Your Pay &amp; Benefits'!$C$65&lt;=DATE('Your Pay &amp; Benefits'!$C$10,12,31)),'Your Pay &amp; Benefits'!$C$65,999999),IF(AND('Your Pay &amp; Benefits'!$C$66&gt;MAX($B$6:$B12),'Your Pay &amp; Benefits'!$C$66&gt;=DATE('Your Pay &amp; Benefits'!$C$10,1,1),'Your Pay &amp; Benefits'!$C$66&lt;=DATE('Your Pay &amp; Benefits'!$C$10,12,31)),'Your Pay &amp; Benefits'!$C$66,999999),IF(AND('Your Pay &amp; Benefits'!$C$67&gt;MAX($B$6:$B12),'Your Pay &amp; Benefits'!$C$67&gt;=DATE('Your Pay &amp; Benefits'!$C$10,1,1),'Your Pay &amp; Benefits'!$C$67&lt;=DATE('Your Pay &amp; Benefits'!$C$10,12,31)),'Your Pay &amp; Benefits'!$C$67,999999)))</f>
      </c>
      <c r="CF13">
        <f>IF($B13="","",IF($D13=0,$Y13,""))</f>
      </c>
    </row>
    <row r="14">
      <c r="A14" t="n">
        <v>9</v>
      </c>
      <c r="B14" s="21">
        <f>IF(AND($CD14="",$CE14=""),"",IF($CE14="",$CD14,IF($CD14="",$CE14,MIN($CD14,$CE14))))</f>
      </c>
      <c r="C14" s="7">
        <f>IF($B14="","",IF($BF14=0,0,IF('Your Pay &amp; Benefits'!$C$4="Annual salary",ROUND($AK14/IF(AND('Your Pay &amp; Benefits'!$C$88="Actual paydays",MONTH('Your Pay &amp; Benefits'!$C$9)=1),MAX(1,MAX($BE$6:$BE$68)),'Your Pay &amp; Benefits'!$C$8),2),$AK14)))</f>
      </c>
      <c r="D14" s="7">
        <f>IF($B14="","",SUMIF('Your Pay &amp; Benefits'!$C$58:$C$67,$B14,'Your Pay &amp; Benefits'!$D$58:$D$67))</f>
      </c>
      <c r="E14" s="7">
        <f>IF($B14="","",ROUND(MAX(0,MIN(IF($AL14="Percent",$AM14*($C14+$D14),$AM14),MAX(0,'Your Pay &amp; Benefits'!$C$34-$AC13))),2))</f>
      </c>
      <c r="F14" s="7">
        <f>IF($B14="","",ROUND(MAX(0,MIN(IF('Your Pay &amp; Benefits'!$C$32="Percent",'Your Pay &amp; Benefits'!$D$32*($C14+$D14),'Your Pay &amp; Benefits'!$D$32),MAX(0,'Your Pay &amp; Benefits'!$C$34-$AC13-$E14))),2))</f>
      </c>
      <c r="G14" s="7">
        <f>IF($B14="","",IF($BF14=0,0,ROUND(MAX(0,MIN($BL14,'Your Pay &amp; Benefits'!$C$37-'Your Pay &amp; Benefits'!$C$54-$BI13)),2)))</f>
      </c>
      <c r="H14" s="7">
        <f>IF($B14="","",IF(OR($BF14=0,$BQ14=1),0,ROUND(MAX(0,MIN(IF($BS14=1,ROUND(MAX(0,MIN($BJ14,'How This Works &amp; Sources'!$C$13)-$BG13)/MAX(1,MAX($BE$6:$BE$68)-($BE13)),2),ROUND(MIN($BJ14,'How This Works &amp; Sources'!$C$13)/'Your Pay &amp; Benefits'!$C$8,2)),MIN($BJ14,'How This Works &amp; Sources'!$C$13)-$BG13)),2)))</f>
      </c>
      <c r="I14" s="7">
        <f>IF($B14="","",IF(OR($BF14=0,$BR14=1),0,ROUND(MAX(0,MIN(IF($BT14=1,ROUND(MAX(0,MIN($BK14,IF('Your Pay &amp; Benefits'!$C$12="MFJ",'How This Works &amp; Sources'!$C$14,'How This Works &amp; Sources'!$C$15))-$BH13)/MAX(1,MAX($BE$6:$BE$68)-($BE13)),2),ROUND(MIN($BK14,IF('Your Pay &amp; Benefits'!$C$12="MFJ",'How This Works &amp; Sources'!$C$14,'How This Works &amp; Sources'!$C$15))/'Your Pay &amp; Benefits'!$C$8,2)),MIN($BK14,IF('Your Pay &amp; Benefits'!$C$12="MFJ",'How This Works &amp; Sources'!$C$14,'How This Works &amp; Sources'!$C$15))-$BH13)),2)))</f>
      </c>
      <c r="J14" s="7">
        <f>IF($B14="","",IF($BF14=0,0,$BM14))</f>
      </c>
      <c r="K14" s="7">
        <f>IF($B14="","",IF($BF14=0,0,$BN14+$BO14))</f>
      </c>
      <c r="L14" s="7">
        <f>IF($B14="","",IF($BF14=0,0,'Your Pay &amp; Benefits'!$D$46))</f>
      </c>
      <c r="M14" s="7">
        <f>IF($B14="","",$C14+$D14+$L14-$E14-$G14-$H14-$I14-$J14-$K14)</f>
      </c>
      <c r="N14" s="7">
        <f>IF($B14="","",$C14+$D14+$L14-$G14-$H14-$I14-$J14-$K14)</f>
      </c>
      <c r="O14" s="7">
        <f>IF($B14="","",$C14+$D14+$L14-$E14-$H14-$I14-$J14-$K14-IF(OR($AN14="CA",$AN14="NJ"),0,$G14))</f>
      </c>
      <c r="P14" s="7">
        <f>IF($B14="","",IF('Your Pay &amp; Benefits'!$C$18,0,ROUND(MAX(0,IF('Your Pay &amp; Benefits'!$C$13,SUMPRODUCT(($AH14&gt;INDEX('How This Works &amp; Sources'!$B$29:$J$36,0,IF('Your Pay &amp; Benefits'!$C$12="MFJ",1,IF('Your Pay &amp; Benefits'!$C$12="HoH",7,4))))*($AH14-INDEX('How This Works &amp; Sources'!$B$29:$J$36,0,IF('Your Pay &amp; Benefits'!$C$12="MFJ",1,IF('Your Pay &amp; Benefits'!$C$12="HoH",7,4))))*INDEX('How This Works &amp; Sources'!$B$29:$J$36,0,IF('Your Pay &amp; Benefits'!$C$12="MFJ",1,IF('Your Pay &amp; Benefits'!$C$12="HoH",7,4))+2)),SUMPRODUCT(($AH14&gt;INDEX('How This Works &amp; Sources'!$B$19:$J$26,0,IF('Your Pay &amp; Benefits'!$C$12="MFJ",1,IF('Your Pay &amp; Benefits'!$C$12="HoH",7,4))))*($AH14-INDEX('How This Works &amp; Sources'!$B$19:$J$26,0,IF('Your Pay &amp; Benefits'!$C$12="MFJ",1,IF('Your Pay &amp; Benefits'!$C$12="HoH",7,4))))*INDEX('How This Works &amp; Sources'!$B$19:$J$26,0,IF('Your Pay &amp; Benefits'!$C$12="MFJ",1,IF('Your Pay &amp; Benefits'!$C$12="HoH",7,4))+2)))/'Your Pay &amp; Benefits'!$C$8-$AO14/'Your Pay &amp; Benefits'!$C$8)+$AR14+IF('Your Pay &amp; Benefits'!$C$89="Aggregate",MAX(0,IF('Your Pay &amp; Benefits'!$C$13,SUMPRODUCT((($AH14+$D14)&gt;INDEX('How This Works &amp; Sources'!$B$29:$J$36,0,IF('Your Pay &amp; Benefits'!$C$12="MFJ",1,IF('Your Pay &amp; Benefits'!$C$12="HoH",7,4))))*(($AH14+$D14)-INDEX('How This Works &amp; Sources'!$B$29:$J$36,0,IF('Your Pay &amp; Benefits'!$C$12="MFJ",1,IF('Your Pay &amp; Benefits'!$C$12="HoH",7,4))))*INDEX('How This Works &amp; Sources'!$B$29:$J$36,0,IF('Your Pay &amp; Benefits'!$C$12="MFJ",1,IF('Your Pay &amp; Benefits'!$C$12="HoH",7,4))+2)),SUMPRODUCT((($AH14+$D14)&gt;INDEX('How This Works &amp; Sources'!$B$19:$J$26,0,IF('Your Pay &amp; Benefits'!$C$12="MFJ",1,IF('Your Pay &amp; Benefits'!$C$12="HoH",7,4))))*(($AH14+$D14)-INDEX('How This Works &amp; Sources'!$B$19:$J$26,0,IF('Your Pay &amp; Benefits'!$C$12="MFJ",1,IF('Your Pay &amp; Benefits'!$C$12="HoH",7,4))))*INDEX('How This Works &amp; Sources'!$B$19:$J$26,0,IF('Your Pay &amp; Benefits'!$C$12="MFJ",1,IF('Your Pay &amp; Benefits'!$C$12="HoH",7,4))+2)))-IF('Your Pay &amp; Benefits'!$C$13,SUMPRODUCT(($AH14&gt;INDEX('How This Works &amp; Sources'!$B$29:$J$36,0,IF('Your Pay &amp; Benefits'!$C$12="MFJ",1,IF('Your Pay &amp; Benefits'!$C$12="HoH",7,4))))*($AH14-INDEX('How This Works &amp; Sources'!$B$29:$J$36,0,IF('Your Pay &amp; Benefits'!$C$12="MFJ",1,IF('Your Pay &amp; Benefits'!$C$12="HoH",7,4))))*INDEX('How This Works &amp; Sources'!$B$29:$J$36,0,IF('Your Pay &amp; Benefits'!$C$12="MFJ",1,IF('Your Pay &amp; Benefits'!$C$12="HoH",7,4))+2)),SUMPRODUCT(($AH14&gt;INDEX('How This Works &amp; Sources'!$B$19:$J$26,0,IF('Your Pay &amp; Benefits'!$C$12="MFJ",1,IF('Your Pay &amp; Benefits'!$C$12="HoH",7,4))))*($AH14-INDEX('How This Works &amp; Sources'!$B$19:$J$26,0,IF('Your Pay &amp; Benefits'!$C$12="MFJ",1,IF('Your Pay &amp; Benefits'!$C$12="HoH",7,4))))*INDEX('How This Works &amp; Sources'!$B$19:$J$26,0,IF('Your Pay &amp; Benefits'!$C$12="MFJ",1,IF('Your Pay &amp; Benefits'!$C$12="HoH",7,4))+2)))),'How This Works &amp; Sources'!$C$10*$D14),2)))</f>
      </c>
      <c r="Q14" s="7">
        <f>IF($B14="","",ROUND('How This Works &amp; Sources'!$C$4*MIN($N14,MAX(0,'How This Works &amp; Sources'!$C$3-($AX14+$AB13-$AW14))),2))</f>
      </c>
      <c r="R14" s="7">
        <f>IF($B14="","",ROUND('How This Works &amp; Sources'!$C$5*$N14,2))</f>
      </c>
      <c r="S14" s="7">
        <f>IF($B14="","",ROUND('How This Works &amp; Sources'!$C$6*MAX(0,MIN($N14,$AG13+$N14-'How This Works &amp; Sources'!$C$7)),2))</f>
      </c>
      <c r="T14" s="7">
        <f>IF($B14="","",IF('Your Pay &amp; Benefits'!$C$26,0,IF($AN14="CA",ROUND(IF($AI14&lt;=IF(($AS14+$AT14)&gt;=2,VLOOKUP($AN14,StateTables!$A$6:$AB$56,10,FALSE),VLOOKUP($AN14,StateTables!$A$6:$AB$56,9,FALSE)),0,MAX(0,SUMPRODUCT(($AJ14&gt;INDEX('How This Works &amp; Sources'!$B$39:$J$48,0,IF($AU14="Married",4,IF($AU14="Head of household",7,1))))*($AJ14-INDEX('How This Works &amp; Sources'!$B$39:$J$48,0,IF($AU14="Married",4,IF($AU14="Head of household",7,1))))*INDEX('How This Works &amp; Sources'!$B$39:$J$48,0,IF($AU14="Married",4,IF($AU14="Head of household",7,1))+2))-VLOOKUP($AN14,StateTables!$A$6:$AB$56,11,FALSE)*$AS14)/'Your Pay &amp; Benefits'!$C$8)+'Your Pay &amp; Benefits'!$C$25+VLOOKUP($AN14,StateTables!$A$6:$AB$56,13,FALSE)*$D14,2),IF(VLOOKUP($AN14,StateTables!$A$6:$AB$56,4,FALSE)="None",0,IF(ISNUMBER(SEARCH("MANUAL",VLOOKUP($AN14,StateTables!$A$6:$AB$56,5,FALSE))),'Your Pay &amp; Benefits'!$C$28,ROUND(MAX(0,$BA14+$BB14)/'Your Pay &amp; Benefits'!$C$8+'Your Pay &amp; Benefits'!$C$25+$BC14,2))))))</f>
      </c>
      <c r="U14" s="7">
        <f>IF($B14="","",IF(VLOOKUP($AN14,StateTables!$A$6:$AB$56,24,FALSE)="flatq",IF(OR(MONTH($B14)=1,MONTH($B14)=4,MONTH($B14)=7,MONTH($B14)=10),VLOOKUP($AN14,StateTables!$A$6:$AB$56,25,FALSE),0),IF(VLOOKUP($AN14,StateTables!$A$6:$AB$56,24,FALSE)="dbl",MIN(ROUND(0.005*$N14,2),ROUND(0.6*52/'Your Pay &amp; Benefits'!$C$8,2)),IF(OR(VLOOKUP($AN14,StateTables!$A$6:$AB$56,15,FALSE)="",VLOOKUP($AN14,StateTables!$A$6:$AB$56,15,FALSE)=0),0,ROUND(VLOOKUP($AN14,StateTables!$A$6:$AB$56,15,FALSE)*IF(OR(VLOOKUP($AN14,StateTables!$A$6:$AB$56,16,FALSE)="",VLOOKUP($AN14,StateTables!$A$6:$AB$56,16,FALSE)=0),$N14,MIN($N14,MAX(0,VLOOKUP($AN14,StateTables!$A$6:$AB$56,16,FALSE)-($AX14+$AB13-$AW14)))),2))))+IF(VLOOKUP($AN14,StateTables!$A$6:$AB$56,27,FALSE)="flatq",IF(OR(MONTH($B14)=1,MONTH($B14)=4,MONTH($B14)=7,MONTH($B14)=10),VLOOKUP($AN14,StateTables!$A$6:$AB$56,28,FALSE),0),IF(VLOOKUP($AN14,StateTables!$A$6:$AB$56,27,FALSE)="dbl",MIN(ROUND(0.005*$N14,2),ROUND(0.6*52/'Your Pay &amp; Benefits'!$C$8,2)),IF(OR(VLOOKUP($AN14,StateTables!$A$6:$AB$56,18,FALSE)="",VLOOKUP($AN14,StateTables!$A$6:$AB$56,18,FALSE)=0),0,ROUND(VLOOKUP($AN14,StateTables!$A$6:$AB$56,18,FALSE)*IF(OR(VLOOKUP($AN14,StateTables!$A$6:$AB$56,19,FALSE)="",VLOOKUP($AN14,StateTables!$A$6:$AB$56,19,FALSE)=0),$N14,MIN($N14,MAX(0,VLOOKUP($AN14,StateTables!$A$6:$AB$56,19,FALSE)-($AX14+$AB13-$AW14)))),2)))))</f>
      </c>
      <c r="V14" s="7">
        <f>IF($B14="","",IF($AN14="NY",IF('Your Pay &amp; Benefits'!$C$78,ROUND(SUMPRODUCT((MAX(0,($O14-$D14)*'Your Pay &amp; Benefits'!$C$8-(IF($AU14="Married",5500,5000)+1000*$AS14))&gt;INDEX('How This Works &amp; Sources'!$B$184:$J$198,0,4))*(MAX(0,($O14-$D14)*'Your Pay &amp; Benefits'!$C$8-(IF($AU14="Married",5500,5000)+1000*$AS14))-INDEX('How This Works &amp; Sources'!$B$184:$J$198,0,4))*INDEX('How This Works &amp; Sources'!$B$184:$J$198,0,4+2))/'Your Pay &amp; Benefits'!$C$8+0.0425*$D14,2),0)+IF('Your Pay &amp; Benefits'!$C$79="Resident",ROUND(0.1675*$T14,2),IF('Your Pay &amp; Benefits'!$C$79="Nonresident",ROUND(0.005*MAX(0,($O14-$D14)-(IF($AU14="Married",7950,7400)+1000*$AS14)/'Your Pay &amp; Benefits'!$C$8),2),0)),IF($AN14="PA",IF('Your Pay &amp; Benefits'!$C$80="None",'Your Pay &amp; Benefits'!$C$27+ROUND('Your Pay &amp; Benefits'!$C$81*($C14+$D14),2),ROUND(IF('Your Pay &amp; Benefits'!$C$80="Resident",IF($B14&lt;DATE(2026,7,1),0.0374,0.03735),IF($B14&lt;DATE(2026,7,1),0.0343,0.03425))*($C14+$D14),2)),IF($BF14=0,ROUND('Your Pay &amp; Benefits'!$C$81*($C14+$D14),2),'Your Pay &amp; Benefits'!$C$27+ROUND('Your Pay &amp; Benefits'!$C$81*($C14+$D14),2)))))</f>
      </c>
      <c r="W14" s="7">
        <f>IF($B14="","",IF($BF14=0,0,$BP14))</f>
      </c>
      <c r="X14" s="7">
        <f>IF($B14="","",SUM($E14:$K14)+$P14+$Q14+$R14+$S14+$T14+$U14+$V14+$W14)</f>
      </c>
      <c r="Y14" s="22">
        <f>IF($B14="","",$C14+$D14-$X14)</f>
      </c>
      <c r="Z14" s="7">
        <f>IF($B14="","",$Z13+$C14+$D14)</f>
      </c>
      <c r="AA14" s="7">
        <f>IF($B14="","",$AA13+$Y14)</f>
      </c>
      <c r="AB14" s="7">
        <f>IF($B14="","",$AB13+MIN($N14,MAX(0,'How This Works &amp; Sources'!$C$3-($AX14+$AB13-$AW14))))</f>
      </c>
      <c r="AC14" s="7">
        <f>IF($B14="","",$AC13+$E14+$F14)</f>
      </c>
      <c r="AD14" s="3">
        <f>IF($B14="","",IF(AND($AB13&lt;'How This Works &amp; Sources'!$C$3,$AB14&gt;='How This Works &amp; Sources'!$C$3),"★ Social Security maxed on this check — from the next check your net rises by about $"&amp;TEXT(ROUND('How This Works &amp; Sources'!$C$4*$N14,2),"#,##0.00")&amp;". ","")&amp;IF(AND($AC13&lt;'Your Pay &amp; Benefits'!$C$34,$AC14&gt;='Your Pay &amp; Benefits'!$C$34),"★ 401(k) reaches the $"&amp;TEXT('Your Pay &amp; Benefits'!$C$34,"#,##0")&amp;" cap on this check — deferrals stop and net pay rises. ","")&amp;IF(AND($AG13&lt;'How This Works &amp; Sources'!$C$7,$AG14&gt;='How This Works &amp; Sources'!$C$7),"★ Wages pass $200,000 — the 0.9% Additional Medicare Tax starts here. ","")&amp;IF(AND($BJ14&gt;0,$H14&gt;0,$BG13&lt;MIN($BJ14,'How This Works &amp; Sources'!$C$13),$BG13+$H14&gt;=MIN($BJ14,'How This Works &amp; Sources'!$C$13)),"★ Health FSA election is now fully deferred for the year. ",""))</f>
      </c>
      <c r="AE14" s="41" t="n"/>
      <c r="AF14" s="7">
        <f>IF(OR($B14="",$AE14=""),"",$AE14-$Y14)</f>
      </c>
      <c r="AG14" s="7">
        <f>IF($B14="","",$AG13+$N14)</f>
      </c>
      <c r="AH14" s="7">
        <f>IF($B14="","",MAX(0,($M14-$D14)*'Your Pay &amp; Benefits'!$C$8+$AP14-$AQ14-IF('Your Pay &amp; Benefits'!$C$13,0,IF('Your Pay &amp; Benefits'!$C$12="MFJ",'How This Works &amp; Sources'!$C$8,'How This Works &amp; Sources'!$C$9))))</f>
      </c>
      <c r="AI14" s="7">
        <f>IF($B14="","",$O14*'Your Pay &amp; Benefits'!$C$8)</f>
      </c>
      <c r="AJ14" s="7">
        <f>IF($B14="","",MAX(0,$AI14-VLOOKUP($AN14,StateTables!$A$6:$AB$56,12,FALSE)*$AT14-IF(($AS14+$AT14)&gt;=2,VLOOKUP($AN14,StateTables!$A$6:$AB$56,8,FALSE),VLOOKUP($AN14,StateTables!$A$6:$AB$56,7,FALSE))))</f>
      </c>
      <c r="AK14" s="7">
        <f>IF($B14="","",IFERROR(LOOKUP(2,1/(('Changes &amp; Events'!$C$6:$C$17="Salary change")*('Changes &amp; Events'!$B$6:$B$17&lt;=$B14)*('Changes &amp; Events'!$B$6:$B$17&lt;&gt;"")),'Changes &amp; Events'!$D$6:$D$17),IF('Your Pay &amp; Benefits'!$C$4="Annual salary",'Your Pay &amp; Benefits'!$C$5,'Your Pay &amp; Benefits'!$C$6)))</f>
      </c>
      <c r="AL14">
        <f>IF($B14="","",IFERROR(LOOKUP(2,1/(('Changes &amp; Events'!$C$6:$C$17="401(k) change")*('Changes &amp; Events'!$B$6:$B$17&lt;=$B14)*('Changes &amp; Events'!$B$6:$B$17&lt;&gt;"")),'Changes &amp; Events'!$D$6:$D$17),'Your Pay &amp; Benefits'!$C$30))</f>
      </c>
      <c r="AM14" s="7">
        <f>IF($B14="","",IFERROR(LOOKUP(2,1/(('Changes &amp; Events'!$C$6:$C$17="401(k) change")*('Changes &amp; Events'!$B$6:$B$17&lt;=$B14)*('Changes &amp; Events'!$B$6:$B$17&lt;&gt;"")),'Changes &amp; Events'!$E$6:$E$17),'Your Pay &amp; Benefits'!$D$31))</f>
      </c>
      <c r="AN14">
        <f>IF($B14="","",IFERROR(LOOKUP(2,1/(('Changes &amp; Events'!$C$6:$C$17="State move")*('Changes &amp; Events'!$B$6:$B$17&lt;=$B14)*('Changes &amp; Events'!$B$6:$B$17&lt;&gt;"")),'Changes &amp; Events'!$D$6:$D$17),'Your Pay &amp; Benefits'!$C$21))</f>
      </c>
      <c r="AO14" s="7">
        <f>IF($B14="","",IFERROR(LOOKUP(2,1/(('Changes &amp; Events'!$C$6:$C$17="W-4 change")*('Changes &amp; Events'!$B$6:$B$17&lt;=$B14)*('Changes &amp; Events'!$B$6:$B$17&lt;&gt;"")),'Changes &amp; Events'!$D$6:$D$17),'Your Pay &amp; Benefits'!$C$14))</f>
      </c>
      <c r="AP14" s="7">
        <f>IF($B14="","",IFERROR(LOOKUP(2,1/(('Changes &amp; Events'!$C$6:$C$17="W-4 change")*('Changes &amp; Events'!$B$6:$B$17&lt;=$B14)*('Changes &amp; Events'!$B$6:$B$17&lt;&gt;"")),'Changes &amp; Events'!$E$6:$E$17),'Your Pay &amp; Benefits'!$C$15))</f>
      </c>
      <c r="AQ14" s="7">
        <f>IF($B14="","",IFERROR(LOOKUP(2,1/(('Changes &amp; Events'!$C$6:$C$17="W-4 change")*('Changes &amp; Events'!$B$6:$B$17&lt;=$B14)*('Changes &amp; Events'!$B$6:$B$17&lt;&gt;"")),'Changes &amp; Events'!$F$6:$F$17),'Your Pay &amp; Benefits'!$C$16))</f>
      </c>
      <c r="AR14" s="7">
        <f>IF($B14="","",IFERROR(LOOKUP(2,1/(('Changes &amp; Events'!$C$6:$C$17="W-4 change")*('Changes &amp; Events'!$B$6:$B$17&lt;=$B14)*('Changes &amp; Events'!$B$6:$B$17&lt;&gt;"")),'Changes &amp; Events'!$G$6:$G$17),'Your Pay &amp; Benefits'!$C$17))</f>
      </c>
      <c r="AS14" s="6">
        <f>IF($B14="","",IFERROR(LOOKUP(2,1/((('Changes &amp; Events'!$C$6:$C$17="State move")+('Changes &amp; Events'!$C$6:$C$17="State cert change"))*('Changes &amp; Events'!$B$6:$B$17&lt;=$B14)*('Changes &amp; Events'!$B$6:$B$17&lt;&gt;"")),'Changes &amp; Events'!$F$6:$F$17),'Your Pay &amp; Benefits'!$C$23))</f>
      </c>
      <c r="AT14" s="6">
        <f>IF($B14="","",IFERROR(LOOKUP(2,1/((('Changes &amp; Events'!$C$6:$C$17="State move")+('Changes &amp; Events'!$C$6:$C$17="State cert change"))*('Changes &amp; Events'!$B$6:$B$17&lt;=$B14)*('Changes &amp; Events'!$B$6:$B$17&lt;&gt;"")),'Changes &amp; Events'!$G$6:$G$17),'Your Pay &amp; Benefits'!$C$24))</f>
      </c>
      <c r="AU14">
        <f>IF($B14="","",IFERROR(LOOKUP(2,1/(('Changes &amp; Events'!$C$6:$C$17="State move")*('Changes &amp; Events'!$B$6:$B$17&lt;=$B14)*('Changes &amp; Events'!$B$6:$B$17&lt;&gt;"")),'Changes &amp; Events'!$E$6:$E$17),'Your Pay &amp; Benefits'!$C$22))</f>
      </c>
      <c r="AV14" s="6">
        <f>IF($B14="","",1+COUNTIFS('Changes &amp; Events'!$C$6:$C$17,"Employer change",'Changes &amp; Events'!$B$6:$B$17,"&lt;="&amp;$B14,'Changes &amp; Events'!$B$6:$B$17,"&lt;&gt;"))</f>
      </c>
      <c r="AW14" s="7">
        <f>IF($B14="","",IF($AV14=1,'Your Pay &amp; Benefits'!$C$49,IF(IFERROR(MATCH(IFERROR(LOOKUP(2,1/(('Changes &amp; Events'!$C$6:$C$17="Employer change")*('Changes &amp; Events'!$B$6:$B$17&lt;=$B14)*('Changes &amp; Events'!$B$6:$B$17&lt;&gt;"")),'Changes &amp; Events'!$B$6:$B$17),""),$B$6:$B$68,1),1)&lt;=1,'Your Pay &amp; Benefits'!$C$49,INDEX($AB$6:$AB$68,MATCH(IFERROR(LOOKUP(2,1/(('Changes &amp; Events'!$C$6:$C$17="Employer change")*('Changes &amp; Events'!$B$6:$B$17&lt;=$B14)*('Changes &amp; Events'!$B$6:$B$17&lt;&gt;"")),'Changes &amp; Events'!$B$6:$B$17),""),$B$6:$B$68,1)-1))))</f>
      </c>
      <c r="AX14" s="7">
        <f>IF($B14="","",IF($AV14=1,'Your Pay &amp; Benefits'!$C$49,IFERROR(LOOKUP(2,1/(('Changes &amp; Events'!$C$6:$C$17="Employer change")*('Changes &amp; Events'!$B$6:$B$17&lt;=$B14)*('Changes &amp; Events'!$B$6:$B$17&lt;&gt;"")),'Changes &amp; Events'!$D$6:$D$17),0)))</f>
      </c>
      <c r="AY14" s="7">
        <f>IF($B14="","",($O14-$D14)*'Your Pay &amp; Benefits'!$C$8)</f>
      </c>
      <c r="AZ14" s="7">
        <f>IF($B14="","",IF($AN14="AL",MAX(0,$AY14-IF($AU14="Married",IF($AY14&lt;=25999,8500,MAX(5000,8500-175*CEILING(($AY14-25999)/500,1))),IF($AU14="Head of household",IF($AY14&lt;=25999,5200,MAX(2500,5200-135*CEILING(($AY14-25999)/500,1))),IF($AY14&lt;=25999,3000,MAX(2500,3000-25*CEILING(($AY14-25999)/500,1)))))-($P14-'How This Works &amp; Sources'!$C$10*$D14)*'Your Pay &amp; Benefits'!$C$8-IF(OR($AU14="Married",$AU14="Head of household"),3000,1500)-$AT14*IF($AY14&lt;=50000,1000,IF($AY14&lt;=100000,500,300))),IF($AN14="AR",IF(MAX(0,$AY14-2470)&lt;97701,INT(MAX(0,$AY14-2470)/100)*100+50,MAX(0,$AY14-2470)),IF($AN14="DE",MAX(0,$AI14-3250),IF($AN14="HI",MAX(0,$AI14-1144*$AS14-4350),IF($AN14="KS",MAX(0,$AI14-(9160*IF($AU14="Married",2,1)+2320*$AT14+IF($AU14="Head of household",2320,0))),IF($AN14="MD",MAX(0,$AI14-3400-3200*$AS14),IF($AN14="MN",MAX(0,$AY14-5300*$AS14),IF($AN14="MO",MAX(0,$AI14-IF($AU14="Head of household",24150,IF($AU14="Married",IF('Your Pay &amp; Benefits'!$C$83,16100,32200),16100))),IF($AN14="MT",$AY14,IF($AN14="ND",($C14+$L14)*'Your Pay &amp; Benefits'!$C$8,IF($AN14="NE",MAX(0,$AY14-2440*$AS14),IF($AN14="NJ",MAX(0,$AY14-1000*$AS14),IF($AN14="NY",MAX(0,$AY14-(IF($AU14="Married",7950,7400)+1000*$AS14)),IF($AN14="OH",MAX(0,$AY14-650*$AS14),IF($AN14="OK",MAX(0,$AY14-1000*$AS14),IF($AN14="RI",MAX(0,$AI14-1000*$AS14),IF($AN14="SC",MAX(0,$AI14-5000*$AS14-IF($AS14=0,0,MIN(0.1*$AI14,7500))),IF($AN14="VA",MAX(0,$AI14-IF($AU14="Married",17500,8750)-930*$AS14-800*$AT14),IF($AN14="VT",MAX(0,$AI14-5400*$AS14),IF($AN14="WI",MAX(0,$AI14-MAX(0,IF($AU14="Married",9461-0.2*MAX(0,$AI14-25727),6702-0.12*MAX(0,$AI14-17780)))-400*$AS14),IF($AN14="WV",MAX(0,$AI14-2000*$AS14),$AI14))))))))))))))))))))))</f>
      </c>
      <c r="BA14" s="7">
        <f>IF($B14="","",IF($BW14&lt;&gt;"",$BW14,IF($BX14&lt;&gt;"",$BX14,IF($BY14&lt;&gt;"",$BY14,0))))</f>
      </c>
      <c r="BB14" s="7">
        <f>IF($B14="","",IF($AN14="AR",-29*$AS14,IF($AN14="DE",-110*$AS14,IF($AN14="MD",$AZ14*'Your Pay &amp; Benefits'!$C$74,IF($AN14="AZ",'Your Pay &amp; Benefits'!$C$82*($M14-$D14)*'Your Pay &amp; Benefits'!$C$8,IF($AN14="CO",0.044*MAX(0,$AY14-IF($AU14="Married",10000,5000)),IF($AN14="IA",MAX(0,0.038*MAX(0,$AY14-IF($AU14="Head of household",19500,IF($AU14="Married",26000,13000)))-40*$AS14),IF($AN14="ID",0.053*MAX(0,$AY14-IF($AU14="Married",32000,16094)),IF($AN14="IL",0.0495*MAX(0,$AY14-(2925*$AS14+1000*$AT14)),IF($AN14="IN",(0.0295+'Your Pay &amp; Benefits'!$C$76)*MAX(0,$AY14-(1000*$AS14+1500*$AT14+3000*'Your Pay &amp; Benefits'!$C$86)),IF($AN14="KY",0.035*MAX(0,$AI14-3360),IF($AN14="LA",IF('Your Pay &amp; Benefits'!$C$84="0",0.0309*$AI14,0.0309*MAX(0,$AI14-IF('Your Pay &amp; Benefits'!$C$84="2",25750,12875))),IF($AN14="MA",0.05*MIN(MAX(0,$AY14-MIN(($BD13+$Q14+$R14+$S14),2000)-IF($AS14=0,0,IF($AS14=1,4400,1000*$AS14+3400))),1107750)+0.09*MAX(0,MAX(0,$AY14-MIN(($BD13+$Q14+$R14+$S14),2000)-IF($AS14=0,0,IF($AS14=1,4400,1000*$AS14+3400)))-1107750)-IF($AU14="Head of household",120,0)-110*'Your Pay &amp; Benefits'!$C$75,IF($AN14="MI",0.0425*MAX(0,$AY14-5900*$AS14),IF($AN14="MS",0.04*MAX(0,$AI14-IF($AU14="Head of household",3400,IF($AU14="Married",4600,2300))-'Your Pay &amp; Benefits'!$C$85-10000),IF($AN14="OR",IF(OR($AU14="Married",AND($AU14="Single",$AS14&gt;=3)),SUMPRODUCT((MAX(0,$AY14-MIN(($P14-'How This Works &amp; Sources'!$C$10*$D14)*'Your Pay &amp; Benefits'!$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Sources'!$B$211:$J$214,0,4))*(MAX(0,$AY14-MIN(($P14-'How This Works &amp; Sources'!$C$10*$D14)*'Your Pay &amp; Benefits'!$C$8,IF(OR($AU14="Married",AND($AU14="Single",$AS14&gt;=3)),IF($AY14&lt;250000,8750,IF($AY14&lt;260000,7000,IF($AY14&lt;270000,5250,IF($AY14&lt;280000,3500,IF($AY14&lt;290000,1750,0))))),IF($AY14&lt;125000,8750,IF($AY14&lt;130000,7000,IF($AY14&lt;135000,5250,IF($AY14&lt;140000,3500,IF($AY14&lt;145000,1750,0)))))))-IF(OR($AU14="Married",AND($AU14="Single",$AS14&gt;=3)),5820,2910))-INDEX('How This Works &amp; Sources'!$B$211:$J$214,0,4))*INDEX('How This Works &amp; Sources'!$B$211:$J$214,0,4+2)),SUMPRODUCT((MAX(0,$AY14-MIN(($P14-'How This Works &amp; Sources'!$C$10*$D14)*'Your Pay &amp; Benefits'!$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Sources'!$B$211:$J$214,0,1))*(MAX(0,$AY14-MIN(($P14-'How This Works &amp; Sources'!$C$10*$D14)*'Your Pay &amp; Benefits'!$C$8,IF(OR($AU14="Married",AND($AU14="Single",$AS14&gt;=3)),IF($AY14&lt;250000,8750,IF($AY14&lt;260000,7000,IF($AY14&lt;270000,5250,IF($AY14&lt;280000,3500,IF($AY14&lt;290000,1750,0))))),IF($AY14&lt;125000,8750,IF($AY14&lt;130000,7000,IF($AY14&lt;135000,5250,IF($AY14&lt;140000,3500,IF($AY14&lt;145000,1750,0)))))))-IF(OR($AU14="Married",AND($AU14="Single",$AS14&gt;=3)),5820,2910))-INDEX('How This Works &amp; Sources'!$B$211:$J$214,0,1))*INDEX('How This Works &amp; Sources'!$B$211:$J$214,0,1+2)))+263-263*IF(IF($AU14="Married",$AY14&gt;200000,$AY14&gt;100000),0,$AS14),IF($AN14="PA",0.0307*(($O14+$E14+$G14)*'Your Pay &amp; Benefits'!$C$8),IF($AN14="NY",IF($AU14="Married",IF($AZ14&gt;=2155350,0,IF($AZ14&gt;=1077550,0.48,IF($AZ14&gt;=373200,1.21,IF($AZ14&gt;=323200,0.21,IF($AZ14&gt;=211550,-0.19,IF($AZ14&gt;=157650,-2.8,IF($AZ14&gt;=107650,-0.8,IF($AZ14&gt;=96800,0.05,IF($AZ14&gt;=80650,-0.1,IF($AZ14&gt;=13900,0.4,IF($AZ14&gt;=11700,-0.3,IF($AZ14&gt;=8500,0.5,0)))))))))))),IF($AZ14&gt;=1077550,0,IF($AZ14&gt;=265400,4.29,IF($AZ14&gt;=215400,2.29,IF($AZ14&gt;=157650,2.29,IF($AZ14&gt;=107650,0.29,IF($AZ14&gt;=96800,0.05,IF($AZ14&gt;=80650,-0.1,IF($AZ14&gt;=13900,0.4,IF($AZ14&gt;=11700,-0.3,IF($AZ14&gt;=8500,0.5,0))))))))))),0))))))))))))))))))</f>
      </c>
      <c r="BC14" s="7">
        <f>IF($B14="","",IF($AN14="AL",0.05*$D14,IF($AN14="AR",0.039*$D14,IF($AN14="ID",0.053*$D14,IF($AN14="IN",(0.0295+'Your Pay &amp; Benefits'!$C$76)*$D14,IF($AN14="KS",0.05*$D14,IF($AN14="MA",0.09*MIN($D14,MAX(0,MAX(0,$AY14-MIN(($BD13+$Q14+$R14+$S14),2000)-IF($AS14=0,0,IF($AS14=1,4400,1000*$AS14+3400)))+$D14-1107750))+0.05*($D14-MIN($D14,MAX(0,MAX(0,$AY14-MIN(($BD13+$Q14+$R14+$S14),2000)-IF($AS14=0,0,IF($AS14=1,4400,1000*$AS14+3400)))+$D14-1107750))),IF($AN14="MD",(0.065+'Your Pay &amp; Benefits'!$C$74)*$D14,IF($AN14="MI",0.0425*$D14,IF($AN14="MN",0.0625*$D14,IF($AN14="MO",0.047*$D14,IF($AN14="MT",0.05*$D14,IF($AN14="ND",0.015*$D14,IF($AN14="NE",0.035*$D14,IF($AN14="NJ",IF('Your Pay &amp; Benefits'!$C$77="B",SUMPRODUCT(($D14*'Your Pay &amp; Benefits'!$C$8&gt;INDEX('How This Works &amp; Sources'!$B$155:$J$162,0,4))*($D14*'Your Pay &amp; Benefits'!$C$8-INDEX('How This Works &amp; Sources'!$B$155:$J$162,0,4))*INDEX('How This Works &amp; Sources'!$B$155:$J$162,0,4+2)),IF('Your Pay &amp; Benefits'!$C$77="C",SUMPRODUCT(($D14*'Your Pay &amp; Benefits'!$C$8&gt;INDEX('How This Works &amp; Sources'!$B$155:$J$162,0,7))*($D14*'Your Pay &amp; Benefits'!$C$8-INDEX('How This Works &amp; Sources'!$B$155:$J$162,0,7))*INDEX('How This Works &amp; Sources'!$B$155:$J$162,0,7+2)),IF('Your Pay &amp; Benefits'!$C$77="D",SUMPRODUCT(($D14*'Your Pay &amp; Benefits'!$C$8&gt;INDEX('How This Works &amp; Sources'!$B$167:$J$179,0,1))*($D14*'Your Pay &amp; Benefits'!$C$8-INDEX('How This Works &amp; Sources'!$B$167:$J$179,0,1))*INDEX('How This Works &amp; Sources'!$B$167:$J$179,0,1+2)),IF('Your Pay &amp; Benefits'!$C$77="E",SUMPRODUCT(($D14*'Your Pay &amp; Benefits'!$C$8&gt;INDEX('How This Works &amp; Sources'!$B$167:$J$179,0,4))*($D14*'Your Pay &amp; Benefits'!$C$8-INDEX('How This Works &amp; Sources'!$B$167:$J$179,0,4))*INDEX('How This Works &amp; Sources'!$B$167:$J$179,0,4+2)),SUMPRODUCT(($D14*'Your Pay &amp; Benefits'!$C$8&gt;INDEX('How This Works &amp; Sources'!$B$155:$J$162,0,1))*($D14*'Your Pay &amp; Benefits'!$C$8-INDEX('How This Works &amp; Sources'!$B$155:$J$162,0,1))*INDEX('How This Works &amp; Sources'!$B$155:$J$162,0,1+2))))))/'Your Pay &amp; Benefits'!$C$8,IF($AN14="NY",0.117*$D14,IF($AN14="OH",0.0275*$D14,IF($AN14="OK",0.045*$D14,IF($AN14="OR",0.08*$D14,IF($AN14="WI",IF($AY14&lt;12760,0.0354,IF($AY14&lt;25520,0.0465,IF($AY14&lt;280950,0.053,0.0765)))*$D14,0))))))))))))))))))))</f>
      </c>
      <c r="BD14" s="7">
        <f>IF($B14="","",$BD13+$Q14+$R14+$S14)</f>
      </c>
      <c r="BE14" s="6">
        <f>IF($B14="",$BE13,$BE13+$BF14)</f>
      </c>
      <c r="BF14" s="6">
        <f>IF($B14="","",IF(AND(IF(YEAR(IF('Your Pay &amp; Benefits'!$C$7="Weekly",'Your Pay &amp; Benefits'!$C$9+7*(($BE13+1)-1),IF('Your Pay &amp; Benefits'!$C$7="Biweekly",'Your Pay &amp; Benefits'!$C$9+14*(($BE13+1)-1),IF('Your Pay &amp; Benefits'!$C$7="Semimonthly",DATE(YEAR('Your Pay &amp; Benefits'!$C$9),MONTH('Your Pay &amp; Benefits'!$C$9)+INT((($BE13+1)-1)/2),MIN(DAY('Your Pay &amp; Benefits'!$C$9),DAY(EOMONTH(DATE(YEAR('Your Pay &amp; Benefits'!$C$9),MONTH('Your Pay &amp; Benefits'!$C$9)+INT((($BE13+1)-1)/2),1),0))))+IF(MOD(($BE13+1)-1,2)=1,15,0),EDATE('Your Pay &amp; Benefits'!$C$9,($BE13+1)-1)))))&lt;&gt;'Your Pay &amp; Benefits'!$C$10,"",IF('Your Pay &amp; Benefits'!$C$7="Weekly",'Your Pay &amp; Benefits'!$C$9+7*(($BE13+1)-1),IF('Your Pay &amp; Benefits'!$C$7="Biweekly",'Your Pay &amp; Benefits'!$C$9+14*(($BE13+1)-1),IF('Your Pay &amp; Benefits'!$C$7="Semimonthly",DATE(YEAR('Your Pay &amp; Benefits'!$C$9),MONTH('Your Pay &amp; Benefits'!$C$9)+INT((($BE13+1)-1)/2),MIN(DAY('Your Pay &amp; Benefits'!$C$9),DAY(EOMONTH(DATE(YEAR('Your Pay &amp; Benefits'!$C$9),MONTH('Your Pay &amp; Benefits'!$C$9)+INT((($BE13+1)-1)/2),1),0))))+IF(MOD(($BE13+1)-1,2)=1,15,0),EDATE('Your Pay &amp; Benefits'!$C$9,($BE13+1)-1)))))&lt;&gt;"",$B14=IF(YEAR(IF('Your Pay &amp; Benefits'!$C$7="Weekly",'Your Pay &amp; Benefits'!$C$9+7*(($BE13+1)-1),IF('Your Pay &amp; Benefits'!$C$7="Biweekly",'Your Pay &amp; Benefits'!$C$9+14*(($BE13+1)-1),IF('Your Pay &amp; Benefits'!$C$7="Semimonthly",DATE(YEAR('Your Pay &amp; Benefits'!$C$9),MONTH('Your Pay &amp; Benefits'!$C$9)+INT((($BE13+1)-1)/2),MIN(DAY('Your Pay &amp; Benefits'!$C$9),DAY(EOMONTH(DATE(YEAR('Your Pay &amp; Benefits'!$C$9),MONTH('Your Pay &amp; Benefits'!$C$9)+INT((($BE13+1)-1)/2),1),0))))+IF(MOD(($BE13+1)-1,2)=1,15,0),EDATE('Your Pay &amp; Benefits'!$C$9,($BE13+1)-1)))))&lt;&gt;'Your Pay &amp; Benefits'!$C$10,"",IF('Your Pay &amp; Benefits'!$C$7="Weekly",'Your Pay &amp; Benefits'!$C$9+7*(($BE13+1)-1),IF('Your Pay &amp; Benefits'!$C$7="Biweekly",'Your Pay &amp; Benefits'!$C$9+14*(($BE13+1)-1),IF('Your Pay &amp; Benefits'!$C$7="Semimonthly",DATE(YEAR('Your Pay &amp; Benefits'!$C$9),MONTH('Your Pay &amp; Benefits'!$C$9)+INT((($BE13+1)-1)/2),MIN(DAY('Your Pay &amp; Benefits'!$C$9),DAY(EOMONTH(DATE(YEAR('Your Pay &amp; Benefits'!$C$9),MONTH('Your Pay &amp; Benefits'!$C$9)+INT((($BE13+1)-1)/2),1),0))))+IF(MOD(($BE13+1)-1,2)=1,15,0),EDATE('Your Pay &amp; Benefits'!$C$9,($BE13+1)-1)))))),1,0))</f>
      </c>
      <c r="BG14" s="7">
        <f>IF($B14="","",$BG13+$H14)</f>
      </c>
      <c r="BH14" s="7">
        <f>IF($B14="","",$BH13+$I14)</f>
      </c>
      <c r="BI14" s="7">
        <f>IF($B14="","",$BI13+$G14)</f>
      </c>
      <c r="BJ14" s="7">
        <f>IF($B14="","",IFERROR(LOOKUP(2,1/(((('Changes &amp; Events'!$C$6:$C$17="Deduction start"))*('Changes &amp; Events'!$D$6:$D$17="Health FSA"))*('Changes &amp; Events'!$B$6:$B$17&lt;=$B14)*('Changes &amp; Events'!$B$6:$B$17&lt;&gt;"")),'Changes &amp; Events'!$E$6:$E$17),'Your Pay &amp; Benefits'!$D$38))</f>
      </c>
      <c r="BK14" s="7">
        <f>IF($B14="","",IFERROR(LOOKUP(2,1/(((('Changes &amp; Events'!$C$6:$C$17="Deduction start"))*('Changes &amp; Events'!$D$6:$D$17="Dependent-care FSA"))*('Changes &amp; Events'!$B$6:$B$17&lt;=$B14)*('Changes &amp; Events'!$B$6:$B$17&lt;&gt;"")),'Changes &amp; Events'!$E$6:$E$17),'Your Pay &amp; Benefits'!$D$39))</f>
      </c>
      <c r="BL14" s="7">
        <f>IF($B14="","",IFERROR(LOOKUP(2,1/(((('Changes &amp; Events'!$C$6:$C$17="Deduction start")+('Changes &amp; Events'!$C$6:$C$17="Deduction stop"))*('Changes &amp; Events'!$D$6:$D$17="HSA"))*('Changes &amp; Events'!$B$6:$B$17&lt;=$B14)*('Changes &amp; Events'!$B$6:$B$17&lt;&gt;"")),'Changes &amp; Events'!$I$6:$I$17),'Your Pay &amp; Benefits'!$D$35))</f>
      </c>
      <c r="BM14" s="7">
        <f>IF($B14="","",IFERROR(LOOKUP(2,1/(((('Changes &amp; Events'!$C$6:$C$17="Deduction start")+('Changes &amp; Events'!$C$6:$C$17="Deduction stop"))*('Changes &amp; Events'!$D$6:$D$17="Premiums"))*('Changes &amp; Events'!$B$6:$B$17&lt;=$B14)*('Changes &amp; Events'!$B$6:$B$17&lt;&gt;"")),'Changes &amp; Events'!$I$6:$I$17),'Your Pay &amp; Benefits'!$D$40+'Your Pay &amp; Benefits'!$D$41+'Your Pay &amp; Benefits'!$D$42))</f>
      </c>
      <c r="BN14" s="7">
        <f>IF($B14="","",IFERROR(LOOKUP(2,1/(((('Changes &amp; Events'!$C$6:$C$17="Deduction start")+('Changes &amp; Events'!$C$6:$C$17="Deduction stop"))*('Changes &amp; Events'!$D$6:$D$17="Commuter"))*('Changes &amp; Events'!$B$6:$B$17&lt;=$B14)*('Changes &amp; Events'!$B$6:$B$17&lt;&gt;"")),'Changes &amp; Events'!$I$6:$I$17),'Your Pay &amp; Benefits'!$D$43))</f>
      </c>
      <c r="BO14" s="7">
        <f>IF($B14="","",IFERROR(LOOKUP(2,1/(((('Changes &amp; Events'!$C$6:$C$17="Deduction start")+('Changes &amp; Events'!$C$6:$C$17="Deduction stop"))*('Changes &amp; Events'!$D$6:$D$17="Other pre-tax"))*('Changes &amp; Events'!$B$6:$B$17&lt;=$B14)*('Changes &amp; Events'!$B$6:$B$17&lt;&gt;"")),'Changes &amp; Events'!$I$6:$I$17),'Your Pay &amp; Benefits'!$D$44))</f>
      </c>
      <c r="BP14" s="7">
        <f>IF($B14="","",IFERROR(LOOKUP(2,1/(((('Changes &amp; Events'!$C$6:$C$17="Deduction start")+('Changes &amp; Events'!$C$6:$C$17="Deduction stop"))*('Changes &amp; Events'!$D$6:$D$17="Other post-tax"))*('Changes &amp; Events'!$B$6:$B$17&lt;=$B14)*('Changes &amp; Events'!$B$6:$B$17&lt;&gt;"")),'Changes &amp; Events'!$I$6:$I$17),'Your Pay &amp; Benefits'!$D$45))</f>
      </c>
      <c r="BQ14" s="6">
        <f>IF($B14="","",IFERROR(LOOKUP(2,1/(((('Changes &amp; Events'!$C$6:$C$17="Deduction start")+('Changes &amp; Events'!$C$6:$C$17="Deduction stop"))*('Changes &amp; Events'!$D$6:$D$17="Health FSA"))*('Changes &amp; Events'!$B$6:$B$17&lt;=$B14)*('Changes &amp; Events'!$B$6:$B$17&lt;&gt;"")),'Changes &amp; Events'!$J$6:$J$17),0))</f>
      </c>
      <c r="BR14" s="6">
        <f>IF($B14="","",IFERROR(LOOKUP(2,1/(((('Changes &amp; Events'!$C$6:$C$17="Deduction start")+('Changes &amp; Events'!$C$6:$C$17="Deduction stop"))*('Changes &amp; Events'!$D$6:$D$17="Dependent-care FSA"))*('Changes &amp; Events'!$B$6:$B$17&lt;=$B14)*('Changes &amp; Events'!$B$6:$B$17&lt;&gt;"")),'Changes &amp; Events'!$J$6:$J$17),0))</f>
      </c>
      <c r="BS14" s="6">
        <f>IF($B14="","",IF(SUMPRODUCT(('Changes &amp; Events'!$C$6:$C$17="Deduction start")*('Changes &amp; Events'!$B$6:$B$17&lt;=$B14)*('Changes &amp; Events'!$B$6:$B$17&lt;&gt;"")*('Changes &amp; Events'!$D$6:$D$17="Health FSA"))&gt;0,1,0))</f>
      </c>
      <c r="BT14" s="6">
        <f>IF($B14="","",IF(SUMPRODUCT(('Changes &amp; Events'!$C$6:$C$17="Deduction start")*('Changes &amp; Events'!$B$6:$B$17&lt;=$B14)*('Changes &amp; Events'!$B$6:$B$17&lt;&gt;"")*('Changes &amp; Events'!$D$6:$D$17="Dependent-care FSA"))&gt;0,1,0))</f>
      </c>
      <c r="BU14" s="24">
        <f>IF($B14="","",IF('Your Pay &amp; Benefits'!$C$13,SUMPRODUCT(($AH14&gt;=INDEX('How This Works &amp; Sources'!$B$29:$J$36,0,IF('Your Pay &amp; Benefits'!$C$12="MFJ",1,IF('Your Pay &amp; Benefits'!$C$12="HoH",7,4))))*INDEX('How This Works &amp; Sources'!$B$29:$J$36,0,IF('Your Pay &amp; Benefits'!$C$12="MFJ",1,IF('Your Pay &amp; Benefits'!$C$12="HoH",7,4))+2)),SUMPRODUCT(($AH14&gt;=INDEX('How This Works &amp; Sources'!$B$19:$J$26,0,IF('Your Pay &amp; Benefits'!$C$12="MFJ",1,IF('Your Pay &amp; Benefits'!$C$12="HoH",7,4))))*INDEX('How This Works &amp; Sources'!$B$19:$J$26,0,IF('Your Pay &amp; Benefits'!$C$12="MFJ",1,IF('Your Pay &amp; Benefits'!$C$12="HoH",7,4))+2))))</f>
      </c>
      <c r="BV14" s="24">
        <f>IF($B14="","",IF($BZ14&lt;&gt;"",$BZ14,IF($CA14&lt;&gt;"",$CA14,IF($CB14&lt;&gt;"",$CB14,IF($CC14&lt;&gt;"",$CC14,0)))))</f>
      </c>
      <c r="BW14" s="7">
        <f>IF($B14="","",IF($AN14="MD",IF(OR($AU14="Married",$AU14="Head of household"),SUMPRODUCT(($AZ14&gt;INDEX('How This Works &amp; Sources'!$B$114:$J$120,0,1))*($AZ14-INDEX('How This Works &amp; Sources'!$B$114:$J$120,0,1))*INDEX('How This Works &amp; Sources'!$B$114:$J$120,0,1+2)),SUMPRODUCT(($AZ14&gt;INDEX('How This Works &amp; Sources'!$B$103:$J$109,0,7))*($AZ14-INDEX('How This Works &amp; Sources'!$B$103:$J$109,0,7))*INDEX('How This Works &amp; Sources'!$B$103:$J$109,0,7+2))),IF($AN14="MO",SUMPRODUCT(($AZ14&gt;INDEX('How This Works &amp; Sources'!$B$125:$J$132,0,1))*($AZ14-INDEX('How This Works &amp; Sources'!$B$125:$J$132,0,1))*INDEX('How This Works &amp; Sources'!$B$125:$J$132,0,1+2)),IF($AN14="MT",IF($AU14="Head of household",SUMPRODUCT(($AZ14&gt;INDEX('How This Works &amp; Sources'!$B$137:$J$139,0,1))*($AZ14-INDEX('How This Works &amp; Sources'!$B$137:$J$139,0,1))*INDEX('How This Works &amp; Sources'!$B$137:$J$139,0,1+2)),IF($AU14="Married",SUMPRODUCT(($AZ14&gt;INDEX('How This Works &amp; Sources'!$B$125:$J$132,0,7))*($AZ14-INDEX('How This Works &amp; Sources'!$B$125:$J$132,0,7))*INDEX('How This Works &amp; Sources'!$B$125:$J$132,0,7+2)),SUMPRODUCT(($AZ14&gt;INDEX('How This Works &amp; Sources'!$B$125:$J$132,0,4))*($AZ14-INDEX('How This Works &amp; Sources'!$B$125:$J$132,0,4))*INDEX('How This Works &amp; Sources'!$B$125:$J$132,0,4+2)))),IF($AN14="ND",IF($AU14="Head of household",SUMPRODUCT(($AZ14&gt;INDEX('How This Works &amp; Sources'!$B$144:$J$150,0,1))*($AZ14-INDEX('How This Works &amp; Sources'!$B$144:$J$150,0,1))*INDEX('How This Works &amp; Sources'!$B$144:$J$150,0,1+2)),IF($AU14="Married",SUMPRODUCT(($AZ14&gt;INDEX('How This Works &amp; Sources'!$B$137:$J$139,0,7))*($AZ14-INDEX('How This Works &amp; Sources'!$B$137:$J$139,0,7))*INDEX('How This Works &amp; Sources'!$B$137:$J$139,0,7+2)),SUMPRODUCT(($AZ14&gt;INDEX('How This Works &amp; Sources'!$B$137:$J$139,0,4))*($AZ14-INDEX('How This Works &amp; Sources'!$B$137:$J$139,0,4))*INDEX('How This Works &amp; Sources'!$B$137:$J$139,0,4+2)))),IF($AN14="NJ",IF('Your Pay &amp; Benefits'!$C$77="B",SUMPRODUCT(($AZ14&gt;INDEX('How This Works &amp; Sources'!$B$155:$J$162,0,4))*($AZ14-INDEX('How This Works &amp; Sources'!$B$155:$J$162,0,4))*INDEX('How This Works &amp; Sources'!$B$155:$J$162,0,4+2)),IF('Your Pay &amp; Benefits'!$C$77="C",SUMPRODUCT(($AZ14&gt;INDEX('How This Works &amp; Sources'!$B$155:$J$162,0,7))*($AZ14-INDEX('How This Works &amp; Sources'!$B$155:$J$162,0,7))*INDEX('How This Works &amp; Sources'!$B$155:$J$162,0,7+2)),IF('Your Pay &amp; Benefits'!$C$77="D",SUMPRODUCT(($AZ14&gt;INDEX('How This Works &amp; Sources'!$B$167:$J$179,0,1))*($AZ14-INDEX('How This Works &amp; Sources'!$B$167:$J$179,0,1))*INDEX('How This Works &amp; Sources'!$B$167:$J$179,0,1+2)),IF('Your Pay &amp; Benefits'!$C$77="E",SUMPRODUCT(($AZ14&gt;INDEX('How This Works &amp; Sources'!$B$167:$J$179,0,4))*($AZ14-INDEX('How This Works &amp; Sources'!$B$167:$J$179,0,4))*INDEX('How This Works &amp; Sources'!$B$167:$J$179,0,4+2)),SUMPRODUCT(($AZ14&gt;INDEX('How This Works &amp; Sources'!$B$155:$J$162,0,1))*($AZ14-INDEX('How This Works &amp; Sources'!$B$155:$J$162,0,1))*INDEX('How This Works &amp; Sources'!$B$155:$J$162,0,1+2)))))),IF($AN14="NY",IF($AU14="Married",IF($AZ14&gt;=2155350,$AZ14*IF($AZ14&gt;25000000,0.117,IF($AZ14&gt;5000000,0.111,0.1045)),SUMPRODUCT(($AZ14&gt;INDEX('How This Works &amp; Sources'!$B$184:$J$198,0,1))*($AZ14-INDEX('How This Works &amp; Sources'!$B$184:$J$198,0,1))*INDEX('How This Works &amp; Sources'!$B$184:$J$198,0,1+2))),IF($AZ14&gt;=1077550,$AZ14*IF($AZ14&gt;25000000,0.117,IF($AZ14&gt;5000000,0.111,0.1045)),SUMPRODUCT(($AZ14&gt;INDEX('How This Works &amp; Sources'!$B$167:$J$179,0,7))*($AZ14-INDEX('How This Works &amp; Sources'!$B$167:$J$179,0,7))*INDEX('How This Works &amp; Sources'!$B$167:$J$179,0,7+2)))),"")))))))</f>
      </c>
      <c r="BX14" s="7">
        <f>IF($B14="","",IF($AN14="AL",IF(OR($AU14="Married",$AU14="Head of household"),SUMPRODUCT(($AZ14&gt;INDEX('How This Works &amp; Sources'!$B$82:$J$86,0,4))*($AZ14-INDEX('How This Works &amp; Sources'!$B$82:$J$86,0,4))*INDEX('How This Works &amp; Sources'!$B$82:$J$86,0,4+2)),SUMPRODUCT(($AZ14&gt;INDEX('How This Works &amp; Sources'!$B$82:$J$86,0,1))*($AZ14-INDEX('How This Works &amp; Sources'!$B$82:$J$86,0,1))*INDEX('How This Works &amp; Sources'!$B$82:$J$86,0,1+2))),IF($AN14="KS",IF($AU14="Married",SUMPRODUCT(($AZ14&gt;INDEX('How This Works &amp; Sources'!$B$103:$J$109,0,4))*($AZ14-INDEX('How This Works &amp; Sources'!$B$103:$J$109,0,4))*INDEX('How This Works &amp; Sources'!$B$103:$J$109,0,4+2)),SUMPRODUCT(($AZ14&gt;INDEX('How This Works &amp; Sources'!$B$103:$J$109,0,1))*($AZ14-INDEX('How This Works &amp; Sources'!$B$103:$J$109,0,1))*INDEX('How This Works &amp; Sources'!$B$103:$J$109,0,1+2))),IF($AN14="MN",IF($AU14="Married",SUMPRODUCT(($AZ14&gt;INDEX('How This Works &amp; Sources'!$B$114:$J$120,0,7))*($AZ14-INDEX('How This Works &amp; Sources'!$B$114:$J$120,0,7))*INDEX('How This Works &amp; Sources'!$B$114:$J$120,0,7+2)),SUMPRODUCT(($AZ14&gt;INDEX('How This Works &amp; Sources'!$B$114:$J$120,0,4))*($AZ14-INDEX('How This Works &amp; Sources'!$B$114:$J$120,0,4))*INDEX('How This Works &amp; Sources'!$B$114:$J$120,0,4+2))),IF($AN14="NE",MAX(IF($AU14="Married",SUMPRODUCT(($AZ14&gt;INDEX('How This Works &amp; Sources'!$B$144:$J$150,0,7))*($AZ14-INDEX('How This Works &amp; Sources'!$B$144:$J$150,0,7))*INDEX('How This Works &amp; Sources'!$B$144:$J$150,0,7+2)),SUMPRODUCT(($AZ14&gt;INDEX('How This Works &amp; Sources'!$B$144:$J$150,0,4))*($AZ14-INDEX('How This Works &amp; Sources'!$B$144:$J$150,0,4))*INDEX('How This Works &amp; Sources'!$B$144:$J$150,0,4+2))),0.015*$AZ14),IF($AN14="OH",IF($B14&gt;=DATE(2026,8,1),SUMPRODUCT(($AZ14&gt;INDEX('How This Works &amp; Sources'!$B$203:$J$206,0,1))*($AZ14-INDEX('How This Works &amp; Sources'!$B$203:$J$206,0,1))*INDEX('How This Works &amp; Sources'!$B$203:$J$206,0,1+2)),SUMPRODUCT(($AZ14&gt;INDEX('How This Works &amp; Sources'!$B$184:$J$198,0,7))*($AZ14-INDEX('How This Works &amp; Sources'!$B$184:$J$198,0,7))*INDEX('How This Works &amp; Sources'!$B$184:$J$198,0,7+2))),IF($AN14="OK",IF($AU14="Married",SUMPRODUCT(($AZ14&gt;INDEX('How This Works &amp; Sources'!$B$203:$J$206,0,7))*($AZ14-INDEX('How This Works &amp; Sources'!$B$203:$J$206,0,7))*INDEX('How This Works &amp; Sources'!$B$203:$J$206,0,7+2)),SUMPRODUCT(($AZ14&gt;INDEX('How This Works &amp; Sources'!$B$203:$J$206,0,4))*($AZ14-INDEX('How This Works &amp; Sources'!$B$203:$J$206,0,4))*INDEX('How This Works &amp; Sources'!$B$203:$J$206,0,4+2))),IF($AN14="RI",SUMPRODUCT(($AZ14&gt;INDEX('How This Works &amp; Sources'!$B$211:$J$214,0,7))*($AZ14-INDEX('How This Works &amp; Sources'!$B$211:$J$214,0,7))*INDEX('How This Works &amp; Sources'!$B$211:$J$214,0,7+2)),IF($AN14="VT",IF($AU14="Married",SUMPRODUCT(($AZ14&gt;INDEX('How This Works &amp; Sources'!$B$228:$J$232,0,1))*($AZ14-INDEX('How This Works &amp; Sources'!$B$228:$J$232,0,1))*INDEX('How This Works &amp; Sources'!$B$228:$J$232,0,1+2)),SUMPRODUCT(($AZ14&gt;INDEX('How This Works &amp; Sources'!$B$219:$J$223,0,7))*($AZ14-INDEX('How This Works &amp; Sources'!$B$219:$J$223,0,7))*INDEX('How This Works &amp; Sources'!$B$219:$J$223,0,7+2))),IF($AN14="WV",IF($AU14="Married",SUMPRODUCT(($AZ14&gt;INDEX('How This Works &amp; Sources'!$B$237:$J$241,0,7))*($AZ14-INDEX('How This Works &amp; Sources'!$B$237:$J$241,0,7))*INDEX('How This Works &amp; Sources'!$B$237:$J$241,0,7+2)),SUMPRODUCT(($AZ14&gt;INDEX('How This Works &amp; Sources'!$B$228:$J$232,0,7))*($AZ14-INDEX('How This Works &amp; Sources'!$B$228:$J$232,0,7))*INDEX('How This Works &amp; Sources'!$B$228:$J$232,0,7+2))),""))))))))))</f>
      </c>
      <c r="BY14" s="7">
        <f>IF($B14="","",IF($AN14="AR",SUMPRODUCT(($AZ14&gt;INDEX('How This Works &amp; Sources'!$B$82:$J$86,0,7))*($AZ14-INDEX('How This Works &amp; Sources'!$B$82:$J$86,0,7))*INDEX('How This Works &amp; Sources'!$B$82:$J$86,0,7+2)),IF($AN14="DE",SUMPRODUCT(($AZ14&gt;INDEX('How This Works &amp; Sources'!$B$91:$J$98,0,1))*($AZ14-INDEX('How This Works &amp; Sources'!$B$91:$J$98,0,1))*INDEX('How This Works &amp; Sources'!$B$91:$J$98,0,1+2)),IF($AN14="HI",IF($AU14="Married",SUMPRODUCT(($AZ14&gt;INDEX('How This Works &amp; Sources'!$B$91:$J$98,0,7))*($AZ14-INDEX('How This Works &amp; Sources'!$B$91:$J$98,0,7))*INDEX('How This Works &amp; Sources'!$B$91:$J$98,0,7+2)),SUMPRODUCT(($AZ14&gt;INDEX('How This Works &amp; Sources'!$B$91:$J$98,0,4))*($AZ14-INDEX('How This Works &amp; Sources'!$B$91:$J$98,0,4))*INDEX('How This Works &amp; Sources'!$B$91:$J$98,0,4+2))),IF($AN14="SC",SUMPRODUCT(($AZ14&gt;INDEX('How This Works &amp; Sources'!$B$219:$J$223,0,1))*($AZ14-INDEX('How This Works &amp; Sources'!$B$219:$J$223,0,1))*INDEX('How This Works &amp; Sources'!$B$219:$J$223,0,1+2)),IF($AN14="VA",SUMPRODUCT(($AZ14&gt;INDEX('How This Works &amp; Sources'!$B$219:$J$223,0,4))*($AZ14-INDEX('How This Works &amp; Sources'!$B$219:$J$223,0,4))*INDEX('How This Works &amp; Sources'!$B$219:$J$223,0,4+2)),IF($AN14="WI",SUMPRODUCT(($AZ14&gt;INDEX('How This Works &amp; Sources'!$B$228:$J$232,0,4))*($AZ14-INDEX('How This Works &amp; Sources'!$B$228:$J$232,0,4))*INDEX('How This Works &amp; Sources'!$B$228:$J$232,0,4+2)),"")))))))</f>
      </c>
      <c r="BZ14" s="24">
        <f>IF($B14="","",IF($AN14="NJ",IF('Your Pay &amp; Benefits'!$C$77="B",SUMPRODUCT(($AZ14&gt;=INDEX('How This Works &amp; Sources'!$B$155:$J$162,0,4))*INDEX('How This Works &amp; Sources'!$B$155:$J$162,0,4+2)),IF('Your Pay &amp; Benefits'!$C$77="C",SUMPRODUCT(($AZ14&gt;=INDEX('How This Works &amp; Sources'!$B$155:$J$162,0,7))*INDEX('How This Works &amp; Sources'!$B$155:$J$162,0,7+2)),IF('Your Pay &amp; Benefits'!$C$77="D",SUMPRODUCT(($AZ14&gt;=INDEX('How This Works &amp; Sources'!$B$167:$J$179,0,1))*INDEX('How This Works &amp; Sources'!$B$167:$J$179,0,1+2)),IF('Your Pay &amp; Benefits'!$C$77="E",SUMPRODUCT(($AZ14&gt;=INDEX('How This Works &amp; Sources'!$B$167:$J$179,0,4))*INDEX('How This Works &amp; Sources'!$B$167:$J$179,0,4+2)),SUMPRODUCT(($AZ14&gt;=INDEX('How This Works &amp; Sources'!$B$155:$J$162,0,1))*INDEX('How This Works &amp; Sources'!$B$155:$J$162,0,1+2)))))),IF($AN14="OR",IF(OR($AU14="Married",AND($AU14="Single",$AS14&gt;=3)),SUMPRODUCT((MAX(0,$AY14-MIN(($P14-'How This Works &amp; Sources'!$C$10*$D14)*'Your Pay &amp; Benefits'!$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Sources'!$B$211:$J$214,0,4))*INDEX('How This Works &amp; Sources'!$B$211:$J$214,0,4+2)),SUMPRODUCT((MAX(0,$AY14-MIN(($P14-'How This Works &amp; Sources'!$C$10*$D14)*'Your Pay &amp; Benefits'!$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Sources'!$B$211:$J$214,0,1))*INDEX('How This Works &amp; Sources'!$B$211:$J$214,0,1+2)))*IF(($P14-'How This Works &amp; Sources'!$C$10*$D14)*'Your Pay &amp; Benefits'!$C$8&gt;=IF(OR($AU14="Married",AND($AU14="Single",$AS14&gt;=3)),IF($AY14&lt;250000,8750,IF($AY14&lt;260000,7000,IF($AY14&lt;270000,5250,IF($AY14&lt;280000,3500,IF($AY14&lt;290000,1750,0))))),IF($AY14&lt;125000,8750,IF($AY14&lt;130000,7000,IF($AY14&lt;135000,5250,IF($AY14&lt;140000,3500,IF($AY14&lt;145000,1750,0)))))),1,1-IF('Your Pay &amp; Benefits'!$C$13,SUMPRODUCT(($AH14&gt;=INDEX('How This Works &amp; Sources'!$B$29:$J$36,0,IF('Your Pay &amp; Benefits'!$C$12="MFJ",1,IF('Your Pay &amp; Benefits'!$C$12="HoH",7,4))))*INDEX('How This Works &amp; Sources'!$B$29:$J$36,0,IF('Your Pay &amp; Benefits'!$C$12="MFJ",1,IF('Your Pay &amp; Benefits'!$C$12="HoH",7,4))+2)),SUMPRODUCT(($AH14&gt;=INDEX('How This Works &amp; Sources'!$B$19:$J$26,0,IF('Your Pay &amp; Benefits'!$C$12="MFJ",1,IF('Your Pay &amp; Benefits'!$C$12="HoH",7,4))))*INDEX('How This Works &amp; Sources'!$B$19:$J$26,0,IF('Your Pay &amp; Benefits'!$C$12="MFJ",1,IF('Your Pay &amp; Benefits'!$C$12="HoH",7,4))+2)))),IF($AN14="MI",IF($AY14&gt;5900*$AS14,0.0425,0),""))))</f>
      </c>
      <c r="CA14" s="24">
        <f>IF($B14="","",IF($AN14="AL",IF(OR($AU14="Married",$AU14="Head of household"),SUMPRODUCT(($AZ14&gt;=INDEX('How This Works &amp; Sources'!$B$82:$J$86,0,4))*INDEX('How This Works &amp; Sources'!$B$82:$J$86,0,4+2)),SUMPRODUCT(($AZ14&gt;=INDEX('How This Works &amp; Sources'!$B$82:$J$86,0,1))*INDEX('How This Works &amp; Sources'!$B$82:$J$86,0,1+2)))*(1-IF('Your Pay &amp; Benefits'!$C$13,SUMPRODUCT(($AH14&gt;=INDEX('How This Works &amp; Sources'!$B$29:$J$36,0,IF('Your Pay &amp; Benefits'!$C$12="MFJ",1,IF('Your Pay &amp; Benefits'!$C$12="HoH",7,4))))*INDEX('How This Works &amp; Sources'!$B$29:$J$36,0,IF('Your Pay &amp; Benefits'!$C$12="MFJ",1,IF('Your Pay &amp; Benefits'!$C$12="HoH",7,4))+2)),SUMPRODUCT(($AH14&gt;=INDEX('How This Works &amp; Sources'!$B$19:$J$26,0,IF('Your Pay &amp; Benefits'!$C$12="MFJ",1,IF('Your Pay &amp; Benefits'!$C$12="HoH",7,4))))*INDEX('How This Works &amp; Sources'!$B$19:$J$26,0,IF('Your Pay &amp; Benefits'!$C$12="MFJ",1,IF('Your Pay &amp; Benefits'!$C$12="HoH",7,4))+2)))),IF($AN14="KS",IF($AU14="Married",SUMPRODUCT(($AZ14&gt;=INDEX('How This Works &amp; Sources'!$B$103:$J$109,0,4))*INDEX('How This Works &amp; Sources'!$B$103:$J$109,0,4+2)),SUMPRODUCT(($AZ14&gt;=INDEX('How This Works &amp; Sources'!$B$103:$J$109,0,1))*INDEX('How This Works &amp; Sources'!$B$103:$J$109,0,1+2))),IF($AN14="MD",IF(OR($AU14="Married",$AU14="Head of household"),SUMPRODUCT(($AZ14&gt;=INDEX('How This Works &amp; Sources'!$B$114:$J$120,0,1))*INDEX('How This Works &amp; Sources'!$B$114:$J$120,0,1+2)),SUMPRODUCT(($AZ14&gt;=INDEX('How This Works &amp; Sources'!$B$103:$J$109,0,7))*INDEX('How This Works &amp; Sources'!$B$103:$J$109,0,7+2)))+'Your Pay &amp; Benefits'!$C$74,IF($AN14="MT",IF($AU14="Head of household",SUMPRODUCT(($AZ14&gt;=INDEX('How This Works &amp; Sources'!$B$137:$J$139,0,1))*INDEX('How This Works &amp; Sources'!$B$137:$J$139,0,1+2)),IF($AU14="Married",SUMPRODUCT(($AZ14&gt;=INDEX('How This Works &amp; Sources'!$B$125:$J$132,0,7))*INDEX('How This Works &amp; Sources'!$B$125:$J$132,0,7+2)),SUMPRODUCT(($AZ14&gt;=INDEX('How This Works &amp; Sources'!$B$125:$J$132,0,4))*INDEX('How This Works &amp; Sources'!$B$125:$J$132,0,4+2)))),IF($AN14="ND",IF($AU14="Head of household",SUMPRODUCT(($AZ14&gt;=INDEX('How This Works &amp; Sources'!$B$144:$J$150,0,1))*INDEX('How This Works &amp; Sources'!$B$144:$J$150,0,1+2)),IF($AU14="Married",SUMPRODUCT(($AZ14&gt;=INDEX('How This Works &amp; Sources'!$B$137:$J$139,0,7))*INDEX('How This Works &amp; Sources'!$B$137:$J$139,0,7+2)),SUMPRODUCT(($AZ14&gt;=INDEX('How This Works &amp; Sources'!$B$137:$J$139,0,4))*INDEX('How This Works &amp; Sources'!$B$137:$J$139,0,4+2)))),IF($AN14="NY",IF($AU14="Married",IF($AZ14&gt;=2155350,IF($AZ14&gt;25000000,0.117,IF($AZ14&gt;5000000,0.111,0.1045)),SUMPRODUCT(($AZ14&gt;=INDEX('How This Works &amp; Sources'!$B$184:$J$198,0,1))*INDEX('How This Works &amp; Sources'!$B$184:$J$198,0,1+2))),IF($AZ14&gt;=1077550,IF($AZ14&gt;25000000,0.117,IF($AZ14&gt;5000000,0.111,0.1045)),SUMPRODUCT(($AZ14&gt;=INDEX('How This Works &amp; Sources'!$B$167:$J$179,0,7))*INDEX('How This Works &amp; Sources'!$B$167:$J$179,0,7+2)))),"")))))))</f>
      </c>
      <c r="CB14" s="24">
        <f>IF($B14="","",IF($AN14="CA",SUMPRODUCT(($AJ14&gt;=INDEX('How This Works &amp; Sources'!$B$39:$J$48,0,IF($AU14="Married",4,IF($AU14="Head of household",7,1))))*INDEX('How This Works &amp; Sources'!$B$39:$J$48,0,IF($AU14="Married",4,IF($AU14="Head of household",7,1))+2)),IF($AN14="HI",IF($AU14="Married",SUMPRODUCT(($AZ14&gt;=INDEX('How This Works &amp; Sources'!$B$91:$J$98,0,7))*INDEX('How This Works &amp; Sources'!$B$91:$J$98,0,7+2)),SUMPRODUCT(($AZ14&gt;=INDEX('How This Works &amp; Sources'!$B$91:$J$98,0,4))*INDEX('How This Works &amp; Sources'!$B$91:$J$98,0,4+2))),IF($AN14="MN",IF($AU14="Married",SUMPRODUCT(($AZ14&gt;=INDEX('How This Works &amp; Sources'!$B$114:$J$120,0,7))*INDEX('How This Works &amp; Sources'!$B$114:$J$120,0,7+2)),SUMPRODUCT(($AZ14&gt;=INDEX('How This Works &amp; Sources'!$B$114:$J$120,0,4))*INDEX('How This Works &amp; Sources'!$B$114:$J$120,0,4+2))),IF($AN14="MO",SUMPRODUCT(($AZ14&gt;=INDEX('How This Works &amp; Sources'!$B$125:$J$132,0,1))*INDEX('How This Works &amp; Sources'!$B$125:$J$132,0,1+2)),IF($AN14="NE",MAX(IF($AU14="Married",SUMPRODUCT(($AZ14&gt;=INDEX('How This Works &amp; Sources'!$B$144:$J$150,0,7))*INDEX('How This Works &amp; Sources'!$B$144:$J$150,0,7+2)),SUMPRODUCT(($AZ14&gt;=INDEX('How This Works &amp; Sources'!$B$144:$J$150,0,4))*INDEX('How This Works &amp; Sources'!$B$144:$J$150,0,4+2))),0.015),IF($AN14="OH",IF($B14&gt;=DATE(2026,8,1),SUMPRODUCT(($AZ14&gt;=INDEX('How This Works &amp; Sources'!$B$203:$J$206,0,1))*INDEX('How This Works &amp; Sources'!$B$203:$J$206,0,1+2)),SUMPRODUCT(($AZ14&gt;=INDEX('How This Works &amp; Sources'!$B$184:$J$198,0,7))*INDEX('How This Works &amp; Sources'!$B$184:$J$198,0,7+2))),IF($AN14="OK",IF($AU14="Married",SUMPRODUCT(($AZ14&gt;=INDEX('How This Works &amp; Sources'!$B$203:$J$206,0,7))*INDEX('How This Works &amp; Sources'!$B$203:$J$206,0,7+2)),SUMPRODUCT(($AZ14&gt;=INDEX('How This Works &amp; Sources'!$B$203:$J$206,0,4))*INDEX('How This Works &amp; Sources'!$B$203:$J$206,0,4+2))),IF($AN14="RI",SUMPRODUCT(($AZ14&gt;=INDEX('How This Works &amp; Sources'!$B$211:$J$214,0,7))*INDEX('How This Works &amp; Sources'!$B$211:$J$214,0,7+2)),IF($AN14="SC",SUMPRODUCT(($AZ14&gt;=INDEX('How This Works &amp; Sources'!$B$219:$J$223,0,1))*INDEX('How This Works &amp; Sources'!$B$219:$J$223,0,1+2)),IF($AN14="VT",IF($AU14="Married",SUMPRODUCT(($AZ14&gt;=INDEX('How This Works &amp; Sources'!$B$228:$J$232,0,1))*INDEX('How This Works &amp; Sources'!$B$228:$J$232,0,1+2)),SUMPRODUCT(($AZ14&gt;=INDEX('How This Works &amp; Sources'!$B$219:$J$223,0,7))*INDEX('How This Works &amp; Sources'!$B$219:$J$223,0,7+2))),IF($AN14="WV",IF($AU14="Married",SUMPRODUCT(($AZ14&gt;=INDEX('How This Works &amp; Sources'!$B$237:$J$241,0,7))*INDEX('How This Works &amp; Sources'!$B$237:$J$241,0,7+2)),SUMPRODUCT(($AZ14&gt;=INDEX('How This Works &amp; Sources'!$B$228:$J$232,0,7))*INDEX('How This Works &amp; Sources'!$B$228:$J$232,0,7+2))),IF($AN14="IN",(0.0295+'Your Pay &amp; Benefits'!$C$76),"")))))))))))))</f>
      </c>
      <c r="CC14" s="24">
        <f>IF($B14="","",IF($AN14="AR",SUMPRODUCT(($AZ14&gt;=INDEX('How This Works &amp; Sources'!$B$82:$J$86,0,7))*INDEX('How This Works &amp; Sources'!$B$82:$J$86,0,7+2)),IF($AN14="DE",SUMPRODUCT(($AZ14&gt;=INDEX('How This Works &amp; Sources'!$B$91:$J$98,0,1))*INDEX('How This Works &amp; Sources'!$B$91:$J$98,0,1+2)),IF($AN14="VA",SUMPRODUCT(($AZ14&gt;=INDEX('How This Works &amp; Sources'!$B$219:$J$223,0,4))*INDEX('How This Works &amp; Sources'!$B$219:$J$223,0,4+2)),IF($AN14="WI",SUMPRODUCT(($AZ14&gt;=INDEX('How This Works &amp; Sources'!$B$228:$J$232,0,4))*INDEX('How This Works &amp; Sources'!$B$228:$J$232,0,4+2)),IF($AN14="AZ",'Your Pay &amp; Benefits'!$C$82,IF($AN14="CO",IF($AY14&gt;IF($AU14="Married",10000,5000),0.044,0),IF($AN14="IA",IF($AY14&gt;IF($AU14="Head of household",19500,IF($AU14="Married",26000,13000)),0.038,0),IF($AN14="ID",IF($AY14&gt;IF($AU14="Married",32000,16094),0.053,0),IF($AN14="IL",IF($AY14&gt;(2925*$AS14+1000*$AT14),0.0495,0),IF($AN14="KY",IF($AI14&gt;3360,0.035,0),IF($AN14="LA",0.0309,IF($AN14="MA",IF(MAX(0,$AY14-MIN(($BD13+$Q14+$R14+$S14),2000)-IF($AS14=0,0,IF($AS14=1,4400,1000*$AS14+3400)))&gt;=1107750,0.09,0.05),IF($AN14="MS",IF($AI14-IF($AU14="Head of household",3400,IF($AU14="Married",4600,2300))-'Your Pay &amp; Benefits'!$C$85&gt;10000,0.04,0),IF($AN14="PA",0.0307,"")))))))))))))))</f>
      </c>
      <c r="CD14" s="21">
        <f>IF(YEAR(IF('Your Pay &amp; Benefits'!$C$7="Weekly",'Your Pay &amp; Benefits'!$C$9+7*(($BE13+1)-1),IF('Your Pay &amp; Benefits'!$C$7="Biweekly",'Your Pay &amp; Benefits'!$C$9+14*(($BE13+1)-1),IF('Your Pay &amp; Benefits'!$C$7="Semimonthly",DATE(YEAR('Your Pay &amp; Benefits'!$C$9),MONTH('Your Pay &amp; Benefits'!$C$9)+INT((($BE13+1)-1)/2),MIN(DAY('Your Pay &amp; Benefits'!$C$9),DAY(EOMONTH(DATE(YEAR('Your Pay &amp; Benefits'!$C$9),MONTH('Your Pay &amp; Benefits'!$C$9)+INT((($BE13+1)-1)/2),1),0))))+IF(MOD(($BE13+1)-1,2)=1,15,0),EDATE('Your Pay &amp; Benefits'!$C$9,($BE13+1)-1)))))&lt;&gt;'Your Pay &amp; Benefits'!$C$10,"",IF('Your Pay &amp; Benefits'!$C$7="Weekly",'Your Pay &amp; Benefits'!$C$9+7*(($BE13+1)-1),IF('Your Pay &amp; Benefits'!$C$7="Biweekly",'Your Pay &amp; Benefits'!$C$9+14*(($BE13+1)-1),IF('Your Pay &amp; Benefits'!$C$7="Semimonthly",DATE(YEAR('Your Pay &amp; Benefits'!$C$9),MONTH('Your Pay &amp; Benefits'!$C$9)+INT((($BE13+1)-1)/2),MIN(DAY('Your Pay &amp; Benefits'!$C$9),DAY(EOMONTH(DATE(YEAR('Your Pay &amp; Benefits'!$C$9),MONTH('Your Pay &amp; Benefits'!$C$9)+INT((($BE13+1)-1)/2),1),0))))+IF(MOD(($BE13+1)-1,2)=1,15,0),EDATE('Your Pay &amp; Benefits'!$C$9,($BE13+1)-1)))))</f>
      </c>
      <c r="CE14" s="21">
        <f>IF(MIN(IF(AND('Your Pay &amp; Benefits'!$C$58&gt;MAX($B$6:$B13),'Your Pay &amp; Benefits'!$C$58&gt;=DATE('Your Pay &amp; Benefits'!$C$10,1,1),'Your Pay &amp; Benefits'!$C$58&lt;=DATE('Your Pay &amp; Benefits'!$C$10,12,31)),'Your Pay &amp; Benefits'!$C$58,999999),IF(AND('Your Pay &amp; Benefits'!$C$59&gt;MAX($B$6:$B13),'Your Pay &amp; Benefits'!$C$59&gt;=DATE('Your Pay &amp; Benefits'!$C$10,1,1),'Your Pay &amp; Benefits'!$C$59&lt;=DATE('Your Pay &amp; Benefits'!$C$10,12,31)),'Your Pay &amp; Benefits'!$C$59,999999),IF(AND('Your Pay &amp; Benefits'!$C$60&gt;MAX($B$6:$B13),'Your Pay &amp; Benefits'!$C$60&gt;=DATE('Your Pay &amp; Benefits'!$C$10,1,1),'Your Pay &amp; Benefits'!$C$60&lt;=DATE('Your Pay &amp; Benefits'!$C$10,12,31)),'Your Pay &amp; Benefits'!$C$60,999999),IF(AND('Your Pay &amp; Benefits'!$C$61&gt;MAX($B$6:$B13),'Your Pay &amp; Benefits'!$C$61&gt;=DATE('Your Pay &amp; Benefits'!$C$10,1,1),'Your Pay &amp; Benefits'!$C$61&lt;=DATE('Your Pay &amp; Benefits'!$C$10,12,31)),'Your Pay &amp; Benefits'!$C$61,999999),IF(AND('Your Pay &amp; Benefits'!$C$62&gt;MAX($B$6:$B13),'Your Pay &amp; Benefits'!$C$62&gt;=DATE('Your Pay &amp; Benefits'!$C$10,1,1),'Your Pay &amp; Benefits'!$C$62&lt;=DATE('Your Pay &amp; Benefits'!$C$10,12,31)),'Your Pay &amp; Benefits'!$C$62,999999),IF(AND('Your Pay &amp; Benefits'!$C$63&gt;MAX($B$6:$B13),'Your Pay &amp; Benefits'!$C$63&gt;=DATE('Your Pay &amp; Benefits'!$C$10,1,1),'Your Pay &amp; Benefits'!$C$63&lt;=DATE('Your Pay &amp; Benefits'!$C$10,12,31)),'Your Pay &amp; Benefits'!$C$63,999999),IF(AND('Your Pay &amp; Benefits'!$C$64&gt;MAX($B$6:$B13),'Your Pay &amp; Benefits'!$C$64&gt;=DATE('Your Pay &amp; Benefits'!$C$10,1,1),'Your Pay &amp; Benefits'!$C$64&lt;=DATE('Your Pay &amp; Benefits'!$C$10,12,31)),'Your Pay &amp; Benefits'!$C$64,999999),IF(AND('Your Pay &amp; Benefits'!$C$65&gt;MAX($B$6:$B13),'Your Pay &amp; Benefits'!$C$65&gt;=DATE('Your Pay &amp; Benefits'!$C$10,1,1),'Your Pay &amp; Benefits'!$C$65&lt;=DATE('Your Pay &amp; Benefits'!$C$10,12,31)),'Your Pay &amp; Benefits'!$C$65,999999),IF(AND('Your Pay &amp; Benefits'!$C$66&gt;MAX($B$6:$B13),'Your Pay &amp; Benefits'!$C$66&gt;=DATE('Your Pay &amp; Benefits'!$C$10,1,1),'Your Pay &amp; Benefits'!$C$66&lt;=DATE('Your Pay &amp; Benefits'!$C$10,12,31)),'Your Pay &amp; Benefits'!$C$66,999999),IF(AND('Your Pay &amp; Benefits'!$C$67&gt;MAX($B$6:$B13),'Your Pay &amp; Benefits'!$C$67&gt;=DATE('Your Pay &amp; Benefits'!$C$10,1,1),'Your Pay &amp; Benefits'!$C$67&lt;=DATE('Your Pay &amp; Benefits'!$C$10,12,31)),'Your Pay &amp; Benefits'!$C$67,999999))=999999,"",MIN(IF(AND('Your Pay &amp; Benefits'!$C$58&gt;MAX($B$6:$B13),'Your Pay &amp; Benefits'!$C$58&gt;=DATE('Your Pay &amp; Benefits'!$C$10,1,1),'Your Pay &amp; Benefits'!$C$58&lt;=DATE('Your Pay &amp; Benefits'!$C$10,12,31)),'Your Pay &amp; Benefits'!$C$58,999999),IF(AND('Your Pay &amp; Benefits'!$C$59&gt;MAX($B$6:$B13),'Your Pay &amp; Benefits'!$C$59&gt;=DATE('Your Pay &amp; Benefits'!$C$10,1,1),'Your Pay &amp; Benefits'!$C$59&lt;=DATE('Your Pay &amp; Benefits'!$C$10,12,31)),'Your Pay &amp; Benefits'!$C$59,999999),IF(AND('Your Pay &amp; Benefits'!$C$60&gt;MAX($B$6:$B13),'Your Pay &amp; Benefits'!$C$60&gt;=DATE('Your Pay &amp; Benefits'!$C$10,1,1),'Your Pay &amp; Benefits'!$C$60&lt;=DATE('Your Pay &amp; Benefits'!$C$10,12,31)),'Your Pay &amp; Benefits'!$C$60,999999),IF(AND('Your Pay &amp; Benefits'!$C$61&gt;MAX($B$6:$B13),'Your Pay &amp; Benefits'!$C$61&gt;=DATE('Your Pay &amp; Benefits'!$C$10,1,1),'Your Pay &amp; Benefits'!$C$61&lt;=DATE('Your Pay &amp; Benefits'!$C$10,12,31)),'Your Pay &amp; Benefits'!$C$61,999999),IF(AND('Your Pay &amp; Benefits'!$C$62&gt;MAX($B$6:$B13),'Your Pay &amp; Benefits'!$C$62&gt;=DATE('Your Pay &amp; Benefits'!$C$10,1,1),'Your Pay &amp; Benefits'!$C$62&lt;=DATE('Your Pay &amp; Benefits'!$C$10,12,31)),'Your Pay &amp; Benefits'!$C$62,999999),IF(AND('Your Pay &amp; Benefits'!$C$63&gt;MAX($B$6:$B13),'Your Pay &amp; Benefits'!$C$63&gt;=DATE('Your Pay &amp; Benefits'!$C$10,1,1),'Your Pay &amp; Benefits'!$C$63&lt;=DATE('Your Pay &amp; Benefits'!$C$10,12,31)),'Your Pay &amp; Benefits'!$C$63,999999),IF(AND('Your Pay &amp; Benefits'!$C$64&gt;MAX($B$6:$B13),'Your Pay &amp; Benefits'!$C$64&gt;=DATE('Your Pay &amp; Benefits'!$C$10,1,1),'Your Pay &amp; Benefits'!$C$64&lt;=DATE('Your Pay &amp; Benefits'!$C$10,12,31)),'Your Pay &amp; Benefits'!$C$64,999999),IF(AND('Your Pay &amp; Benefits'!$C$65&gt;MAX($B$6:$B13),'Your Pay &amp; Benefits'!$C$65&gt;=DATE('Your Pay &amp; Benefits'!$C$10,1,1),'Your Pay &amp; Benefits'!$C$65&lt;=DATE('Your Pay &amp; Benefits'!$C$10,12,31)),'Your Pay &amp; Benefits'!$C$65,999999),IF(AND('Your Pay &amp; Benefits'!$C$66&gt;MAX($B$6:$B13),'Your Pay &amp; Benefits'!$C$66&gt;=DATE('Your Pay &amp; Benefits'!$C$10,1,1),'Your Pay &amp; Benefits'!$C$66&lt;=DATE('Your Pay &amp; Benefits'!$C$10,12,31)),'Your Pay &amp; Benefits'!$C$66,999999),IF(AND('Your Pay &amp; Benefits'!$C$67&gt;MAX($B$6:$B13),'Your Pay &amp; Benefits'!$C$67&gt;=DATE('Your Pay &amp; Benefits'!$C$10,1,1),'Your Pay &amp; Benefits'!$C$67&lt;=DATE('Your Pay &amp; Benefits'!$C$10,12,31)),'Your Pay &amp; Benefits'!$C$67,999999)))</f>
      </c>
      <c r="CF14">
        <f>IF($B14="","",IF($D14=0,$Y14,""))</f>
      </c>
    </row>
    <row r="15">
      <c r="A15" t="n">
        <v>10</v>
      </c>
      <c r="B15" s="21">
        <f>IF(AND($CD15="",$CE15=""),"",IF($CE15="",$CD15,IF($CD15="",$CE15,MIN($CD15,$CE15))))</f>
      </c>
      <c r="C15" s="7">
        <f>IF($B15="","",IF($BF15=0,0,IF('Your Pay &amp; Benefits'!$C$4="Annual salary",ROUND($AK15/IF(AND('Your Pay &amp; Benefits'!$C$88="Actual paydays",MONTH('Your Pay &amp; Benefits'!$C$9)=1),MAX(1,MAX($BE$6:$BE$68)),'Your Pay &amp; Benefits'!$C$8),2),$AK15)))</f>
      </c>
      <c r="D15" s="7">
        <f>IF($B15="","",SUMIF('Your Pay &amp; Benefits'!$C$58:$C$67,$B15,'Your Pay &amp; Benefits'!$D$58:$D$67))</f>
      </c>
      <c r="E15" s="7">
        <f>IF($B15="","",ROUND(MAX(0,MIN(IF($AL15="Percent",$AM15*($C15+$D15),$AM15),MAX(0,'Your Pay &amp; Benefits'!$C$34-$AC14))),2))</f>
      </c>
      <c r="F15" s="7">
        <f>IF($B15="","",ROUND(MAX(0,MIN(IF('Your Pay &amp; Benefits'!$C$32="Percent",'Your Pay &amp; Benefits'!$D$32*($C15+$D15),'Your Pay &amp; Benefits'!$D$32),MAX(0,'Your Pay &amp; Benefits'!$C$34-$AC14-$E15))),2))</f>
      </c>
      <c r="G15" s="7">
        <f>IF($B15="","",IF($BF15=0,0,ROUND(MAX(0,MIN($BL15,'Your Pay &amp; Benefits'!$C$37-'Your Pay &amp; Benefits'!$C$54-$BI14)),2)))</f>
      </c>
      <c r="H15" s="7">
        <f>IF($B15="","",IF(OR($BF15=0,$BQ15=1),0,ROUND(MAX(0,MIN(IF($BS15=1,ROUND(MAX(0,MIN($BJ15,'How This Works &amp; Sources'!$C$13)-$BG14)/MAX(1,MAX($BE$6:$BE$68)-($BE14)),2),ROUND(MIN($BJ15,'How This Works &amp; Sources'!$C$13)/'Your Pay &amp; Benefits'!$C$8,2)),MIN($BJ15,'How This Works &amp; Sources'!$C$13)-$BG14)),2)))</f>
      </c>
      <c r="I15" s="7">
        <f>IF($B15="","",IF(OR($BF15=0,$BR15=1),0,ROUND(MAX(0,MIN(IF($BT15=1,ROUND(MAX(0,MIN($BK15,IF('Your Pay &amp; Benefits'!$C$12="MFJ",'How This Works &amp; Sources'!$C$14,'How This Works &amp; Sources'!$C$15))-$BH14)/MAX(1,MAX($BE$6:$BE$68)-($BE14)),2),ROUND(MIN($BK15,IF('Your Pay &amp; Benefits'!$C$12="MFJ",'How This Works &amp; Sources'!$C$14,'How This Works &amp; Sources'!$C$15))/'Your Pay &amp; Benefits'!$C$8,2)),MIN($BK15,IF('Your Pay &amp; Benefits'!$C$12="MFJ",'How This Works &amp; Sources'!$C$14,'How This Works &amp; Sources'!$C$15))-$BH14)),2)))</f>
      </c>
      <c r="J15" s="7">
        <f>IF($B15="","",IF($BF15=0,0,$BM15))</f>
      </c>
      <c r="K15" s="7">
        <f>IF($B15="","",IF($BF15=0,0,$BN15+$BO15))</f>
      </c>
      <c r="L15" s="7">
        <f>IF($B15="","",IF($BF15=0,0,'Your Pay &amp; Benefits'!$D$46))</f>
      </c>
      <c r="M15" s="7">
        <f>IF($B15="","",$C15+$D15+$L15-$E15-$G15-$H15-$I15-$J15-$K15)</f>
      </c>
      <c r="N15" s="7">
        <f>IF($B15="","",$C15+$D15+$L15-$G15-$H15-$I15-$J15-$K15)</f>
      </c>
      <c r="O15" s="7">
        <f>IF($B15="","",$C15+$D15+$L15-$E15-$H15-$I15-$J15-$K15-IF(OR($AN15="CA",$AN15="NJ"),0,$G15))</f>
      </c>
      <c r="P15" s="7">
        <f>IF($B15="","",IF('Your Pay &amp; Benefits'!$C$18,0,ROUND(MAX(0,IF('Your Pay &amp; Benefits'!$C$13,SUMPRODUCT(($AH15&gt;INDEX('How This Works &amp; Sources'!$B$29:$J$36,0,IF('Your Pay &amp; Benefits'!$C$12="MFJ",1,IF('Your Pay &amp; Benefits'!$C$12="HoH",7,4))))*($AH15-INDEX('How This Works &amp; Sources'!$B$29:$J$36,0,IF('Your Pay &amp; Benefits'!$C$12="MFJ",1,IF('Your Pay &amp; Benefits'!$C$12="HoH",7,4))))*INDEX('How This Works &amp; Sources'!$B$29:$J$36,0,IF('Your Pay &amp; Benefits'!$C$12="MFJ",1,IF('Your Pay &amp; Benefits'!$C$12="HoH",7,4))+2)),SUMPRODUCT(($AH15&gt;INDEX('How This Works &amp; Sources'!$B$19:$J$26,0,IF('Your Pay &amp; Benefits'!$C$12="MFJ",1,IF('Your Pay &amp; Benefits'!$C$12="HoH",7,4))))*($AH15-INDEX('How This Works &amp; Sources'!$B$19:$J$26,0,IF('Your Pay &amp; Benefits'!$C$12="MFJ",1,IF('Your Pay &amp; Benefits'!$C$12="HoH",7,4))))*INDEX('How This Works &amp; Sources'!$B$19:$J$26,0,IF('Your Pay &amp; Benefits'!$C$12="MFJ",1,IF('Your Pay &amp; Benefits'!$C$12="HoH",7,4))+2)))/'Your Pay &amp; Benefits'!$C$8-$AO15/'Your Pay &amp; Benefits'!$C$8)+$AR15+IF('Your Pay &amp; Benefits'!$C$89="Aggregate",MAX(0,IF('Your Pay &amp; Benefits'!$C$13,SUMPRODUCT((($AH15+$D15)&gt;INDEX('How This Works &amp; Sources'!$B$29:$J$36,0,IF('Your Pay &amp; Benefits'!$C$12="MFJ",1,IF('Your Pay &amp; Benefits'!$C$12="HoH",7,4))))*(($AH15+$D15)-INDEX('How This Works &amp; Sources'!$B$29:$J$36,0,IF('Your Pay &amp; Benefits'!$C$12="MFJ",1,IF('Your Pay &amp; Benefits'!$C$12="HoH",7,4))))*INDEX('How This Works &amp; Sources'!$B$29:$J$36,0,IF('Your Pay &amp; Benefits'!$C$12="MFJ",1,IF('Your Pay &amp; Benefits'!$C$12="HoH",7,4))+2)),SUMPRODUCT((($AH15+$D15)&gt;INDEX('How This Works &amp; Sources'!$B$19:$J$26,0,IF('Your Pay &amp; Benefits'!$C$12="MFJ",1,IF('Your Pay &amp; Benefits'!$C$12="HoH",7,4))))*(($AH15+$D15)-INDEX('How This Works &amp; Sources'!$B$19:$J$26,0,IF('Your Pay &amp; Benefits'!$C$12="MFJ",1,IF('Your Pay &amp; Benefits'!$C$12="HoH",7,4))))*INDEX('How This Works &amp; Sources'!$B$19:$J$26,0,IF('Your Pay &amp; Benefits'!$C$12="MFJ",1,IF('Your Pay &amp; Benefits'!$C$12="HoH",7,4))+2)))-IF('Your Pay &amp; Benefits'!$C$13,SUMPRODUCT(($AH15&gt;INDEX('How This Works &amp; Sources'!$B$29:$J$36,0,IF('Your Pay &amp; Benefits'!$C$12="MFJ",1,IF('Your Pay &amp; Benefits'!$C$12="HoH",7,4))))*($AH15-INDEX('How This Works &amp; Sources'!$B$29:$J$36,0,IF('Your Pay &amp; Benefits'!$C$12="MFJ",1,IF('Your Pay &amp; Benefits'!$C$12="HoH",7,4))))*INDEX('How This Works &amp; Sources'!$B$29:$J$36,0,IF('Your Pay &amp; Benefits'!$C$12="MFJ",1,IF('Your Pay &amp; Benefits'!$C$12="HoH",7,4))+2)),SUMPRODUCT(($AH15&gt;INDEX('How This Works &amp; Sources'!$B$19:$J$26,0,IF('Your Pay &amp; Benefits'!$C$12="MFJ",1,IF('Your Pay &amp; Benefits'!$C$12="HoH",7,4))))*($AH15-INDEX('How This Works &amp; Sources'!$B$19:$J$26,0,IF('Your Pay &amp; Benefits'!$C$12="MFJ",1,IF('Your Pay &amp; Benefits'!$C$12="HoH",7,4))))*INDEX('How This Works &amp; Sources'!$B$19:$J$26,0,IF('Your Pay &amp; Benefits'!$C$12="MFJ",1,IF('Your Pay &amp; Benefits'!$C$12="HoH",7,4))+2)))),'How This Works &amp; Sources'!$C$10*$D15),2)))</f>
      </c>
      <c r="Q15" s="7">
        <f>IF($B15="","",ROUND('How This Works &amp; Sources'!$C$4*MIN($N15,MAX(0,'How This Works &amp; Sources'!$C$3-($AX15+$AB14-$AW15))),2))</f>
      </c>
      <c r="R15" s="7">
        <f>IF($B15="","",ROUND('How This Works &amp; Sources'!$C$5*$N15,2))</f>
      </c>
      <c r="S15" s="7">
        <f>IF($B15="","",ROUND('How This Works &amp; Sources'!$C$6*MAX(0,MIN($N15,$AG14+$N15-'How This Works &amp; Sources'!$C$7)),2))</f>
      </c>
      <c r="T15" s="7">
        <f>IF($B15="","",IF('Your Pay &amp; Benefits'!$C$26,0,IF($AN15="CA",ROUND(IF($AI15&lt;=IF(($AS15+$AT15)&gt;=2,VLOOKUP($AN15,StateTables!$A$6:$AB$56,10,FALSE),VLOOKUP($AN15,StateTables!$A$6:$AB$56,9,FALSE)),0,MAX(0,SUMPRODUCT(($AJ15&gt;INDEX('How This Works &amp; Sources'!$B$39:$J$48,0,IF($AU15="Married",4,IF($AU15="Head of household",7,1))))*($AJ15-INDEX('How This Works &amp; Sources'!$B$39:$J$48,0,IF($AU15="Married",4,IF($AU15="Head of household",7,1))))*INDEX('How This Works &amp; Sources'!$B$39:$J$48,0,IF($AU15="Married",4,IF($AU15="Head of household",7,1))+2))-VLOOKUP($AN15,StateTables!$A$6:$AB$56,11,FALSE)*$AS15)/'Your Pay &amp; Benefits'!$C$8)+'Your Pay &amp; Benefits'!$C$25+VLOOKUP($AN15,StateTables!$A$6:$AB$56,13,FALSE)*$D15,2),IF(VLOOKUP($AN15,StateTables!$A$6:$AB$56,4,FALSE)="None",0,IF(ISNUMBER(SEARCH("MANUAL",VLOOKUP($AN15,StateTables!$A$6:$AB$56,5,FALSE))),'Your Pay &amp; Benefits'!$C$28,ROUND(MAX(0,$BA15+$BB15)/'Your Pay &amp; Benefits'!$C$8+'Your Pay &amp; Benefits'!$C$25+$BC15,2))))))</f>
      </c>
      <c r="U15" s="7">
        <f>IF($B15="","",IF(VLOOKUP($AN15,StateTables!$A$6:$AB$56,24,FALSE)="flatq",IF(OR(MONTH($B15)=1,MONTH($B15)=4,MONTH($B15)=7,MONTH($B15)=10),VLOOKUP($AN15,StateTables!$A$6:$AB$56,25,FALSE),0),IF(VLOOKUP($AN15,StateTables!$A$6:$AB$56,24,FALSE)="dbl",MIN(ROUND(0.005*$N15,2),ROUND(0.6*52/'Your Pay &amp; Benefits'!$C$8,2)),IF(OR(VLOOKUP($AN15,StateTables!$A$6:$AB$56,15,FALSE)="",VLOOKUP($AN15,StateTables!$A$6:$AB$56,15,FALSE)=0),0,ROUND(VLOOKUP($AN15,StateTables!$A$6:$AB$56,15,FALSE)*IF(OR(VLOOKUP($AN15,StateTables!$A$6:$AB$56,16,FALSE)="",VLOOKUP($AN15,StateTables!$A$6:$AB$56,16,FALSE)=0),$N15,MIN($N15,MAX(0,VLOOKUP($AN15,StateTables!$A$6:$AB$56,16,FALSE)-($AX15+$AB14-$AW15)))),2))))+IF(VLOOKUP($AN15,StateTables!$A$6:$AB$56,27,FALSE)="flatq",IF(OR(MONTH($B15)=1,MONTH($B15)=4,MONTH($B15)=7,MONTH($B15)=10),VLOOKUP($AN15,StateTables!$A$6:$AB$56,28,FALSE),0),IF(VLOOKUP($AN15,StateTables!$A$6:$AB$56,27,FALSE)="dbl",MIN(ROUND(0.005*$N15,2),ROUND(0.6*52/'Your Pay &amp; Benefits'!$C$8,2)),IF(OR(VLOOKUP($AN15,StateTables!$A$6:$AB$56,18,FALSE)="",VLOOKUP($AN15,StateTables!$A$6:$AB$56,18,FALSE)=0),0,ROUND(VLOOKUP($AN15,StateTables!$A$6:$AB$56,18,FALSE)*IF(OR(VLOOKUP($AN15,StateTables!$A$6:$AB$56,19,FALSE)="",VLOOKUP($AN15,StateTables!$A$6:$AB$56,19,FALSE)=0),$N15,MIN($N15,MAX(0,VLOOKUP($AN15,StateTables!$A$6:$AB$56,19,FALSE)-($AX15+$AB14-$AW15)))),2)))))</f>
      </c>
      <c r="V15" s="7">
        <f>IF($B15="","",IF($AN15="NY",IF('Your Pay &amp; Benefits'!$C$78,ROUND(SUMPRODUCT((MAX(0,($O15-$D15)*'Your Pay &amp; Benefits'!$C$8-(IF($AU15="Married",5500,5000)+1000*$AS15))&gt;INDEX('How This Works &amp; Sources'!$B$184:$J$198,0,4))*(MAX(0,($O15-$D15)*'Your Pay &amp; Benefits'!$C$8-(IF($AU15="Married",5500,5000)+1000*$AS15))-INDEX('How This Works &amp; Sources'!$B$184:$J$198,0,4))*INDEX('How This Works &amp; Sources'!$B$184:$J$198,0,4+2))/'Your Pay &amp; Benefits'!$C$8+0.0425*$D15,2),0)+IF('Your Pay &amp; Benefits'!$C$79="Resident",ROUND(0.1675*$T15,2),IF('Your Pay &amp; Benefits'!$C$79="Nonresident",ROUND(0.005*MAX(0,($O15-$D15)-(IF($AU15="Married",7950,7400)+1000*$AS15)/'Your Pay &amp; Benefits'!$C$8),2),0)),IF($AN15="PA",IF('Your Pay &amp; Benefits'!$C$80="None",'Your Pay &amp; Benefits'!$C$27+ROUND('Your Pay &amp; Benefits'!$C$81*($C15+$D15),2),ROUND(IF('Your Pay &amp; Benefits'!$C$80="Resident",IF($B15&lt;DATE(2026,7,1),0.0374,0.03735),IF($B15&lt;DATE(2026,7,1),0.0343,0.03425))*($C15+$D15),2)),IF($BF15=0,ROUND('Your Pay &amp; Benefits'!$C$81*($C15+$D15),2),'Your Pay &amp; Benefits'!$C$27+ROUND('Your Pay &amp; Benefits'!$C$81*($C15+$D15),2)))))</f>
      </c>
      <c r="W15" s="7">
        <f>IF($B15="","",IF($BF15=0,0,$BP15))</f>
      </c>
      <c r="X15" s="7">
        <f>IF($B15="","",SUM($E15:$K15)+$P15+$Q15+$R15+$S15+$T15+$U15+$V15+$W15)</f>
      </c>
      <c r="Y15" s="22">
        <f>IF($B15="","",$C15+$D15-$X15)</f>
      </c>
      <c r="Z15" s="7">
        <f>IF($B15="","",$Z14+$C15+$D15)</f>
      </c>
      <c r="AA15" s="7">
        <f>IF($B15="","",$AA14+$Y15)</f>
      </c>
      <c r="AB15" s="7">
        <f>IF($B15="","",$AB14+MIN($N15,MAX(0,'How This Works &amp; Sources'!$C$3-($AX15+$AB14-$AW15))))</f>
      </c>
      <c r="AC15" s="7">
        <f>IF($B15="","",$AC14+$E15+$F15)</f>
      </c>
      <c r="AD15" s="3">
        <f>IF($B15="","",IF(AND($AB14&lt;'How This Works &amp; Sources'!$C$3,$AB15&gt;='How This Works &amp; Sources'!$C$3),"★ Social Security maxed on this check — from the next check your net rises by about $"&amp;TEXT(ROUND('How This Works &amp; Sources'!$C$4*$N15,2),"#,##0.00")&amp;". ","")&amp;IF(AND($AC14&lt;'Your Pay &amp; Benefits'!$C$34,$AC15&gt;='Your Pay &amp; Benefits'!$C$34),"★ 401(k) reaches the $"&amp;TEXT('Your Pay &amp; Benefits'!$C$34,"#,##0")&amp;" cap on this check — deferrals stop and net pay rises. ","")&amp;IF(AND($AG14&lt;'How This Works &amp; Sources'!$C$7,$AG15&gt;='How This Works &amp; Sources'!$C$7),"★ Wages pass $200,000 — the 0.9% Additional Medicare Tax starts here. ","")&amp;IF(AND($BJ15&gt;0,$H15&gt;0,$BG14&lt;MIN($BJ15,'How This Works &amp; Sources'!$C$13),$BG14+$H15&gt;=MIN($BJ15,'How This Works &amp; Sources'!$C$13)),"★ Health FSA election is now fully deferred for the year. ",""))</f>
      </c>
      <c r="AE15" s="41" t="n"/>
      <c r="AF15" s="7">
        <f>IF(OR($B15="",$AE15=""),"",$AE15-$Y15)</f>
      </c>
      <c r="AG15" s="7">
        <f>IF($B15="","",$AG14+$N15)</f>
      </c>
      <c r="AH15" s="7">
        <f>IF($B15="","",MAX(0,($M15-$D15)*'Your Pay &amp; Benefits'!$C$8+$AP15-$AQ15-IF('Your Pay &amp; Benefits'!$C$13,0,IF('Your Pay &amp; Benefits'!$C$12="MFJ",'How This Works &amp; Sources'!$C$8,'How This Works &amp; Sources'!$C$9))))</f>
      </c>
      <c r="AI15" s="7">
        <f>IF($B15="","",$O15*'Your Pay &amp; Benefits'!$C$8)</f>
      </c>
      <c r="AJ15" s="7">
        <f>IF($B15="","",MAX(0,$AI15-VLOOKUP($AN15,StateTables!$A$6:$AB$56,12,FALSE)*$AT15-IF(($AS15+$AT15)&gt;=2,VLOOKUP($AN15,StateTables!$A$6:$AB$56,8,FALSE),VLOOKUP($AN15,StateTables!$A$6:$AB$56,7,FALSE))))</f>
      </c>
      <c r="AK15" s="7">
        <f>IF($B15="","",IFERROR(LOOKUP(2,1/(('Changes &amp; Events'!$C$6:$C$17="Salary change")*('Changes &amp; Events'!$B$6:$B$17&lt;=$B15)*('Changes &amp; Events'!$B$6:$B$17&lt;&gt;"")),'Changes &amp; Events'!$D$6:$D$17),IF('Your Pay &amp; Benefits'!$C$4="Annual salary",'Your Pay &amp; Benefits'!$C$5,'Your Pay &amp; Benefits'!$C$6)))</f>
      </c>
      <c r="AL15">
        <f>IF($B15="","",IFERROR(LOOKUP(2,1/(('Changes &amp; Events'!$C$6:$C$17="401(k) change")*('Changes &amp; Events'!$B$6:$B$17&lt;=$B15)*('Changes &amp; Events'!$B$6:$B$17&lt;&gt;"")),'Changes &amp; Events'!$D$6:$D$17),'Your Pay &amp; Benefits'!$C$30))</f>
      </c>
      <c r="AM15" s="7">
        <f>IF($B15="","",IFERROR(LOOKUP(2,1/(('Changes &amp; Events'!$C$6:$C$17="401(k) change")*('Changes &amp; Events'!$B$6:$B$17&lt;=$B15)*('Changes &amp; Events'!$B$6:$B$17&lt;&gt;"")),'Changes &amp; Events'!$E$6:$E$17),'Your Pay &amp; Benefits'!$D$31))</f>
      </c>
      <c r="AN15">
        <f>IF($B15="","",IFERROR(LOOKUP(2,1/(('Changes &amp; Events'!$C$6:$C$17="State move")*('Changes &amp; Events'!$B$6:$B$17&lt;=$B15)*('Changes &amp; Events'!$B$6:$B$17&lt;&gt;"")),'Changes &amp; Events'!$D$6:$D$17),'Your Pay &amp; Benefits'!$C$21))</f>
      </c>
      <c r="AO15" s="7">
        <f>IF($B15="","",IFERROR(LOOKUP(2,1/(('Changes &amp; Events'!$C$6:$C$17="W-4 change")*('Changes &amp; Events'!$B$6:$B$17&lt;=$B15)*('Changes &amp; Events'!$B$6:$B$17&lt;&gt;"")),'Changes &amp; Events'!$D$6:$D$17),'Your Pay &amp; Benefits'!$C$14))</f>
      </c>
      <c r="AP15" s="7">
        <f>IF($B15="","",IFERROR(LOOKUP(2,1/(('Changes &amp; Events'!$C$6:$C$17="W-4 change")*('Changes &amp; Events'!$B$6:$B$17&lt;=$B15)*('Changes &amp; Events'!$B$6:$B$17&lt;&gt;"")),'Changes &amp; Events'!$E$6:$E$17),'Your Pay &amp; Benefits'!$C$15))</f>
      </c>
      <c r="AQ15" s="7">
        <f>IF($B15="","",IFERROR(LOOKUP(2,1/(('Changes &amp; Events'!$C$6:$C$17="W-4 change")*('Changes &amp; Events'!$B$6:$B$17&lt;=$B15)*('Changes &amp; Events'!$B$6:$B$17&lt;&gt;"")),'Changes &amp; Events'!$F$6:$F$17),'Your Pay &amp; Benefits'!$C$16))</f>
      </c>
      <c r="AR15" s="7">
        <f>IF($B15="","",IFERROR(LOOKUP(2,1/(('Changes &amp; Events'!$C$6:$C$17="W-4 change")*('Changes &amp; Events'!$B$6:$B$17&lt;=$B15)*('Changes &amp; Events'!$B$6:$B$17&lt;&gt;"")),'Changes &amp; Events'!$G$6:$G$17),'Your Pay &amp; Benefits'!$C$17))</f>
      </c>
      <c r="AS15" s="6">
        <f>IF($B15="","",IFERROR(LOOKUP(2,1/((('Changes &amp; Events'!$C$6:$C$17="State move")+('Changes &amp; Events'!$C$6:$C$17="State cert change"))*('Changes &amp; Events'!$B$6:$B$17&lt;=$B15)*('Changes &amp; Events'!$B$6:$B$17&lt;&gt;"")),'Changes &amp; Events'!$F$6:$F$17),'Your Pay &amp; Benefits'!$C$23))</f>
      </c>
      <c r="AT15" s="6">
        <f>IF($B15="","",IFERROR(LOOKUP(2,1/((('Changes &amp; Events'!$C$6:$C$17="State move")+('Changes &amp; Events'!$C$6:$C$17="State cert change"))*('Changes &amp; Events'!$B$6:$B$17&lt;=$B15)*('Changes &amp; Events'!$B$6:$B$17&lt;&gt;"")),'Changes &amp; Events'!$G$6:$G$17),'Your Pay &amp; Benefits'!$C$24))</f>
      </c>
      <c r="AU15">
        <f>IF($B15="","",IFERROR(LOOKUP(2,1/(('Changes &amp; Events'!$C$6:$C$17="State move")*('Changes &amp; Events'!$B$6:$B$17&lt;=$B15)*('Changes &amp; Events'!$B$6:$B$17&lt;&gt;"")),'Changes &amp; Events'!$E$6:$E$17),'Your Pay &amp; Benefits'!$C$22))</f>
      </c>
      <c r="AV15" s="6">
        <f>IF($B15="","",1+COUNTIFS('Changes &amp; Events'!$C$6:$C$17,"Employer change",'Changes &amp; Events'!$B$6:$B$17,"&lt;="&amp;$B15,'Changes &amp; Events'!$B$6:$B$17,"&lt;&gt;"))</f>
      </c>
      <c r="AW15" s="7">
        <f>IF($B15="","",IF($AV15=1,'Your Pay &amp; Benefits'!$C$49,IF(IFERROR(MATCH(IFERROR(LOOKUP(2,1/(('Changes &amp; Events'!$C$6:$C$17="Employer change")*('Changes &amp; Events'!$B$6:$B$17&lt;=$B15)*('Changes &amp; Events'!$B$6:$B$17&lt;&gt;"")),'Changes &amp; Events'!$B$6:$B$17),""),$B$6:$B$68,1),1)&lt;=1,'Your Pay &amp; Benefits'!$C$49,INDEX($AB$6:$AB$68,MATCH(IFERROR(LOOKUP(2,1/(('Changes &amp; Events'!$C$6:$C$17="Employer change")*('Changes &amp; Events'!$B$6:$B$17&lt;=$B15)*('Changes &amp; Events'!$B$6:$B$17&lt;&gt;"")),'Changes &amp; Events'!$B$6:$B$17),""),$B$6:$B$68,1)-1))))</f>
      </c>
      <c r="AX15" s="7">
        <f>IF($B15="","",IF($AV15=1,'Your Pay &amp; Benefits'!$C$49,IFERROR(LOOKUP(2,1/(('Changes &amp; Events'!$C$6:$C$17="Employer change")*('Changes &amp; Events'!$B$6:$B$17&lt;=$B15)*('Changes &amp; Events'!$B$6:$B$17&lt;&gt;"")),'Changes &amp; Events'!$D$6:$D$17),0)))</f>
      </c>
      <c r="AY15" s="7">
        <f>IF($B15="","",($O15-$D15)*'Your Pay &amp; Benefits'!$C$8)</f>
      </c>
      <c r="AZ15" s="7">
        <f>IF($B15="","",IF($AN15="AL",MAX(0,$AY15-IF($AU15="Married",IF($AY15&lt;=25999,8500,MAX(5000,8500-175*CEILING(($AY15-25999)/500,1))),IF($AU15="Head of household",IF($AY15&lt;=25999,5200,MAX(2500,5200-135*CEILING(($AY15-25999)/500,1))),IF($AY15&lt;=25999,3000,MAX(2500,3000-25*CEILING(($AY15-25999)/500,1)))))-($P15-'How This Works &amp; Sources'!$C$10*$D15)*'Your Pay &amp; Benefits'!$C$8-IF(OR($AU15="Married",$AU15="Head of household"),3000,1500)-$AT15*IF($AY15&lt;=50000,1000,IF($AY15&lt;=100000,500,300))),IF($AN15="AR",IF(MAX(0,$AY15-2470)&lt;97701,INT(MAX(0,$AY15-2470)/100)*100+50,MAX(0,$AY15-2470)),IF($AN15="DE",MAX(0,$AI15-3250),IF($AN15="HI",MAX(0,$AI15-1144*$AS15-4350),IF($AN15="KS",MAX(0,$AI15-(9160*IF($AU15="Married",2,1)+2320*$AT15+IF($AU15="Head of household",2320,0))),IF($AN15="MD",MAX(0,$AI15-3400-3200*$AS15),IF($AN15="MN",MAX(0,$AY15-5300*$AS15),IF($AN15="MO",MAX(0,$AI15-IF($AU15="Head of household",24150,IF($AU15="Married",IF('Your Pay &amp; Benefits'!$C$83,16100,32200),16100))),IF($AN15="MT",$AY15,IF($AN15="ND",($C15+$L15)*'Your Pay &amp; Benefits'!$C$8,IF($AN15="NE",MAX(0,$AY15-2440*$AS15),IF($AN15="NJ",MAX(0,$AY15-1000*$AS15),IF($AN15="NY",MAX(0,$AY15-(IF($AU15="Married",7950,7400)+1000*$AS15)),IF($AN15="OH",MAX(0,$AY15-650*$AS15),IF($AN15="OK",MAX(0,$AY15-1000*$AS15),IF($AN15="RI",MAX(0,$AI15-1000*$AS15),IF($AN15="SC",MAX(0,$AI15-5000*$AS15-IF($AS15=0,0,MIN(0.1*$AI15,7500))),IF($AN15="VA",MAX(0,$AI15-IF($AU15="Married",17500,8750)-930*$AS15-800*$AT15),IF($AN15="VT",MAX(0,$AI15-5400*$AS15),IF($AN15="WI",MAX(0,$AI15-MAX(0,IF($AU15="Married",9461-0.2*MAX(0,$AI15-25727),6702-0.12*MAX(0,$AI15-17780)))-400*$AS15),IF($AN15="WV",MAX(0,$AI15-2000*$AS15),$AI15))))))))))))))))))))))</f>
      </c>
      <c r="BA15" s="7">
        <f>IF($B15="","",IF($BW15&lt;&gt;"",$BW15,IF($BX15&lt;&gt;"",$BX15,IF($BY15&lt;&gt;"",$BY15,0))))</f>
      </c>
      <c r="BB15" s="7">
        <f>IF($B15="","",IF($AN15="AR",-29*$AS15,IF($AN15="DE",-110*$AS15,IF($AN15="MD",$AZ15*'Your Pay &amp; Benefits'!$C$74,IF($AN15="AZ",'Your Pay &amp; Benefits'!$C$82*($M15-$D15)*'Your Pay &amp; Benefits'!$C$8,IF($AN15="CO",0.044*MAX(0,$AY15-IF($AU15="Married",10000,5000)),IF($AN15="IA",MAX(0,0.038*MAX(0,$AY15-IF($AU15="Head of household",19500,IF($AU15="Married",26000,13000)))-40*$AS15),IF($AN15="ID",0.053*MAX(0,$AY15-IF($AU15="Married",32000,16094)),IF($AN15="IL",0.0495*MAX(0,$AY15-(2925*$AS15+1000*$AT15)),IF($AN15="IN",(0.0295+'Your Pay &amp; Benefits'!$C$76)*MAX(0,$AY15-(1000*$AS15+1500*$AT15+3000*'Your Pay &amp; Benefits'!$C$86)),IF($AN15="KY",0.035*MAX(0,$AI15-3360),IF($AN15="LA",IF('Your Pay &amp; Benefits'!$C$84="0",0.0309*$AI15,0.0309*MAX(0,$AI15-IF('Your Pay &amp; Benefits'!$C$84="2",25750,12875))),IF($AN15="MA",0.05*MIN(MAX(0,$AY15-MIN(($BD14+$Q15+$R15+$S15),2000)-IF($AS15=0,0,IF($AS15=1,4400,1000*$AS15+3400))),1107750)+0.09*MAX(0,MAX(0,$AY15-MIN(($BD14+$Q15+$R15+$S15),2000)-IF($AS15=0,0,IF($AS15=1,4400,1000*$AS15+3400)))-1107750)-IF($AU15="Head of household",120,0)-110*'Your Pay &amp; Benefits'!$C$75,IF($AN15="MI",0.0425*MAX(0,$AY15-5900*$AS15),IF($AN15="MS",0.04*MAX(0,$AI15-IF($AU15="Head of household",3400,IF($AU15="Married",4600,2300))-'Your Pay &amp; Benefits'!$C$85-10000),IF($AN15="OR",IF(OR($AU15="Married",AND($AU15="Single",$AS15&gt;=3)),SUMPRODUCT((MAX(0,$AY15-MIN(($P15-'How This Works &amp; Sources'!$C$10*$D15)*'Your Pay &amp; Benefits'!$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Sources'!$B$211:$J$214,0,4))*(MAX(0,$AY15-MIN(($P15-'How This Works &amp; Sources'!$C$10*$D15)*'Your Pay &amp; Benefits'!$C$8,IF(OR($AU15="Married",AND($AU15="Single",$AS15&gt;=3)),IF($AY15&lt;250000,8750,IF($AY15&lt;260000,7000,IF($AY15&lt;270000,5250,IF($AY15&lt;280000,3500,IF($AY15&lt;290000,1750,0))))),IF($AY15&lt;125000,8750,IF($AY15&lt;130000,7000,IF($AY15&lt;135000,5250,IF($AY15&lt;140000,3500,IF($AY15&lt;145000,1750,0)))))))-IF(OR($AU15="Married",AND($AU15="Single",$AS15&gt;=3)),5820,2910))-INDEX('How This Works &amp; Sources'!$B$211:$J$214,0,4))*INDEX('How This Works &amp; Sources'!$B$211:$J$214,0,4+2)),SUMPRODUCT((MAX(0,$AY15-MIN(($P15-'How This Works &amp; Sources'!$C$10*$D15)*'Your Pay &amp; Benefits'!$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Sources'!$B$211:$J$214,0,1))*(MAX(0,$AY15-MIN(($P15-'How This Works &amp; Sources'!$C$10*$D15)*'Your Pay &amp; Benefits'!$C$8,IF(OR($AU15="Married",AND($AU15="Single",$AS15&gt;=3)),IF($AY15&lt;250000,8750,IF($AY15&lt;260000,7000,IF($AY15&lt;270000,5250,IF($AY15&lt;280000,3500,IF($AY15&lt;290000,1750,0))))),IF($AY15&lt;125000,8750,IF($AY15&lt;130000,7000,IF($AY15&lt;135000,5250,IF($AY15&lt;140000,3500,IF($AY15&lt;145000,1750,0)))))))-IF(OR($AU15="Married",AND($AU15="Single",$AS15&gt;=3)),5820,2910))-INDEX('How This Works &amp; Sources'!$B$211:$J$214,0,1))*INDEX('How This Works &amp; Sources'!$B$211:$J$214,0,1+2)))+263-263*IF(IF($AU15="Married",$AY15&gt;200000,$AY15&gt;100000),0,$AS15),IF($AN15="PA",0.0307*(($O15+$E15+$G15)*'Your Pay &amp; Benefits'!$C$8),IF($AN15="NY",IF($AU15="Married",IF($AZ15&gt;=2155350,0,IF($AZ15&gt;=1077550,0.48,IF($AZ15&gt;=373200,1.21,IF($AZ15&gt;=323200,0.21,IF($AZ15&gt;=211550,-0.19,IF($AZ15&gt;=157650,-2.8,IF($AZ15&gt;=107650,-0.8,IF($AZ15&gt;=96800,0.05,IF($AZ15&gt;=80650,-0.1,IF($AZ15&gt;=13900,0.4,IF($AZ15&gt;=11700,-0.3,IF($AZ15&gt;=8500,0.5,0)))))))))))),IF($AZ15&gt;=1077550,0,IF($AZ15&gt;=265400,4.29,IF($AZ15&gt;=215400,2.29,IF($AZ15&gt;=157650,2.29,IF($AZ15&gt;=107650,0.29,IF($AZ15&gt;=96800,0.05,IF($AZ15&gt;=80650,-0.1,IF($AZ15&gt;=13900,0.4,IF($AZ15&gt;=11700,-0.3,IF($AZ15&gt;=8500,0.5,0))))))))))),0))))))))))))))))))</f>
      </c>
      <c r="BC15" s="7">
        <f>IF($B15="","",IF($AN15="AL",0.05*$D15,IF($AN15="AR",0.039*$D15,IF($AN15="ID",0.053*$D15,IF($AN15="IN",(0.0295+'Your Pay &amp; Benefits'!$C$76)*$D15,IF($AN15="KS",0.05*$D15,IF($AN15="MA",0.09*MIN($D15,MAX(0,MAX(0,$AY15-MIN(($BD14+$Q15+$R15+$S15),2000)-IF($AS15=0,0,IF($AS15=1,4400,1000*$AS15+3400)))+$D15-1107750))+0.05*($D15-MIN($D15,MAX(0,MAX(0,$AY15-MIN(($BD14+$Q15+$R15+$S15),2000)-IF($AS15=0,0,IF($AS15=1,4400,1000*$AS15+3400)))+$D15-1107750))),IF($AN15="MD",(0.065+'Your Pay &amp; Benefits'!$C$74)*$D15,IF($AN15="MI",0.0425*$D15,IF($AN15="MN",0.0625*$D15,IF($AN15="MO",0.047*$D15,IF($AN15="MT",0.05*$D15,IF($AN15="ND",0.015*$D15,IF($AN15="NE",0.035*$D15,IF($AN15="NJ",IF('Your Pay &amp; Benefits'!$C$77="B",SUMPRODUCT(($D15*'Your Pay &amp; Benefits'!$C$8&gt;INDEX('How This Works &amp; Sources'!$B$155:$J$162,0,4))*($D15*'Your Pay &amp; Benefits'!$C$8-INDEX('How This Works &amp; Sources'!$B$155:$J$162,0,4))*INDEX('How This Works &amp; Sources'!$B$155:$J$162,0,4+2)),IF('Your Pay &amp; Benefits'!$C$77="C",SUMPRODUCT(($D15*'Your Pay &amp; Benefits'!$C$8&gt;INDEX('How This Works &amp; Sources'!$B$155:$J$162,0,7))*($D15*'Your Pay &amp; Benefits'!$C$8-INDEX('How This Works &amp; Sources'!$B$155:$J$162,0,7))*INDEX('How This Works &amp; Sources'!$B$155:$J$162,0,7+2)),IF('Your Pay &amp; Benefits'!$C$77="D",SUMPRODUCT(($D15*'Your Pay &amp; Benefits'!$C$8&gt;INDEX('How This Works &amp; Sources'!$B$167:$J$179,0,1))*($D15*'Your Pay &amp; Benefits'!$C$8-INDEX('How This Works &amp; Sources'!$B$167:$J$179,0,1))*INDEX('How This Works &amp; Sources'!$B$167:$J$179,0,1+2)),IF('Your Pay &amp; Benefits'!$C$77="E",SUMPRODUCT(($D15*'Your Pay &amp; Benefits'!$C$8&gt;INDEX('How This Works &amp; Sources'!$B$167:$J$179,0,4))*($D15*'Your Pay &amp; Benefits'!$C$8-INDEX('How This Works &amp; Sources'!$B$167:$J$179,0,4))*INDEX('How This Works &amp; Sources'!$B$167:$J$179,0,4+2)),SUMPRODUCT(($D15*'Your Pay &amp; Benefits'!$C$8&gt;INDEX('How This Works &amp; Sources'!$B$155:$J$162,0,1))*($D15*'Your Pay &amp; Benefits'!$C$8-INDEX('How This Works &amp; Sources'!$B$155:$J$162,0,1))*INDEX('How This Works &amp; Sources'!$B$155:$J$162,0,1+2))))))/'Your Pay &amp; Benefits'!$C$8,IF($AN15="NY",0.117*$D15,IF($AN15="OH",0.0275*$D15,IF($AN15="OK",0.045*$D15,IF($AN15="OR",0.08*$D15,IF($AN15="WI",IF($AY15&lt;12760,0.0354,IF($AY15&lt;25520,0.0465,IF($AY15&lt;280950,0.053,0.0765)))*$D15,0))))))))))))))))))))</f>
      </c>
      <c r="BD15" s="7">
        <f>IF($B15="","",$BD14+$Q15+$R15+$S15)</f>
      </c>
      <c r="BE15" s="6">
        <f>IF($B15="",$BE14,$BE14+$BF15)</f>
      </c>
      <c r="BF15" s="6">
        <f>IF($B15="","",IF(AND(IF(YEAR(IF('Your Pay &amp; Benefits'!$C$7="Weekly",'Your Pay &amp; Benefits'!$C$9+7*(($BE14+1)-1),IF('Your Pay &amp; Benefits'!$C$7="Biweekly",'Your Pay &amp; Benefits'!$C$9+14*(($BE14+1)-1),IF('Your Pay &amp; Benefits'!$C$7="Semimonthly",DATE(YEAR('Your Pay &amp; Benefits'!$C$9),MONTH('Your Pay &amp; Benefits'!$C$9)+INT((($BE14+1)-1)/2),MIN(DAY('Your Pay &amp; Benefits'!$C$9),DAY(EOMONTH(DATE(YEAR('Your Pay &amp; Benefits'!$C$9),MONTH('Your Pay &amp; Benefits'!$C$9)+INT((($BE14+1)-1)/2),1),0))))+IF(MOD(($BE14+1)-1,2)=1,15,0),EDATE('Your Pay &amp; Benefits'!$C$9,($BE14+1)-1)))))&lt;&gt;'Your Pay &amp; Benefits'!$C$10,"",IF('Your Pay &amp; Benefits'!$C$7="Weekly",'Your Pay &amp; Benefits'!$C$9+7*(($BE14+1)-1),IF('Your Pay &amp; Benefits'!$C$7="Biweekly",'Your Pay &amp; Benefits'!$C$9+14*(($BE14+1)-1),IF('Your Pay &amp; Benefits'!$C$7="Semimonthly",DATE(YEAR('Your Pay &amp; Benefits'!$C$9),MONTH('Your Pay &amp; Benefits'!$C$9)+INT((($BE14+1)-1)/2),MIN(DAY('Your Pay &amp; Benefits'!$C$9),DAY(EOMONTH(DATE(YEAR('Your Pay &amp; Benefits'!$C$9),MONTH('Your Pay &amp; Benefits'!$C$9)+INT((($BE14+1)-1)/2),1),0))))+IF(MOD(($BE14+1)-1,2)=1,15,0),EDATE('Your Pay &amp; Benefits'!$C$9,($BE14+1)-1)))))&lt;&gt;"",$B15=IF(YEAR(IF('Your Pay &amp; Benefits'!$C$7="Weekly",'Your Pay &amp; Benefits'!$C$9+7*(($BE14+1)-1),IF('Your Pay &amp; Benefits'!$C$7="Biweekly",'Your Pay &amp; Benefits'!$C$9+14*(($BE14+1)-1),IF('Your Pay &amp; Benefits'!$C$7="Semimonthly",DATE(YEAR('Your Pay &amp; Benefits'!$C$9),MONTH('Your Pay &amp; Benefits'!$C$9)+INT((($BE14+1)-1)/2),MIN(DAY('Your Pay &amp; Benefits'!$C$9),DAY(EOMONTH(DATE(YEAR('Your Pay &amp; Benefits'!$C$9),MONTH('Your Pay &amp; Benefits'!$C$9)+INT((($BE14+1)-1)/2),1),0))))+IF(MOD(($BE14+1)-1,2)=1,15,0),EDATE('Your Pay &amp; Benefits'!$C$9,($BE14+1)-1)))))&lt;&gt;'Your Pay &amp; Benefits'!$C$10,"",IF('Your Pay &amp; Benefits'!$C$7="Weekly",'Your Pay &amp; Benefits'!$C$9+7*(($BE14+1)-1),IF('Your Pay &amp; Benefits'!$C$7="Biweekly",'Your Pay &amp; Benefits'!$C$9+14*(($BE14+1)-1),IF('Your Pay &amp; Benefits'!$C$7="Semimonthly",DATE(YEAR('Your Pay &amp; Benefits'!$C$9),MONTH('Your Pay &amp; Benefits'!$C$9)+INT((($BE14+1)-1)/2),MIN(DAY('Your Pay &amp; Benefits'!$C$9),DAY(EOMONTH(DATE(YEAR('Your Pay &amp; Benefits'!$C$9),MONTH('Your Pay &amp; Benefits'!$C$9)+INT((($BE14+1)-1)/2),1),0))))+IF(MOD(($BE14+1)-1,2)=1,15,0),EDATE('Your Pay &amp; Benefits'!$C$9,($BE14+1)-1)))))),1,0))</f>
      </c>
      <c r="BG15" s="7">
        <f>IF($B15="","",$BG14+$H15)</f>
      </c>
      <c r="BH15" s="7">
        <f>IF($B15="","",$BH14+$I15)</f>
      </c>
      <c r="BI15" s="7">
        <f>IF($B15="","",$BI14+$G15)</f>
      </c>
      <c r="BJ15" s="7">
        <f>IF($B15="","",IFERROR(LOOKUP(2,1/(((('Changes &amp; Events'!$C$6:$C$17="Deduction start"))*('Changes &amp; Events'!$D$6:$D$17="Health FSA"))*('Changes &amp; Events'!$B$6:$B$17&lt;=$B15)*('Changes &amp; Events'!$B$6:$B$17&lt;&gt;"")),'Changes &amp; Events'!$E$6:$E$17),'Your Pay &amp; Benefits'!$D$38))</f>
      </c>
      <c r="BK15" s="7">
        <f>IF($B15="","",IFERROR(LOOKUP(2,1/(((('Changes &amp; Events'!$C$6:$C$17="Deduction start"))*('Changes &amp; Events'!$D$6:$D$17="Dependent-care FSA"))*('Changes &amp; Events'!$B$6:$B$17&lt;=$B15)*('Changes &amp; Events'!$B$6:$B$17&lt;&gt;"")),'Changes &amp; Events'!$E$6:$E$17),'Your Pay &amp; Benefits'!$D$39))</f>
      </c>
      <c r="BL15" s="7">
        <f>IF($B15="","",IFERROR(LOOKUP(2,1/(((('Changes &amp; Events'!$C$6:$C$17="Deduction start")+('Changes &amp; Events'!$C$6:$C$17="Deduction stop"))*('Changes &amp; Events'!$D$6:$D$17="HSA"))*('Changes &amp; Events'!$B$6:$B$17&lt;=$B15)*('Changes &amp; Events'!$B$6:$B$17&lt;&gt;"")),'Changes &amp; Events'!$I$6:$I$17),'Your Pay &amp; Benefits'!$D$35))</f>
      </c>
      <c r="BM15" s="7">
        <f>IF($B15="","",IFERROR(LOOKUP(2,1/(((('Changes &amp; Events'!$C$6:$C$17="Deduction start")+('Changes &amp; Events'!$C$6:$C$17="Deduction stop"))*('Changes &amp; Events'!$D$6:$D$17="Premiums"))*('Changes &amp; Events'!$B$6:$B$17&lt;=$B15)*('Changes &amp; Events'!$B$6:$B$17&lt;&gt;"")),'Changes &amp; Events'!$I$6:$I$17),'Your Pay &amp; Benefits'!$D$40+'Your Pay &amp; Benefits'!$D$41+'Your Pay &amp; Benefits'!$D$42))</f>
      </c>
      <c r="BN15" s="7">
        <f>IF($B15="","",IFERROR(LOOKUP(2,1/(((('Changes &amp; Events'!$C$6:$C$17="Deduction start")+('Changes &amp; Events'!$C$6:$C$17="Deduction stop"))*('Changes &amp; Events'!$D$6:$D$17="Commuter"))*('Changes &amp; Events'!$B$6:$B$17&lt;=$B15)*('Changes &amp; Events'!$B$6:$B$17&lt;&gt;"")),'Changes &amp; Events'!$I$6:$I$17),'Your Pay &amp; Benefits'!$D$43))</f>
      </c>
      <c r="BO15" s="7">
        <f>IF($B15="","",IFERROR(LOOKUP(2,1/(((('Changes &amp; Events'!$C$6:$C$17="Deduction start")+('Changes &amp; Events'!$C$6:$C$17="Deduction stop"))*('Changes &amp; Events'!$D$6:$D$17="Other pre-tax"))*('Changes &amp; Events'!$B$6:$B$17&lt;=$B15)*('Changes &amp; Events'!$B$6:$B$17&lt;&gt;"")),'Changes &amp; Events'!$I$6:$I$17),'Your Pay &amp; Benefits'!$D$44))</f>
      </c>
      <c r="BP15" s="7">
        <f>IF($B15="","",IFERROR(LOOKUP(2,1/(((('Changes &amp; Events'!$C$6:$C$17="Deduction start")+('Changes &amp; Events'!$C$6:$C$17="Deduction stop"))*('Changes &amp; Events'!$D$6:$D$17="Other post-tax"))*('Changes &amp; Events'!$B$6:$B$17&lt;=$B15)*('Changes &amp; Events'!$B$6:$B$17&lt;&gt;"")),'Changes &amp; Events'!$I$6:$I$17),'Your Pay &amp; Benefits'!$D$45))</f>
      </c>
      <c r="BQ15" s="6">
        <f>IF($B15="","",IFERROR(LOOKUP(2,1/(((('Changes &amp; Events'!$C$6:$C$17="Deduction start")+('Changes &amp; Events'!$C$6:$C$17="Deduction stop"))*('Changes &amp; Events'!$D$6:$D$17="Health FSA"))*('Changes &amp; Events'!$B$6:$B$17&lt;=$B15)*('Changes &amp; Events'!$B$6:$B$17&lt;&gt;"")),'Changes &amp; Events'!$J$6:$J$17),0))</f>
      </c>
      <c r="BR15" s="6">
        <f>IF($B15="","",IFERROR(LOOKUP(2,1/(((('Changes &amp; Events'!$C$6:$C$17="Deduction start")+('Changes &amp; Events'!$C$6:$C$17="Deduction stop"))*('Changes &amp; Events'!$D$6:$D$17="Dependent-care FSA"))*('Changes &amp; Events'!$B$6:$B$17&lt;=$B15)*('Changes &amp; Events'!$B$6:$B$17&lt;&gt;"")),'Changes &amp; Events'!$J$6:$J$17),0))</f>
      </c>
      <c r="BS15" s="6">
        <f>IF($B15="","",IF(SUMPRODUCT(('Changes &amp; Events'!$C$6:$C$17="Deduction start")*('Changes &amp; Events'!$B$6:$B$17&lt;=$B15)*('Changes &amp; Events'!$B$6:$B$17&lt;&gt;"")*('Changes &amp; Events'!$D$6:$D$17="Health FSA"))&gt;0,1,0))</f>
      </c>
      <c r="BT15" s="6">
        <f>IF($B15="","",IF(SUMPRODUCT(('Changes &amp; Events'!$C$6:$C$17="Deduction start")*('Changes &amp; Events'!$B$6:$B$17&lt;=$B15)*('Changes &amp; Events'!$B$6:$B$17&lt;&gt;"")*('Changes &amp; Events'!$D$6:$D$17="Dependent-care FSA"))&gt;0,1,0))</f>
      </c>
      <c r="BU15" s="24">
        <f>IF($B15="","",IF('Your Pay &amp; Benefits'!$C$13,SUMPRODUCT(($AH15&gt;=INDEX('How This Works &amp; Sources'!$B$29:$J$36,0,IF('Your Pay &amp; Benefits'!$C$12="MFJ",1,IF('Your Pay &amp; Benefits'!$C$12="HoH",7,4))))*INDEX('How This Works &amp; Sources'!$B$29:$J$36,0,IF('Your Pay &amp; Benefits'!$C$12="MFJ",1,IF('Your Pay &amp; Benefits'!$C$12="HoH",7,4))+2)),SUMPRODUCT(($AH15&gt;=INDEX('How This Works &amp; Sources'!$B$19:$J$26,0,IF('Your Pay &amp; Benefits'!$C$12="MFJ",1,IF('Your Pay &amp; Benefits'!$C$12="HoH",7,4))))*INDEX('How This Works &amp; Sources'!$B$19:$J$26,0,IF('Your Pay &amp; Benefits'!$C$12="MFJ",1,IF('Your Pay &amp; Benefits'!$C$12="HoH",7,4))+2))))</f>
      </c>
      <c r="BV15" s="24">
        <f>IF($B15="","",IF($BZ15&lt;&gt;"",$BZ15,IF($CA15&lt;&gt;"",$CA15,IF($CB15&lt;&gt;"",$CB15,IF($CC15&lt;&gt;"",$CC15,0)))))</f>
      </c>
      <c r="BW15" s="7">
        <f>IF($B15="","",IF($AN15="MD",IF(OR($AU15="Married",$AU15="Head of household"),SUMPRODUCT(($AZ15&gt;INDEX('How This Works &amp; Sources'!$B$114:$J$120,0,1))*($AZ15-INDEX('How This Works &amp; Sources'!$B$114:$J$120,0,1))*INDEX('How This Works &amp; Sources'!$B$114:$J$120,0,1+2)),SUMPRODUCT(($AZ15&gt;INDEX('How This Works &amp; Sources'!$B$103:$J$109,0,7))*($AZ15-INDEX('How This Works &amp; Sources'!$B$103:$J$109,0,7))*INDEX('How This Works &amp; Sources'!$B$103:$J$109,0,7+2))),IF($AN15="MO",SUMPRODUCT(($AZ15&gt;INDEX('How This Works &amp; Sources'!$B$125:$J$132,0,1))*($AZ15-INDEX('How This Works &amp; Sources'!$B$125:$J$132,0,1))*INDEX('How This Works &amp; Sources'!$B$125:$J$132,0,1+2)),IF($AN15="MT",IF($AU15="Head of household",SUMPRODUCT(($AZ15&gt;INDEX('How This Works &amp; Sources'!$B$137:$J$139,0,1))*($AZ15-INDEX('How This Works &amp; Sources'!$B$137:$J$139,0,1))*INDEX('How This Works &amp; Sources'!$B$137:$J$139,0,1+2)),IF($AU15="Married",SUMPRODUCT(($AZ15&gt;INDEX('How This Works &amp; Sources'!$B$125:$J$132,0,7))*($AZ15-INDEX('How This Works &amp; Sources'!$B$125:$J$132,0,7))*INDEX('How This Works &amp; Sources'!$B$125:$J$132,0,7+2)),SUMPRODUCT(($AZ15&gt;INDEX('How This Works &amp; Sources'!$B$125:$J$132,0,4))*($AZ15-INDEX('How This Works &amp; Sources'!$B$125:$J$132,0,4))*INDEX('How This Works &amp; Sources'!$B$125:$J$132,0,4+2)))),IF($AN15="ND",IF($AU15="Head of household",SUMPRODUCT(($AZ15&gt;INDEX('How This Works &amp; Sources'!$B$144:$J$150,0,1))*($AZ15-INDEX('How This Works &amp; Sources'!$B$144:$J$150,0,1))*INDEX('How This Works &amp; Sources'!$B$144:$J$150,0,1+2)),IF($AU15="Married",SUMPRODUCT(($AZ15&gt;INDEX('How This Works &amp; Sources'!$B$137:$J$139,0,7))*($AZ15-INDEX('How This Works &amp; Sources'!$B$137:$J$139,0,7))*INDEX('How This Works &amp; Sources'!$B$137:$J$139,0,7+2)),SUMPRODUCT(($AZ15&gt;INDEX('How This Works &amp; Sources'!$B$137:$J$139,0,4))*($AZ15-INDEX('How This Works &amp; Sources'!$B$137:$J$139,0,4))*INDEX('How This Works &amp; Sources'!$B$137:$J$139,0,4+2)))),IF($AN15="NJ",IF('Your Pay &amp; Benefits'!$C$77="B",SUMPRODUCT(($AZ15&gt;INDEX('How This Works &amp; Sources'!$B$155:$J$162,0,4))*($AZ15-INDEX('How This Works &amp; Sources'!$B$155:$J$162,0,4))*INDEX('How This Works &amp; Sources'!$B$155:$J$162,0,4+2)),IF('Your Pay &amp; Benefits'!$C$77="C",SUMPRODUCT(($AZ15&gt;INDEX('How This Works &amp; Sources'!$B$155:$J$162,0,7))*($AZ15-INDEX('How This Works &amp; Sources'!$B$155:$J$162,0,7))*INDEX('How This Works &amp; Sources'!$B$155:$J$162,0,7+2)),IF('Your Pay &amp; Benefits'!$C$77="D",SUMPRODUCT(($AZ15&gt;INDEX('How This Works &amp; Sources'!$B$167:$J$179,0,1))*($AZ15-INDEX('How This Works &amp; Sources'!$B$167:$J$179,0,1))*INDEX('How This Works &amp; Sources'!$B$167:$J$179,0,1+2)),IF('Your Pay &amp; Benefits'!$C$77="E",SUMPRODUCT(($AZ15&gt;INDEX('How This Works &amp; Sources'!$B$167:$J$179,0,4))*($AZ15-INDEX('How This Works &amp; Sources'!$B$167:$J$179,0,4))*INDEX('How This Works &amp; Sources'!$B$167:$J$179,0,4+2)),SUMPRODUCT(($AZ15&gt;INDEX('How This Works &amp; Sources'!$B$155:$J$162,0,1))*($AZ15-INDEX('How This Works &amp; Sources'!$B$155:$J$162,0,1))*INDEX('How This Works &amp; Sources'!$B$155:$J$162,0,1+2)))))),IF($AN15="NY",IF($AU15="Married",IF($AZ15&gt;=2155350,$AZ15*IF($AZ15&gt;25000000,0.117,IF($AZ15&gt;5000000,0.111,0.1045)),SUMPRODUCT(($AZ15&gt;INDEX('How This Works &amp; Sources'!$B$184:$J$198,0,1))*($AZ15-INDEX('How This Works &amp; Sources'!$B$184:$J$198,0,1))*INDEX('How This Works &amp; Sources'!$B$184:$J$198,0,1+2))),IF($AZ15&gt;=1077550,$AZ15*IF($AZ15&gt;25000000,0.117,IF($AZ15&gt;5000000,0.111,0.1045)),SUMPRODUCT(($AZ15&gt;INDEX('How This Works &amp; Sources'!$B$167:$J$179,0,7))*($AZ15-INDEX('How This Works &amp; Sources'!$B$167:$J$179,0,7))*INDEX('How This Works &amp; Sources'!$B$167:$J$179,0,7+2)))),"")))))))</f>
      </c>
      <c r="BX15" s="7">
        <f>IF($B15="","",IF($AN15="AL",IF(OR($AU15="Married",$AU15="Head of household"),SUMPRODUCT(($AZ15&gt;INDEX('How This Works &amp; Sources'!$B$82:$J$86,0,4))*($AZ15-INDEX('How This Works &amp; Sources'!$B$82:$J$86,0,4))*INDEX('How This Works &amp; Sources'!$B$82:$J$86,0,4+2)),SUMPRODUCT(($AZ15&gt;INDEX('How This Works &amp; Sources'!$B$82:$J$86,0,1))*($AZ15-INDEX('How This Works &amp; Sources'!$B$82:$J$86,0,1))*INDEX('How This Works &amp; Sources'!$B$82:$J$86,0,1+2))),IF($AN15="KS",IF($AU15="Married",SUMPRODUCT(($AZ15&gt;INDEX('How This Works &amp; Sources'!$B$103:$J$109,0,4))*($AZ15-INDEX('How This Works &amp; Sources'!$B$103:$J$109,0,4))*INDEX('How This Works &amp; Sources'!$B$103:$J$109,0,4+2)),SUMPRODUCT(($AZ15&gt;INDEX('How This Works &amp; Sources'!$B$103:$J$109,0,1))*($AZ15-INDEX('How This Works &amp; Sources'!$B$103:$J$109,0,1))*INDEX('How This Works &amp; Sources'!$B$103:$J$109,0,1+2))),IF($AN15="MN",IF($AU15="Married",SUMPRODUCT(($AZ15&gt;INDEX('How This Works &amp; Sources'!$B$114:$J$120,0,7))*($AZ15-INDEX('How This Works &amp; Sources'!$B$114:$J$120,0,7))*INDEX('How This Works &amp; Sources'!$B$114:$J$120,0,7+2)),SUMPRODUCT(($AZ15&gt;INDEX('How This Works &amp; Sources'!$B$114:$J$120,0,4))*($AZ15-INDEX('How This Works &amp; Sources'!$B$114:$J$120,0,4))*INDEX('How This Works &amp; Sources'!$B$114:$J$120,0,4+2))),IF($AN15="NE",MAX(IF($AU15="Married",SUMPRODUCT(($AZ15&gt;INDEX('How This Works &amp; Sources'!$B$144:$J$150,0,7))*($AZ15-INDEX('How This Works &amp; Sources'!$B$144:$J$150,0,7))*INDEX('How This Works &amp; Sources'!$B$144:$J$150,0,7+2)),SUMPRODUCT(($AZ15&gt;INDEX('How This Works &amp; Sources'!$B$144:$J$150,0,4))*($AZ15-INDEX('How This Works &amp; Sources'!$B$144:$J$150,0,4))*INDEX('How This Works &amp; Sources'!$B$144:$J$150,0,4+2))),0.015*$AZ15),IF($AN15="OH",IF($B15&gt;=DATE(2026,8,1),SUMPRODUCT(($AZ15&gt;INDEX('How This Works &amp; Sources'!$B$203:$J$206,0,1))*($AZ15-INDEX('How This Works &amp; Sources'!$B$203:$J$206,0,1))*INDEX('How This Works &amp; Sources'!$B$203:$J$206,0,1+2)),SUMPRODUCT(($AZ15&gt;INDEX('How This Works &amp; Sources'!$B$184:$J$198,0,7))*($AZ15-INDEX('How This Works &amp; Sources'!$B$184:$J$198,0,7))*INDEX('How This Works &amp; Sources'!$B$184:$J$198,0,7+2))),IF($AN15="OK",IF($AU15="Married",SUMPRODUCT(($AZ15&gt;INDEX('How This Works &amp; Sources'!$B$203:$J$206,0,7))*($AZ15-INDEX('How This Works &amp; Sources'!$B$203:$J$206,0,7))*INDEX('How This Works &amp; Sources'!$B$203:$J$206,0,7+2)),SUMPRODUCT(($AZ15&gt;INDEX('How This Works &amp; Sources'!$B$203:$J$206,0,4))*($AZ15-INDEX('How This Works &amp; Sources'!$B$203:$J$206,0,4))*INDEX('How This Works &amp; Sources'!$B$203:$J$206,0,4+2))),IF($AN15="RI",SUMPRODUCT(($AZ15&gt;INDEX('How This Works &amp; Sources'!$B$211:$J$214,0,7))*($AZ15-INDEX('How This Works &amp; Sources'!$B$211:$J$214,0,7))*INDEX('How This Works &amp; Sources'!$B$211:$J$214,0,7+2)),IF($AN15="VT",IF($AU15="Married",SUMPRODUCT(($AZ15&gt;INDEX('How This Works &amp; Sources'!$B$228:$J$232,0,1))*($AZ15-INDEX('How This Works &amp; Sources'!$B$228:$J$232,0,1))*INDEX('How This Works &amp; Sources'!$B$228:$J$232,0,1+2)),SUMPRODUCT(($AZ15&gt;INDEX('How This Works &amp; Sources'!$B$219:$J$223,0,7))*($AZ15-INDEX('How This Works &amp; Sources'!$B$219:$J$223,0,7))*INDEX('How This Works &amp; Sources'!$B$219:$J$223,0,7+2))),IF($AN15="WV",IF($AU15="Married",SUMPRODUCT(($AZ15&gt;INDEX('How This Works &amp; Sources'!$B$237:$J$241,0,7))*($AZ15-INDEX('How This Works &amp; Sources'!$B$237:$J$241,0,7))*INDEX('How This Works &amp; Sources'!$B$237:$J$241,0,7+2)),SUMPRODUCT(($AZ15&gt;INDEX('How This Works &amp; Sources'!$B$228:$J$232,0,7))*($AZ15-INDEX('How This Works &amp; Sources'!$B$228:$J$232,0,7))*INDEX('How This Works &amp; Sources'!$B$228:$J$232,0,7+2))),""))))))))))</f>
      </c>
      <c r="BY15" s="7">
        <f>IF($B15="","",IF($AN15="AR",SUMPRODUCT(($AZ15&gt;INDEX('How This Works &amp; Sources'!$B$82:$J$86,0,7))*($AZ15-INDEX('How This Works &amp; Sources'!$B$82:$J$86,0,7))*INDEX('How This Works &amp; Sources'!$B$82:$J$86,0,7+2)),IF($AN15="DE",SUMPRODUCT(($AZ15&gt;INDEX('How This Works &amp; Sources'!$B$91:$J$98,0,1))*($AZ15-INDEX('How This Works &amp; Sources'!$B$91:$J$98,0,1))*INDEX('How This Works &amp; Sources'!$B$91:$J$98,0,1+2)),IF($AN15="HI",IF($AU15="Married",SUMPRODUCT(($AZ15&gt;INDEX('How This Works &amp; Sources'!$B$91:$J$98,0,7))*($AZ15-INDEX('How This Works &amp; Sources'!$B$91:$J$98,0,7))*INDEX('How This Works &amp; Sources'!$B$91:$J$98,0,7+2)),SUMPRODUCT(($AZ15&gt;INDEX('How This Works &amp; Sources'!$B$91:$J$98,0,4))*($AZ15-INDEX('How This Works &amp; Sources'!$B$91:$J$98,0,4))*INDEX('How This Works &amp; Sources'!$B$91:$J$98,0,4+2))),IF($AN15="SC",SUMPRODUCT(($AZ15&gt;INDEX('How This Works &amp; Sources'!$B$219:$J$223,0,1))*($AZ15-INDEX('How This Works &amp; Sources'!$B$219:$J$223,0,1))*INDEX('How This Works &amp; Sources'!$B$219:$J$223,0,1+2)),IF($AN15="VA",SUMPRODUCT(($AZ15&gt;INDEX('How This Works &amp; Sources'!$B$219:$J$223,0,4))*($AZ15-INDEX('How This Works &amp; Sources'!$B$219:$J$223,0,4))*INDEX('How This Works &amp; Sources'!$B$219:$J$223,0,4+2)),IF($AN15="WI",SUMPRODUCT(($AZ15&gt;INDEX('How This Works &amp; Sources'!$B$228:$J$232,0,4))*($AZ15-INDEX('How This Works &amp; Sources'!$B$228:$J$232,0,4))*INDEX('How This Works &amp; Sources'!$B$228:$J$232,0,4+2)),"")))))))</f>
      </c>
      <c r="BZ15" s="24">
        <f>IF($B15="","",IF($AN15="NJ",IF('Your Pay &amp; Benefits'!$C$77="B",SUMPRODUCT(($AZ15&gt;=INDEX('How This Works &amp; Sources'!$B$155:$J$162,0,4))*INDEX('How This Works &amp; Sources'!$B$155:$J$162,0,4+2)),IF('Your Pay &amp; Benefits'!$C$77="C",SUMPRODUCT(($AZ15&gt;=INDEX('How This Works &amp; Sources'!$B$155:$J$162,0,7))*INDEX('How This Works &amp; Sources'!$B$155:$J$162,0,7+2)),IF('Your Pay &amp; Benefits'!$C$77="D",SUMPRODUCT(($AZ15&gt;=INDEX('How This Works &amp; Sources'!$B$167:$J$179,0,1))*INDEX('How This Works &amp; Sources'!$B$167:$J$179,0,1+2)),IF('Your Pay &amp; Benefits'!$C$77="E",SUMPRODUCT(($AZ15&gt;=INDEX('How This Works &amp; Sources'!$B$167:$J$179,0,4))*INDEX('How This Works &amp; Sources'!$B$167:$J$179,0,4+2)),SUMPRODUCT(($AZ15&gt;=INDEX('How This Works &amp; Sources'!$B$155:$J$162,0,1))*INDEX('How This Works &amp; Sources'!$B$155:$J$162,0,1+2)))))),IF($AN15="OR",IF(OR($AU15="Married",AND($AU15="Single",$AS15&gt;=3)),SUMPRODUCT((MAX(0,$AY15-MIN(($P15-'How This Works &amp; Sources'!$C$10*$D15)*'Your Pay &amp; Benefits'!$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Sources'!$B$211:$J$214,0,4))*INDEX('How This Works &amp; Sources'!$B$211:$J$214,0,4+2)),SUMPRODUCT((MAX(0,$AY15-MIN(($P15-'How This Works &amp; Sources'!$C$10*$D15)*'Your Pay &amp; Benefits'!$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Sources'!$B$211:$J$214,0,1))*INDEX('How This Works &amp; Sources'!$B$211:$J$214,0,1+2)))*IF(($P15-'How This Works &amp; Sources'!$C$10*$D15)*'Your Pay &amp; Benefits'!$C$8&gt;=IF(OR($AU15="Married",AND($AU15="Single",$AS15&gt;=3)),IF($AY15&lt;250000,8750,IF($AY15&lt;260000,7000,IF($AY15&lt;270000,5250,IF($AY15&lt;280000,3500,IF($AY15&lt;290000,1750,0))))),IF($AY15&lt;125000,8750,IF($AY15&lt;130000,7000,IF($AY15&lt;135000,5250,IF($AY15&lt;140000,3500,IF($AY15&lt;145000,1750,0)))))),1,1-IF('Your Pay &amp; Benefits'!$C$13,SUMPRODUCT(($AH15&gt;=INDEX('How This Works &amp; Sources'!$B$29:$J$36,0,IF('Your Pay &amp; Benefits'!$C$12="MFJ",1,IF('Your Pay &amp; Benefits'!$C$12="HoH",7,4))))*INDEX('How This Works &amp; Sources'!$B$29:$J$36,0,IF('Your Pay &amp; Benefits'!$C$12="MFJ",1,IF('Your Pay &amp; Benefits'!$C$12="HoH",7,4))+2)),SUMPRODUCT(($AH15&gt;=INDEX('How This Works &amp; Sources'!$B$19:$J$26,0,IF('Your Pay &amp; Benefits'!$C$12="MFJ",1,IF('Your Pay &amp; Benefits'!$C$12="HoH",7,4))))*INDEX('How This Works &amp; Sources'!$B$19:$J$26,0,IF('Your Pay &amp; Benefits'!$C$12="MFJ",1,IF('Your Pay &amp; Benefits'!$C$12="HoH",7,4))+2)))),IF($AN15="MI",IF($AY15&gt;5900*$AS15,0.0425,0),""))))</f>
      </c>
      <c r="CA15" s="24">
        <f>IF($B15="","",IF($AN15="AL",IF(OR($AU15="Married",$AU15="Head of household"),SUMPRODUCT(($AZ15&gt;=INDEX('How This Works &amp; Sources'!$B$82:$J$86,0,4))*INDEX('How This Works &amp; Sources'!$B$82:$J$86,0,4+2)),SUMPRODUCT(($AZ15&gt;=INDEX('How This Works &amp; Sources'!$B$82:$J$86,0,1))*INDEX('How This Works &amp; Sources'!$B$82:$J$86,0,1+2)))*(1-IF('Your Pay &amp; Benefits'!$C$13,SUMPRODUCT(($AH15&gt;=INDEX('How This Works &amp; Sources'!$B$29:$J$36,0,IF('Your Pay &amp; Benefits'!$C$12="MFJ",1,IF('Your Pay &amp; Benefits'!$C$12="HoH",7,4))))*INDEX('How This Works &amp; Sources'!$B$29:$J$36,0,IF('Your Pay &amp; Benefits'!$C$12="MFJ",1,IF('Your Pay &amp; Benefits'!$C$12="HoH",7,4))+2)),SUMPRODUCT(($AH15&gt;=INDEX('How This Works &amp; Sources'!$B$19:$J$26,0,IF('Your Pay &amp; Benefits'!$C$12="MFJ",1,IF('Your Pay &amp; Benefits'!$C$12="HoH",7,4))))*INDEX('How This Works &amp; Sources'!$B$19:$J$26,0,IF('Your Pay &amp; Benefits'!$C$12="MFJ",1,IF('Your Pay &amp; Benefits'!$C$12="HoH",7,4))+2)))),IF($AN15="KS",IF($AU15="Married",SUMPRODUCT(($AZ15&gt;=INDEX('How This Works &amp; Sources'!$B$103:$J$109,0,4))*INDEX('How This Works &amp; Sources'!$B$103:$J$109,0,4+2)),SUMPRODUCT(($AZ15&gt;=INDEX('How This Works &amp; Sources'!$B$103:$J$109,0,1))*INDEX('How This Works &amp; Sources'!$B$103:$J$109,0,1+2))),IF($AN15="MD",IF(OR($AU15="Married",$AU15="Head of household"),SUMPRODUCT(($AZ15&gt;=INDEX('How This Works &amp; Sources'!$B$114:$J$120,0,1))*INDEX('How This Works &amp; Sources'!$B$114:$J$120,0,1+2)),SUMPRODUCT(($AZ15&gt;=INDEX('How This Works &amp; Sources'!$B$103:$J$109,0,7))*INDEX('How This Works &amp; Sources'!$B$103:$J$109,0,7+2)))+'Your Pay &amp; Benefits'!$C$74,IF($AN15="MT",IF($AU15="Head of household",SUMPRODUCT(($AZ15&gt;=INDEX('How This Works &amp; Sources'!$B$137:$J$139,0,1))*INDEX('How This Works &amp; Sources'!$B$137:$J$139,0,1+2)),IF($AU15="Married",SUMPRODUCT(($AZ15&gt;=INDEX('How This Works &amp; Sources'!$B$125:$J$132,0,7))*INDEX('How This Works &amp; Sources'!$B$125:$J$132,0,7+2)),SUMPRODUCT(($AZ15&gt;=INDEX('How This Works &amp; Sources'!$B$125:$J$132,0,4))*INDEX('How This Works &amp; Sources'!$B$125:$J$132,0,4+2)))),IF($AN15="ND",IF($AU15="Head of household",SUMPRODUCT(($AZ15&gt;=INDEX('How This Works &amp; Sources'!$B$144:$J$150,0,1))*INDEX('How This Works &amp; Sources'!$B$144:$J$150,0,1+2)),IF($AU15="Married",SUMPRODUCT(($AZ15&gt;=INDEX('How This Works &amp; Sources'!$B$137:$J$139,0,7))*INDEX('How This Works &amp; Sources'!$B$137:$J$139,0,7+2)),SUMPRODUCT(($AZ15&gt;=INDEX('How This Works &amp; Sources'!$B$137:$J$139,0,4))*INDEX('How This Works &amp; Sources'!$B$137:$J$139,0,4+2)))),IF($AN15="NY",IF($AU15="Married",IF($AZ15&gt;=2155350,IF($AZ15&gt;25000000,0.117,IF($AZ15&gt;5000000,0.111,0.1045)),SUMPRODUCT(($AZ15&gt;=INDEX('How This Works &amp; Sources'!$B$184:$J$198,0,1))*INDEX('How This Works &amp; Sources'!$B$184:$J$198,0,1+2))),IF($AZ15&gt;=1077550,IF($AZ15&gt;25000000,0.117,IF($AZ15&gt;5000000,0.111,0.1045)),SUMPRODUCT(($AZ15&gt;=INDEX('How This Works &amp; Sources'!$B$167:$J$179,0,7))*INDEX('How This Works &amp; Sources'!$B$167:$J$179,0,7+2)))),"")))))))</f>
      </c>
      <c r="CB15" s="24">
        <f>IF($B15="","",IF($AN15="CA",SUMPRODUCT(($AJ15&gt;=INDEX('How This Works &amp; Sources'!$B$39:$J$48,0,IF($AU15="Married",4,IF($AU15="Head of household",7,1))))*INDEX('How This Works &amp; Sources'!$B$39:$J$48,0,IF($AU15="Married",4,IF($AU15="Head of household",7,1))+2)),IF($AN15="HI",IF($AU15="Married",SUMPRODUCT(($AZ15&gt;=INDEX('How This Works &amp; Sources'!$B$91:$J$98,0,7))*INDEX('How This Works &amp; Sources'!$B$91:$J$98,0,7+2)),SUMPRODUCT(($AZ15&gt;=INDEX('How This Works &amp; Sources'!$B$91:$J$98,0,4))*INDEX('How This Works &amp; Sources'!$B$91:$J$98,0,4+2))),IF($AN15="MN",IF($AU15="Married",SUMPRODUCT(($AZ15&gt;=INDEX('How This Works &amp; Sources'!$B$114:$J$120,0,7))*INDEX('How This Works &amp; Sources'!$B$114:$J$120,0,7+2)),SUMPRODUCT(($AZ15&gt;=INDEX('How This Works &amp; Sources'!$B$114:$J$120,0,4))*INDEX('How This Works &amp; Sources'!$B$114:$J$120,0,4+2))),IF($AN15="MO",SUMPRODUCT(($AZ15&gt;=INDEX('How This Works &amp; Sources'!$B$125:$J$132,0,1))*INDEX('How This Works &amp; Sources'!$B$125:$J$132,0,1+2)),IF($AN15="NE",MAX(IF($AU15="Married",SUMPRODUCT(($AZ15&gt;=INDEX('How This Works &amp; Sources'!$B$144:$J$150,0,7))*INDEX('How This Works &amp; Sources'!$B$144:$J$150,0,7+2)),SUMPRODUCT(($AZ15&gt;=INDEX('How This Works &amp; Sources'!$B$144:$J$150,0,4))*INDEX('How This Works &amp; Sources'!$B$144:$J$150,0,4+2))),0.015),IF($AN15="OH",IF($B15&gt;=DATE(2026,8,1),SUMPRODUCT(($AZ15&gt;=INDEX('How This Works &amp; Sources'!$B$203:$J$206,0,1))*INDEX('How This Works &amp; Sources'!$B$203:$J$206,0,1+2)),SUMPRODUCT(($AZ15&gt;=INDEX('How This Works &amp; Sources'!$B$184:$J$198,0,7))*INDEX('How This Works &amp; Sources'!$B$184:$J$198,0,7+2))),IF($AN15="OK",IF($AU15="Married",SUMPRODUCT(($AZ15&gt;=INDEX('How This Works &amp; Sources'!$B$203:$J$206,0,7))*INDEX('How This Works &amp; Sources'!$B$203:$J$206,0,7+2)),SUMPRODUCT(($AZ15&gt;=INDEX('How This Works &amp; Sources'!$B$203:$J$206,0,4))*INDEX('How This Works &amp; Sources'!$B$203:$J$206,0,4+2))),IF($AN15="RI",SUMPRODUCT(($AZ15&gt;=INDEX('How This Works &amp; Sources'!$B$211:$J$214,0,7))*INDEX('How This Works &amp; Sources'!$B$211:$J$214,0,7+2)),IF($AN15="SC",SUMPRODUCT(($AZ15&gt;=INDEX('How This Works &amp; Sources'!$B$219:$J$223,0,1))*INDEX('How This Works &amp; Sources'!$B$219:$J$223,0,1+2)),IF($AN15="VT",IF($AU15="Married",SUMPRODUCT(($AZ15&gt;=INDEX('How This Works &amp; Sources'!$B$228:$J$232,0,1))*INDEX('How This Works &amp; Sources'!$B$228:$J$232,0,1+2)),SUMPRODUCT(($AZ15&gt;=INDEX('How This Works &amp; Sources'!$B$219:$J$223,0,7))*INDEX('How This Works &amp; Sources'!$B$219:$J$223,0,7+2))),IF($AN15="WV",IF($AU15="Married",SUMPRODUCT(($AZ15&gt;=INDEX('How This Works &amp; Sources'!$B$237:$J$241,0,7))*INDEX('How This Works &amp; Sources'!$B$237:$J$241,0,7+2)),SUMPRODUCT(($AZ15&gt;=INDEX('How This Works &amp; Sources'!$B$228:$J$232,0,7))*INDEX('How This Works &amp; Sources'!$B$228:$J$232,0,7+2))),IF($AN15="IN",(0.0295+'Your Pay &amp; Benefits'!$C$76),"")))))))))))))</f>
      </c>
      <c r="CC15" s="24">
        <f>IF($B15="","",IF($AN15="AR",SUMPRODUCT(($AZ15&gt;=INDEX('How This Works &amp; Sources'!$B$82:$J$86,0,7))*INDEX('How This Works &amp; Sources'!$B$82:$J$86,0,7+2)),IF($AN15="DE",SUMPRODUCT(($AZ15&gt;=INDEX('How This Works &amp; Sources'!$B$91:$J$98,0,1))*INDEX('How This Works &amp; Sources'!$B$91:$J$98,0,1+2)),IF($AN15="VA",SUMPRODUCT(($AZ15&gt;=INDEX('How This Works &amp; Sources'!$B$219:$J$223,0,4))*INDEX('How This Works &amp; Sources'!$B$219:$J$223,0,4+2)),IF($AN15="WI",SUMPRODUCT(($AZ15&gt;=INDEX('How This Works &amp; Sources'!$B$228:$J$232,0,4))*INDEX('How This Works &amp; Sources'!$B$228:$J$232,0,4+2)),IF($AN15="AZ",'Your Pay &amp; Benefits'!$C$82,IF($AN15="CO",IF($AY15&gt;IF($AU15="Married",10000,5000),0.044,0),IF($AN15="IA",IF($AY15&gt;IF($AU15="Head of household",19500,IF($AU15="Married",26000,13000)),0.038,0),IF($AN15="ID",IF($AY15&gt;IF($AU15="Married",32000,16094),0.053,0),IF($AN15="IL",IF($AY15&gt;(2925*$AS15+1000*$AT15),0.0495,0),IF($AN15="KY",IF($AI15&gt;3360,0.035,0),IF($AN15="LA",0.0309,IF($AN15="MA",IF(MAX(0,$AY15-MIN(($BD14+$Q15+$R15+$S15),2000)-IF($AS15=0,0,IF($AS15=1,4400,1000*$AS15+3400)))&gt;=1107750,0.09,0.05),IF($AN15="MS",IF($AI15-IF($AU15="Head of household",3400,IF($AU15="Married",4600,2300))-'Your Pay &amp; Benefits'!$C$85&gt;10000,0.04,0),IF($AN15="PA",0.0307,"")))))))))))))))</f>
      </c>
      <c r="CD15" s="21">
        <f>IF(YEAR(IF('Your Pay &amp; Benefits'!$C$7="Weekly",'Your Pay &amp; Benefits'!$C$9+7*(($BE14+1)-1),IF('Your Pay &amp; Benefits'!$C$7="Biweekly",'Your Pay &amp; Benefits'!$C$9+14*(($BE14+1)-1),IF('Your Pay &amp; Benefits'!$C$7="Semimonthly",DATE(YEAR('Your Pay &amp; Benefits'!$C$9),MONTH('Your Pay &amp; Benefits'!$C$9)+INT((($BE14+1)-1)/2),MIN(DAY('Your Pay &amp; Benefits'!$C$9),DAY(EOMONTH(DATE(YEAR('Your Pay &amp; Benefits'!$C$9),MONTH('Your Pay &amp; Benefits'!$C$9)+INT((($BE14+1)-1)/2),1),0))))+IF(MOD(($BE14+1)-1,2)=1,15,0),EDATE('Your Pay &amp; Benefits'!$C$9,($BE14+1)-1)))))&lt;&gt;'Your Pay &amp; Benefits'!$C$10,"",IF('Your Pay &amp; Benefits'!$C$7="Weekly",'Your Pay &amp; Benefits'!$C$9+7*(($BE14+1)-1),IF('Your Pay &amp; Benefits'!$C$7="Biweekly",'Your Pay &amp; Benefits'!$C$9+14*(($BE14+1)-1),IF('Your Pay &amp; Benefits'!$C$7="Semimonthly",DATE(YEAR('Your Pay &amp; Benefits'!$C$9),MONTH('Your Pay &amp; Benefits'!$C$9)+INT((($BE14+1)-1)/2),MIN(DAY('Your Pay &amp; Benefits'!$C$9),DAY(EOMONTH(DATE(YEAR('Your Pay &amp; Benefits'!$C$9),MONTH('Your Pay &amp; Benefits'!$C$9)+INT((($BE14+1)-1)/2),1),0))))+IF(MOD(($BE14+1)-1,2)=1,15,0),EDATE('Your Pay &amp; Benefits'!$C$9,($BE14+1)-1)))))</f>
      </c>
      <c r="CE15" s="21">
        <f>IF(MIN(IF(AND('Your Pay &amp; Benefits'!$C$58&gt;MAX($B$6:$B14),'Your Pay &amp; Benefits'!$C$58&gt;=DATE('Your Pay &amp; Benefits'!$C$10,1,1),'Your Pay &amp; Benefits'!$C$58&lt;=DATE('Your Pay &amp; Benefits'!$C$10,12,31)),'Your Pay &amp; Benefits'!$C$58,999999),IF(AND('Your Pay &amp; Benefits'!$C$59&gt;MAX($B$6:$B14),'Your Pay &amp; Benefits'!$C$59&gt;=DATE('Your Pay &amp; Benefits'!$C$10,1,1),'Your Pay &amp; Benefits'!$C$59&lt;=DATE('Your Pay &amp; Benefits'!$C$10,12,31)),'Your Pay &amp; Benefits'!$C$59,999999),IF(AND('Your Pay &amp; Benefits'!$C$60&gt;MAX($B$6:$B14),'Your Pay &amp; Benefits'!$C$60&gt;=DATE('Your Pay &amp; Benefits'!$C$10,1,1),'Your Pay &amp; Benefits'!$C$60&lt;=DATE('Your Pay &amp; Benefits'!$C$10,12,31)),'Your Pay &amp; Benefits'!$C$60,999999),IF(AND('Your Pay &amp; Benefits'!$C$61&gt;MAX($B$6:$B14),'Your Pay &amp; Benefits'!$C$61&gt;=DATE('Your Pay &amp; Benefits'!$C$10,1,1),'Your Pay &amp; Benefits'!$C$61&lt;=DATE('Your Pay &amp; Benefits'!$C$10,12,31)),'Your Pay &amp; Benefits'!$C$61,999999),IF(AND('Your Pay &amp; Benefits'!$C$62&gt;MAX($B$6:$B14),'Your Pay &amp; Benefits'!$C$62&gt;=DATE('Your Pay &amp; Benefits'!$C$10,1,1),'Your Pay &amp; Benefits'!$C$62&lt;=DATE('Your Pay &amp; Benefits'!$C$10,12,31)),'Your Pay &amp; Benefits'!$C$62,999999),IF(AND('Your Pay &amp; Benefits'!$C$63&gt;MAX($B$6:$B14),'Your Pay &amp; Benefits'!$C$63&gt;=DATE('Your Pay &amp; Benefits'!$C$10,1,1),'Your Pay &amp; Benefits'!$C$63&lt;=DATE('Your Pay &amp; Benefits'!$C$10,12,31)),'Your Pay &amp; Benefits'!$C$63,999999),IF(AND('Your Pay &amp; Benefits'!$C$64&gt;MAX($B$6:$B14),'Your Pay &amp; Benefits'!$C$64&gt;=DATE('Your Pay &amp; Benefits'!$C$10,1,1),'Your Pay &amp; Benefits'!$C$64&lt;=DATE('Your Pay &amp; Benefits'!$C$10,12,31)),'Your Pay &amp; Benefits'!$C$64,999999),IF(AND('Your Pay &amp; Benefits'!$C$65&gt;MAX($B$6:$B14),'Your Pay &amp; Benefits'!$C$65&gt;=DATE('Your Pay &amp; Benefits'!$C$10,1,1),'Your Pay &amp; Benefits'!$C$65&lt;=DATE('Your Pay &amp; Benefits'!$C$10,12,31)),'Your Pay &amp; Benefits'!$C$65,999999),IF(AND('Your Pay &amp; Benefits'!$C$66&gt;MAX($B$6:$B14),'Your Pay &amp; Benefits'!$C$66&gt;=DATE('Your Pay &amp; Benefits'!$C$10,1,1),'Your Pay &amp; Benefits'!$C$66&lt;=DATE('Your Pay &amp; Benefits'!$C$10,12,31)),'Your Pay &amp; Benefits'!$C$66,999999),IF(AND('Your Pay &amp; Benefits'!$C$67&gt;MAX($B$6:$B14),'Your Pay &amp; Benefits'!$C$67&gt;=DATE('Your Pay &amp; Benefits'!$C$10,1,1),'Your Pay &amp; Benefits'!$C$67&lt;=DATE('Your Pay &amp; Benefits'!$C$10,12,31)),'Your Pay &amp; Benefits'!$C$67,999999))=999999,"",MIN(IF(AND('Your Pay &amp; Benefits'!$C$58&gt;MAX($B$6:$B14),'Your Pay &amp; Benefits'!$C$58&gt;=DATE('Your Pay &amp; Benefits'!$C$10,1,1),'Your Pay &amp; Benefits'!$C$58&lt;=DATE('Your Pay &amp; Benefits'!$C$10,12,31)),'Your Pay &amp; Benefits'!$C$58,999999),IF(AND('Your Pay &amp; Benefits'!$C$59&gt;MAX($B$6:$B14),'Your Pay &amp; Benefits'!$C$59&gt;=DATE('Your Pay &amp; Benefits'!$C$10,1,1),'Your Pay &amp; Benefits'!$C$59&lt;=DATE('Your Pay &amp; Benefits'!$C$10,12,31)),'Your Pay &amp; Benefits'!$C$59,999999),IF(AND('Your Pay &amp; Benefits'!$C$60&gt;MAX($B$6:$B14),'Your Pay &amp; Benefits'!$C$60&gt;=DATE('Your Pay &amp; Benefits'!$C$10,1,1),'Your Pay &amp; Benefits'!$C$60&lt;=DATE('Your Pay &amp; Benefits'!$C$10,12,31)),'Your Pay &amp; Benefits'!$C$60,999999),IF(AND('Your Pay &amp; Benefits'!$C$61&gt;MAX($B$6:$B14),'Your Pay &amp; Benefits'!$C$61&gt;=DATE('Your Pay &amp; Benefits'!$C$10,1,1),'Your Pay &amp; Benefits'!$C$61&lt;=DATE('Your Pay &amp; Benefits'!$C$10,12,31)),'Your Pay &amp; Benefits'!$C$61,999999),IF(AND('Your Pay &amp; Benefits'!$C$62&gt;MAX($B$6:$B14),'Your Pay &amp; Benefits'!$C$62&gt;=DATE('Your Pay &amp; Benefits'!$C$10,1,1),'Your Pay &amp; Benefits'!$C$62&lt;=DATE('Your Pay &amp; Benefits'!$C$10,12,31)),'Your Pay &amp; Benefits'!$C$62,999999),IF(AND('Your Pay &amp; Benefits'!$C$63&gt;MAX($B$6:$B14),'Your Pay &amp; Benefits'!$C$63&gt;=DATE('Your Pay &amp; Benefits'!$C$10,1,1),'Your Pay &amp; Benefits'!$C$63&lt;=DATE('Your Pay &amp; Benefits'!$C$10,12,31)),'Your Pay &amp; Benefits'!$C$63,999999),IF(AND('Your Pay &amp; Benefits'!$C$64&gt;MAX($B$6:$B14),'Your Pay &amp; Benefits'!$C$64&gt;=DATE('Your Pay &amp; Benefits'!$C$10,1,1),'Your Pay &amp; Benefits'!$C$64&lt;=DATE('Your Pay &amp; Benefits'!$C$10,12,31)),'Your Pay &amp; Benefits'!$C$64,999999),IF(AND('Your Pay &amp; Benefits'!$C$65&gt;MAX($B$6:$B14),'Your Pay &amp; Benefits'!$C$65&gt;=DATE('Your Pay &amp; Benefits'!$C$10,1,1),'Your Pay &amp; Benefits'!$C$65&lt;=DATE('Your Pay &amp; Benefits'!$C$10,12,31)),'Your Pay &amp; Benefits'!$C$65,999999),IF(AND('Your Pay &amp; Benefits'!$C$66&gt;MAX($B$6:$B14),'Your Pay &amp; Benefits'!$C$66&gt;=DATE('Your Pay &amp; Benefits'!$C$10,1,1),'Your Pay &amp; Benefits'!$C$66&lt;=DATE('Your Pay &amp; Benefits'!$C$10,12,31)),'Your Pay &amp; Benefits'!$C$66,999999),IF(AND('Your Pay &amp; Benefits'!$C$67&gt;MAX($B$6:$B14),'Your Pay &amp; Benefits'!$C$67&gt;=DATE('Your Pay &amp; Benefits'!$C$10,1,1),'Your Pay &amp; Benefits'!$C$67&lt;=DATE('Your Pay &amp; Benefits'!$C$10,12,31)),'Your Pay &amp; Benefits'!$C$67,999999)))</f>
      </c>
      <c r="CF15">
        <f>IF($B15="","",IF($D15=0,$Y15,""))</f>
      </c>
    </row>
    <row r="16">
      <c r="A16" t="n">
        <v>11</v>
      </c>
      <c r="B16" s="21">
        <f>IF(AND($CD16="",$CE16=""),"",IF($CE16="",$CD16,IF($CD16="",$CE16,MIN($CD16,$CE16))))</f>
      </c>
      <c r="C16" s="7">
        <f>IF($B16="","",IF($BF16=0,0,IF('Your Pay &amp; Benefits'!$C$4="Annual salary",ROUND($AK16/IF(AND('Your Pay &amp; Benefits'!$C$88="Actual paydays",MONTH('Your Pay &amp; Benefits'!$C$9)=1),MAX(1,MAX($BE$6:$BE$68)),'Your Pay &amp; Benefits'!$C$8),2),$AK16)))</f>
      </c>
      <c r="D16" s="7">
        <f>IF($B16="","",SUMIF('Your Pay &amp; Benefits'!$C$58:$C$67,$B16,'Your Pay &amp; Benefits'!$D$58:$D$67))</f>
      </c>
      <c r="E16" s="7">
        <f>IF($B16="","",ROUND(MAX(0,MIN(IF($AL16="Percent",$AM16*($C16+$D16),$AM16),MAX(0,'Your Pay &amp; Benefits'!$C$34-$AC15))),2))</f>
      </c>
      <c r="F16" s="7">
        <f>IF($B16="","",ROUND(MAX(0,MIN(IF('Your Pay &amp; Benefits'!$C$32="Percent",'Your Pay &amp; Benefits'!$D$32*($C16+$D16),'Your Pay &amp; Benefits'!$D$32),MAX(0,'Your Pay &amp; Benefits'!$C$34-$AC15-$E16))),2))</f>
      </c>
      <c r="G16" s="7">
        <f>IF($B16="","",IF($BF16=0,0,ROUND(MAX(0,MIN($BL16,'Your Pay &amp; Benefits'!$C$37-'Your Pay &amp; Benefits'!$C$54-$BI15)),2)))</f>
      </c>
      <c r="H16" s="7">
        <f>IF($B16="","",IF(OR($BF16=0,$BQ16=1),0,ROUND(MAX(0,MIN(IF($BS16=1,ROUND(MAX(0,MIN($BJ16,'How This Works &amp; Sources'!$C$13)-$BG15)/MAX(1,MAX($BE$6:$BE$68)-($BE15)),2),ROUND(MIN($BJ16,'How This Works &amp; Sources'!$C$13)/'Your Pay &amp; Benefits'!$C$8,2)),MIN($BJ16,'How This Works &amp; Sources'!$C$13)-$BG15)),2)))</f>
      </c>
      <c r="I16" s="7">
        <f>IF($B16="","",IF(OR($BF16=0,$BR16=1),0,ROUND(MAX(0,MIN(IF($BT16=1,ROUND(MAX(0,MIN($BK16,IF('Your Pay &amp; Benefits'!$C$12="MFJ",'How This Works &amp; Sources'!$C$14,'How This Works &amp; Sources'!$C$15))-$BH15)/MAX(1,MAX($BE$6:$BE$68)-($BE15)),2),ROUND(MIN($BK16,IF('Your Pay &amp; Benefits'!$C$12="MFJ",'How This Works &amp; Sources'!$C$14,'How This Works &amp; Sources'!$C$15))/'Your Pay &amp; Benefits'!$C$8,2)),MIN($BK16,IF('Your Pay &amp; Benefits'!$C$12="MFJ",'How This Works &amp; Sources'!$C$14,'How This Works &amp; Sources'!$C$15))-$BH15)),2)))</f>
      </c>
      <c r="J16" s="7">
        <f>IF($B16="","",IF($BF16=0,0,$BM16))</f>
      </c>
      <c r="K16" s="7">
        <f>IF($B16="","",IF($BF16=0,0,$BN16+$BO16))</f>
      </c>
      <c r="L16" s="7">
        <f>IF($B16="","",IF($BF16=0,0,'Your Pay &amp; Benefits'!$D$46))</f>
      </c>
      <c r="M16" s="7">
        <f>IF($B16="","",$C16+$D16+$L16-$E16-$G16-$H16-$I16-$J16-$K16)</f>
      </c>
      <c r="N16" s="7">
        <f>IF($B16="","",$C16+$D16+$L16-$G16-$H16-$I16-$J16-$K16)</f>
      </c>
      <c r="O16" s="7">
        <f>IF($B16="","",$C16+$D16+$L16-$E16-$H16-$I16-$J16-$K16-IF(OR($AN16="CA",$AN16="NJ"),0,$G16))</f>
      </c>
      <c r="P16" s="7">
        <f>IF($B16="","",IF('Your Pay &amp; Benefits'!$C$18,0,ROUND(MAX(0,IF('Your Pay &amp; Benefits'!$C$13,SUMPRODUCT(($AH16&gt;INDEX('How This Works &amp; Sources'!$B$29:$J$36,0,IF('Your Pay &amp; Benefits'!$C$12="MFJ",1,IF('Your Pay &amp; Benefits'!$C$12="HoH",7,4))))*($AH16-INDEX('How This Works &amp; Sources'!$B$29:$J$36,0,IF('Your Pay &amp; Benefits'!$C$12="MFJ",1,IF('Your Pay &amp; Benefits'!$C$12="HoH",7,4))))*INDEX('How This Works &amp; Sources'!$B$29:$J$36,0,IF('Your Pay &amp; Benefits'!$C$12="MFJ",1,IF('Your Pay &amp; Benefits'!$C$12="HoH",7,4))+2)),SUMPRODUCT(($AH16&gt;INDEX('How This Works &amp; Sources'!$B$19:$J$26,0,IF('Your Pay &amp; Benefits'!$C$12="MFJ",1,IF('Your Pay &amp; Benefits'!$C$12="HoH",7,4))))*($AH16-INDEX('How This Works &amp; Sources'!$B$19:$J$26,0,IF('Your Pay &amp; Benefits'!$C$12="MFJ",1,IF('Your Pay &amp; Benefits'!$C$12="HoH",7,4))))*INDEX('How This Works &amp; Sources'!$B$19:$J$26,0,IF('Your Pay &amp; Benefits'!$C$12="MFJ",1,IF('Your Pay &amp; Benefits'!$C$12="HoH",7,4))+2)))/'Your Pay &amp; Benefits'!$C$8-$AO16/'Your Pay &amp; Benefits'!$C$8)+$AR16+IF('Your Pay &amp; Benefits'!$C$89="Aggregate",MAX(0,IF('Your Pay &amp; Benefits'!$C$13,SUMPRODUCT((($AH16+$D16)&gt;INDEX('How This Works &amp; Sources'!$B$29:$J$36,0,IF('Your Pay &amp; Benefits'!$C$12="MFJ",1,IF('Your Pay &amp; Benefits'!$C$12="HoH",7,4))))*(($AH16+$D16)-INDEX('How This Works &amp; Sources'!$B$29:$J$36,0,IF('Your Pay &amp; Benefits'!$C$12="MFJ",1,IF('Your Pay &amp; Benefits'!$C$12="HoH",7,4))))*INDEX('How This Works &amp; Sources'!$B$29:$J$36,0,IF('Your Pay &amp; Benefits'!$C$12="MFJ",1,IF('Your Pay &amp; Benefits'!$C$12="HoH",7,4))+2)),SUMPRODUCT((($AH16+$D16)&gt;INDEX('How This Works &amp; Sources'!$B$19:$J$26,0,IF('Your Pay &amp; Benefits'!$C$12="MFJ",1,IF('Your Pay &amp; Benefits'!$C$12="HoH",7,4))))*(($AH16+$D16)-INDEX('How This Works &amp; Sources'!$B$19:$J$26,0,IF('Your Pay &amp; Benefits'!$C$12="MFJ",1,IF('Your Pay &amp; Benefits'!$C$12="HoH",7,4))))*INDEX('How This Works &amp; Sources'!$B$19:$J$26,0,IF('Your Pay &amp; Benefits'!$C$12="MFJ",1,IF('Your Pay &amp; Benefits'!$C$12="HoH",7,4))+2)))-IF('Your Pay &amp; Benefits'!$C$13,SUMPRODUCT(($AH16&gt;INDEX('How This Works &amp; Sources'!$B$29:$J$36,0,IF('Your Pay &amp; Benefits'!$C$12="MFJ",1,IF('Your Pay &amp; Benefits'!$C$12="HoH",7,4))))*($AH16-INDEX('How This Works &amp; Sources'!$B$29:$J$36,0,IF('Your Pay &amp; Benefits'!$C$12="MFJ",1,IF('Your Pay &amp; Benefits'!$C$12="HoH",7,4))))*INDEX('How This Works &amp; Sources'!$B$29:$J$36,0,IF('Your Pay &amp; Benefits'!$C$12="MFJ",1,IF('Your Pay &amp; Benefits'!$C$12="HoH",7,4))+2)),SUMPRODUCT(($AH16&gt;INDEX('How This Works &amp; Sources'!$B$19:$J$26,0,IF('Your Pay &amp; Benefits'!$C$12="MFJ",1,IF('Your Pay &amp; Benefits'!$C$12="HoH",7,4))))*($AH16-INDEX('How This Works &amp; Sources'!$B$19:$J$26,0,IF('Your Pay &amp; Benefits'!$C$12="MFJ",1,IF('Your Pay &amp; Benefits'!$C$12="HoH",7,4))))*INDEX('How This Works &amp; Sources'!$B$19:$J$26,0,IF('Your Pay &amp; Benefits'!$C$12="MFJ",1,IF('Your Pay &amp; Benefits'!$C$12="HoH",7,4))+2)))),'How This Works &amp; Sources'!$C$10*$D16),2)))</f>
      </c>
      <c r="Q16" s="7">
        <f>IF($B16="","",ROUND('How This Works &amp; Sources'!$C$4*MIN($N16,MAX(0,'How This Works &amp; Sources'!$C$3-($AX16+$AB15-$AW16))),2))</f>
      </c>
      <c r="R16" s="7">
        <f>IF($B16="","",ROUND('How This Works &amp; Sources'!$C$5*$N16,2))</f>
      </c>
      <c r="S16" s="7">
        <f>IF($B16="","",ROUND('How This Works &amp; Sources'!$C$6*MAX(0,MIN($N16,$AG15+$N16-'How This Works &amp; Sources'!$C$7)),2))</f>
      </c>
      <c r="T16" s="7">
        <f>IF($B16="","",IF('Your Pay &amp; Benefits'!$C$26,0,IF($AN16="CA",ROUND(IF($AI16&lt;=IF(($AS16+$AT16)&gt;=2,VLOOKUP($AN16,StateTables!$A$6:$AB$56,10,FALSE),VLOOKUP($AN16,StateTables!$A$6:$AB$56,9,FALSE)),0,MAX(0,SUMPRODUCT(($AJ16&gt;INDEX('How This Works &amp; Sources'!$B$39:$J$48,0,IF($AU16="Married",4,IF($AU16="Head of household",7,1))))*($AJ16-INDEX('How This Works &amp; Sources'!$B$39:$J$48,0,IF($AU16="Married",4,IF($AU16="Head of household",7,1))))*INDEX('How This Works &amp; Sources'!$B$39:$J$48,0,IF($AU16="Married",4,IF($AU16="Head of household",7,1))+2))-VLOOKUP($AN16,StateTables!$A$6:$AB$56,11,FALSE)*$AS16)/'Your Pay &amp; Benefits'!$C$8)+'Your Pay &amp; Benefits'!$C$25+VLOOKUP($AN16,StateTables!$A$6:$AB$56,13,FALSE)*$D16,2),IF(VLOOKUP($AN16,StateTables!$A$6:$AB$56,4,FALSE)="None",0,IF(ISNUMBER(SEARCH("MANUAL",VLOOKUP($AN16,StateTables!$A$6:$AB$56,5,FALSE))),'Your Pay &amp; Benefits'!$C$28,ROUND(MAX(0,$BA16+$BB16)/'Your Pay &amp; Benefits'!$C$8+'Your Pay &amp; Benefits'!$C$25+$BC16,2))))))</f>
      </c>
      <c r="U16" s="7">
        <f>IF($B16="","",IF(VLOOKUP($AN16,StateTables!$A$6:$AB$56,24,FALSE)="flatq",IF(OR(MONTH($B16)=1,MONTH($B16)=4,MONTH($B16)=7,MONTH($B16)=10),VLOOKUP($AN16,StateTables!$A$6:$AB$56,25,FALSE),0),IF(VLOOKUP($AN16,StateTables!$A$6:$AB$56,24,FALSE)="dbl",MIN(ROUND(0.005*$N16,2),ROUND(0.6*52/'Your Pay &amp; Benefits'!$C$8,2)),IF(OR(VLOOKUP($AN16,StateTables!$A$6:$AB$56,15,FALSE)="",VLOOKUP($AN16,StateTables!$A$6:$AB$56,15,FALSE)=0),0,ROUND(VLOOKUP($AN16,StateTables!$A$6:$AB$56,15,FALSE)*IF(OR(VLOOKUP($AN16,StateTables!$A$6:$AB$56,16,FALSE)="",VLOOKUP($AN16,StateTables!$A$6:$AB$56,16,FALSE)=0),$N16,MIN($N16,MAX(0,VLOOKUP($AN16,StateTables!$A$6:$AB$56,16,FALSE)-($AX16+$AB15-$AW16)))),2))))+IF(VLOOKUP($AN16,StateTables!$A$6:$AB$56,27,FALSE)="flatq",IF(OR(MONTH($B16)=1,MONTH($B16)=4,MONTH($B16)=7,MONTH($B16)=10),VLOOKUP($AN16,StateTables!$A$6:$AB$56,28,FALSE),0),IF(VLOOKUP($AN16,StateTables!$A$6:$AB$56,27,FALSE)="dbl",MIN(ROUND(0.005*$N16,2),ROUND(0.6*52/'Your Pay &amp; Benefits'!$C$8,2)),IF(OR(VLOOKUP($AN16,StateTables!$A$6:$AB$56,18,FALSE)="",VLOOKUP($AN16,StateTables!$A$6:$AB$56,18,FALSE)=0),0,ROUND(VLOOKUP($AN16,StateTables!$A$6:$AB$56,18,FALSE)*IF(OR(VLOOKUP($AN16,StateTables!$A$6:$AB$56,19,FALSE)="",VLOOKUP($AN16,StateTables!$A$6:$AB$56,19,FALSE)=0),$N16,MIN($N16,MAX(0,VLOOKUP($AN16,StateTables!$A$6:$AB$56,19,FALSE)-($AX16+$AB15-$AW16)))),2)))))</f>
      </c>
      <c r="V16" s="7">
        <f>IF($B16="","",IF($AN16="NY",IF('Your Pay &amp; Benefits'!$C$78,ROUND(SUMPRODUCT((MAX(0,($O16-$D16)*'Your Pay &amp; Benefits'!$C$8-(IF($AU16="Married",5500,5000)+1000*$AS16))&gt;INDEX('How This Works &amp; Sources'!$B$184:$J$198,0,4))*(MAX(0,($O16-$D16)*'Your Pay &amp; Benefits'!$C$8-(IF($AU16="Married",5500,5000)+1000*$AS16))-INDEX('How This Works &amp; Sources'!$B$184:$J$198,0,4))*INDEX('How This Works &amp; Sources'!$B$184:$J$198,0,4+2))/'Your Pay &amp; Benefits'!$C$8+0.0425*$D16,2),0)+IF('Your Pay &amp; Benefits'!$C$79="Resident",ROUND(0.1675*$T16,2),IF('Your Pay &amp; Benefits'!$C$79="Nonresident",ROUND(0.005*MAX(0,($O16-$D16)-(IF($AU16="Married",7950,7400)+1000*$AS16)/'Your Pay &amp; Benefits'!$C$8),2),0)),IF($AN16="PA",IF('Your Pay &amp; Benefits'!$C$80="None",'Your Pay &amp; Benefits'!$C$27+ROUND('Your Pay &amp; Benefits'!$C$81*($C16+$D16),2),ROUND(IF('Your Pay &amp; Benefits'!$C$80="Resident",IF($B16&lt;DATE(2026,7,1),0.0374,0.03735),IF($B16&lt;DATE(2026,7,1),0.0343,0.03425))*($C16+$D16),2)),IF($BF16=0,ROUND('Your Pay &amp; Benefits'!$C$81*($C16+$D16),2),'Your Pay &amp; Benefits'!$C$27+ROUND('Your Pay &amp; Benefits'!$C$81*($C16+$D16),2)))))</f>
      </c>
      <c r="W16" s="7">
        <f>IF($B16="","",IF($BF16=0,0,$BP16))</f>
      </c>
      <c r="X16" s="7">
        <f>IF($B16="","",SUM($E16:$K16)+$P16+$Q16+$R16+$S16+$T16+$U16+$V16+$W16)</f>
      </c>
      <c r="Y16" s="22">
        <f>IF($B16="","",$C16+$D16-$X16)</f>
      </c>
      <c r="Z16" s="7">
        <f>IF($B16="","",$Z15+$C16+$D16)</f>
      </c>
      <c r="AA16" s="7">
        <f>IF($B16="","",$AA15+$Y16)</f>
      </c>
      <c r="AB16" s="7">
        <f>IF($B16="","",$AB15+MIN($N16,MAX(0,'How This Works &amp; Sources'!$C$3-($AX16+$AB15-$AW16))))</f>
      </c>
      <c r="AC16" s="7">
        <f>IF($B16="","",$AC15+$E16+$F16)</f>
      </c>
      <c r="AD16" s="3">
        <f>IF($B16="","",IF(AND($AB15&lt;'How This Works &amp; Sources'!$C$3,$AB16&gt;='How This Works &amp; Sources'!$C$3),"★ Social Security maxed on this check — from the next check your net rises by about $"&amp;TEXT(ROUND('How This Works &amp; Sources'!$C$4*$N16,2),"#,##0.00")&amp;". ","")&amp;IF(AND($AC15&lt;'Your Pay &amp; Benefits'!$C$34,$AC16&gt;='Your Pay &amp; Benefits'!$C$34),"★ 401(k) reaches the $"&amp;TEXT('Your Pay &amp; Benefits'!$C$34,"#,##0")&amp;" cap on this check — deferrals stop and net pay rises. ","")&amp;IF(AND($AG15&lt;'How This Works &amp; Sources'!$C$7,$AG16&gt;='How This Works &amp; Sources'!$C$7),"★ Wages pass $200,000 — the 0.9% Additional Medicare Tax starts here. ","")&amp;IF(AND($BJ16&gt;0,$H16&gt;0,$BG15&lt;MIN($BJ16,'How This Works &amp; Sources'!$C$13),$BG15+$H16&gt;=MIN($BJ16,'How This Works &amp; Sources'!$C$13)),"★ Health FSA election is now fully deferred for the year. ",""))</f>
      </c>
      <c r="AE16" s="41" t="n"/>
      <c r="AF16" s="7">
        <f>IF(OR($B16="",$AE16=""),"",$AE16-$Y16)</f>
      </c>
      <c r="AG16" s="7">
        <f>IF($B16="","",$AG15+$N16)</f>
      </c>
      <c r="AH16" s="7">
        <f>IF($B16="","",MAX(0,($M16-$D16)*'Your Pay &amp; Benefits'!$C$8+$AP16-$AQ16-IF('Your Pay &amp; Benefits'!$C$13,0,IF('Your Pay &amp; Benefits'!$C$12="MFJ",'How This Works &amp; Sources'!$C$8,'How This Works &amp; Sources'!$C$9))))</f>
      </c>
      <c r="AI16" s="7">
        <f>IF($B16="","",$O16*'Your Pay &amp; Benefits'!$C$8)</f>
      </c>
      <c r="AJ16" s="7">
        <f>IF($B16="","",MAX(0,$AI16-VLOOKUP($AN16,StateTables!$A$6:$AB$56,12,FALSE)*$AT16-IF(($AS16+$AT16)&gt;=2,VLOOKUP($AN16,StateTables!$A$6:$AB$56,8,FALSE),VLOOKUP($AN16,StateTables!$A$6:$AB$56,7,FALSE))))</f>
      </c>
      <c r="AK16" s="7">
        <f>IF($B16="","",IFERROR(LOOKUP(2,1/(('Changes &amp; Events'!$C$6:$C$17="Salary change")*('Changes &amp; Events'!$B$6:$B$17&lt;=$B16)*('Changes &amp; Events'!$B$6:$B$17&lt;&gt;"")),'Changes &amp; Events'!$D$6:$D$17),IF('Your Pay &amp; Benefits'!$C$4="Annual salary",'Your Pay &amp; Benefits'!$C$5,'Your Pay &amp; Benefits'!$C$6)))</f>
      </c>
      <c r="AL16">
        <f>IF($B16="","",IFERROR(LOOKUP(2,1/(('Changes &amp; Events'!$C$6:$C$17="401(k) change")*('Changes &amp; Events'!$B$6:$B$17&lt;=$B16)*('Changes &amp; Events'!$B$6:$B$17&lt;&gt;"")),'Changes &amp; Events'!$D$6:$D$17),'Your Pay &amp; Benefits'!$C$30))</f>
      </c>
      <c r="AM16" s="7">
        <f>IF($B16="","",IFERROR(LOOKUP(2,1/(('Changes &amp; Events'!$C$6:$C$17="401(k) change")*('Changes &amp; Events'!$B$6:$B$17&lt;=$B16)*('Changes &amp; Events'!$B$6:$B$17&lt;&gt;"")),'Changes &amp; Events'!$E$6:$E$17),'Your Pay &amp; Benefits'!$D$31))</f>
      </c>
      <c r="AN16">
        <f>IF($B16="","",IFERROR(LOOKUP(2,1/(('Changes &amp; Events'!$C$6:$C$17="State move")*('Changes &amp; Events'!$B$6:$B$17&lt;=$B16)*('Changes &amp; Events'!$B$6:$B$17&lt;&gt;"")),'Changes &amp; Events'!$D$6:$D$17),'Your Pay &amp; Benefits'!$C$21))</f>
      </c>
      <c r="AO16" s="7">
        <f>IF($B16="","",IFERROR(LOOKUP(2,1/(('Changes &amp; Events'!$C$6:$C$17="W-4 change")*('Changes &amp; Events'!$B$6:$B$17&lt;=$B16)*('Changes &amp; Events'!$B$6:$B$17&lt;&gt;"")),'Changes &amp; Events'!$D$6:$D$17),'Your Pay &amp; Benefits'!$C$14))</f>
      </c>
      <c r="AP16" s="7">
        <f>IF($B16="","",IFERROR(LOOKUP(2,1/(('Changes &amp; Events'!$C$6:$C$17="W-4 change")*('Changes &amp; Events'!$B$6:$B$17&lt;=$B16)*('Changes &amp; Events'!$B$6:$B$17&lt;&gt;"")),'Changes &amp; Events'!$E$6:$E$17),'Your Pay &amp; Benefits'!$C$15))</f>
      </c>
      <c r="AQ16" s="7">
        <f>IF($B16="","",IFERROR(LOOKUP(2,1/(('Changes &amp; Events'!$C$6:$C$17="W-4 change")*('Changes &amp; Events'!$B$6:$B$17&lt;=$B16)*('Changes &amp; Events'!$B$6:$B$17&lt;&gt;"")),'Changes &amp; Events'!$F$6:$F$17),'Your Pay &amp; Benefits'!$C$16))</f>
      </c>
      <c r="AR16" s="7">
        <f>IF($B16="","",IFERROR(LOOKUP(2,1/(('Changes &amp; Events'!$C$6:$C$17="W-4 change")*('Changes &amp; Events'!$B$6:$B$17&lt;=$B16)*('Changes &amp; Events'!$B$6:$B$17&lt;&gt;"")),'Changes &amp; Events'!$G$6:$G$17),'Your Pay &amp; Benefits'!$C$17))</f>
      </c>
      <c r="AS16" s="6">
        <f>IF($B16="","",IFERROR(LOOKUP(2,1/((('Changes &amp; Events'!$C$6:$C$17="State move")+('Changes &amp; Events'!$C$6:$C$17="State cert change"))*('Changes &amp; Events'!$B$6:$B$17&lt;=$B16)*('Changes &amp; Events'!$B$6:$B$17&lt;&gt;"")),'Changes &amp; Events'!$F$6:$F$17),'Your Pay &amp; Benefits'!$C$23))</f>
      </c>
      <c r="AT16" s="6">
        <f>IF($B16="","",IFERROR(LOOKUP(2,1/((('Changes &amp; Events'!$C$6:$C$17="State move")+('Changes &amp; Events'!$C$6:$C$17="State cert change"))*('Changes &amp; Events'!$B$6:$B$17&lt;=$B16)*('Changes &amp; Events'!$B$6:$B$17&lt;&gt;"")),'Changes &amp; Events'!$G$6:$G$17),'Your Pay &amp; Benefits'!$C$24))</f>
      </c>
      <c r="AU16">
        <f>IF($B16="","",IFERROR(LOOKUP(2,1/(('Changes &amp; Events'!$C$6:$C$17="State move")*('Changes &amp; Events'!$B$6:$B$17&lt;=$B16)*('Changes &amp; Events'!$B$6:$B$17&lt;&gt;"")),'Changes &amp; Events'!$E$6:$E$17),'Your Pay &amp; Benefits'!$C$22))</f>
      </c>
      <c r="AV16" s="6">
        <f>IF($B16="","",1+COUNTIFS('Changes &amp; Events'!$C$6:$C$17,"Employer change",'Changes &amp; Events'!$B$6:$B$17,"&lt;="&amp;$B16,'Changes &amp; Events'!$B$6:$B$17,"&lt;&gt;"))</f>
      </c>
      <c r="AW16" s="7">
        <f>IF($B16="","",IF($AV16=1,'Your Pay &amp; Benefits'!$C$49,IF(IFERROR(MATCH(IFERROR(LOOKUP(2,1/(('Changes &amp; Events'!$C$6:$C$17="Employer change")*('Changes &amp; Events'!$B$6:$B$17&lt;=$B16)*('Changes &amp; Events'!$B$6:$B$17&lt;&gt;"")),'Changes &amp; Events'!$B$6:$B$17),""),$B$6:$B$68,1),1)&lt;=1,'Your Pay &amp; Benefits'!$C$49,INDEX($AB$6:$AB$68,MATCH(IFERROR(LOOKUP(2,1/(('Changes &amp; Events'!$C$6:$C$17="Employer change")*('Changes &amp; Events'!$B$6:$B$17&lt;=$B16)*('Changes &amp; Events'!$B$6:$B$17&lt;&gt;"")),'Changes &amp; Events'!$B$6:$B$17),""),$B$6:$B$68,1)-1))))</f>
      </c>
      <c r="AX16" s="7">
        <f>IF($B16="","",IF($AV16=1,'Your Pay &amp; Benefits'!$C$49,IFERROR(LOOKUP(2,1/(('Changes &amp; Events'!$C$6:$C$17="Employer change")*('Changes &amp; Events'!$B$6:$B$17&lt;=$B16)*('Changes &amp; Events'!$B$6:$B$17&lt;&gt;"")),'Changes &amp; Events'!$D$6:$D$17),0)))</f>
      </c>
      <c r="AY16" s="7">
        <f>IF($B16="","",($O16-$D16)*'Your Pay &amp; Benefits'!$C$8)</f>
      </c>
      <c r="AZ16" s="7">
        <f>IF($B16="","",IF($AN16="AL",MAX(0,$AY16-IF($AU16="Married",IF($AY16&lt;=25999,8500,MAX(5000,8500-175*CEILING(($AY16-25999)/500,1))),IF($AU16="Head of household",IF($AY16&lt;=25999,5200,MAX(2500,5200-135*CEILING(($AY16-25999)/500,1))),IF($AY16&lt;=25999,3000,MAX(2500,3000-25*CEILING(($AY16-25999)/500,1)))))-($P16-'How This Works &amp; Sources'!$C$10*$D16)*'Your Pay &amp; Benefits'!$C$8-IF(OR($AU16="Married",$AU16="Head of household"),3000,1500)-$AT16*IF($AY16&lt;=50000,1000,IF($AY16&lt;=100000,500,300))),IF($AN16="AR",IF(MAX(0,$AY16-2470)&lt;97701,INT(MAX(0,$AY16-2470)/100)*100+50,MAX(0,$AY16-2470)),IF($AN16="DE",MAX(0,$AI16-3250),IF($AN16="HI",MAX(0,$AI16-1144*$AS16-4350),IF($AN16="KS",MAX(0,$AI16-(9160*IF($AU16="Married",2,1)+2320*$AT16+IF($AU16="Head of household",2320,0))),IF($AN16="MD",MAX(0,$AI16-3400-3200*$AS16),IF($AN16="MN",MAX(0,$AY16-5300*$AS16),IF($AN16="MO",MAX(0,$AI16-IF($AU16="Head of household",24150,IF($AU16="Married",IF('Your Pay &amp; Benefits'!$C$83,16100,32200),16100))),IF($AN16="MT",$AY16,IF($AN16="ND",($C16+$L16)*'Your Pay &amp; Benefits'!$C$8,IF($AN16="NE",MAX(0,$AY16-2440*$AS16),IF($AN16="NJ",MAX(0,$AY16-1000*$AS16),IF($AN16="NY",MAX(0,$AY16-(IF($AU16="Married",7950,7400)+1000*$AS16)),IF($AN16="OH",MAX(0,$AY16-650*$AS16),IF($AN16="OK",MAX(0,$AY16-1000*$AS16),IF($AN16="RI",MAX(0,$AI16-1000*$AS16),IF($AN16="SC",MAX(0,$AI16-5000*$AS16-IF($AS16=0,0,MIN(0.1*$AI16,7500))),IF($AN16="VA",MAX(0,$AI16-IF($AU16="Married",17500,8750)-930*$AS16-800*$AT16),IF($AN16="VT",MAX(0,$AI16-5400*$AS16),IF($AN16="WI",MAX(0,$AI16-MAX(0,IF($AU16="Married",9461-0.2*MAX(0,$AI16-25727),6702-0.12*MAX(0,$AI16-17780)))-400*$AS16),IF($AN16="WV",MAX(0,$AI16-2000*$AS16),$AI16))))))))))))))))))))))</f>
      </c>
      <c r="BA16" s="7">
        <f>IF($B16="","",IF($BW16&lt;&gt;"",$BW16,IF($BX16&lt;&gt;"",$BX16,IF($BY16&lt;&gt;"",$BY16,0))))</f>
      </c>
      <c r="BB16" s="7">
        <f>IF($B16="","",IF($AN16="AR",-29*$AS16,IF($AN16="DE",-110*$AS16,IF($AN16="MD",$AZ16*'Your Pay &amp; Benefits'!$C$74,IF($AN16="AZ",'Your Pay &amp; Benefits'!$C$82*($M16-$D16)*'Your Pay &amp; Benefits'!$C$8,IF($AN16="CO",0.044*MAX(0,$AY16-IF($AU16="Married",10000,5000)),IF($AN16="IA",MAX(0,0.038*MAX(0,$AY16-IF($AU16="Head of household",19500,IF($AU16="Married",26000,13000)))-40*$AS16),IF($AN16="ID",0.053*MAX(0,$AY16-IF($AU16="Married",32000,16094)),IF($AN16="IL",0.0495*MAX(0,$AY16-(2925*$AS16+1000*$AT16)),IF($AN16="IN",(0.0295+'Your Pay &amp; Benefits'!$C$76)*MAX(0,$AY16-(1000*$AS16+1500*$AT16+3000*'Your Pay &amp; Benefits'!$C$86)),IF($AN16="KY",0.035*MAX(0,$AI16-3360),IF($AN16="LA",IF('Your Pay &amp; Benefits'!$C$84="0",0.0309*$AI16,0.0309*MAX(0,$AI16-IF('Your Pay &amp; Benefits'!$C$84="2",25750,12875))),IF($AN16="MA",0.05*MIN(MAX(0,$AY16-MIN(($BD15+$Q16+$R16+$S16),2000)-IF($AS16=0,0,IF($AS16=1,4400,1000*$AS16+3400))),1107750)+0.09*MAX(0,MAX(0,$AY16-MIN(($BD15+$Q16+$R16+$S16),2000)-IF($AS16=0,0,IF($AS16=1,4400,1000*$AS16+3400)))-1107750)-IF($AU16="Head of household",120,0)-110*'Your Pay &amp; Benefits'!$C$75,IF($AN16="MI",0.0425*MAX(0,$AY16-5900*$AS16),IF($AN16="MS",0.04*MAX(0,$AI16-IF($AU16="Head of household",3400,IF($AU16="Married",4600,2300))-'Your Pay &amp; Benefits'!$C$85-10000),IF($AN16="OR",IF(OR($AU16="Married",AND($AU16="Single",$AS16&gt;=3)),SUMPRODUCT((MAX(0,$AY16-MIN(($P16-'How This Works &amp; Sources'!$C$10*$D16)*'Your Pay &amp; Benefits'!$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Sources'!$B$211:$J$214,0,4))*(MAX(0,$AY16-MIN(($P16-'How This Works &amp; Sources'!$C$10*$D16)*'Your Pay &amp; Benefits'!$C$8,IF(OR($AU16="Married",AND($AU16="Single",$AS16&gt;=3)),IF($AY16&lt;250000,8750,IF($AY16&lt;260000,7000,IF($AY16&lt;270000,5250,IF($AY16&lt;280000,3500,IF($AY16&lt;290000,1750,0))))),IF($AY16&lt;125000,8750,IF($AY16&lt;130000,7000,IF($AY16&lt;135000,5250,IF($AY16&lt;140000,3500,IF($AY16&lt;145000,1750,0)))))))-IF(OR($AU16="Married",AND($AU16="Single",$AS16&gt;=3)),5820,2910))-INDEX('How This Works &amp; Sources'!$B$211:$J$214,0,4))*INDEX('How This Works &amp; Sources'!$B$211:$J$214,0,4+2)),SUMPRODUCT((MAX(0,$AY16-MIN(($P16-'How This Works &amp; Sources'!$C$10*$D16)*'Your Pay &amp; Benefits'!$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Sources'!$B$211:$J$214,0,1))*(MAX(0,$AY16-MIN(($P16-'How This Works &amp; Sources'!$C$10*$D16)*'Your Pay &amp; Benefits'!$C$8,IF(OR($AU16="Married",AND($AU16="Single",$AS16&gt;=3)),IF($AY16&lt;250000,8750,IF($AY16&lt;260000,7000,IF($AY16&lt;270000,5250,IF($AY16&lt;280000,3500,IF($AY16&lt;290000,1750,0))))),IF($AY16&lt;125000,8750,IF($AY16&lt;130000,7000,IF($AY16&lt;135000,5250,IF($AY16&lt;140000,3500,IF($AY16&lt;145000,1750,0)))))))-IF(OR($AU16="Married",AND($AU16="Single",$AS16&gt;=3)),5820,2910))-INDEX('How This Works &amp; Sources'!$B$211:$J$214,0,1))*INDEX('How This Works &amp; Sources'!$B$211:$J$214,0,1+2)))+263-263*IF(IF($AU16="Married",$AY16&gt;200000,$AY16&gt;100000),0,$AS16),IF($AN16="PA",0.0307*(($O16+$E16+$G16)*'Your Pay &amp; Benefits'!$C$8),IF($AN16="NY",IF($AU16="Married",IF($AZ16&gt;=2155350,0,IF($AZ16&gt;=1077550,0.48,IF($AZ16&gt;=373200,1.21,IF($AZ16&gt;=323200,0.21,IF($AZ16&gt;=211550,-0.19,IF($AZ16&gt;=157650,-2.8,IF($AZ16&gt;=107650,-0.8,IF($AZ16&gt;=96800,0.05,IF($AZ16&gt;=80650,-0.1,IF($AZ16&gt;=13900,0.4,IF($AZ16&gt;=11700,-0.3,IF($AZ16&gt;=8500,0.5,0)))))))))))),IF($AZ16&gt;=1077550,0,IF($AZ16&gt;=265400,4.29,IF($AZ16&gt;=215400,2.29,IF($AZ16&gt;=157650,2.29,IF($AZ16&gt;=107650,0.29,IF($AZ16&gt;=96800,0.05,IF($AZ16&gt;=80650,-0.1,IF($AZ16&gt;=13900,0.4,IF($AZ16&gt;=11700,-0.3,IF($AZ16&gt;=8500,0.5,0))))))))))),0))))))))))))))))))</f>
      </c>
      <c r="BC16" s="7">
        <f>IF($B16="","",IF($AN16="AL",0.05*$D16,IF($AN16="AR",0.039*$D16,IF($AN16="ID",0.053*$D16,IF($AN16="IN",(0.0295+'Your Pay &amp; Benefits'!$C$76)*$D16,IF($AN16="KS",0.05*$D16,IF($AN16="MA",0.09*MIN($D16,MAX(0,MAX(0,$AY16-MIN(($BD15+$Q16+$R16+$S16),2000)-IF($AS16=0,0,IF($AS16=1,4400,1000*$AS16+3400)))+$D16-1107750))+0.05*($D16-MIN($D16,MAX(0,MAX(0,$AY16-MIN(($BD15+$Q16+$R16+$S16),2000)-IF($AS16=0,0,IF($AS16=1,4400,1000*$AS16+3400)))+$D16-1107750))),IF($AN16="MD",(0.065+'Your Pay &amp; Benefits'!$C$74)*$D16,IF($AN16="MI",0.0425*$D16,IF($AN16="MN",0.0625*$D16,IF($AN16="MO",0.047*$D16,IF($AN16="MT",0.05*$D16,IF($AN16="ND",0.015*$D16,IF($AN16="NE",0.035*$D16,IF($AN16="NJ",IF('Your Pay &amp; Benefits'!$C$77="B",SUMPRODUCT(($D16*'Your Pay &amp; Benefits'!$C$8&gt;INDEX('How This Works &amp; Sources'!$B$155:$J$162,0,4))*($D16*'Your Pay &amp; Benefits'!$C$8-INDEX('How This Works &amp; Sources'!$B$155:$J$162,0,4))*INDEX('How This Works &amp; Sources'!$B$155:$J$162,0,4+2)),IF('Your Pay &amp; Benefits'!$C$77="C",SUMPRODUCT(($D16*'Your Pay &amp; Benefits'!$C$8&gt;INDEX('How This Works &amp; Sources'!$B$155:$J$162,0,7))*($D16*'Your Pay &amp; Benefits'!$C$8-INDEX('How This Works &amp; Sources'!$B$155:$J$162,0,7))*INDEX('How This Works &amp; Sources'!$B$155:$J$162,0,7+2)),IF('Your Pay &amp; Benefits'!$C$77="D",SUMPRODUCT(($D16*'Your Pay &amp; Benefits'!$C$8&gt;INDEX('How This Works &amp; Sources'!$B$167:$J$179,0,1))*($D16*'Your Pay &amp; Benefits'!$C$8-INDEX('How This Works &amp; Sources'!$B$167:$J$179,0,1))*INDEX('How This Works &amp; Sources'!$B$167:$J$179,0,1+2)),IF('Your Pay &amp; Benefits'!$C$77="E",SUMPRODUCT(($D16*'Your Pay &amp; Benefits'!$C$8&gt;INDEX('How This Works &amp; Sources'!$B$167:$J$179,0,4))*($D16*'Your Pay &amp; Benefits'!$C$8-INDEX('How This Works &amp; Sources'!$B$167:$J$179,0,4))*INDEX('How This Works &amp; Sources'!$B$167:$J$179,0,4+2)),SUMPRODUCT(($D16*'Your Pay &amp; Benefits'!$C$8&gt;INDEX('How This Works &amp; Sources'!$B$155:$J$162,0,1))*($D16*'Your Pay &amp; Benefits'!$C$8-INDEX('How This Works &amp; Sources'!$B$155:$J$162,0,1))*INDEX('How This Works &amp; Sources'!$B$155:$J$162,0,1+2))))))/'Your Pay &amp; Benefits'!$C$8,IF($AN16="NY",0.117*$D16,IF($AN16="OH",0.0275*$D16,IF($AN16="OK",0.045*$D16,IF($AN16="OR",0.08*$D16,IF($AN16="WI",IF($AY16&lt;12760,0.0354,IF($AY16&lt;25520,0.0465,IF($AY16&lt;280950,0.053,0.0765)))*$D16,0))))))))))))))))))))</f>
      </c>
      <c r="BD16" s="7">
        <f>IF($B16="","",$BD15+$Q16+$R16+$S16)</f>
      </c>
      <c r="BE16" s="6">
        <f>IF($B16="",$BE15,$BE15+$BF16)</f>
      </c>
      <c r="BF16" s="6">
        <f>IF($B16="","",IF(AND(IF(YEAR(IF('Your Pay &amp; Benefits'!$C$7="Weekly",'Your Pay &amp; Benefits'!$C$9+7*(($BE15+1)-1),IF('Your Pay &amp; Benefits'!$C$7="Biweekly",'Your Pay &amp; Benefits'!$C$9+14*(($BE15+1)-1),IF('Your Pay &amp; Benefits'!$C$7="Semimonthly",DATE(YEAR('Your Pay &amp; Benefits'!$C$9),MONTH('Your Pay &amp; Benefits'!$C$9)+INT((($BE15+1)-1)/2),MIN(DAY('Your Pay &amp; Benefits'!$C$9),DAY(EOMONTH(DATE(YEAR('Your Pay &amp; Benefits'!$C$9),MONTH('Your Pay &amp; Benefits'!$C$9)+INT((($BE15+1)-1)/2),1),0))))+IF(MOD(($BE15+1)-1,2)=1,15,0),EDATE('Your Pay &amp; Benefits'!$C$9,($BE15+1)-1)))))&lt;&gt;'Your Pay &amp; Benefits'!$C$10,"",IF('Your Pay &amp; Benefits'!$C$7="Weekly",'Your Pay &amp; Benefits'!$C$9+7*(($BE15+1)-1),IF('Your Pay &amp; Benefits'!$C$7="Biweekly",'Your Pay &amp; Benefits'!$C$9+14*(($BE15+1)-1),IF('Your Pay &amp; Benefits'!$C$7="Semimonthly",DATE(YEAR('Your Pay &amp; Benefits'!$C$9),MONTH('Your Pay &amp; Benefits'!$C$9)+INT((($BE15+1)-1)/2),MIN(DAY('Your Pay &amp; Benefits'!$C$9),DAY(EOMONTH(DATE(YEAR('Your Pay &amp; Benefits'!$C$9),MONTH('Your Pay &amp; Benefits'!$C$9)+INT((($BE15+1)-1)/2),1),0))))+IF(MOD(($BE15+1)-1,2)=1,15,0),EDATE('Your Pay &amp; Benefits'!$C$9,($BE15+1)-1)))))&lt;&gt;"",$B16=IF(YEAR(IF('Your Pay &amp; Benefits'!$C$7="Weekly",'Your Pay &amp; Benefits'!$C$9+7*(($BE15+1)-1),IF('Your Pay &amp; Benefits'!$C$7="Biweekly",'Your Pay &amp; Benefits'!$C$9+14*(($BE15+1)-1),IF('Your Pay &amp; Benefits'!$C$7="Semimonthly",DATE(YEAR('Your Pay &amp; Benefits'!$C$9),MONTH('Your Pay &amp; Benefits'!$C$9)+INT((($BE15+1)-1)/2),MIN(DAY('Your Pay &amp; Benefits'!$C$9),DAY(EOMONTH(DATE(YEAR('Your Pay &amp; Benefits'!$C$9),MONTH('Your Pay &amp; Benefits'!$C$9)+INT((($BE15+1)-1)/2),1),0))))+IF(MOD(($BE15+1)-1,2)=1,15,0),EDATE('Your Pay &amp; Benefits'!$C$9,($BE15+1)-1)))))&lt;&gt;'Your Pay &amp; Benefits'!$C$10,"",IF('Your Pay &amp; Benefits'!$C$7="Weekly",'Your Pay &amp; Benefits'!$C$9+7*(($BE15+1)-1),IF('Your Pay &amp; Benefits'!$C$7="Biweekly",'Your Pay &amp; Benefits'!$C$9+14*(($BE15+1)-1),IF('Your Pay &amp; Benefits'!$C$7="Semimonthly",DATE(YEAR('Your Pay &amp; Benefits'!$C$9),MONTH('Your Pay &amp; Benefits'!$C$9)+INT((($BE15+1)-1)/2),MIN(DAY('Your Pay &amp; Benefits'!$C$9),DAY(EOMONTH(DATE(YEAR('Your Pay &amp; Benefits'!$C$9),MONTH('Your Pay &amp; Benefits'!$C$9)+INT((($BE15+1)-1)/2),1),0))))+IF(MOD(($BE15+1)-1,2)=1,15,0),EDATE('Your Pay &amp; Benefits'!$C$9,($BE15+1)-1)))))),1,0))</f>
      </c>
      <c r="BG16" s="7">
        <f>IF($B16="","",$BG15+$H16)</f>
      </c>
      <c r="BH16" s="7">
        <f>IF($B16="","",$BH15+$I16)</f>
      </c>
      <c r="BI16" s="7">
        <f>IF($B16="","",$BI15+$G16)</f>
      </c>
      <c r="BJ16" s="7">
        <f>IF($B16="","",IFERROR(LOOKUP(2,1/(((('Changes &amp; Events'!$C$6:$C$17="Deduction start"))*('Changes &amp; Events'!$D$6:$D$17="Health FSA"))*('Changes &amp; Events'!$B$6:$B$17&lt;=$B16)*('Changes &amp; Events'!$B$6:$B$17&lt;&gt;"")),'Changes &amp; Events'!$E$6:$E$17),'Your Pay &amp; Benefits'!$D$38))</f>
      </c>
      <c r="BK16" s="7">
        <f>IF($B16="","",IFERROR(LOOKUP(2,1/(((('Changes &amp; Events'!$C$6:$C$17="Deduction start"))*('Changes &amp; Events'!$D$6:$D$17="Dependent-care FSA"))*('Changes &amp; Events'!$B$6:$B$17&lt;=$B16)*('Changes &amp; Events'!$B$6:$B$17&lt;&gt;"")),'Changes &amp; Events'!$E$6:$E$17),'Your Pay &amp; Benefits'!$D$39))</f>
      </c>
      <c r="BL16" s="7">
        <f>IF($B16="","",IFERROR(LOOKUP(2,1/(((('Changes &amp; Events'!$C$6:$C$17="Deduction start")+('Changes &amp; Events'!$C$6:$C$17="Deduction stop"))*('Changes &amp; Events'!$D$6:$D$17="HSA"))*('Changes &amp; Events'!$B$6:$B$17&lt;=$B16)*('Changes &amp; Events'!$B$6:$B$17&lt;&gt;"")),'Changes &amp; Events'!$I$6:$I$17),'Your Pay &amp; Benefits'!$D$35))</f>
      </c>
      <c r="BM16" s="7">
        <f>IF($B16="","",IFERROR(LOOKUP(2,1/(((('Changes &amp; Events'!$C$6:$C$17="Deduction start")+('Changes &amp; Events'!$C$6:$C$17="Deduction stop"))*('Changes &amp; Events'!$D$6:$D$17="Premiums"))*('Changes &amp; Events'!$B$6:$B$17&lt;=$B16)*('Changes &amp; Events'!$B$6:$B$17&lt;&gt;"")),'Changes &amp; Events'!$I$6:$I$17),'Your Pay &amp; Benefits'!$D$40+'Your Pay &amp; Benefits'!$D$41+'Your Pay &amp; Benefits'!$D$42))</f>
      </c>
      <c r="BN16" s="7">
        <f>IF($B16="","",IFERROR(LOOKUP(2,1/(((('Changes &amp; Events'!$C$6:$C$17="Deduction start")+('Changes &amp; Events'!$C$6:$C$17="Deduction stop"))*('Changes &amp; Events'!$D$6:$D$17="Commuter"))*('Changes &amp; Events'!$B$6:$B$17&lt;=$B16)*('Changes &amp; Events'!$B$6:$B$17&lt;&gt;"")),'Changes &amp; Events'!$I$6:$I$17),'Your Pay &amp; Benefits'!$D$43))</f>
      </c>
      <c r="BO16" s="7">
        <f>IF($B16="","",IFERROR(LOOKUP(2,1/(((('Changes &amp; Events'!$C$6:$C$17="Deduction start")+('Changes &amp; Events'!$C$6:$C$17="Deduction stop"))*('Changes &amp; Events'!$D$6:$D$17="Other pre-tax"))*('Changes &amp; Events'!$B$6:$B$17&lt;=$B16)*('Changes &amp; Events'!$B$6:$B$17&lt;&gt;"")),'Changes &amp; Events'!$I$6:$I$17),'Your Pay &amp; Benefits'!$D$44))</f>
      </c>
      <c r="BP16" s="7">
        <f>IF($B16="","",IFERROR(LOOKUP(2,1/(((('Changes &amp; Events'!$C$6:$C$17="Deduction start")+('Changes &amp; Events'!$C$6:$C$17="Deduction stop"))*('Changes &amp; Events'!$D$6:$D$17="Other post-tax"))*('Changes &amp; Events'!$B$6:$B$17&lt;=$B16)*('Changes &amp; Events'!$B$6:$B$17&lt;&gt;"")),'Changes &amp; Events'!$I$6:$I$17),'Your Pay &amp; Benefits'!$D$45))</f>
      </c>
      <c r="BQ16" s="6">
        <f>IF($B16="","",IFERROR(LOOKUP(2,1/(((('Changes &amp; Events'!$C$6:$C$17="Deduction start")+('Changes &amp; Events'!$C$6:$C$17="Deduction stop"))*('Changes &amp; Events'!$D$6:$D$17="Health FSA"))*('Changes &amp; Events'!$B$6:$B$17&lt;=$B16)*('Changes &amp; Events'!$B$6:$B$17&lt;&gt;"")),'Changes &amp; Events'!$J$6:$J$17),0))</f>
      </c>
      <c r="BR16" s="6">
        <f>IF($B16="","",IFERROR(LOOKUP(2,1/(((('Changes &amp; Events'!$C$6:$C$17="Deduction start")+('Changes &amp; Events'!$C$6:$C$17="Deduction stop"))*('Changes &amp; Events'!$D$6:$D$17="Dependent-care FSA"))*('Changes &amp; Events'!$B$6:$B$17&lt;=$B16)*('Changes &amp; Events'!$B$6:$B$17&lt;&gt;"")),'Changes &amp; Events'!$J$6:$J$17),0))</f>
      </c>
      <c r="BS16" s="6">
        <f>IF($B16="","",IF(SUMPRODUCT(('Changes &amp; Events'!$C$6:$C$17="Deduction start")*('Changes &amp; Events'!$B$6:$B$17&lt;=$B16)*('Changes &amp; Events'!$B$6:$B$17&lt;&gt;"")*('Changes &amp; Events'!$D$6:$D$17="Health FSA"))&gt;0,1,0))</f>
      </c>
      <c r="BT16" s="6">
        <f>IF($B16="","",IF(SUMPRODUCT(('Changes &amp; Events'!$C$6:$C$17="Deduction start")*('Changes &amp; Events'!$B$6:$B$17&lt;=$B16)*('Changes &amp; Events'!$B$6:$B$17&lt;&gt;"")*('Changes &amp; Events'!$D$6:$D$17="Dependent-care FSA"))&gt;0,1,0))</f>
      </c>
      <c r="BU16" s="24">
        <f>IF($B16="","",IF('Your Pay &amp; Benefits'!$C$13,SUMPRODUCT(($AH16&gt;=INDEX('How This Works &amp; Sources'!$B$29:$J$36,0,IF('Your Pay &amp; Benefits'!$C$12="MFJ",1,IF('Your Pay &amp; Benefits'!$C$12="HoH",7,4))))*INDEX('How This Works &amp; Sources'!$B$29:$J$36,0,IF('Your Pay &amp; Benefits'!$C$12="MFJ",1,IF('Your Pay &amp; Benefits'!$C$12="HoH",7,4))+2)),SUMPRODUCT(($AH16&gt;=INDEX('How This Works &amp; Sources'!$B$19:$J$26,0,IF('Your Pay &amp; Benefits'!$C$12="MFJ",1,IF('Your Pay &amp; Benefits'!$C$12="HoH",7,4))))*INDEX('How This Works &amp; Sources'!$B$19:$J$26,0,IF('Your Pay &amp; Benefits'!$C$12="MFJ",1,IF('Your Pay &amp; Benefits'!$C$12="HoH",7,4))+2))))</f>
      </c>
      <c r="BV16" s="24">
        <f>IF($B16="","",IF($BZ16&lt;&gt;"",$BZ16,IF($CA16&lt;&gt;"",$CA16,IF($CB16&lt;&gt;"",$CB16,IF($CC16&lt;&gt;"",$CC16,0)))))</f>
      </c>
      <c r="BW16" s="7">
        <f>IF($B16="","",IF($AN16="MD",IF(OR($AU16="Married",$AU16="Head of household"),SUMPRODUCT(($AZ16&gt;INDEX('How This Works &amp; Sources'!$B$114:$J$120,0,1))*($AZ16-INDEX('How This Works &amp; Sources'!$B$114:$J$120,0,1))*INDEX('How This Works &amp; Sources'!$B$114:$J$120,0,1+2)),SUMPRODUCT(($AZ16&gt;INDEX('How This Works &amp; Sources'!$B$103:$J$109,0,7))*($AZ16-INDEX('How This Works &amp; Sources'!$B$103:$J$109,0,7))*INDEX('How This Works &amp; Sources'!$B$103:$J$109,0,7+2))),IF($AN16="MO",SUMPRODUCT(($AZ16&gt;INDEX('How This Works &amp; Sources'!$B$125:$J$132,0,1))*($AZ16-INDEX('How This Works &amp; Sources'!$B$125:$J$132,0,1))*INDEX('How This Works &amp; Sources'!$B$125:$J$132,0,1+2)),IF($AN16="MT",IF($AU16="Head of household",SUMPRODUCT(($AZ16&gt;INDEX('How This Works &amp; Sources'!$B$137:$J$139,0,1))*($AZ16-INDEX('How This Works &amp; Sources'!$B$137:$J$139,0,1))*INDEX('How This Works &amp; Sources'!$B$137:$J$139,0,1+2)),IF($AU16="Married",SUMPRODUCT(($AZ16&gt;INDEX('How This Works &amp; Sources'!$B$125:$J$132,0,7))*($AZ16-INDEX('How This Works &amp; Sources'!$B$125:$J$132,0,7))*INDEX('How This Works &amp; Sources'!$B$125:$J$132,0,7+2)),SUMPRODUCT(($AZ16&gt;INDEX('How This Works &amp; Sources'!$B$125:$J$132,0,4))*($AZ16-INDEX('How This Works &amp; Sources'!$B$125:$J$132,0,4))*INDEX('How This Works &amp; Sources'!$B$125:$J$132,0,4+2)))),IF($AN16="ND",IF($AU16="Head of household",SUMPRODUCT(($AZ16&gt;INDEX('How This Works &amp; Sources'!$B$144:$J$150,0,1))*($AZ16-INDEX('How This Works &amp; Sources'!$B$144:$J$150,0,1))*INDEX('How This Works &amp; Sources'!$B$144:$J$150,0,1+2)),IF($AU16="Married",SUMPRODUCT(($AZ16&gt;INDEX('How This Works &amp; Sources'!$B$137:$J$139,0,7))*($AZ16-INDEX('How This Works &amp; Sources'!$B$137:$J$139,0,7))*INDEX('How This Works &amp; Sources'!$B$137:$J$139,0,7+2)),SUMPRODUCT(($AZ16&gt;INDEX('How This Works &amp; Sources'!$B$137:$J$139,0,4))*($AZ16-INDEX('How This Works &amp; Sources'!$B$137:$J$139,0,4))*INDEX('How This Works &amp; Sources'!$B$137:$J$139,0,4+2)))),IF($AN16="NJ",IF('Your Pay &amp; Benefits'!$C$77="B",SUMPRODUCT(($AZ16&gt;INDEX('How This Works &amp; Sources'!$B$155:$J$162,0,4))*($AZ16-INDEX('How This Works &amp; Sources'!$B$155:$J$162,0,4))*INDEX('How This Works &amp; Sources'!$B$155:$J$162,0,4+2)),IF('Your Pay &amp; Benefits'!$C$77="C",SUMPRODUCT(($AZ16&gt;INDEX('How This Works &amp; Sources'!$B$155:$J$162,0,7))*($AZ16-INDEX('How This Works &amp; Sources'!$B$155:$J$162,0,7))*INDEX('How This Works &amp; Sources'!$B$155:$J$162,0,7+2)),IF('Your Pay &amp; Benefits'!$C$77="D",SUMPRODUCT(($AZ16&gt;INDEX('How This Works &amp; Sources'!$B$167:$J$179,0,1))*($AZ16-INDEX('How This Works &amp; Sources'!$B$167:$J$179,0,1))*INDEX('How This Works &amp; Sources'!$B$167:$J$179,0,1+2)),IF('Your Pay &amp; Benefits'!$C$77="E",SUMPRODUCT(($AZ16&gt;INDEX('How This Works &amp; Sources'!$B$167:$J$179,0,4))*($AZ16-INDEX('How This Works &amp; Sources'!$B$167:$J$179,0,4))*INDEX('How This Works &amp; Sources'!$B$167:$J$179,0,4+2)),SUMPRODUCT(($AZ16&gt;INDEX('How This Works &amp; Sources'!$B$155:$J$162,0,1))*($AZ16-INDEX('How This Works &amp; Sources'!$B$155:$J$162,0,1))*INDEX('How This Works &amp; Sources'!$B$155:$J$162,0,1+2)))))),IF($AN16="NY",IF($AU16="Married",IF($AZ16&gt;=2155350,$AZ16*IF($AZ16&gt;25000000,0.117,IF($AZ16&gt;5000000,0.111,0.1045)),SUMPRODUCT(($AZ16&gt;INDEX('How This Works &amp; Sources'!$B$184:$J$198,0,1))*($AZ16-INDEX('How This Works &amp; Sources'!$B$184:$J$198,0,1))*INDEX('How This Works &amp; Sources'!$B$184:$J$198,0,1+2))),IF($AZ16&gt;=1077550,$AZ16*IF($AZ16&gt;25000000,0.117,IF($AZ16&gt;5000000,0.111,0.1045)),SUMPRODUCT(($AZ16&gt;INDEX('How This Works &amp; Sources'!$B$167:$J$179,0,7))*($AZ16-INDEX('How This Works &amp; Sources'!$B$167:$J$179,0,7))*INDEX('How This Works &amp; Sources'!$B$167:$J$179,0,7+2)))),"")))))))</f>
      </c>
      <c r="BX16" s="7">
        <f>IF($B16="","",IF($AN16="AL",IF(OR($AU16="Married",$AU16="Head of household"),SUMPRODUCT(($AZ16&gt;INDEX('How This Works &amp; Sources'!$B$82:$J$86,0,4))*($AZ16-INDEX('How This Works &amp; Sources'!$B$82:$J$86,0,4))*INDEX('How This Works &amp; Sources'!$B$82:$J$86,0,4+2)),SUMPRODUCT(($AZ16&gt;INDEX('How This Works &amp; Sources'!$B$82:$J$86,0,1))*($AZ16-INDEX('How This Works &amp; Sources'!$B$82:$J$86,0,1))*INDEX('How This Works &amp; Sources'!$B$82:$J$86,0,1+2))),IF($AN16="KS",IF($AU16="Married",SUMPRODUCT(($AZ16&gt;INDEX('How This Works &amp; Sources'!$B$103:$J$109,0,4))*($AZ16-INDEX('How This Works &amp; Sources'!$B$103:$J$109,0,4))*INDEX('How This Works &amp; Sources'!$B$103:$J$109,0,4+2)),SUMPRODUCT(($AZ16&gt;INDEX('How This Works &amp; Sources'!$B$103:$J$109,0,1))*($AZ16-INDEX('How This Works &amp; Sources'!$B$103:$J$109,0,1))*INDEX('How This Works &amp; Sources'!$B$103:$J$109,0,1+2))),IF($AN16="MN",IF($AU16="Married",SUMPRODUCT(($AZ16&gt;INDEX('How This Works &amp; Sources'!$B$114:$J$120,0,7))*($AZ16-INDEX('How This Works &amp; Sources'!$B$114:$J$120,0,7))*INDEX('How This Works &amp; Sources'!$B$114:$J$120,0,7+2)),SUMPRODUCT(($AZ16&gt;INDEX('How This Works &amp; Sources'!$B$114:$J$120,0,4))*($AZ16-INDEX('How This Works &amp; Sources'!$B$114:$J$120,0,4))*INDEX('How This Works &amp; Sources'!$B$114:$J$120,0,4+2))),IF($AN16="NE",MAX(IF($AU16="Married",SUMPRODUCT(($AZ16&gt;INDEX('How This Works &amp; Sources'!$B$144:$J$150,0,7))*($AZ16-INDEX('How This Works &amp; Sources'!$B$144:$J$150,0,7))*INDEX('How This Works &amp; Sources'!$B$144:$J$150,0,7+2)),SUMPRODUCT(($AZ16&gt;INDEX('How This Works &amp; Sources'!$B$144:$J$150,0,4))*($AZ16-INDEX('How This Works &amp; Sources'!$B$144:$J$150,0,4))*INDEX('How This Works &amp; Sources'!$B$144:$J$150,0,4+2))),0.015*$AZ16),IF($AN16="OH",IF($B16&gt;=DATE(2026,8,1),SUMPRODUCT(($AZ16&gt;INDEX('How This Works &amp; Sources'!$B$203:$J$206,0,1))*($AZ16-INDEX('How This Works &amp; Sources'!$B$203:$J$206,0,1))*INDEX('How This Works &amp; Sources'!$B$203:$J$206,0,1+2)),SUMPRODUCT(($AZ16&gt;INDEX('How This Works &amp; Sources'!$B$184:$J$198,0,7))*($AZ16-INDEX('How This Works &amp; Sources'!$B$184:$J$198,0,7))*INDEX('How This Works &amp; Sources'!$B$184:$J$198,0,7+2))),IF($AN16="OK",IF($AU16="Married",SUMPRODUCT(($AZ16&gt;INDEX('How This Works &amp; Sources'!$B$203:$J$206,0,7))*($AZ16-INDEX('How This Works &amp; Sources'!$B$203:$J$206,0,7))*INDEX('How This Works &amp; Sources'!$B$203:$J$206,0,7+2)),SUMPRODUCT(($AZ16&gt;INDEX('How This Works &amp; Sources'!$B$203:$J$206,0,4))*($AZ16-INDEX('How This Works &amp; Sources'!$B$203:$J$206,0,4))*INDEX('How This Works &amp; Sources'!$B$203:$J$206,0,4+2))),IF($AN16="RI",SUMPRODUCT(($AZ16&gt;INDEX('How This Works &amp; Sources'!$B$211:$J$214,0,7))*($AZ16-INDEX('How This Works &amp; Sources'!$B$211:$J$214,0,7))*INDEX('How This Works &amp; Sources'!$B$211:$J$214,0,7+2)),IF($AN16="VT",IF($AU16="Married",SUMPRODUCT(($AZ16&gt;INDEX('How This Works &amp; Sources'!$B$228:$J$232,0,1))*($AZ16-INDEX('How This Works &amp; Sources'!$B$228:$J$232,0,1))*INDEX('How This Works &amp; Sources'!$B$228:$J$232,0,1+2)),SUMPRODUCT(($AZ16&gt;INDEX('How This Works &amp; Sources'!$B$219:$J$223,0,7))*($AZ16-INDEX('How This Works &amp; Sources'!$B$219:$J$223,0,7))*INDEX('How This Works &amp; Sources'!$B$219:$J$223,0,7+2))),IF($AN16="WV",IF($AU16="Married",SUMPRODUCT(($AZ16&gt;INDEX('How This Works &amp; Sources'!$B$237:$J$241,0,7))*($AZ16-INDEX('How This Works &amp; Sources'!$B$237:$J$241,0,7))*INDEX('How This Works &amp; Sources'!$B$237:$J$241,0,7+2)),SUMPRODUCT(($AZ16&gt;INDEX('How This Works &amp; Sources'!$B$228:$J$232,0,7))*($AZ16-INDEX('How This Works &amp; Sources'!$B$228:$J$232,0,7))*INDEX('How This Works &amp; Sources'!$B$228:$J$232,0,7+2))),""))))))))))</f>
      </c>
      <c r="BY16" s="7">
        <f>IF($B16="","",IF($AN16="AR",SUMPRODUCT(($AZ16&gt;INDEX('How This Works &amp; Sources'!$B$82:$J$86,0,7))*($AZ16-INDEX('How This Works &amp; Sources'!$B$82:$J$86,0,7))*INDEX('How This Works &amp; Sources'!$B$82:$J$86,0,7+2)),IF($AN16="DE",SUMPRODUCT(($AZ16&gt;INDEX('How This Works &amp; Sources'!$B$91:$J$98,0,1))*($AZ16-INDEX('How This Works &amp; Sources'!$B$91:$J$98,0,1))*INDEX('How This Works &amp; Sources'!$B$91:$J$98,0,1+2)),IF($AN16="HI",IF($AU16="Married",SUMPRODUCT(($AZ16&gt;INDEX('How This Works &amp; Sources'!$B$91:$J$98,0,7))*($AZ16-INDEX('How This Works &amp; Sources'!$B$91:$J$98,0,7))*INDEX('How This Works &amp; Sources'!$B$91:$J$98,0,7+2)),SUMPRODUCT(($AZ16&gt;INDEX('How This Works &amp; Sources'!$B$91:$J$98,0,4))*($AZ16-INDEX('How This Works &amp; Sources'!$B$91:$J$98,0,4))*INDEX('How This Works &amp; Sources'!$B$91:$J$98,0,4+2))),IF($AN16="SC",SUMPRODUCT(($AZ16&gt;INDEX('How This Works &amp; Sources'!$B$219:$J$223,0,1))*($AZ16-INDEX('How This Works &amp; Sources'!$B$219:$J$223,0,1))*INDEX('How This Works &amp; Sources'!$B$219:$J$223,0,1+2)),IF($AN16="VA",SUMPRODUCT(($AZ16&gt;INDEX('How This Works &amp; Sources'!$B$219:$J$223,0,4))*($AZ16-INDEX('How This Works &amp; Sources'!$B$219:$J$223,0,4))*INDEX('How This Works &amp; Sources'!$B$219:$J$223,0,4+2)),IF($AN16="WI",SUMPRODUCT(($AZ16&gt;INDEX('How This Works &amp; Sources'!$B$228:$J$232,0,4))*($AZ16-INDEX('How This Works &amp; Sources'!$B$228:$J$232,0,4))*INDEX('How This Works &amp; Sources'!$B$228:$J$232,0,4+2)),"")))))))</f>
      </c>
      <c r="BZ16" s="24">
        <f>IF($B16="","",IF($AN16="NJ",IF('Your Pay &amp; Benefits'!$C$77="B",SUMPRODUCT(($AZ16&gt;=INDEX('How This Works &amp; Sources'!$B$155:$J$162,0,4))*INDEX('How This Works &amp; Sources'!$B$155:$J$162,0,4+2)),IF('Your Pay &amp; Benefits'!$C$77="C",SUMPRODUCT(($AZ16&gt;=INDEX('How This Works &amp; Sources'!$B$155:$J$162,0,7))*INDEX('How This Works &amp; Sources'!$B$155:$J$162,0,7+2)),IF('Your Pay &amp; Benefits'!$C$77="D",SUMPRODUCT(($AZ16&gt;=INDEX('How This Works &amp; Sources'!$B$167:$J$179,0,1))*INDEX('How This Works &amp; Sources'!$B$167:$J$179,0,1+2)),IF('Your Pay &amp; Benefits'!$C$77="E",SUMPRODUCT(($AZ16&gt;=INDEX('How This Works &amp; Sources'!$B$167:$J$179,0,4))*INDEX('How This Works &amp; Sources'!$B$167:$J$179,0,4+2)),SUMPRODUCT(($AZ16&gt;=INDEX('How This Works &amp; Sources'!$B$155:$J$162,0,1))*INDEX('How This Works &amp; Sources'!$B$155:$J$162,0,1+2)))))),IF($AN16="OR",IF(OR($AU16="Married",AND($AU16="Single",$AS16&gt;=3)),SUMPRODUCT((MAX(0,$AY16-MIN(($P16-'How This Works &amp; Sources'!$C$10*$D16)*'Your Pay &amp; Benefits'!$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Sources'!$B$211:$J$214,0,4))*INDEX('How This Works &amp; Sources'!$B$211:$J$214,0,4+2)),SUMPRODUCT((MAX(0,$AY16-MIN(($P16-'How This Works &amp; Sources'!$C$10*$D16)*'Your Pay &amp; Benefits'!$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Sources'!$B$211:$J$214,0,1))*INDEX('How This Works &amp; Sources'!$B$211:$J$214,0,1+2)))*IF(($P16-'How This Works &amp; Sources'!$C$10*$D16)*'Your Pay &amp; Benefits'!$C$8&gt;=IF(OR($AU16="Married",AND($AU16="Single",$AS16&gt;=3)),IF($AY16&lt;250000,8750,IF($AY16&lt;260000,7000,IF($AY16&lt;270000,5250,IF($AY16&lt;280000,3500,IF($AY16&lt;290000,1750,0))))),IF($AY16&lt;125000,8750,IF($AY16&lt;130000,7000,IF($AY16&lt;135000,5250,IF($AY16&lt;140000,3500,IF($AY16&lt;145000,1750,0)))))),1,1-IF('Your Pay &amp; Benefits'!$C$13,SUMPRODUCT(($AH16&gt;=INDEX('How This Works &amp; Sources'!$B$29:$J$36,0,IF('Your Pay &amp; Benefits'!$C$12="MFJ",1,IF('Your Pay &amp; Benefits'!$C$12="HoH",7,4))))*INDEX('How This Works &amp; Sources'!$B$29:$J$36,0,IF('Your Pay &amp; Benefits'!$C$12="MFJ",1,IF('Your Pay &amp; Benefits'!$C$12="HoH",7,4))+2)),SUMPRODUCT(($AH16&gt;=INDEX('How This Works &amp; Sources'!$B$19:$J$26,0,IF('Your Pay &amp; Benefits'!$C$12="MFJ",1,IF('Your Pay &amp; Benefits'!$C$12="HoH",7,4))))*INDEX('How This Works &amp; Sources'!$B$19:$J$26,0,IF('Your Pay &amp; Benefits'!$C$12="MFJ",1,IF('Your Pay &amp; Benefits'!$C$12="HoH",7,4))+2)))),IF($AN16="MI",IF($AY16&gt;5900*$AS16,0.0425,0),""))))</f>
      </c>
      <c r="CA16" s="24">
        <f>IF($B16="","",IF($AN16="AL",IF(OR($AU16="Married",$AU16="Head of household"),SUMPRODUCT(($AZ16&gt;=INDEX('How This Works &amp; Sources'!$B$82:$J$86,0,4))*INDEX('How This Works &amp; Sources'!$B$82:$J$86,0,4+2)),SUMPRODUCT(($AZ16&gt;=INDEX('How This Works &amp; Sources'!$B$82:$J$86,0,1))*INDEX('How This Works &amp; Sources'!$B$82:$J$86,0,1+2)))*(1-IF('Your Pay &amp; Benefits'!$C$13,SUMPRODUCT(($AH16&gt;=INDEX('How This Works &amp; Sources'!$B$29:$J$36,0,IF('Your Pay &amp; Benefits'!$C$12="MFJ",1,IF('Your Pay &amp; Benefits'!$C$12="HoH",7,4))))*INDEX('How This Works &amp; Sources'!$B$29:$J$36,0,IF('Your Pay &amp; Benefits'!$C$12="MFJ",1,IF('Your Pay &amp; Benefits'!$C$12="HoH",7,4))+2)),SUMPRODUCT(($AH16&gt;=INDEX('How This Works &amp; Sources'!$B$19:$J$26,0,IF('Your Pay &amp; Benefits'!$C$12="MFJ",1,IF('Your Pay &amp; Benefits'!$C$12="HoH",7,4))))*INDEX('How This Works &amp; Sources'!$B$19:$J$26,0,IF('Your Pay &amp; Benefits'!$C$12="MFJ",1,IF('Your Pay &amp; Benefits'!$C$12="HoH",7,4))+2)))),IF($AN16="KS",IF($AU16="Married",SUMPRODUCT(($AZ16&gt;=INDEX('How This Works &amp; Sources'!$B$103:$J$109,0,4))*INDEX('How This Works &amp; Sources'!$B$103:$J$109,0,4+2)),SUMPRODUCT(($AZ16&gt;=INDEX('How This Works &amp; Sources'!$B$103:$J$109,0,1))*INDEX('How This Works &amp; Sources'!$B$103:$J$109,0,1+2))),IF($AN16="MD",IF(OR($AU16="Married",$AU16="Head of household"),SUMPRODUCT(($AZ16&gt;=INDEX('How This Works &amp; Sources'!$B$114:$J$120,0,1))*INDEX('How This Works &amp; Sources'!$B$114:$J$120,0,1+2)),SUMPRODUCT(($AZ16&gt;=INDEX('How This Works &amp; Sources'!$B$103:$J$109,0,7))*INDEX('How This Works &amp; Sources'!$B$103:$J$109,0,7+2)))+'Your Pay &amp; Benefits'!$C$74,IF($AN16="MT",IF($AU16="Head of household",SUMPRODUCT(($AZ16&gt;=INDEX('How This Works &amp; Sources'!$B$137:$J$139,0,1))*INDEX('How This Works &amp; Sources'!$B$137:$J$139,0,1+2)),IF($AU16="Married",SUMPRODUCT(($AZ16&gt;=INDEX('How This Works &amp; Sources'!$B$125:$J$132,0,7))*INDEX('How This Works &amp; Sources'!$B$125:$J$132,0,7+2)),SUMPRODUCT(($AZ16&gt;=INDEX('How This Works &amp; Sources'!$B$125:$J$132,0,4))*INDEX('How This Works &amp; Sources'!$B$125:$J$132,0,4+2)))),IF($AN16="ND",IF($AU16="Head of household",SUMPRODUCT(($AZ16&gt;=INDEX('How This Works &amp; Sources'!$B$144:$J$150,0,1))*INDEX('How This Works &amp; Sources'!$B$144:$J$150,0,1+2)),IF($AU16="Married",SUMPRODUCT(($AZ16&gt;=INDEX('How This Works &amp; Sources'!$B$137:$J$139,0,7))*INDEX('How This Works &amp; Sources'!$B$137:$J$139,0,7+2)),SUMPRODUCT(($AZ16&gt;=INDEX('How This Works &amp; Sources'!$B$137:$J$139,0,4))*INDEX('How This Works &amp; Sources'!$B$137:$J$139,0,4+2)))),IF($AN16="NY",IF($AU16="Married",IF($AZ16&gt;=2155350,IF($AZ16&gt;25000000,0.117,IF($AZ16&gt;5000000,0.111,0.1045)),SUMPRODUCT(($AZ16&gt;=INDEX('How This Works &amp; Sources'!$B$184:$J$198,0,1))*INDEX('How This Works &amp; Sources'!$B$184:$J$198,0,1+2))),IF($AZ16&gt;=1077550,IF($AZ16&gt;25000000,0.117,IF($AZ16&gt;5000000,0.111,0.1045)),SUMPRODUCT(($AZ16&gt;=INDEX('How This Works &amp; Sources'!$B$167:$J$179,0,7))*INDEX('How This Works &amp; Sources'!$B$167:$J$179,0,7+2)))),"")))))))</f>
      </c>
      <c r="CB16" s="24">
        <f>IF($B16="","",IF($AN16="CA",SUMPRODUCT(($AJ16&gt;=INDEX('How This Works &amp; Sources'!$B$39:$J$48,0,IF($AU16="Married",4,IF($AU16="Head of household",7,1))))*INDEX('How This Works &amp; Sources'!$B$39:$J$48,0,IF($AU16="Married",4,IF($AU16="Head of household",7,1))+2)),IF($AN16="HI",IF($AU16="Married",SUMPRODUCT(($AZ16&gt;=INDEX('How This Works &amp; Sources'!$B$91:$J$98,0,7))*INDEX('How This Works &amp; Sources'!$B$91:$J$98,0,7+2)),SUMPRODUCT(($AZ16&gt;=INDEX('How This Works &amp; Sources'!$B$91:$J$98,0,4))*INDEX('How This Works &amp; Sources'!$B$91:$J$98,0,4+2))),IF($AN16="MN",IF($AU16="Married",SUMPRODUCT(($AZ16&gt;=INDEX('How This Works &amp; Sources'!$B$114:$J$120,0,7))*INDEX('How This Works &amp; Sources'!$B$114:$J$120,0,7+2)),SUMPRODUCT(($AZ16&gt;=INDEX('How This Works &amp; Sources'!$B$114:$J$120,0,4))*INDEX('How This Works &amp; Sources'!$B$114:$J$120,0,4+2))),IF($AN16="MO",SUMPRODUCT(($AZ16&gt;=INDEX('How This Works &amp; Sources'!$B$125:$J$132,0,1))*INDEX('How This Works &amp; Sources'!$B$125:$J$132,0,1+2)),IF($AN16="NE",MAX(IF($AU16="Married",SUMPRODUCT(($AZ16&gt;=INDEX('How This Works &amp; Sources'!$B$144:$J$150,0,7))*INDEX('How This Works &amp; Sources'!$B$144:$J$150,0,7+2)),SUMPRODUCT(($AZ16&gt;=INDEX('How This Works &amp; Sources'!$B$144:$J$150,0,4))*INDEX('How This Works &amp; Sources'!$B$144:$J$150,0,4+2))),0.015),IF($AN16="OH",IF($B16&gt;=DATE(2026,8,1),SUMPRODUCT(($AZ16&gt;=INDEX('How This Works &amp; Sources'!$B$203:$J$206,0,1))*INDEX('How This Works &amp; Sources'!$B$203:$J$206,0,1+2)),SUMPRODUCT(($AZ16&gt;=INDEX('How This Works &amp; Sources'!$B$184:$J$198,0,7))*INDEX('How This Works &amp; Sources'!$B$184:$J$198,0,7+2))),IF($AN16="OK",IF($AU16="Married",SUMPRODUCT(($AZ16&gt;=INDEX('How This Works &amp; Sources'!$B$203:$J$206,0,7))*INDEX('How This Works &amp; Sources'!$B$203:$J$206,0,7+2)),SUMPRODUCT(($AZ16&gt;=INDEX('How This Works &amp; Sources'!$B$203:$J$206,0,4))*INDEX('How This Works &amp; Sources'!$B$203:$J$206,0,4+2))),IF($AN16="RI",SUMPRODUCT(($AZ16&gt;=INDEX('How This Works &amp; Sources'!$B$211:$J$214,0,7))*INDEX('How This Works &amp; Sources'!$B$211:$J$214,0,7+2)),IF($AN16="SC",SUMPRODUCT(($AZ16&gt;=INDEX('How This Works &amp; Sources'!$B$219:$J$223,0,1))*INDEX('How This Works &amp; Sources'!$B$219:$J$223,0,1+2)),IF($AN16="VT",IF($AU16="Married",SUMPRODUCT(($AZ16&gt;=INDEX('How This Works &amp; Sources'!$B$228:$J$232,0,1))*INDEX('How This Works &amp; Sources'!$B$228:$J$232,0,1+2)),SUMPRODUCT(($AZ16&gt;=INDEX('How This Works &amp; Sources'!$B$219:$J$223,0,7))*INDEX('How This Works &amp; Sources'!$B$219:$J$223,0,7+2))),IF($AN16="WV",IF($AU16="Married",SUMPRODUCT(($AZ16&gt;=INDEX('How This Works &amp; Sources'!$B$237:$J$241,0,7))*INDEX('How This Works &amp; Sources'!$B$237:$J$241,0,7+2)),SUMPRODUCT(($AZ16&gt;=INDEX('How This Works &amp; Sources'!$B$228:$J$232,0,7))*INDEX('How This Works &amp; Sources'!$B$228:$J$232,0,7+2))),IF($AN16="IN",(0.0295+'Your Pay &amp; Benefits'!$C$76),"")))))))))))))</f>
      </c>
      <c r="CC16" s="24">
        <f>IF($B16="","",IF($AN16="AR",SUMPRODUCT(($AZ16&gt;=INDEX('How This Works &amp; Sources'!$B$82:$J$86,0,7))*INDEX('How This Works &amp; Sources'!$B$82:$J$86,0,7+2)),IF($AN16="DE",SUMPRODUCT(($AZ16&gt;=INDEX('How This Works &amp; Sources'!$B$91:$J$98,0,1))*INDEX('How This Works &amp; Sources'!$B$91:$J$98,0,1+2)),IF($AN16="VA",SUMPRODUCT(($AZ16&gt;=INDEX('How This Works &amp; Sources'!$B$219:$J$223,0,4))*INDEX('How This Works &amp; Sources'!$B$219:$J$223,0,4+2)),IF($AN16="WI",SUMPRODUCT(($AZ16&gt;=INDEX('How This Works &amp; Sources'!$B$228:$J$232,0,4))*INDEX('How This Works &amp; Sources'!$B$228:$J$232,0,4+2)),IF($AN16="AZ",'Your Pay &amp; Benefits'!$C$82,IF($AN16="CO",IF($AY16&gt;IF($AU16="Married",10000,5000),0.044,0),IF($AN16="IA",IF($AY16&gt;IF($AU16="Head of household",19500,IF($AU16="Married",26000,13000)),0.038,0),IF($AN16="ID",IF($AY16&gt;IF($AU16="Married",32000,16094),0.053,0),IF($AN16="IL",IF($AY16&gt;(2925*$AS16+1000*$AT16),0.0495,0),IF($AN16="KY",IF($AI16&gt;3360,0.035,0),IF($AN16="LA",0.0309,IF($AN16="MA",IF(MAX(0,$AY16-MIN(($BD15+$Q16+$R16+$S16),2000)-IF($AS16=0,0,IF($AS16=1,4400,1000*$AS16+3400)))&gt;=1107750,0.09,0.05),IF($AN16="MS",IF($AI16-IF($AU16="Head of household",3400,IF($AU16="Married",4600,2300))-'Your Pay &amp; Benefits'!$C$85&gt;10000,0.04,0),IF($AN16="PA",0.0307,"")))))))))))))))</f>
      </c>
      <c r="CD16" s="21">
        <f>IF(YEAR(IF('Your Pay &amp; Benefits'!$C$7="Weekly",'Your Pay &amp; Benefits'!$C$9+7*(($BE15+1)-1),IF('Your Pay &amp; Benefits'!$C$7="Biweekly",'Your Pay &amp; Benefits'!$C$9+14*(($BE15+1)-1),IF('Your Pay &amp; Benefits'!$C$7="Semimonthly",DATE(YEAR('Your Pay &amp; Benefits'!$C$9),MONTH('Your Pay &amp; Benefits'!$C$9)+INT((($BE15+1)-1)/2),MIN(DAY('Your Pay &amp; Benefits'!$C$9),DAY(EOMONTH(DATE(YEAR('Your Pay &amp; Benefits'!$C$9),MONTH('Your Pay &amp; Benefits'!$C$9)+INT((($BE15+1)-1)/2),1),0))))+IF(MOD(($BE15+1)-1,2)=1,15,0),EDATE('Your Pay &amp; Benefits'!$C$9,($BE15+1)-1)))))&lt;&gt;'Your Pay &amp; Benefits'!$C$10,"",IF('Your Pay &amp; Benefits'!$C$7="Weekly",'Your Pay &amp; Benefits'!$C$9+7*(($BE15+1)-1),IF('Your Pay &amp; Benefits'!$C$7="Biweekly",'Your Pay &amp; Benefits'!$C$9+14*(($BE15+1)-1),IF('Your Pay &amp; Benefits'!$C$7="Semimonthly",DATE(YEAR('Your Pay &amp; Benefits'!$C$9),MONTH('Your Pay &amp; Benefits'!$C$9)+INT((($BE15+1)-1)/2),MIN(DAY('Your Pay &amp; Benefits'!$C$9),DAY(EOMONTH(DATE(YEAR('Your Pay &amp; Benefits'!$C$9),MONTH('Your Pay &amp; Benefits'!$C$9)+INT((($BE15+1)-1)/2),1),0))))+IF(MOD(($BE15+1)-1,2)=1,15,0),EDATE('Your Pay &amp; Benefits'!$C$9,($BE15+1)-1)))))</f>
      </c>
      <c r="CE16" s="21">
        <f>IF(MIN(IF(AND('Your Pay &amp; Benefits'!$C$58&gt;MAX($B$6:$B15),'Your Pay &amp; Benefits'!$C$58&gt;=DATE('Your Pay &amp; Benefits'!$C$10,1,1),'Your Pay &amp; Benefits'!$C$58&lt;=DATE('Your Pay &amp; Benefits'!$C$10,12,31)),'Your Pay &amp; Benefits'!$C$58,999999),IF(AND('Your Pay &amp; Benefits'!$C$59&gt;MAX($B$6:$B15),'Your Pay &amp; Benefits'!$C$59&gt;=DATE('Your Pay &amp; Benefits'!$C$10,1,1),'Your Pay &amp; Benefits'!$C$59&lt;=DATE('Your Pay &amp; Benefits'!$C$10,12,31)),'Your Pay &amp; Benefits'!$C$59,999999),IF(AND('Your Pay &amp; Benefits'!$C$60&gt;MAX($B$6:$B15),'Your Pay &amp; Benefits'!$C$60&gt;=DATE('Your Pay &amp; Benefits'!$C$10,1,1),'Your Pay &amp; Benefits'!$C$60&lt;=DATE('Your Pay &amp; Benefits'!$C$10,12,31)),'Your Pay &amp; Benefits'!$C$60,999999),IF(AND('Your Pay &amp; Benefits'!$C$61&gt;MAX($B$6:$B15),'Your Pay &amp; Benefits'!$C$61&gt;=DATE('Your Pay &amp; Benefits'!$C$10,1,1),'Your Pay &amp; Benefits'!$C$61&lt;=DATE('Your Pay &amp; Benefits'!$C$10,12,31)),'Your Pay &amp; Benefits'!$C$61,999999),IF(AND('Your Pay &amp; Benefits'!$C$62&gt;MAX($B$6:$B15),'Your Pay &amp; Benefits'!$C$62&gt;=DATE('Your Pay &amp; Benefits'!$C$10,1,1),'Your Pay &amp; Benefits'!$C$62&lt;=DATE('Your Pay &amp; Benefits'!$C$10,12,31)),'Your Pay &amp; Benefits'!$C$62,999999),IF(AND('Your Pay &amp; Benefits'!$C$63&gt;MAX($B$6:$B15),'Your Pay &amp; Benefits'!$C$63&gt;=DATE('Your Pay &amp; Benefits'!$C$10,1,1),'Your Pay &amp; Benefits'!$C$63&lt;=DATE('Your Pay &amp; Benefits'!$C$10,12,31)),'Your Pay &amp; Benefits'!$C$63,999999),IF(AND('Your Pay &amp; Benefits'!$C$64&gt;MAX($B$6:$B15),'Your Pay &amp; Benefits'!$C$64&gt;=DATE('Your Pay &amp; Benefits'!$C$10,1,1),'Your Pay &amp; Benefits'!$C$64&lt;=DATE('Your Pay &amp; Benefits'!$C$10,12,31)),'Your Pay &amp; Benefits'!$C$64,999999),IF(AND('Your Pay &amp; Benefits'!$C$65&gt;MAX($B$6:$B15),'Your Pay &amp; Benefits'!$C$65&gt;=DATE('Your Pay &amp; Benefits'!$C$10,1,1),'Your Pay &amp; Benefits'!$C$65&lt;=DATE('Your Pay &amp; Benefits'!$C$10,12,31)),'Your Pay &amp; Benefits'!$C$65,999999),IF(AND('Your Pay &amp; Benefits'!$C$66&gt;MAX($B$6:$B15),'Your Pay &amp; Benefits'!$C$66&gt;=DATE('Your Pay &amp; Benefits'!$C$10,1,1),'Your Pay &amp; Benefits'!$C$66&lt;=DATE('Your Pay &amp; Benefits'!$C$10,12,31)),'Your Pay &amp; Benefits'!$C$66,999999),IF(AND('Your Pay &amp; Benefits'!$C$67&gt;MAX($B$6:$B15),'Your Pay &amp; Benefits'!$C$67&gt;=DATE('Your Pay &amp; Benefits'!$C$10,1,1),'Your Pay &amp; Benefits'!$C$67&lt;=DATE('Your Pay &amp; Benefits'!$C$10,12,31)),'Your Pay &amp; Benefits'!$C$67,999999))=999999,"",MIN(IF(AND('Your Pay &amp; Benefits'!$C$58&gt;MAX($B$6:$B15),'Your Pay &amp; Benefits'!$C$58&gt;=DATE('Your Pay &amp; Benefits'!$C$10,1,1),'Your Pay &amp; Benefits'!$C$58&lt;=DATE('Your Pay &amp; Benefits'!$C$10,12,31)),'Your Pay &amp; Benefits'!$C$58,999999),IF(AND('Your Pay &amp; Benefits'!$C$59&gt;MAX($B$6:$B15),'Your Pay &amp; Benefits'!$C$59&gt;=DATE('Your Pay &amp; Benefits'!$C$10,1,1),'Your Pay &amp; Benefits'!$C$59&lt;=DATE('Your Pay &amp; Benefits'!$C$10,12,31)),'Your Pay &amp; Benefits'!$C$59,999999),IF(AND('Your Pay &amp; Benefits'!$C$60&gt;MAX($B$6:$B15),'Your Pay &amp; Benefits'!$C$60&gt;=DATE('Your Pay &amp; Benefits'!$C$10,1,1),'Your Pay &amp; Benefits'!$C$60&lt;=DATE('Your Pay &amp; Benefits'!$C$10,12,31)),'Your Pay &amp; Benefits'!$C$60,999999),IF(AND('Your Pay &amp; Benefits'!$C$61&gt;MAX($B$6:$B15),'Your Pay &amp; Benefits'!$C$61&gt;=DATE('Your Pay &amp; Benefits'!$C$10,1,1),'Your Pay &amp; Benefits'!$C$61&lt;=DATE('Your Pay &amp; Benefits'!$C$10,12,31)),'Your Pay &amp; Benefits'!$C$61,999999),IF(AND('Your Pay &amp; Benefits'!$C$62&gt;MAX($B$6:$B15),'Your Pay &amp; Benefits'!$C$62&gt;=DATE('Your Pay &amp; Benefits'!$C$10,1,1),'Your Pay &amp; Benefits'!$C$62&lt;=DATE('Your Pay &amp; Benefits'!$C$10,12,31)),'Your Pay &amp; Benefits'!$C$62,999999),IF(AND('Your Pay &amp; Benefits'!$C$63&gt;MAX($B$6:$B15),'Your Pay &amp; Benefits'!$C$63&gt;=DATE('Your Pay &amp; Benefits'!$C$10,1,1),'Your Pay &amp; Benefits'!$C$63&lt;=DATE('Your Pay &amp; Benefits'!$C$10,12,31)),'Your Pay &amp; Benefits'!$C$63,999999),IF(AND('Your Pay &amp; Benefits'!$C$64&gt;MAX($B$6:$B15),'Your Pay &amp; Benefits'!$C$64&gt;=DATE('Your Pay &amp; Benefits'!$C$10,1,1),'Your Pay &amp; Benefits'!$C$64&lt;=DATE('Your Pay &amp; Benefits'!$C$10,12,31)),'Your Pay &amp; Benefits'!$C$64,999999),IF(AND('Your Pay &amp; Benefits'!$C$65&gt;MAX($B$6:$B15),'Your Pay &amp; Benefits'!$C$65&gt;=DATE('Your Pay &amp; Benefits'!$C$10,1,1),'Your Pay &amp; Benefits'!$C$65&lt;=DATE('Your Pay &amp; Benefits'!$C$10,12,31)),'Your Pay &amp; Benefits'!$C$65,999999),IF(AND('Your Pay &amp; Benefits'!$C$66&gt;MAX($B$6:$B15),'Your Pay &amp; Benefits'!$C$66&gt;=DATE('Your Pay &amp; Benefits'!$C$10,1,1),'Your Pay &amp; Benefits'!$C$66&lt;=DATE('Your Pay &amp; Benefits'!$C$10,12,31)),'Your Pay &amp; Benefits'!$C$66,999999),IF(AND('Your Pay &amp; Benefits'!$C$67&gt;MAX($B$6:$B15),'Your Pay &amp; Benefits'!$C$67&gt;=DATE('Your Pay &amp; Benefits'!$C$10,1,1),'Your Pay &amp; Benefits'!$C$67&lt;=DATE('Your Pay &amp; Benefits'!$C$10,12,31)),'Your Pay &amp; Benefits'!$C$67,999999)))</f>
      </c>
      <c r="CF16">
        <f>IF($B16="","",IF($D16=0,$Y16,""))</f>
      </c>
    </row>
    <row r="17">
      <c r="A17" t="n">
        <v>12</v>
      </c>
      <c r="B17" s="21">
        <f>IF(AND($CD17="",$CE17=""),"",IF($CE17="",$CD17,IF($CD17="",$CE17,MIN($CD17,$CE17))))</f>
      </c>
      <c r="C17" s="7">
        <f>IF($B17="","",IF($BF17=0,0,IF('Your Pay &amp; Benefits'!$C$4="Annual salary",ROUND($AK17/IF(AND('Your Pay &amp; Benefits'!$C$88="Actual paydays",MONTH('Your Pay &amp; Benefits'!$C$9)=1),MAX(1,MAX($BE$6:$BE$68)),'Your Pay &amp; Benefits'!$C$8),2),$AK17)))</f>
      </c>
      <c r="D17" s="7">
        <f>IF($B17="","",SUMIF('Your Pay &amp; Benefits'!$C$58:$C$67,$B17,'Your Pay &amp; Benefits'!$D$58:$D$67))</f>
      </c>
      <c r="E17" s="7">
        <f>IF($B17="","",ROUND(MAX(0,MIN(IF($AL17="Percent",$AM17*($C17+$D17),$AM17),MAX(0,'Your Pay &amp; Benefits'!$C$34-$AC16))),2))</f>
      </c>
      <c r="F17" s="7">
        <f>IF($B17="","",ROUND(MAX(0,MIN(IF('Your Pay &amp; Benefits'!$C$32="Percent",'Your Pay &amp; Benefits'!$D$32*($C17+$D17),'Your Pay &amp; Benefits'!$D$32),MAX(0,'Your Pay &amp; Benefits'!$C$34-$AC16-$E17))),2))</f>
      </c>
      <c r="G17" s="7">
        <f>IF($B17="","",IF($BF17=0,0,ROUND(MAX(0,MIN($BL17,'Your Pay &amp; Benefits'!$C$37-'Your Pay &amp; Benefits'!$C$54-$BI16)),2)))</f>
      </c>
      <c r="H17" s="7">
        <f>IF($B17="","",IF(OR($BF17=0,$BQ17=1),0,ROUND(MAX(0,MIN(IF($BS17=1,ROUND(MAX(0,MIN($BJ17,'How This Works &amp; Sources'!$C$13)-$BG16)/MAX(1,MAX($BE$6:$BE$68)-($BE16)),2),ROUND(MIN($BJ17,'How This Works &amp; Sources'!$C$13)/'Your Pay &amp; Benefits'!$C$8,2)),MIN($BJ17,'How This Works &amp; Sources'!$C$13)-$BG16)),2)))</f>
      </c>
      <c r="I17" s="7">
        <f>IF($B17="","",IF(OR($BF17=0,$BR17=1),0,ROUND(MAX(0,MIN(IF($BT17=1,ROUND(MAX(0,MIN($BK17,IF('Your Pay &amp; Benefits'!$C$12="MFJ",'How This Works &amp; Sources'!$C$14,'How This Works &amp; Sources'!$C$15))-$BH16)/MAX(1,MAX($BE$6:$BE$68)-($BE16)),2),ROUND(MIN($BK17,IF('Your Pay &amp; Benefits'!$C$12="MFJ",'How This Works &amp; Sources'!$C$14,'How This Works &amp; Sources'!$C$15))/'Your Pay &amp; Benefits'!$C$8,2)),MIN($BK17,IF('Your Pay &amp; Benefits'!$C$12="MFJ",'How This Works &amp; Sources'!$C$14,'How This Works &amp; Sources'!$C$15))-$BH16)),2)))</f>
      </c>
      <c r="J17" s="7">
        <f>IF($B17="","",IF($BF17=0,0,$BM17))</f>
      </c>
      <c r="K17" s="7">
        <f>IF($B17="","",IF($BF17=0,0,$BN17+$BO17))</f>
      </c>
      <c r="L17" s="7">
        <f>IF($B17="","",IF($BF17=0,0,'Your Pay &amp; Benefits'!$D$46))</f>
      </c>
      <c r="M17" s="7">
        <f>IF($B17="","",$C17+$D17+$L17-$E17-$G17-$H17-$I17-$J17-$K17)</f>
      </c>
      <c r="N17" s="7">
        <f>IF($B17="","",$C17+$D17+$L17-$G17-$H17-$I17-$J17-$K17)</f>
      </c>
      <c r="O17" s="7">
        <f>IF($B17="","",$C17+$D17+$L17-$E17-$H17-$I17-$J17-$K17-IF(OR($AN17="CA",$AN17="NJ"),0,$G17))</f>
      </c>
      <c r="P17" s="7">
        <f>IF($B17="","",IF('Your Pay &amp; Benefits'!$C$18,0,ROUND(MAX(0,IF('Your Pay &amp; Benefits'!$C$13,SUMPRODUCT(($AH17&gt;INDEX('How This Works &amp; Sources'!$B$29:$J$36,0,IF('Your Pay &amp; Benefits'!$C$12="MFJ",1,IF('Your Pay &amp; Benefits'!$C$12="HoH",7,4))))*($AH17-INDEX('How This Works &amp; Sources'!$B$29:$J$36,0,IF('Your Pay &amp; Benefits'!$C$12="MFJ",1,IF('Your Pay &amp; Benefits'!$C$12="HoH",7,4))))*INDEX('How This Works &amp; Sources'!$B$29:$J$36,0,IF('Your Pay &amp; Benefits'!$C$12="MFJ",1,IF('Your Pay &amp; Benefits'!$C$12="HoH",7,4))+2)),SUMPRODUCT(($AH17&gt;INDEX('How This Works &amp; Sources'!$B$19:$J$26,0,IF('Your Pay &amp; Benefits'!$C$12="MFJ",1,IF('Your Pay &amp; Benefits'!$C$12="HoH",7,4))))*($AH17-INDEX('How This Works &amp; Sources'!$B$19:$J$26,0,IF('Your Pay &amp; Benefits'!$C$12="MFJ",1,IF('Your Pay &amp; Benefits'!$C$12="HoH",7,4))))*INDEX('How This Works &amp; Sources'!$B$19:$J$26,0,IF('Your Pay &amp; Benefits'!$C$12="MFJ",1,IF('Your Pay &amp; Benefits'!$C$12="HoH",7,4))+2)))/'Your Pay &amp; Benefits'!$C$8-$AO17/'Your Pay &amp; Benefits'!$C$8)+$AR17+IF('Your Pay &amp; Benefits'!$C$89="Aggregate",MAX(0,IF('Your Pay &amp; Benefits'!$C$13,SUMPRODUCT((($AH17+$D17)&gt;INDEX('How This Works &amp; Sources'!$B$29:$J$36,0,IF('Your Pay &amp; Benefits'!$C$12="MFJ",1,IF('Your Pay &amp; Benefits'!$C$12="HoH",7,4))))*(($AH17+$D17)-INDEX('How This Works &amp; Sources'!$B$29:$J$36,0,IF('Your Pay &amp; Benefits'!$C$12="MFJ",1,IF('Your Pay &amp; Benefits'!$C$12="HoH",7,4))))*INDEX('How This Works &amp; Sources'!$B$29:$J$36,0,IF('Your Pay &amp; Benefits'!$C$12="MFJ",1,IF('Your Pay &amp; Benefits'!$C$12="HoH",7,4))+2)),SUMPRODUCT((($AH17+$D17)&gt;INDEX('How This Works &amp; Sources'!$B$19:$J$26,0,IF('Your Pay &amp; Benefits'!$C$12="MFJ",1,IF('Your Pay &amp; Benefits'!$C$12="HoH",7,4))))*(($AH17+$D17)-INDEX('How This Works &amp; Sources'!$B$19:$J$26,0,IF('Your Pay &amp; Benefits'!$C$12="MFJ",1,IF('Your Pay &amp; Benefits'!$C$12="HoH",7,4))))*INDEX('How This Works &amp; Sources'!$B$19:$J$26,0,IF('Your Pay &amp; Benefits'!$C$12="MFJ",1,IF('Your Pay &amp; Benefits'!$C$12="HoH",7,4))+2)))-IF('Your Pay &amp; Benefits'!$C$13,SUMPRODUCT(($AH17&gt;INDEX('How This Works &amp; Sources'!$B$29:$J$36,0,IF('Your Pay &amp; Benefits'!$C$12="MFJ",1,IF('Your Pay &amp; Benefits'!$C$12="HoH",7,4))))*($AH17-INDEX('How This Works &amp; Sources'!$B$29:$J$36,0,IF('Your Pay &amp; Benefits'!$C$12="MFJ",1,IF('Your Pay &amp; Benefits'!$C$12="HoH",7,4))))*INDEX('How This Works &amp; Sources'!$B$29:$J$36,0,IF('Your Pay &amp; Benefits'!$C$12="MFJ",1,IF('Your Pay &amp; Benefits'!$C$12="HoH",7,4))+2)),SUMPRODUCT(($AH17&gt;INDEX('How This Works &amp; Sources'!$B$19:$J$26,0,IF('Your Pay &amp; Benefits'!$C$12="MFJ",1,IF('Your Pay &amp; Benefits'!$C$12="HoH",7,4))))*($AH17-INDEX('How This Works &amp; Sources'!$B$19:$J$26,0,IF('Your Pay &amp; Benefits'!$C$12="MFJ",1,IF('Your Pay &amp; Benefits'!$C$12="HoH",7,4))))*INDEX('How This Works &amp; Sources'!$B$19:$J$26,0,IF('Your Pay &amp; Benefits'!$C$12="MFJ",1,IF('Your Pay &amp; Benefits'!$C$12="HoH",7,4))+2)))),'How This Works &amp; Sources'!$C$10*$D17),2)))</f>
      </c>
      <c r="Q17" s="7">
        <f>IF($B17="","",ROUND('How This Works &amp; Sources'!$C$4*MIN($N17,MAX(0,'How This Works &amp; Sources'!$C$3-($AX17+$AB16-$AW17))),2))</f>
      </c>
      <c r="R17" s="7">
        <f>IF($B17="","",ROUND('How This Works &amp; Sources'!$C$5*$N17,2))</f>
      </c>
      <c r="S17" s="7">
        <f>IF($B17="","",ROUND('How This Works &amp; Sources'!$C$6*MAX(0,MIN($N17,$AG16+$N17-'How This Works &amp; Sources'!$C$7)),2))</f>
      </c>
      <c r="T17" s="7">
        <f>IF($B17="","",IF('Your Pay &amp; Benefits'!$C$26,0,IF($AN17="CA",ROUND(IF($AI17&lt;=IF(($AS17+$AT17)&gt;=2,VLOOKUP($AN17,StateTables!$A$6:$AB$56,10,FALSE),VLOOKUP($AN17,StateTables!$A$6:$AB$56,9,FALSE)),0,MAX(0,SUMPRODUCT(($AJ17&gt;INDEX('How This Works &amp; Sources'!$B$39:$J$48,0,IF($AU17="Married",4,IF($AU17="Head of household",7,1))))*($AJ17-INDEX('How This Works &amp; Sources'!$B$39:$J$48,0,IF($AU17="Married",4,IF($AU17="Head of household",7,1))))*INDEX('How This Works &amp; Sources'!$B$39:$J$48,0,IF($AU17="Married",4,IF($AU17="Head of household",7,1))+2))-VLOOKUP($AN17,StateTables!$A$6:$AB$56,11,FALSE)*$AS17)/'Your Pay &amp; Benefits'!$C$8)+'Your Pay &amp; Benefits'!$C$25+VLOOKUP($AN17,StateTables!$A$6:$AB$56,13,FALSE)*$D17,2),IF(VLOOKUP($AN17,StateTables!$A$6:$AB$56,4,FALSE)="None",0,IF(ISNUMBER(SEARCH("MANUAL",VLOOKUP($AN17,StateTables!$A$6:$AB$56,5,FALSE))),'Your Pay &amp; Benefits'!$C$28,ROUND(MAX(0,$BA17+$BB17)/'Your Pay &amp; Benefits'!$C$8+'Your Pay &amp; Benefits'!$C$25+$BC17,2))))))</f>
      </c>
      <c r="U17" s="7">
        <f>IF($B17="","",IF(VLOOKUP($AN17,StateTables!$A$6:$AB$56,24,FALSE)="flatq",IF(OR(MONTH($B17)=1,MONTH($B17)=4,MONTH($B17)=7,MONTH($B17)=10),VLOOKUP($AN17,StateTables!$A$6:$AB$56,25,FALSE),0),IF(VLOOKUP($AN17,StateTables!$A$6:$AB$56,24,FALSE)="dbl",MIN(ROUND(0.005*$N17,2),ROUND(0.6*52/'Your Pay &amp; Benefits'!$C$8,2)),IF(OR(VLOOKUP($AN17,StateTables!$A$6:$AB$56,15,FALSE)="",VLOOKUP($AN17,StateTables!$A$6:$AB$56,15,FALSE)=0),0,ROUND(VLOOKUP($AN17,StateTables!$A$6:$AB$56,15,FALSE)*IF(OR(VLOOKUP($AN17,StateTables!$A$6:$AB$56,16,FALSE)="",VLOOKUP($AN17,StateTables!$A$6:$AB$56,16,FALSE)=0),$N17,MIN($N17,MAX(0,VLOOKUP($AN17,StateTables!$A$6:$AB$56,16,FALSE)-($AX17+$AB16-$AW17)))),2))))+IF(VLOOKUP($AN17,StateTables!$A$6:$AB$56,27,FALSE)="flatq",IF(OR(MONTH($B17)=1,MONTH($B17)=4,MONTH($B17)=7,MONTH($B17)=10),VLOOKUP($AN17,StateTables!$A$6:$AB$56,28,FALSE),0),IF(VLOOKUP($AN17,StateTables!$A$6:$AB$56,27,FALSE)="dbl",MIN(ROUND(0.005*$N17,2),ROUND(0.6*52/'Your Pay &amp; Benefits'!$C$8,2)),IF(OR(VLOOKUP($AN17,StateTables!$A$6:$AB$56,18,FALSE)="",VLOOKUP($AN17,StateTables!$A$6:$AB$56,18,FALSE)=0),0,ROUND(VLOOKUP($AN17,StateTables!$A$6:$AB$56,18,FALSE)*IF(OR(VLOOKUP($AN17,StateTables!$A$6:$AB$56,19,FALSE)="",VLOOKUP($AN17,StateTables!$A$6:$AB$56,19,FALSE)=0),$N17,MIN($N17,MAX(0,VLOOKUP($AN17,StateTables!$A$6:$AB$56,19,FALSE)-($AX17+$AB16-$AW17)))),2)))))</f>
      </c>
      <c r="V17" s="7">
        <f>IF($B17="","",IF($AN17="NY",IF('Your Pay &amp; Benefits'!$C$78,ROUND(SUMPRODUCT((MAX(0,($O17-$D17)*'Your Pay &amp; Benefits'!$C$8-(IF($AU17="Married",5500,5000)+1000*$AS17))&gt;INDEX('How This Works &amp; Sources'!$B$184:$J$198,0,4))*(MAX(0,($O17-$D17)*'Your Pay &amp; Benefits'!$C$8-(IF($AU17="Married",5500,5000)+1000*$AS17))-INDEX('How This Works &amp; Sources'!$B$184:$J$198,0,4))*INDEX('How This Works &amp; Sources'!$B$184:$J$198,0,4+2))/'Your Pay &amp; Benefits'!$C$8+0.0425*$D17,2),0)+IF('Your Pay &amp; Benefits'!$C$79="Resident",ROUND(0.1675*$T17,2),IF('Your Pay &amp; Benefits'!$C$79="Nonresident",ROUND(0.005*MAX(0,($O17-$D17)-(IF($AU17="Married",7950,7400)+1000*$AS17)/'Your Pay &amp; Benefits'!$C$8),2),0)),IF($AN17="PA",IF('Your Pay &amp; Benefits'!$C$80="None",'Your Pay &amp; Benefits'!$C$27+ROUND('Your Pay &amp; Benefits'!$C$81*($C17+$D17),2),ROUND(IF('Your Pay &amp; Benefits'!$C$80="Resident",IF($B17&lt;DATE(2026,7,1),0.0374,0.03735),IF($B17&lt;DATE(2026,7,1),0.0343,0.03425))*($C17+$D17),2)),IF($BF17=0,ROUND('Your Pay &amp; Benefits'!$C$81*($C17+$D17),2),'Your Pay &amp; Benefits'!$C$27+ROUND('Your Pay &amp; Benefits'!$C$81*($C17+$D17),2)))))</f>
      </c>
      <c r="W17" s="7">
        <f>IF($B17="","",IF($BF17=0,0,$BP17))</f>
      </c>
      <c r="X17" s="7">
        <f>IF($B17="","",SUM($E17:$K17)+$P17+$Q17+$R17+$S17+$T17+$U17+$V17+$W17)</f>
      </c>
      <c r="Y17" s="22">
        <f>IF($B17="","",$C17+$D17-$X17)</f>
      </c>
      <c r="Z17" s="7">
        <f>IF($B17="","",$Z16+$C17+$D17)</f>
      </c>
      <c r="AA17" s="7">
        <f>IF($B17="","",$AA16+$Y17)</f>
      </c>
      <c r="AB17" s="7">
        <f>IF($B17="","",$AB16+MIN($N17,MAX(0,'How This Works &amp; Sources'!$C$3-($AX17+$AB16-$AW17))))</f>
      </c>
      <c r="AC17" s="7">
        <f>IF($B17="","",$AC16+$E17+$F17)</f>
      </c>
      <c r="AD17" s="3">
        <f>IF($B17="","",IF(AND($AB16&lt;'How This Works &amp; Sources'!$C$3,$AB17&gt;='How This Works &amp; Sources'!$C$3),"★ Social Security maxed on this check — from the next check your net rises by about $"&amp;TEXT(ROUND('How This Works &amp; Sources'!$C$4*$N17,2),"#,##0.00")&amp;". ","")&amp;IF(AND($AC16&lt;'Your Pay &amp; Benefits'!$C$34,$AC17&gt;='Your Pay &amp; Benefits'!$C$34),"★ 401(k) reaches the $"&amp;TEXT('Your Pay &amp; Benefits'!$C$34,"#,##0")&amp;" cap on this check — deferrals stop and net pay rises. ","")&amp;IF(AND($AG16&lt;'How This Works &amp; Sources'!$C$7,$AG17&gt;='How This Works &amp; Sources'!$C$7),"★ Wages pass $200,000 — the 0.9% Additional Medicare Tax starts here. ","")&amp;IF(AND($BJ17&gt;0,$H17&gt;0,$BG16&lt;MIN($BJ17,'How This Works &amp; Sources'!$C$13),$BG16+$H17&gt;=MIN($BJ17,'How This Works &amp; Sources'!$C$13)),"★ Health FSA election is now fully deferred for the year. ",""))</f>
      </c>
      <c r="AE17" s="41" t="n"/>
      <c r="AF17" s="7">
        <f>IF(OR($B17="",$AE17=""),"",$AE17-$Y17)</f>
      </c>
      <c r="AG17" s="7">
        <f>IF($B17="","",$AG16+$N17)</f>
      </c>
      <c r="AH17" s="7">
        <f>IF($B17="","",MAX(0,($M17-$D17)*'Your Pay &amp; Benefits'!$C$8+$AP17-$AQ17-IF('Your Pay &amp; Benefits'!$C$13,0,IF('Your Pay &amp; Benefits'!$C$12="MFJ",'How This Works &amp; Sources'!$C$8,'How This Works &amp; Sources'!$C$9))))</f>
      </c>
      <c r="AI17" s="7">
        <f>IF($B17="","",$O17*'Your Pay &amp; Benefits'!$C$8)</f>
      </c>
      <c r="AJ17" s="7">
        <f>IF($B17="","",MAX(0,$AI17-VLOOKUP($AN17,StateTables!$A$6:$AB$56,12,FALSE)*$AT17-IF(($AS17+$AT17)&gt;=2,VLOOKUP($AN17,StateTables!$A$6:$AB$56,8,FALSE),VLOOKUP($AN17,StateTables!$A$6:$AB$56,7,FALSE))))</f>
      </c>
      <c r="AK17" s="7">
        <f>IF($B17="","",IFERROR(LOOKUP(2,1/(('Changes &amp; Events'!$C$6:$C$17="Salary change")*('Changes &amp; Events'!$B$6:$B$17&lt;=$B17)*('Changes &amp; Events'!$B$6:$B$17&lt;&gt;"")),'Changes &amp; Events'!$D$6:$D$17),IF('Your Pay &amp; Benefits'!$C$4="Annual salary",'Your Pay &amp; Benefits'!$C$5,'Your Pay &amp; Benefits'!$C$6)))</f>
      </c>
      <c r="AL17">
        <f>IF($B17="","",IFERROR(LOOKUP(2,1/(('Changes &amp; Events'!$C$6:$C$17="401(k) change")*('Changes &amp; Events'!$B$6:$B$17&lt;=$B17)*('Changes &amp; Events'!$B$6:$B$17&lt;&gt;"")),'Changes &amp; Events'!$D$6:$D$17),'Your Pay &amp; Benefits'!$C$30))</f>
      </c>
      <c r="AM17" s="7">
        <f>IF($B17="","",IFERROR(LOOKUP(2,1/(('Changes &amp; Events'!$C$6:$C$17="401(k) change")*('Changes &amp; Events'!$B$6:$B$17&lt;=$B17)*('Changes &amp; Events'!$B$6:$B$17&lt;&gt;"")),'Changes &amp; Events'!$E$6:$E$17),'Your Pay &amp; Benefits'!$D$31))</f>
      </c>
      <c r="AN17">
        <f>IF($B17="","",IFERROR(LOOKUP(2,1/(('Changes &amp; Events'!$C$6:$C$17="State move")*('Changes &amp; Events'!$B$6:$B$17&lt;=$B17)*('Changes &amp; Events'!$B$6:$B$17&lt;&gt;"")),'Changes &amp; Events'!$D$6:$D$17),'Your Pay &amp; Benefits'!$C$21))</f>
      </c>
      <c r="AO17" s="7">
        <f>IF($B17="","",IFERROR(LOOKUP(2,1/(('Changes &amp; Events'!$C$6:$C$17="W-4 change")*('Changes &amp; Events'!$B$6:$B$17&lt;=$B17)*('Changes &amp; Events'!$B$6:$B$17&lt;&gt;"")),'Changes &amp; Events'!$D$6:$D$17),'Your Pay &amp; Benefits'!$C$14))</f>
      </c>
      <c r="AP17" s="7">
        <f>IF($B17="","",IFERROR(LOOKUP(2,1/(('Changes &amp; Events'!$C$6:$C$17="W-4 change")*('Changes &amp; Events'!$B$6:$B$17&lt;=$B17)*('Changes &amp; Events'!$B$6:$B$17&lt;&gt;"")),'Changes &amp; Events'!$E$6:$E$17),'Your Pay &amp; Benefits'!$C$15))</f>
      </c>
      <c r="AQ17" s="7">
        <f>IF($B17="","",IFERROR(LOOKUP(2,1/(('Changes &amp; Events'!$C$6:$C$17="W-4 change")*('Changes &amp; Events'!$B$6:$B$17&lt;=$B17)*('Changes &amp; Events'!$B$6:$B$17&lt;&gt;"")),'Changes &amp; Events'!$F$6:$F$17),'Your Pay &amp; Benefits'!$C$16))</f>
      </c>
      <c r="AR17" s="7">
        <f>IF($B17="","",IFERROR(LOOKUP(2,1/(('Changes &amp; Events'!$C$6:$C$17="W-4 change")*('Changes &amp; Events'!$B$6:$B$17&lt;=$B17)*('Changes &amp; Events'!$B$6:$B$17&lt;&gt;"")),'Changes &amp; Events'!$G$6:$G$17),'Your Pay &amp; Benefits'!$C$17))</f>
      </c>
      <c r="AS17" s="6">
        <f>IF($B17="","",IFERROR(LOOKUP(2,1/((('Changes &amp; Events'!$C$6:$C$17="State move")+('Changes &amp; Events'!$C$6:$C$17="State cert change"))*('Changes &amp; Events'!$B$6:$B$17&lt;=$B17)*('Changes &amp; Events'!$B$6:$B$17&lt;&gt;"")),'Changes &amp; Events'!$F$6:$F$17),'Your Pay &amp; Benefits'!$C$23))</f>
      </c>
      <c r="AT17" s="6">
        <f>IF($B17="","",IFERROR(LOOKUP(2,1/((('Changes &amp; Events'!$C$6:$C$17="State move")+('Changes &amp; Events'!$C$6:$C$17="State cert change"))*('Changes &amp; Events'!$B$6:$B$17&lt;=$B17)*('Changes &amp; Events'!$B$6:$B$17&lt;&gt;"")),'Changes &amp; Events'!$G$6:$G$17),'Your Pay &amp; Benefits'!$C$24))</f>
      </c>
      <c r="AU17">
        <f>IF($B17="","",IFERROR(LOOKUP(2,1/(('Changes &amp; Events'!$C$6:$C$17="State move")*('Changes &amp; Events'!$B$6:$B$17&lt;=$B17)*('Changes &amp; Events'!$B$6:$B$17&lt;&gt;"")),'Changes &amp; Events'!$E$6:$E$17),'Your Pay &amp; Benefits'!$C$22))</f>
      </c>
      <c r="AV17" s="6">
        <f>IF($B17="","",1+COUNTIFS('Changes &amp; Events'!$C$6:$C$17,"Employer change",'Changes &amp; Events'!$B$6:$B$17,"&lt;="&amp;$B17,'Changes &amp; Events'!$B$6:$B$17,"&lt;&gt;"))</f>
      </c>
      <c r="AW17" s="7">
        <f>IF($B17="","",IF($AV17=1,'Your Pay &amp; Benefits'!$C$49,IF(IFERROR(MATCH(IFERROR(LOOKUP(2,1/(('Changes &amp; Events'!$C$6:$C$17="Employer change")*('Changes &amp; Events'!$B$6:$B$17&lt;=$B17)*('Changes &amp; Events'!$B$6:$B$17&lt;&gt;"")),'Changes &amp; Events'!$B$6:$B$17),""),$B$6:$B$68,1),1)&lt;=1,'Your Pay &amp; Benefits'!$C$49,INDEX($AB$6:$AB$68,MATCH(IFERROR(LOOKUP(2,1/(('Changes &amp; Events'!$C$6:$C$17="Employer change")*('Changes &amp; Events'!$B$6:$B$17&lt;=$B17)*('Changes &amp; Events'!$B$6:$B$17&lt;&gt;"")),'Changes &amp; Events'!$B$6:$B$17),""),$B$6:$B$68,1)-1))))</f>
      </c>
      <c r="AX17" s="7">
        <f>IF($B17="","",IF($AV17=1,'Your Pay &amp; Benefits'!$C$49,IFERROR(LOOKUP(2,1/(('Changes &amp; Events'!$C$6:$C$17="Employer change")*('Changes &amp; Events'!$B$6:$B$17&lt;=$B17)*('Changes &amp; Events'!$B$6:$B$17&lt;&gt;"")),'Changes &amp; Events'!$D$6:$D$17),0)))</f>
      </c>
      <c r="AY17" s="7">
        <f>IF($B17="","",($O17-$D17)*'Your Pay &amp; Benefits'!$C$8)</f>
      </c>
      <c r="AZ17" s="7">
        <f>IF($B17="","",IF($AN17="AL",MAX(0,$AY17-IF($AU17="Married",IF($AY17&lt;=25999,8500,MAX(5000,8500-175*CEILING(($AY17-25999)/500,1))),IF($AU17="Head of household",IF($AY17&lt;=25999,5200,MAX(2500,5200-135*CEILING(($AY17-25999)/500,1))),IF($AY17&lt;=25999,3000,MAX(2500,3000-25*CEILING(($AY17-25999)/500,1)))))-($P17-'How This Works &amp; Sources'!$C$10*$D17)*'Your Pay &amp; Benefits'!$C$8-IF(OR($AU17="Married",$AU17="Head of household"),3000,1500)-$AT17*IF($AY17&lt;=50000,1000,IF($AY17&lt;=100000,500,300))),IF($AN17="AR",IF(MAX(0,$AY17-2470)&lt;97701,INT(MAX(0,$AY17-2470)/100)*100+50,MAX(0,$AY17-2470)),IF($AN17="DE",MAX(0,$AI17-3250),IF($AN17="HI",MAX(0,$AI17-1144*$AS17-4350),IF($AN17="KS",MAX(0,$AI17-(9160*IF($AU17="Married",2,1)+2320*$AT17+IF($AU17="Head of household",2320,0))),IF($AN17="MD",MAX(0,$AI17-3400-3200*$AS17),IF($AN17="MN",MAX(0,$AY17-5300*$AS17),IF($AN17="MO",MAX(0,$AI17-IF($AU17="Head of household",24150,IF($AU17="Married",IF('Your Pay &amp; Benefits'!$C$83,16100,32200),16100))),IF($AN17="MT",$AY17,IF($AN17="ND",($C17+$L17)*'Your Pay &amp; Benefits'!$C$8,IF($AN17="NE",MAX(0,$AY17-2440*$AS17),IF($AN17="NJ",MAX(0,$AY17-1000*$AS17),IF($AN17="NY",MAX(0,$AY17-(IF($AU17="Married",7950,7400)+1000*$AS17)),IF($AN17="OH",MAX(0,$AY17-650*$AS17),IF($AN17="OK",MAX(0,$AY17-1000*$AS17),IF($AN17="RI",MAX(0,$AI17-1000*$AS17),IF($AN17="SC",MAX(0,$AI17-5000*$AS17-IF($AS17=0,0,MIN(0.1*$AI17,7500))),IF($AN17="VA",MAX(0,$AI17-IF($AU17="Married",17500,8750)-930*$AS17-800*$AT17),IF($AN17="VT",MAX(0,$AI17-5400*$AS17),IF($AN17="WI",MAX(0,$AI17-MAX(0,IF($AU17="Married",9461-0.2*MAX(0,$AI17-25727),6702-0.12*MAX(0,$AI17-17780)))-400*$AS17),IF($AN17="WV",MAX(0,$AI17-2000*$AS17),$AI17))))))))))))))))))))))</f>
      </c>
      <c r="BA17" s="7">
        <f>IF($B17="","",IF($BW17&lt;&gt;"",$BW17,IF($BX17&lt;&gt;"",$BX17,IF($BY17&lt;&gt;"",$BY17,0))))</f>
      </c>
      <c r="BB17" s="7">
        <f>IF($B17="","",IF($AN17="AR",-29*$AS17,IF($AN17="DE",-110*$AS17,IF($AN17="MD",$AZ17*'Your Pay &amp; Benefits'!$C$74,IF($AN17="AZ",'Your Pay &amp; Benefits'!$C$82*($M17-$D17)*'Your Pay &amp; Benefits'!$C$8,IF($AN17="CO",0.044*MAX(0,$AY17-IF($AU17="Married",10000,5000)),IF($AN17="IA",MAX(0,0.038*MAX(0,$AY17-IF($AU17="Head of household",19500,IF($AU17="Married",26000,13000)))-40*$AS17),IF($AN17="ID",0.053*MAX(0,$AY17-IF($AU17="Married",32000,16094)),IF($AN17="IL",0.0495*MAX(0,$AY17-(2925*$AS17+1000*$AT17)),IF($AN17="IN",(0.0295+'Your Pay &amp; Benefits'!$C$76)*MAX(0,$AY17-(1000*$AS17+1500*$AT17+3000*'Your Pay &amp; Benefits'!$C$86)),IF($AN17="KY",0.035*MAX(0,$AI17-3360),IF($AN17="LA",IF('Your Pay &amp; Benefits'!$C$84="0",0.0309*$AI17,0.0309*MAX(0,$AI17-IF('Your Pay &amp; Benefits'!$C$84="2",25750,12875))),IF($AN17="MA",0.05*MIN(MAX(0,$AY17-MIN(($BD16+$Q17+$R17+$S17),2000)-IF($AS17=0,0,IF($AS17=1,4400,1000*$AS17+3400))),1107750)+0.09*MAX(0,MAX(0,$AY17-MIN(($BD16+$Q17+$R17+$S17),2000)-IF($AS17=0,0,IF($AS17=1,4400,1000*$AS17+3400)))-1107750)-IF($AU17="Head of household",120,0)-110*'Your Pay &amp; Benefits'!$C$75,IF($AN17="MI",0.0425*MAX(0,$AY17-5900*$AS17),IF($AN17="MS",0.04*MAX(0,$AI17-IF($AU17="Head of household",3400,IF($AU17="Married",4600,2300))-'Your Pay &amp; Benefits'!$C$85-10000),IF($AN17="OR",IF(OR($AU17="Married",AND($AU17="Single",$AS17&gt;=3)),SUMPRODUCT((MAX(0,$AY17-MIN(($P17-'How This Works &amp; Sources'!$C$10*$D17)*'Your Pay &amp; Benefits'!$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Sources'!$B$211:$J$214,0,4))*(MAX(0,$AY17-MIN(($P17-'How This Works &amp; Sources'!$C$10*$D17)*'Your Pay &amp; Benefits'!$C$8,IF(OR($AU17="Married",AND($AU17="Single",$AS17&gt;=3)),IF($AY17&lt;250000,8750,IF($AY17&lt;260000,7000,IF($AY17&lt;270000,5250,IF($AY17&lt;280000,3500,IF($AY17&lt;290000,1750,0))))),IF($AY17&lt;125000,8750,IF($AY17&lt;130000,7000,IF($AY17&lt;135000,5250,IF($AY17&lt;140000,3500,IF($AY17&lt;145000,1750,0)))))))-IF(OR($AU17="Married",AND($AU17="Single",$AS17&gt;=3)),5820,2910))-INDEX('How This Works &amp; Sources'!$B$211:$J$214,0,4))*INDEX('How This Works &amp; Sources'!$B$211:$J$214,0,4+2)),SUMPRODUCT((MAX(0,$AY17-MIN(($P17-'How This Works &amp; Sources'!$C$10*$D17)*'Your Pay &amp; Benefits'!$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Sources'!$B$211:$J$214,0,1))*(MAX(0,$AY17-MIN(($P17-'How This Works &amp; Sources'!$C$10*$D17)*'Your Pay &amp; Benefits'!$C$8,IF(OR($AU17="Married",AND($AU17="Single",$AS17&gt;=3)),IF($AY17&lt;250000,8750,IF($AY17&lt;260000,7000,IF($AY17&lt;270000,5250,IF($AY17&lt;280000,3500,IF($AY17&lt;290000,1750,0))))),IF($AY17&lt;125000,8750,IF($AY17&lt;130000,7000,IF($AY17&lt;135000,5250,IF($AY17&lt;140000,3500,IF($AY17&lt;145000,1750,0)))))))-IF(OR($AU17="Married",AND($AU17="Single",$AS17&gt;=3)),5820,2910))-INDEX('How This Works &amp; Sources'!$B$211:$J$214,0,1))*INDEX('How This Works &amp; Sources'!$B$211:$J$214,0,1+2)))+263-263*IF(IF($AU17="Married",$AY17&gt;200000,$AY17&gt;100000),0,$AS17),IF($AN17="PA",0.0307*(($O17+$E17+$G17)*'Your Pay &amp; Benefits'!$C$8),IF($AN17="NY",IF($AU17="Married",IF($AZ17&gt;=2155350,0,IF($AZ17&gt;=1077550,0.48,IF($AZ17&gt;=373200,1.21,IF($AZ17&gt;=323200,0.21,IF($AZ17&gt;=211550,-0.19,IF($AZ17&gt;=157650,-2.8,IF($AZ17&gt;=107650,-0.8,IF($AZ17&gt;=96800,0.05,IF($AZ17&gt;=80650,-0.1,IF($AZ17&gt;=13900,0.4,IF($AZ17&gt;=11700,-0.3,IF($AZ17&gt;=8500,0.5,0)))))))))))),IF($AZ17&gt;=1077550,0,IF($AZ17&gt;=265400,4.29,IF($AZ17&gt;=215400,2.29,IF($AZ17&gt;=157650,2.29,IF($AZ17&gt;=107650,0.29,IF($AZ17&gt;=96800,0.05,IF($AZ17&gt;=80650,-0.1,IF($AZ17&gt;=13900,0.4,IF($AZ17&gt;=11700,-0.3,IF($AZ17&gt;=8500,0.5,0))))))))))),0))))))))))))))))))</f>
      </c>
      <c r="BC17" s="7">
        <f>IF($B17="","",IF($AN17="AL",0.05*$D17,IF($AN17="AR",0.039*$D17,IF($AN17="ID",0.053*$D17,IF($AN17="IN",(0.0295+'Your Pay &amp; Benefits'!$C$76)*$D17,IF($AN17="KS",0.05*$D17,IF($AN17="MA",0.09*MIN($D17,MAX(0,MAX(0,$AY17-MIN(($BD16+$Q17+$R17+$S17),2000)-IF($AS17=0,0,IF($AS17=1,4400,1000*$AS17+3400)))+$D17-1107750))+0.05*($D17-MIN($D17,MAX(0,MAX(0,$AY17-MIN(($BD16+$Q17+$R17+$S17),2000)-IF($AS17=0,0,IF($AS17=1,4400,1000*$AS17+3400)))+$D17-1107750))),IF($AN17="MD",(0.065+'Your Pay &amp; Benefits'!$C$74)*$D17,IF($AN17="MI",0.0425*$D17,IF($AN17="MN",0.0625*$D17,IF($AN17="MO",0.047*$D17,IF($AN17="MT",0.05*$D17,IF($AN17="ND",0.015*$D17,IF($AN17="NE",0.035*$D17,IF($AN17="NJ",IF('Your Pay &amp; Benefits'!$C$77="B",SUMPRODUCT(($D17*'Your Pay &amp; Benefits'!$C$8&gt;INDEX('How This Works &amp; Sources'!$B$155:$J$162,0,4))*($D17*'Your Pay &amp; Benefits'!$C$8-INDEX('How This Works &amp; Sources'!$B$155:$J$162,0,4))*INDEX('How This Works &amp; Sources'!$B$155:$J$162,0,4+2)),IF('Your Pay &amp; Benefits'!$C$77="C",SUMPRODUCT(($D17*'Your Pay &amp; Benefits'!$C$8&gt;INDEX('How This Works &amp; Sources'!$B$155:$J$162,0,7))*($D17*'Your Pay &amp; Benefits'!$C$8-INDEX('How This Works &amp; Sources'!$B$155:$J$162,0,7))*INDEX('How This Works &amp; Sources'!$B$155:$J$162,0,7+2)),IF('Your Pay &amp; Benefits'!$C$77="D",SUMPRODUCT(($D17*'Your Pay &amp; Benefits'!$C$8&gt;INDEX('How This Works &amp; Sources'!$B$167:$J$179,0,1))*($D17*'Your Pay &amp; Benefits'!$C$8-INDEX('How This Works &amp; Sources'!$B$167:$J$179,0,1))*INDEX('How This Works &amp; Sources'!$B$167:$J$179,0,1+2)),IF('Your Pay &amp; Benefits'!$C$77="E",SUMPRODUCT(($D17*'Your Pay &amp; Benefits'!$C$8&gt;INDEX('How This Works &amp; Sources'!$B$167:$J$179,0,4))*($D17*'Your Pay &amp; Benefits'!$C$8-INDEX('How This Works &amp; Sources'!$B$167:$J$179,0,4))*INDEX('How This Works &amp; Sources'!$B$167:$J$179,0,4+2)),SUMPRODUCT(($D17*'Your Pay &amp; Benefits'!$C$8&gt;INDEX('How This Works &amp; Sources'!$B$155:$J$162,0,1))*($D17*'Your Pay &amp; Benefits'!$C$8-INDEX('How This Works &amp; Sources'!$B$155:$J$162,0,1))*INDEX('How This Works &amp; Sources'!$B$155:$J$162,0,1+2))))))/'Your Pay &amp; Benefits'!$C$8,IF($AN17="NY",0.117*$D17,IF($AN17="OH",0.0275*$D17,IF($AN17="OK",0.045*$D17,IF($AN17="OR",0.08*$D17,IF($AN17="WI",IF($AY17&lt;12760,0.0354,IF($AY17&lt;25520,0.0465,IF($AY17&lt;280950,0.053,0.0765)))*$D17,0))))))))))))))))))))</f>
      </c>
      <c r="BD17" s="7">
        <f>IF($B17="","",$BD16+$Q17+$R17+$S17)</f>
      </c>
      <c r="BE17" s="6">
        <f>IF($B17="",$BE16,$BE16+$BF17)</f>
      </c>
      <c r="BF17" s="6">
        <f>IF($B17="","",IF(AND(IF(YEAR(IF('Your Pay &amp; Benefits'!$C$7="Weekly",'Your Pay &amp; Benefits'!$C$9+7*(($BE16+1)-1),IF('Your Pay &amp; Benefits'!$C$7="Biweekly",'Your Pay &amp; Benefits'!$C$9+14*(($BE16+1)-1),IF('Your Pay &amp; Benefits'!$C$7="Semimonthly",DATE(YEAR('Your Pay &amp; Benefits'!$C$9),MONTH('Your Pay &amp; Benefits'!$C$9)+INT((($BE16+1)-1)/2),MIN(DAY('Your Pay &amp; Benefits'!$C$9),DAY(EOMONTH(DATE(YEAR('Your Pay &amp; Benefits'!$C$9),MONTH('Your Pay &amp; Benefits'!$C$9)+INT((($BE16+1)-1)/2),1),0))))+IF(MOD(($BE16+1)-1,2)=1,15,0),EDATE('Your Pay &amp; Benefits'!$C$9,($BE16+1)-1)))))&lt;&gt;'Your Pay &amp; Benefits'!$C$10,"",IF('Your Pay &amp; Benefits'!$C$7="Weekly",'Your Pay &amp; Benefits'!$C$9+7*(($BE16+1)-1),IF('Your Pay &amp; Benefits'!$C$7="Biweekly",'Your Pay &amp; Benefits'!$C$9+14*(($BE16+1)-1),IF('Your Pay &amp; Benefits'!$C$7="Semimonthly",DATE(YEAR('Your Pay &amp; Benefits'!$C$9),MONTH('Your Pay &amp; Benefits'!$C$9)+INT((($BE16+1)-1)/2),MIN(DAY('Your Pay &amp; Benefits'!$C$9),DAY(EOMONTH(DATE(YEAR('Your Pay &amp; Benefits'!$C$9),MONTH('Your Pay &amp; Benefits'!$C$9)+INT((($BE16+1)-1)/2),1),0))))+IF(MOD(($BE16+1)-1,2)=1,15,0),EDATE('Your Pay &amp; Benefits'!$C$9,($BE16+1)-1)))))&lt;&gt;"",$B17=IF(YEAR(IF('Your Pay &amp; Benefits'!$C$7="Weekly",'Your Pay &amp; Benefits'!$C$9+7*(($BE16+1)-1),IF('Your Pay &amp; Benefits'!$C$7="Biweekly",'Your Pay &amp; Benefits'!$C$9+14*(($BE16+1)-1),IF('Your Pay &amp; Benefits'!$C$7="Semimonthly",DATE(YEAR('Your Pay &amp; Benefits'!$C$9),MONTH('Your Pay &amp; Benefits'!$C$9)+INT((($BE16+1)-1)/2),MIN(DAY('Your Pay &amp; Benefits'!$C$9),DAY(EOMONTH(DATE(YEAR('Your Pay &amp; Benefits'!$C$9),MONTH('Your Pay &amp; Benefits'!$C$9)+INT((($BE16+1)-1)/2),1),0))))+IF(MOD(($BE16+1)-1,2)=1,15,0),EDATE('Your Pay &amp; Benefits'!$C$9,($BE16+1)-1)))))&lt;&gt;'Your Pay &amp; Benefits'!$C$10,"",IF('Your Pay &amp; Benefits'!$C$7="Weekly",'Your Pay &amp; Benefits'!$C$9+7*(($BE16+1)-1),IF('Your Pay &amp; Benefits'!$C$7="Biweekly",'Your Pay &amp; Benefits'!$C$9+14*(($BE16+1)-1),IF('Your Pay &amp; Benefits'!$C$7="Semimonthly",DATE(YEAR('Your Pay &amp; Benefits'!$C$9),MONTH('Your Pay &amp; Benefits'!$C$9)+INT((($BE16+1)-1)/2),MIN(DAY('Your Pay &amp; Benefits'!$C$9),DAY(EOMONTH(DATE(YEAR('Your Pay &amp; Benefits'!$C$9),MONTH('Your Pay &amp; Benefits'!$C$9)+INT((($BE16+1)-1)/2),1),0))))+IF(MOD(($BE16+1)-1,2)=1,15,0),EDATE('Your Pay &amp; Benefits'!$C$9,($BE16+1)-1)))))),1,0))</f>
      </c>
      <c r="BG17" s="7">
        <f>IF($B17="","",$BG16+$H17)</f>
      </c>
      <c r="BH17" s="7">
        <f>IF($B17="","",$BH16+$I17)</f>
      </c>
      <c r="BI17" s="7">
        <f>IF($B17="","",$BI16+$G17)</f>
      </c>
      <c r="BJ17" s="7">
        <f>IF($B17="","",IFERROR(LOOKUP(2,1/(((('Changes &amp; Events'!$C$6:$C$17="Deduction start"))*('Changes &amp; Events'!$D$6:$D$17="Health FSA"))*('Changes &amp; Events'!$B$6:$B$17&lt;=$B17)*('Changes &amp; Events'!$B$6:$B$17&lt;&gt;"")),'Changes &amp; Events'!$E$6:$E$17),'Your Pay &amp; Benefits'!$D$38))</f>
      </c>
      <c r="BK17" s="7">
        <f>IF($B17="","",IFERROR(LOOKUP(2,1/(((('Changes &amp; Events'!$C$6:$C$17="Deduction start"))*('Changes &amp; Events'!$D$6:$D$17="Dependent-care FSA"))*('Changes &amp; Events'!$B$6:$B$17&lt;=$B17)*('Changes &amp; Events'!$B$6:$B$17&lt;&gt;"")),'Changes &amp; Events'!$E$6:$E$17),'Your Pay &amp; Benefits'!$D$39))</f>
      </c>
      <c r="BL17" s="7">
        <f>IF($B17="","",IFERROR(LOOKUP(2,1/(((('Changes &amp; Events'!$C$6:$C$17="Deduction start")+('Changes &amp; Events'!$C$6:$C$17="Deduction stop"))*('Changes &amp; Events'!$D$6:$D$17="HSA"))*('Changes &amp; Events'!$B$6:$B$17&lt;=$B17)*('Changes &amp; Events'!$B$6:$B$17&lt;&gt;"")),'Changes &amp; Events'!$I$6:$I$17),'Your Pay &amp; Benefits'!$D$35))</f>
      </c>
      <c r="BM17" s="7">
        <f>IF($B17="","",IFERROR(LOOKUP(2,1/(((('Changes &amp; Events'!$C$6:$C$17="Deduction start")+('Changes &amp; Events'!$C$6:$C$17="Deduction stop"))*('Changes &amp; Events'!$D$6:$D$17="Premiums"))*('Changes &amp; Events'!$B$6:$B$17&lt;=$B17)*('Changes &amp; Events'!$B$6:$B$17&lt;&gt;"")),'Changes &amp; Events'!$I$6:$I$17),'Your Pay &amp; Benefits'!$D$40+'Your Pay &amp; Benefits'!$D$41+'Your Pay &amp; Benefits'!$D$42))</f>
      </c>
      <c r="BN17" s="7">
        <f>IF($B17="","",IFERROR(LOOKUP(2,1/(((('Changes &amp; Events'!$C$6:$C$17="Deduction start")+('Changes &amp; Events'!$C$6:$C$17="Deduction stop"))*('Changes &amp; Events'!$D$6:$D$17="Commuter"))*('Changes &amp; Events'!$B$6:$B$17&lt;=$B17)*('Changes &amp; Events'!$B$6:$B$17&lt;&gt;"")),'Changes &amp; Events'!$I$6:$I$17),'Your Pay &amp; Benefits'!$D$43))</f>
      </c>
      <c r="BO17" s="7">
        <f>IF($B17="","",IFERROR(LOOKUP(2,1/(((('Changes &amp; Events'!$C$6:$C$17="Deduction start")+('Changes &amp; Events'!$C$6:$C$17="Deduction stop"))*('Changes &amp; Events'!$D$6:$D$17="Other pre-tax"))*('Changes &amp; Events'!$B$6:$B$17&lt;=$B17)*('Changes &amp; Events'!$B$6:$B$17&lt;&gt;"")),'Changes &amp; Events'!$I$6:$I$17),'Your Pay &amp; Benefits'!$D$44))</f>
      </c>
      <c r="BP17" s="7">
        <f>IF($B17="","",IFERROR(LOOKUP(2,1/(((('Changes &amp; Events'!$C$6:$C$17="Deduction start")+('Changes &amp; Events'!$C$6:$C$17="Deduction stop"))*('Changes &amp; Events'!$D$6:$D$17="Other post-tax"))*('Changes &amp; Events'!$B$6:$B$17&lt;=$B17)*('Changes &amp; Events'!$B$6:$B$17&lt;&gt;"")),'Changes &amp; Events'!$I$6:$I$17),'Your Pay &amp; Benefits'!$D$45))</f>
      </c>
      <c r="BQ17" s="6">
        <f>IF($B17="","",IFERROR(LOOKUP(2,1/(((('Changes &amp; Events'!$C$6:$C$17="Deduction start")+('Changes &amp; Events'!$C$6:$C$17="Deduction stop"))*('Changes &amp; Events'!$D$6:$D$17="Health FSA"))*('Changes &amp; Events'!$B$6:$B$17&lt;=$B17)*('Changes &amp; Events'!$B$6:$B$17&lt;&gt;"")),'Changes &amp; Events'!$J$6:$J$17),0))</f>
      </c>
      <c r="BR17" s="6">
        <f>IF($B17="","",IFERROR(LOOKUP(2,1/(((('Changes &amp; Events'!$C$6:$C$17="Deduction start")+('Changes &amp; Events'!$C$6:$C$17="Deduction stop"))*('Changes &amp; Events'!$D$6:$D$17="Dependent-care FSA"))*('Changes &amp; Events'!$B$6:$B$17&lt;=$B17)*('Changes &amp; Events'!$B$6:$B$17&lt;&gt;"")),'Changes &amp; Events'!$J$6:$J$17),0))</f>
      </c>
      <c r="BS17" s="6">
        <f>IF($B17="","",IF(SUMPRODUCT(('Changes &amp; Events'!$C$6:$C$17="Deduction start")*('Changes &amp; Events'!$B$6:$B$17&lt;=$B17)*('Changes &amp; Events'!$B$6:$B$17&lt;&gt;"")*('Changes &amp; Events'!$D$6:$D$17="Health FSA"))&gt;0,1,0))</f>
      </c>
      <c r="BT17" s="6">
        <f>IF($B17="","",IF(SUMPRODUCT(('Changes &amp; Events'!$C$6:$C$17="Deduction start")*('Changes &amp; Events'!$B$6:$B$17&lt;=$B17)*('Changes &amp; Events'!$B$6:$B$17&lt;&gt;"")*('Changes &amp; Events'!$D$6:$D$17="Dependent-care FSA"))&gt;0,1,0))</f>
      </c>
      <c r="BU17" s="24">
        <f>IF($B17="","",IF('Your Pay &amp; Benefits'!$C$13,SUMPRODUCT(($AH17&gt;=INDEX('How This Works &amp; Sources'!$B$29:$J$36,0,IF('Your Pay &amp; Benefits'!$C$12="MFJ",1,IF('Your Pay &amp; Benefits'!$C$12="HoH",7,4))))*INDEX('How This Works &amp; Sources'!$B$29:$J$36,0,IF('Your Pay &amp; Benefits'!$C$12="MFJ",1,IF('Your Pay &amp; Benefits'!$C$12="HoH",7,4))+2)),SUMPRODUCT(($AH17&gt;=INDEX('How This Works &amp; Sources'!$B$19:$J$26,0,IF('Your Pay &amp; Benefits'!$C$12="MFJ",1,IF('Your Pay &amp; Benefits'!$C$12="HoH",7,4))))*INDEX('How This Works &amp; Sources'!$B$19:$J$26,0,IF('Your Pay &amp; Benefits'!$C$12="MFJ",1,IF('Your Pay &amp; Benefits'!$C$12="HoH",7,4))+2))))</f>
      </c>
      <c r="BV17" s="24">
        <f>IF($B17="","",IF($BZ17&lt;&gt;"",$BZ17,IF($CA17&lt;&gt;"",$CA17,IF($CB17&lt;&gt;"",$CB17,IF($CC17&lt;&gt;"",$CC17,0)))))</f>
      </c>
      <c r="BW17" s="7">
        <f>IF($B17="","",IF($AN17="MD",IF(OR($AU17="Married",$AU17="Head of household"),SUMPRODUCT(($AZ17&gt;INDEX('How This Works &amp; Sources'!$B$114:$J$120,0,1))*($AZ17-INDEX('How This Works &amp; Sources'!$B$114:$J$120,0,1))*INDEX('How This Works &amp; Sources'!$B$114:$J$120,0,1+2)),SUMPRODUCT(($AZ17&gt;INDEX('How This Works &amp; Sources'!$B$103:$J$109,0,7))*($AZ17-INDEX('How This Works &amp; Sources'!$B$103:$J$109,0,7))*INDEX('How This Works &amp; Sources'!$B$103:$J$109,0,7+2))),IF($AN17="MO",SUMPRODUCT(($AZ17&gt;INDEX('How This Works &amp; Sources'!$B$125:$J$132,0,1))*($AZ17-INDEX('How This Works &amp; Sources'!$B$125:$J$132,0,1))*INDEX('How This Works &amp; Sources'!$B$125:$J$132,0,1+2)),IF($AN17="MT",IF($AU17="Head of household",SUMPRODUCT(($AZ17&gt;INDEX('How This Works &amp; Sources'!$B$137:$J$139,0,1))*($AZ17-INDEX('How This Works &amp; Sources'!$B$137:$J$139,0,1))*INDEX('How This Works &amp; Sources'!$B$137:$J$139,0,1+2)),IF($AU17="Married",SUMPRODUCT(($AZ17&gt;INDEX('How This Works &amp; Sources'!$B$125:$J$132,0,7))*($AZ17-INDEX('How This Works &amp; Sources'!$B$125:$J$132,0,7))*INDEX('How This Works &amp; Sources'!$B$125:$J$132,0,7+2)),SUMPRODUCT(($AZ17&gt;INDEX('How This Works &amp; Sources'!$B$125:$J$132,0,4))*($AZ17-INDEX('How This Works &amp; Sources'!$B$125:$J$132,0,4))*INDEX('How This Works &amp; Sources'!$B$125:$J$132,0,4+2)))),IF($AN17="ND",IF($AU17="Head of household",SUMPRODUCT(($AZ17&gt;INDEX('How This Works &amp; Sources'!$B$144:$J$150,0,1))*($AZ17-INDEX('How This Works &amp; Sources'!$B$144:$J$150,0,1))*INDEX('How This Works &amp; Sources'!$B$144:$J$150,0,1+2)),IF($AU17="Married",SUMPRODUCT(($AZ17&gt;INDEX('How This Works &amp; Sources'!$B$137:$J$139,0,7))*($AZ17-INDEX('How This Works &amp; Sources'!$B$137:$J$139,0,7))*INDEX('How This Works &amp; Sources'!$B$137:$J$139,0,7+2)),SUMPRODUCT(($AZ17&gt;INDEX('How This Works &amp; Sources'!$B$137:$J$139,0,4))*($AZ17-INDEX('How This Works &amp; Sources'!$B$137:$J$139,0,4))*INDEX('How This Works &amp; Sources'!$B$137:$J$139,0,4+2)))),IF($AN17="NJ",IF('Your Pay &amp; Benefits'!$C$77="B",SUMPRODUCT(($AZ17&gt;INDEX('How This Works &amp; Sources'!$B$155:$J$162,0,4))*($AZ17-INDEX('How This Works &amp; Sources'!$B$155:$J$162,0,4))*INDEX('How This Works &amp; Sources'!$B$155:$J$162,0,4+2)),IF('Your Pay &amp; Benefits'!$C$77="C",SUMPRODUCT(($AZ17&gt;INDEX('How This Works &amp; Sources'!$B$155:$J$162,0,7))*($AZ17-INDEX('How This Works &amp; Sources'!$B$155:$J$162,0,7))*INDEX('How This Works &amp; Sources'!$B$155:$J$162,0,7+2)),IF('Your Pay &amp; Benefits'!$C$77="D",SUMPRODUCT(($AZ17&gt;INDEX('How This Works &amp; Sources'!$B$167:$J$179,0,1))*($AZ17-INDEX('How This Works &amp; Sources'!$B$167:$J$179,0,1))*INDEX('How This Works &amp; Sources'!$B$167:$J$179,0,1+2)),IF('Your Pay &amp; Benefits'!$C$77="E",SUMPRODUCT(($AZ17&gt;INDEX('How This Works &amp; Sources'!$B$167:$J$179,0,4))*($AZ17-INDEX('How This Works &amp; Sources'!$B$167:$J$179,0,4))*INDEX('How This Works &amp; Sources'!$B$167:$J$179,0,4+2)),SUMPRODUCT(($AZ17&gt;INDEX('How This Works &amp; Sources'!$B$155:$J$162,0,1))*($AZ17-INDEX('How This Works &amp; Sources'!$B$155:$J$162,0,1))*INDEX('How This Works &amp; Sources'!$B$155:$J$162,0,1+2)))))),IF($AN17="NY",IF($AU17="Married",IF($AZ17&gt;=2155350,$AZ17*IF($AZ17&gt;25000000,0.117,IF($AZ17&gt;5000000,0.111,0.1045)),SUMPRODUCT(($AZ17&gt;INDEX('How This Works &amp; Sources'!$B$184:$J$198,0,1))*($AZ17-INDEX('How This Works &amp; Sources'!$B$184:$J$198,0,1))*INDEX('How This Works &amp; Sources'!$B$184:$J$198,0,1+2))),IF($AZ17&gt;=1077550,$AZ17*IF($AZ17&gt;25000000,0.117,IF($AZ17&gt;5000000,0.111,0.1045)),SUMPRODUCT(($AZ17&gt;INDEX('How This Works &amp; Sources'!$B$167:$J$179,0,7))*($AZ17-INDEX('How This Works &amp; Sources'!$B$167:$J$179,0,7))*INDEX('How This Works &amp; Sources'!$B$167:$J$179,0,7+2)))),"")))))))</f>
      </c>
      <c r="BX17" s="7">
        <f>IF($B17="","",IF($AN17="AL",IF(OR($AU17="Married",$AU17="Head of household"),SUMPRODUCT(($AZ17&gt;INDEX('How This Works &amp; Sources'!$B$82:$J$86,0,4))*($AZ17-INDEX('How This Works &amp; Sources'!$B$82:$J$86,0,4))*INDEX('How This Works &amp; Sources'!$B$82:$J$86,0,4+2)),SUMPRODUCT(($AZ17&gt;INDEX('How This Works &amp; Sources'!$B$82:$J$86,0,1))*($AZ17-INDEX('How This Works &amp; Sources'!$B$82:$J$86,0,1))*INDEX('How This Works &amp; Sources'!$B$82:$J$86,0,1+2))),IF($AN17="KS",IF($AU17="Married",SUMPRODUCT(($AZ17&gt;INDEX('How This Works &amp; Sources'!$B$103:$J$109,0,4))*($AZ17-INDEX('How This Works &amp; Sources'!$B$103:$J$109,0,4))*INDEX('How This Works &amp; Sources'!$B$103:$J$109,0,4+2)),SUMPRODUCT(($AZ17&gt;INDEX('How This Works &amp; Sources'!$B$103:$J$109,0,1))*($AZ17-INDEX('How This Works &amp; Sources'!$B$103:$J$109,0,1))*INDEX('How This Works &amp; Sources'!$B$103:$J$109,0,1+2))),IF($AN17="MN",IF($AU17="Married",SUMPRODUCT(($AZ17&gt;INDEX('How This Works &amp; Sources'!$B$114:$J$120,0,7))*($AZ17-INDEX('How This Works &amp; Sources'!$B$114:$J$120,0,7))*INDEX('How This Works &amp; Sources'!$B$114:$J$120,0,7+2)),SUMPRODUCT(($AZ17&gt;INDEX('How This Works &amp; Sources'!$B$114:$J$120,0,4))*($AZ17-INDEX('How This Works &amp; Sources'!$B$114:$J$120,0,4))*INDEX('How This Works &amp; Sources'!$B$114:$J$120,0,4+2))),IF($AN17="NE",MAX(IF($AU17="Married",SUMPRODUCT(($AZ17&gt;INDEX('How This Works &amp; Sources'!$B$144:$J$150,0,7))*($AZ17-INDEX('How This Works &amp; Sources'!$B$144:$J$150,0,7))*INDEX('How This Works &amp; Sources'!$B$144:$J$150,0,7+2)),SUMPRODUCT(($AZ17&gt;INDEX('How This Works &amp; Sources'!$B$144:$J$150,0,4))*($AZ17-INDEX('How This Works &amp; Sources'!$B$144:$J$150,0,4))*INDEX('How This Works &amp; Sources'!$B$144:$J$150,0,4+2))),0.015*$AZ17),IF($AN17="OH",IF($B17&gt;=DATE(2026,8,1),SUMPRODUCT(($AZ17&gt;INDEX('How This Works &amp; Sources'!$B$203:$J$206,0,1))*($AZ17-INDEX('How This Works &amp; Sources'!$B$203:$J$206,0,1))*INDEX('How This Works &amp; Sources'!$B$203:$J$206,0,1+2)),SUMPRODUCT(($AZ17&gt;INDEX('How This Works &amp; Sources'!$B$184:$J$198,0,7))*($AZ17-INDEX('How This Works &amp; Sources'!$B$184:$J$198,0,7))*INDEX('How This Works &amp; Sources'!$B$184:$J$198,0,7+2))),IF($AN17="OK",IF($AU17="Married",SUMPRODUCT(($AZ17&gt;INDEX('How This Works &amp; Sources'!$B$203:$J$206,0,7))*($AZ17-INDEX('How This Works &amp; Sources'!$B$203:$J$206,0,7))*INDEX('How This Works &amp; Sources'!$B$203:$J$206,0,7+2)),SUMPRODUCT(($AZ17&gt;INDEX('How This Works &amp; Sources'!$B$203:$J$206,0,4))*($AZ17-INDEX('How This Works &amp; Sources'!$B$203:$J$206,0,4))*INDEX('How This Works &amp; Sources'!$B$203:$J$206,0,4+2))),IF($AN17="RI",SUMPRODUCT(($AZ17&gt;INDEX('How This Works &amp; Sources'!$B$211:$J$214,0,7))*($AZ17-INDEX('How This Works &amp; Sources'!$B$211:$J$214,0,7))*INDEX('How This Works &amp; Sources'!$B$211:$J$214,0,7+2)),IF($AN17="VT",IF($AU17="Married",SUMPRODUCT(($AZ17&gt;INDEX('How This Works &amp; Sources'!$B$228:$J$232,0,1))*($AZ17-INDEX('How This Works &amp; Sources'!$B$228:$J$232,0,1))*INDEX('How This Works &amp; Sources'!$B$228:$J$232,0,1+2)),SUMPRODUCT(($AZ17&gt;INDEX('How This Works &amp; Sources'!$B$219:$J$223,0,7))*($AZ17-INDEX('How This Works &amp; Sources'!$B$219:$J$223,0,7))*INDEX('How This Works &amp; Sources'!$B$219:$J$223,0,7+2))),IF($AN17="WV",IF($AU17="Married",SUMPRODUCT(($AZ17&gt;INDEX('How This Works &amp; Sources'!$B$237:$J$241,0,7))*($AZ17-INDEX('How This Works &amp; Sources'!$B$237:$J$241,0,7))*INDEX('How This Works &amp; Sources'!$B$237:$J$241,0,7+2)),SUMPRODUCT(($AZ17&gt;INDEX('How This Works &amp; Sources'!$B$228:$J$232,0,7))*($AZ17-INDEX('How This Works &amp; Sources'!$B$228:$J$232,0,7))*INDEX('How This Works &amp; Sources'!$B$228:$J$232,0,7+2))),""))))))))))</f>
      </c>
      <c r="BY17" s="7">
        <f>IF($B17="","",IF($AN17="AR",SUMPRODUCT(($AZ17&gt;INDEX('How This Works &amp; Sources'!$B$82:$J$86,0,7))*($AZ17-INDEX('How This Works &amp; Sources'!$B$82:$J$86,0,7))*INDEX('How This Works &amp; Sources'!$B$82:$J$86,0,7+2)),IF($AN17="DE",SUMPRODUCT(($AZ17&gt;INDEX('How This Works &amp; Sources'!$B$91:$J$98,0,1))*($AZ17-INDEX('How This Works &amp; Sources'!$B$91:$J$98,0,1))*INDEX('How This Works &amp; Sources'!$B$91:$J$98,0,1+2)),IF($AN17="HI",IF($AU17="Married",SUMPRODUCT(($AZ17&gt;INDEX('How This Works &amp; Sources'!$B$91:$J$98,0,7))*($AZ17-INDEX('How This Works &amp; Sources'!$B$91:$J$98,0,7))*INDEX('How This Works &amp; Sources'!$B$91:$J$98,0,7+2)),SUMPRODUCT(($AZ17&gt;INDEX('How This Works &amp; Sources'!$B$91:$J$98,0,4))*($AZ17-INDEX('How This Works &amp; Sources'!$B$91:$J$98,0,4))*INDEX('How This Works &amp; Sources'!$B$91:$J$98,0,4+2))),IF($AN17="SC",SUMPRODUCT(($AZ17&gt;INDEX('How This Works &amp; Sources'!$B$219:$J$223,0,1))*($AZ17-INDEX('How This Works &amp; Sources'!$B$219:$J$223,0,1))*INDEX('How This Works &amp; Sources'!$B$219:$J$223,0,1+2)),IF($AN17="VA",SUMPRODUCT(($AZ17&gt;INDEX('How This Works &amp; Sources'!$B$219:$J$223,0,4))*($AZ17-INDEX('How This Works &amp; Sources'!$B$219:$J$223,0,4))*INDEX('How This Works &amp; Sources'!$B$219:$J$223,0,4+2)),IF($AN17="WI",SUMPRODUCT(($AZ17&gt;INDEX('How This Works &amp; Sources'!$B$228:$J$232,0,4))*($AZ17-INDEX('How This Works &amp; Sources'!$B$228:$J$232,0,4))*INDEX('How This Works &amp; Sources'!$B$228:$J$232,0,4+2)),"")))))))</f>
      </c>
      <c r="BZ17" s="24">
        <f>IF($B17="","",IF($AN17="NJ",IF('Your Pay &amp; Benefits'!$C$77="B",SUMPRODUCT(($AZ17&gt;=INDEX('How This Works &amp; Sources'!$B$155:$J$162,0,4))*INDEX('How This Works &amp; Sources'!$B$155:$J$162,0,4+2)),IF('Your Pay &amp; Benefits'!$C$77="C",SUMPRODUCT(($AZ17&gt;=INDEX('How This Works &amp; Sources'!$B$155:$J$162,0,7))*INDEX('How This Works &amp; Sources'!$B$155:$J$162,0,7+2)),IF('Your Pay &amp; Benefits'!$C$77="D",SUMPRODUCT(($AZ17&gt;=INDEX('How This Works &amp; Sources'!$B$167:$J$179,0,1))*INDEX('How This Works &amp; Sources'!$B$167:$J$179,0,1+2)),IF('Your Pay &amp; Benefits'!$C$77="E",SUMPRODUCT(($AZ17&gt;=INDEX('How This Works &amp; Sources'!$B$167:$J$179,0,4))*INDEX('How This Works &amp; Sources'!$B$167:$J$179,0,4+2)),SUMPRODUCT(($AZ17&gt;=INDEX('How This Works &amp; Sources'!$B$155:$J$162,0,1))*INDEX('How This Works &amp; Sources'!$B$155:$J$162,0,1+2)))))),IF($AN17="OR",IF(OR($AU17="Married",AND($AU17="Single",$AS17&gt;=3)),SUMPRODUCT((MAX(0,$AY17-MIN(($P17-'How This Works &amp; Sources'!$C$10*$D17)*'Your Pay &amp; Benefits'!$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Sources'!$B$211:$J$214,0,4))*INDEX('How This Works &amp; Sources'!$B$211:$J$214,0,4+2)),SUMPRODUCT((MAX(0,$AY17-MIN(($P17-'How This Works &amp; Sources'!$C$10*$D17)*'Your Pay &amp; Benefits'!$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Sources'!$B$211:$J$214,0,1))*INDEX('How This Works &amp; Sources'!$B$211:$J$214,0,1+2)))*IF(($P17-'How This Works &amp; Sources'!$C$10*$D17)*'Your Pay &amp; Benefits'!$C$8&gt;=IF(OR($AU17="Married",AND($AU17="Single",$AS17&gt;=3)),IF($AY17&lt;250000,8750,IF($AY17&lt;260000,7000,IF($AY17&lt;270000,5250,IF($AY17&lt;280000,3500,IF($AY17&lt;290000,1750,0))))),IF($AY17&lt;125000,8750,IF($AY17&lt;130000,7000,IF($AY17&lt;135000,5250,IF($AY17&lt;140000,3500,IF($AY17&lt;145000,1750,0)))))),1,1-IF('Your Pay &amp; Benefits'!$C$13,SUMPRODUCT(($AH17&gt;=INDEX('How This Works &amp; Sources'!$B$29:$J$36,0,IF('Your Pay &amp; Benefits'!$C$12="MFJ",1,IF('Your Pay &amp; Benefits'!$C$12="HoH",7,4))))*INDEX('How This Works &amp; Sources'!$B$29:$J$36,0,IF('Your Pay &amp; Benefits'!$C$12="MFJ",1,IF('Your Pay &amp; Benefits'!$C$12="HoH",7,4))+2)),SUMPRODUCT(($AH17&gt;=INDEX('How This Works &amp; Sources'!$B$19:$J$26,0,IF('Your Pay &amp; Benefits'!$C$12="MFJ",1,IF('Your Pay &amp; Benefits'!$C$12="HoH",7,4))))*INDEX('How This Works &amp; Sources'!$B$19:$J$26,0,IF('Your Pay &amp; Benefits'!$C$12="MFJ",1,IF('Your Pay &amp; Benefits'!$C$12="HoH",7,4))+2)))),IF($AN17="MI",IF($AY17&gt;5900*$AS17,0.0425,0),""))))</f>
      </c>
      <c r="CA17" s="24">
        <f>IF($B17="","",IF($AN17="AL",IF(OR($AU17="Married",$AU17="Head of household"),SUMPRODUCT(($AZ17&gt;=INDEX('How This Works &amp; Sources'!$B$82:$J$86,0,4))*INDEX('How This Works &amp; Sources'!$B$82:$J$86,0,4+2)),SUMPRODUCT(($AZ17&gt;=INDEX('How This Works &amp; Sources'!$B$82:$J$86,0,1))*INDEX('How This Works &amp; Sources'!$B$82:$J$86,0,1+2)))*(1-IF('Your Pay &amp; Benefits'!$C$13,SUMPRODUCT(($AH17&gt;=INDEX('How This Works &amp; Sources'!$B$29:$J$36,0,IF('Your Pay &amp; Benefits'!$C$12="MFJ",1,IF('Your Pay &amp; Benefits'!$C$12="HoH",7,4))))*INDEX('How This Works &amp; Sources'!$B$29:$J$36,0,IF('Your Pay &amp; Benefits'!$C$12="MFJ",1,IF('Your Pay &amp; Benefits'!$C$12="HoH",7,4))+2)),SUMPRODUCT(($AH17&gt;=INDEX('How This Works &amp; Sources'!$B$19:$J$26,0,IF('Your Pay &amp; Benefits'!$C$12="MFJ",1,IF('Your Pay &amp; Benefits'!$C$12="HoH",7,4))))*INDEX('How This Works &amp; Sources'!$B$19:$J$26,0,IF('Your Pay &amp; Benefits'!$C$12="MFJ",1,IF('Your Pay &amp; Benefits'!$C$12="HoH",7,4))+2)))),IF($AN17="KS",IF($AU17="Married",SUMPRODUCT(($AZ17&gt;=INDEX('How This Works &amp; Sources'!$B$103:$J$109,0,4))*INDEX('How This Works &amp; Sources'!$B$103:$J$109,0,4+2)),SUMPRODUCT(($AZ17&gt;=INDEX('How This Works &amp; Sources'!$B$103:$J$109,0,1))*INDEX('How This Works &amp; Sources'!$B$103:$J$109,0,1+2))),IF($AN17="MD",IF(OR($AU17="Married",$AU17="Head of household"),SUMPRODUCT(($AZ17&gt;=INDEX('How This Works &amp; Sources'!$B$114:$J$120,0,1))*INDEX('How This Works &amp; Sources'!$B$114:$J$120,0,1+2)),SUMPRODUCT(($AZ17&gt;=INDEX('How This Works &amp; Sources'!$B$103:$J$109,0,7))*INDEX('How This Works &amp; Sources'!$B$103:$J$109,0,7+2)))+'Your Pay &amp; Benefits'!$C$74,IF($AN17="MT",IF($AU17="Head of household",SUMPRODUCT(($AZ17&gt;=INDEX('How This Works &amp; Sources'!$B$137:$J$139,0,1))*INDEX('How This Works &amp; Sources'!$B$137:$J$139,0,1+2)),IF($AU17="Married",SUMPRODUCT(($AZ17&gt;=INDEX('How This Works &amp; Sources'!$B$125:$J$132,0,7))*INDEX('How This Works &amp; Sources'!$B$125:$J$132,0,7+2)),SUMPRODUCT(($AZ17&gt;=INDEX('How This Works &amp; Sources'!$B$125:$J$132,0,4))*INDEX('How This Works &amp; Sources'!$B$125:$J$132,0,4+2)))),IF($AN17="ND",IF($AU17="Head of household",SUMPRODUCT(($AZ17&gt;=INDEX('How This Works &amp; Sources'!$B$144:$J$150,0,1))*INDEX('How This Works &amp; Sources'!$B$144:$J$150,0,1+2)),IF($AU17="Married",SUMPRODUCT(($AZ17&gt;=INDEX('How This Works &amp; Sources'!$B$137:$J$139,0,7))*INDEX('How This Works &amp; Sources'!$B$137:$J$139,0,7+2)),SUMPRODUCT(($AZ17&gt;=INDEX('How This Works &amp; Sources'!$B$137:$J$139,0,4))*INDEX('How This Works &amp; Sources'!$B$137:$J$139,0,4+2)))),IF($AN17="NY",IF($AU17="Married",IF($AZ17&gt;=2155350,IF($AZ17&gt;25000000,0.117,IF($AZ17&gt;5000000,0.111,0.1045)),SUMPRODUCT(($AZ17&gt;=INDEX('How This Works &amp; Sources'!$B$184:$J$198,0,1))*INDEX('How This Works &amp; Sources'!$B$184:$J$198,0,1+2))),IF($AZ17&gt;=1077550,IF($AZ17&gt;25000000,0.117,IF($AZ17&gt;5000000,0.111,0.1045)),SUMPRODUCT(($AZ17&gt;=INDEX('How This Works &amp; Sources'!$B$167:$J$179,0,7))*INDEX('How This Works &amp; Sources'!$B$167:$J$179,0,7+2)))),"")))))))</f>
      </c>
      <c r="CB17" s="24">
        <f>IF($B17="","",IF($AN17="CA",SUMPRODUCT(($AJ17&gt;=INDEX('How This Works &amp; Sources'!$B$39:$J$48,0,IF($AU17="Married",4,IF($AU17="Head of household",7,1))))*INDEX('How This Works &amp; Sources'!$B$39:$J$48,0,IF($AU17="Married",4,IF($AU17="Head of household",7,1))+2)),IF($AN17="HI",IF($AU17="Married",SUMPRODUCT(($AZ17&gt;=INDEX('How This Works &amp; Sources'!$B$91:$J$98,0,7))*INDEX('How This Works &amp; Sources'!$B$91:$J$98,0,7+2)),SUMPRODUCT(($AZ17&gt;=INDEX('How This Works &amp; Sources'!$B$91:$J$98,0,4))*INDEX('How This Works &amp; Sources'!$B$91:$J$98,0,4+2))),IF($AN17="MN",IF($AU17="Married",SUMPRODUCT(($AZ17&gt;=INDEX('How This Works &amp; Sources'!$B$114:$J$120,0,7))*INDEX('How This Works &amp; Sources'!$B$114:$J$120,0,7+2)),SUMPRODUCT(($AZ17&gt;=INDEX('How This Works &amp; Sources'!$B$114:$J$120,0,4))*INDEX('How This Works &amp; Sources'!$B$114:$J$120,0,4+2))),IF($AN17="MO",SUMPRODUCT(($AZ17&gt;=INDEX('How This Works &amp; Sources'!$B$125:$J$132,0,1))*INDEX('How This Works &amp; Sources'!$B$125:$J$132,0,1+2)),IF($AN17="NE",MAX(IF($AU17="Married",SUMPRODUCT(($AZ17&gt;=INDEX('How This Works &amp; Sources'!$B$144:$J$150,0,7))*INDEX('How This Works &amp; Sources'!$B$144:$J$150,0,7+2)),SUMPRODUCT(($AZ17&gt;=INDEX('How This Works &amp; Sources'!$B$144:$J$150,0,4))*INDEX('How This Works &amp; Sources'!$B$144:$J$150,0,4+2))),0.015),IF($AN17="OH",IF($B17&gt;=DATE(2026,8,1),SUMPRODUCT(($AZ17&gt;=INDEX('How This Works &amp; Sources'!$B$203:$J$206,0,1))*INDEX('How This Works &amp; Sources'!$B$203:$J$206,0,1+2)),SUMPRODUCT(($AZ17&gt;=INDEX('How This Works &amp; Sources'!$B$184:$J$198,0,7))*INDEX('How This Works &amp; Sources'!$B$184:$J$198,0,7+2))),IF($AN17="OK",IF($AU17="Married",SUMPRODUCT(($AZ17&gt;=INDEX('How This Works &amp; Sources'!$B$203:$J$206,0,7))*INDEX('How This Works &amp; Sources'!$B$203:$J$206,0,7+2)),SUMPRODUCT(($AZ17&gt;=INDEX('How This Works &amp; Sources'!$B$203:$J$206,0,4))*INDEX('How This Works &amp; Sources'!$B$203:$J$206,0,4+2))),IF($AN17="RI",SUMPRODUCT(($AZ17&gt;=INDEX('How This Works &amp; Sources'!$B$211:$J$214,0,7))*INDEX('How This Works &amp; Sources'!$B$211:$J$214,0,7+2)),IF($AN17="SC",SUMPRODUCT(($AZ17&gt;=INDEX('How This Works &amp; Sources'!$B$219:$J$223,0,1))*INDEX('How This Works &amp; Sources'!$B$219:$J$223,0,1+2)),IF($AN17="VT",IF($AU17="Married",SUMPRODUCT(($AZ17&gt;=INDEX('How This Works &amp; Sources'!$B$228:$J$232,0,1))*INDEX('How This Works &amp; Sources'!$B$228:$J$232,0,1+2)),SUMPRODUCT(($AZ17&gt;=INDEX('How This Works &amp; Sources'!$B$219:$J$223,0,7))*INDEX('How This Works &amp; Sources'!$B$219:$J$223,0,7+2))),IF($AN17="WV",IF($AU17="Married",SUMPRODUCT(($AZ17&gt;=INDEX('How This Works &amp; Sources'!$B$237:$J$241,0,7))*INDEX('How This Works &amp; Sources'!$B$237:$J$241,0,7+2)),SUMPRODUCT(($AZ17&gt;=INDEX('How This Works &amp; Sources'!$B$228:$J$232,0,7))*INDEX('How This Works &amp; Sources'!$B$228:$J$232,0,7+2))),IF($AN17="IN",(0.0295+'Your Pay &amp; Benefits'!$C$76),"")))))))))))))</f>
      </c>
      <c r="CC17" s="24">
        <f>IF($B17="","",IF($AN17="AR",SUMPRODUCT(($AZ17&gt;=INDEX('How This Works &amp; Sources'!$B$82:$J$86,0,7))*INDEX('How This Works &amp; Sources'!$B$82:$J$86,0,7+2)),IF($AN17="DE",SUMPRODUCT(($AZ17&gt;=INDEX('How This Works &amp; Sources'!$B$91:$J$98,0,1))*INDEX('How This Works &amp; Sources'!$B$91:$J$98,0,1+2)),IF($AN17="VA",SUMPRODUCT(($AZ17&gt;=INDEX('How This Works &amp; Sources'!$B$219:$J$223,0,4))*INDEX('How This Works &amp; Sources'!$B$219:$J$223,0,4+2)),IF($AN17="WI",SUMPRODUCT(($AZ17&gt;=INDEX('How This Works &amp; Sources'!$B$228:$J$232,0,4))*INDEX('How This Works &amp; Sources'!$B$228:$J$232,0,4+2)),IF($AN17="AZ",'Your Pay &amp; Benefits'!$C$82,IF($AN17="CO",IF($AY17&gt;IF($AU17="Married",10000,5000),0.044,0),IF($AN17="IA",IF($AY17&gt;IF($AU17="Head of household",19500,IF($AU17="Married",26000,13000)),0.038,0),IF($AN17="ID",IF($AY17&gt;IF($AU17="Married",32000,16094),0.053,0),IF($AN17="IL",IF($AY17&gt;(2925*$AS17+1000*$AT17),0.0495,0),IF($AN17="KY",IF($AI17&gt;3360,0.035,0),IF($AN17="LA",0.0309,IF($AN17="MA",IF(MAX(0,$AY17-MIN(($BD16+$Q17+$R17+$S17),2000)-IF($AS17=0,0,IF($AS17=1,4400,1000*$AS17+3400)))&gt;=1107750,0.09,0.05),IF($AN17="MS",IF($AI17-IF($AU17="Head of household",3400,IF($AU17="Married",4600,2300))-'Your Pay &amp; Benefits'!$C$85&gt;10000,0.04,0),IF($AN17="PA",0.0307,"")))))))))))))))</f>
      </c>
      <c r="CD17" s="21">
        <f>IF(YEAR(IF('Your Pay &amp; Benefits'!$C$7="Weekly",'Your Pay &amp; Benefits'!$C$9+7*(($BE16+1)-1),IF('Your Pay &amp; Benefits'!$C$7="Biweekly",'Your Pay &amp; Benefits'!$C$9+14*(($BE16+1)-1),IF('Your Pay &amp; Benefits'!$C$7="Semimonthly",DATE(YEAR('Your Pay &amp; Benefits'!$C$9),MONTH('Your Pay &amp; Benefits'!$C$9)+INT((($BE16+1)-1)/2),MIN(DAY('Your Pay &amp; Benefits'!$C$9),DAY(EOMONTH(DATE(YEAR('Your Pay &amp; Benefits'!$C$9),MONTH('Your Pay &amp; Benefits'!$C$9)+INT((($BE16+1)-1)/2),1),0))))+IF(MOD(($BE16+1)-1,2)=1,15,0),EDATE('Your Pay &amp; Benefits'!$C$9,($BE16+1)-1)))))&lt;&gt;'Your Pay &amp; Benefits'!$C$10,"",IF('Your Pay &amp; Benefits'!$C$7="Weekly",'Your Pay &amp; Benefits'!$C$9+7*(($BE16+1)-1),IF('Your Pay &amp; Benefits'!$C$7="Biweekly",'Your Pay &amp; Benefits'!$C$9+14*(($BE16+1)-1),IF('Your Pay &amp; Benefits'!$C$7="Semimonthly",DATE(YEAR('Your Pay &amp; Benefits'!$C$9),MONTH('Your Pay &amp; Benefits'!$C$9)+INT((($BE16+1)-1)/2),MIN(DAY('Your Pay &amp; Benefits'!$C$9),DAY(EOMONTH(DATE(YEAR('Your Pay &amp; Benefits'!$C$9),MONTH('Your Pay &amp; Benefits'!$C$9)+INT((($BE16+1)-1)/2),1),0))))+IF(MOD(($BE16+1)-1,2)=1,15,0),EDATE('Your Pay &amp; Benefits'!$C$9,($BE16+1)-1)))))</f>
      </c>
      <c r="CE17" s="21">
        <f>IF(MIN(IF(AND('Your Pay &amp; Benefits'!$C$58&gt;MAX($B$6:$B16),'Your Pay &amp; Benefits'!$C$58&gt;=DATE('Your Pay &amp; Benefits'!$C$10,1,1),'Your Pay &amp; Benefits'!$C$58&lt;=DATE('Your Pay &amp; Benefits'!$C$10,12,31)),'Your Pay &amp; Benefits'!$C$58,999999),IF(AND('Your Pay &amp; Benefits'!$C$59&gt;MAX($B$6:$B16),'Your Pay &amp; Benefits'!$C$59&gt;=DATE('Your Pay &amp; Benefits'!$C$10,1,1),'Your Pay &amp; Benefits'!$C$59&lt;=DATE('Your Pay &amp; Benefits'!$C$10,12,31)),'Your Pay &amp; Benefits'!$C$59,999999),IF(AND('Your Pay &amp; Benefits'!$C$60&gt;MAX($B$6:$B16),'Your Pay &amp; Benefits'!$C$60&gt;=DATE('Your Pay &amp; Benefits'!$C$10,1,1),'Your Pay &amp; Benefits'!$C$60&lt;=DATE('Your Pay &amp; Benefits'!$C$10,12,31)),'Your Pay &amp; Benefits'!$C$60,999999),IF(AND('Your Pay &amp; Benefits'!$C$61&gt;MAX($B$6:$B16),'Your Pay &amp; Benefits'!$C$61&gt;=DATE('Your Pay &amp; Benefits'!$C$10,1,1),'Your Pay &amp; Benefits'!$C$61&lt;=DATE('Your Pay &amp; Benefits'!$C$10,12,31)),'Your Pay &amp; Benefits'!$C$61,999999),IF(AND('Your Pay &amp; Benefits'!$C$62&gt;MAX($B$6:$B16),'Your Pay &amp; Benefits'!$C$62&gt;=DATE('Your Pay &amp; Benefits'!$C$10,1,1),'Your Pay &amp; Benefits'!$C$62&lt;=DATE('Your Pay &amp; Benefits'!$C$10,12,31)),'Your Pay &amp; Benefits'!$C$62,999999),IF(AND('Your Pay &amp; Benefits'!$C$63&gt;MAX($B$6:$B16),'Your Pay &amp; Benefits'!$C$63&gt;=DATE('Your Pay &amp; Benefits'!$C$10,1,1),'Your Pay &amp; Benefits'!$C$63&lt;=DATE('Your Pay &amp; Benefits'!$C$10,12,31)),'Your Pay &amp; Benefits'!$C$63,999999),IF(AND('Your Pay &amp; Benefits'!$C$64&gt;MAX($B$6:$B16),'Your Pay &amp; Benefits'!$C$64&gt;=DATE('Your Pay &amp; Benefits'!$C$10,1,1),'Your Pay &amp; Benefits'!$C$64&lt;=DATE('Your Pay &amp; Benefits'!$C$10,12,31)),'Your Pay &amp; Benefits'!$C$64,999999),IF(AND('Your Pay &amp; Benefits'!$C$65&gt;MAX($B$6:$B16),'Your Pay &amp; Benefits'!$C$65&gt;=DATE('Your Pay &amp; Benefits'!$C$10,1,1),'Your Pay &amp; Benefits'!$C$65&lt;=DATE('Your Pay &amp; Benefits'!$C$10,12,31)),'Your Pay &amp; Benefits'!$C$65,999999),IF(AND('Your Pay &amp; Benefits'!$C$66&gt;MAX($B$6:$B16),'Your Pay &amp; Benefits'!$C$66&gt;=DATE('Your Pay &amp; Benefits'!$C$10,1,1),'Your Pay &amp; Benefits'!$C$66&lt;=DATE('Your Pay &amp; Benefits'!$C$10,12,31)),'Your Pay &amp; Benefits'!$C$66,999999),IF(AND('Your Pay &amp; Benefits'!$C$67&gt;MAX($B$6:$B16),'Your Pay &amp; Benefits'!$C$67&gt;=DATE('Your Pay &amp; Benefits'!$C$10,1,1),'Your Pay &amp; Benefits'!$C$67&lt;=DATE('Your Pay &amp; Benefits'!$C$10,12,31)),'Your Pay &amp; Benefits'!$C$67,999999))=999999,"",MIN(IF(AND('Your Pay &amp; Benefits'!$C$58&gt;MAX($B$6:$B16),'Your Pay &amp; Benefits'!$C$58&gt;=DATE('Your Pay &amp; Benefits'!$C$10,1,1),'Your Pay &amp; Benefits'!$C$58&lt;=DATE('Your Pay &amp; Benefits'!$C$10,12,31)),'Your Pay &amp; Benefits'!$C$58,999999),IF(AND('Your Pay &amp; Benefits'!$C$59&gt;MAX($B$6:$B16),'Your Pay &amp; Benefits'!$C$59&gt;=DATE('Your Pay &amp; Benefits'!$C$10,1,1),'Your Pay &amp; Benefits'!$C$59&lt;=DATE('Your Pay &amp; Benefits'!$C$10,12,31)),'Your Pay &amp; Benefits'!$C$59,999999),IF(AND('Your Pay &amp; Benefits'!$C$60&gt;MAX($B$6:$B16),'Your Pay &amp; Benefits'!$C$60&gt;=DATE('Your Pay &amp; Benefits'!$C$10,1,1),'Your Pay &amp; Benefits'!$C$60&lt;=DATE('Your Pay &amp; Benefits'!$C$10,12,31)),'Your Pay &amp; Benefits'!$C$60,999999),IF(AND('Your Pay &amp; Benefits'!$C$61&gt;MAX($B$6:$B16),'Your Pay &amp; Benefits'!$C$61&gt;=DATE('Your Pay &amp; Benefits'!$C$10,1,1),'Your Pay &amp; Benefits'!$C$61&lt;=DATE('Your Pay &amp; Benefits'!$C$10,12,31)),'Your Pay &amp; Benefits'!$C$61,999999),IF(AND('Your Pay &amp; Benefits'!$C$62&gt;MAX($B$6:$B16),'Your Pay &amp; Benefits'!$C$62&gt;=DATE('Your Pay &amp; Benefits'!$C$10,1,1),'Your Pay &amp; Benefits'!$C$62&lt;=DATE('Your Pay &amp; Benefits'!$C$10,12,31)),'Your Pay &amp; Benefits'!$C$62,999999),IF(AND('Your Pay &amp; Benefits'!$C$63&gt;MAX($B$6:$B16),'Your Pay &amp; Benefits'!$C$63&gt;=DATE('Your Pay &amp; Benefits'!$C$10,1,1),'Your Pay &amp; Benefits'!$C$63&lt;=DATE('Your Pay &amp; Benefits'!$C$10,12,31)),'Your Pay &amp; Benefits'!$C$63,999999),IF(AND('Your Pay &amp; Benefits'!$C$64&gt;MAX($B$6:$B16),'Your Pay &amp; Benefits'!$C$64&gt;=DATE('Your Pay &amp; Benefits'!$C$10,1,1),'Your Pay &amp; Benefits'!$C$64&lt;=DATE('Your Pay &amp; Benefits'!$C$10,12,31)),'Your Pay &amp; Benefits'!$C$64,999999),IF(AND('Your Pay &amp; Benefits'!$C$65&gt;MAX($B$6:$B16),'Your Pay &amp; Benefits'!$C$65&gt;=DATE('Your Pay &amp; Benefits'!$C$10,1,1),'Your Pay &amp; Benefits'!$C$65&lt;=DATE('Your Pay &amp; Benefits'!$C$10,12,31)),'Your Pay &amp; Benefits'!$C$65,999999),IF(AND('Your Pay &amp; Benefits'!$C$66&gt;MAX($B$6:$B16),'Your Pay &amp; Benefits'!$C$66&gt;=DATE('Your Pay &amp; Benefits'!$C$10,1,1),'Your Pay &amp; Benefits'!$C$66&lt;=DATE('Your Pay &amp; Benefits'!$C$10,12,31)),'Your Pay &amp; Benefits'!$C$66,999999),IF(AND('Your Pay &amp; Benefits'!$C$67&gt;MAX($B$6:$B16),'Your Pay &amp; Benefits'!$C$67&gt;=DATE('Your Pay &amp; Benefits'!$C$10,1,1),'Your Pay &amp; Benefits'!$C$67&lt;=DATE('Your Pay &amp; Benefits'!$C$10,12,31)),'Your Pay &amp; Benefits'!$C$67,999999)))</f>
      </c>
      <c r="CF17">
        <f>IF($B17="","",IF($D17=0,$Y17,""))</f>
      </c>
    </row>
    <row r="18">
      <c r="A18" t="n">
        <v>13</v>
      </c>
      <c r="B18" s="21">
        <f>IF(AND($CD18="",$CE18=""),"",IF($CE18="",$CD18,IF($CD18="",$CE18,MIN($CD18,$CE18))))</f>
      </c>
      <c r="C18" s="7">
        <f>IF($B18="","",IF($BF18=0,0,IF('Your Pay &amp; Benefits'!$C$4="Annual salary",ROUND($AK18/IF(AND('Your Pay &amp; Benefits'!$C$88="Actual paydays",MONTH('Your Pay &amp; Benefits'!$C$9)=1),MAX(1,MAX($BE$6:$BE$68)),'Your Pay &amp; Benefits'!$C$8),2),$AK18)))</f>
      </c>
      <c r="D18" s="7">
        <f>IF($B18="","",SUMIF('Your Pay &amp; Benefits'!$C$58:$C$67,$B18,'Your Pay &amp; Benefits'!$D$58:$D$67))</f>
      </c>
      <c r="E18" s="7">
        <f>IF($B18="","",ROUND(MAX(0,MIN(IF($AL18="Percent",$AM18*($C18+$D18),$AM18),MAX(0,'Your Pay &amp; Benefits'!$C$34-$AC17))),2))</f>
      </c>
      <c r="F18" s="7">
        <f>IF($B18="","",ROUND(MAX(0,MIN(IF('Your Pay &amp; Benefits'!$C$32="Percent",'Your Pay &amp; Benefits'!$D$32*($C18+$D18),'Your Pay &amp; Benefits'!$D$32),MAX(0,'Your Pay &amp; Benefits'!$C$34-$AC17-$E18))),2))</f>
      </c>
      <c r="G18" s="7">
        <f>IF($B18="","",IF($BF18=0,0,ROUND(MAX(0,MIN($BL18,'Your Pay &amp; Benefits'!$C$37-'Your Pay &amp; Benefits'!$C$54-$BI17)),2)))</f>
      </c>
      <c r="H18" s="7">
        <f>IF($B18="","",IF(OR($BF18=0,$BQ18=1),0,ROUND(MAX(0,MIN(IF($BS18=1,ROUND(MAX(0,MIN($BJ18,'How This Works &amp; Sources'!$C$13)-$BG17)/MAX(1,MAX($BE$6:$BE$68)-($BE17)),2),ROUND(MIN($BJ18,'How This Works &amp; Sources'!$C$13)/'Your Pay &amp; Benefits'!$C$8,2)),MIN($BJ18,'How This Works &amp; Sources'!$C$13)-$BG17)),2)))</f>
      </c>
      <c r="I18" s="7">
        <f>IF($B18="","",IF(OR($BF18=0,$BR18=1),0,ROUND(MAX(0,MIN(IF($BT18=1,ROUND(MAX(0,MIN($BK18,IF('Your Pay &amp; Benefits'!$C$12="MFJ",'How This Works &amp; Sources'!$C$14,'How This Works &amp; Sources'!$C$15))-$BH17)/MAX(1,MAX($BE$6:$BE$68)-($BE17)),2),ROUND(MIN($BK18,IF('Your Pay &amp; Benefits'!$C$12="MFJ",'How This Works &amp; Sources'!$C$14,'How This Works &amp; Sources'!$C$15))/'Your Pay &amp; Benefits'!$C$8,2)),MIN($BK18,IF('Your Pay &amp; Benefits'!$C$12="MFJ",'How This Works &amp; Sources'!$C$14,'How This Works &amp; Sources'!$C$15))-$BH17)),2)))</f>
      </c>
      <c r="J18" s="7">
        <f>IF($B18="","",IF($BF18=0,0,$BM18))</f>
      </c>
      <c r="K18" s="7">
        <f>IF($B18="","",IF($BF18=0,0,$BN18+$BO18))</f>
      </c>
      <c r="L18" s="7">
        <f>IF($B18="","",IF($BF18=0,0,'Your Pay &amp; Benefits'!$D$46))</f>
      </c>
      <c r="M18" s="7">
        <f>IF($B18="","",$C18+$D18+$L18-$E18-$G18-$H18-$I18-$J18-$K18)</f>
      </c>
      <c r="N18" s="7">
        <f>IF($B18="","",$C18+$D18+$L18-$G18-$H18-$I18-$J18-$K18)</f>
      </c>
      <c r="O18" s="7">
        <f>IF($B18="","",$C18+$D18+$L18-$E18-$H18-$I18-$J18-$K18-IF(OR($AN18="CA",$AN18="NJ"),0,$G18))</f>
      </c>
      <c r="P18" s="7">
        <f>IF($B18="","",IF('Your Pay &amp; Benefits'!$C$18,0,ROUND(MAX(0,IF('Your Pay &amp; Benefits'!$C$13,SUMPRODUCT(($AH18&gt;INDEX('How This Works &amp; Sources'!$B$29:$J$36,0,IF('Your Pay &amp; Benefits'!$C$12="MFJ",1,IF('Your Pay &amp; Benefits'!$C$12="HoH",7,4))))*($AH18-INDEX('How This Works &amp; Sources'!$B$29:$J$36,0,IF('Your Pay &amp; Benefits'!$C$12="MFJ",1,IF('Your Pay &amp; Benefits'!$C$12="HoH",7,4))))*INDEX('How This Works &amp; Sources'!$B$29:$J$36,0,IF('Your Pay &amp; Benefits'!$C$12="MFJ",1,IF('Your Pay &amp; Benefits'!$C$12="HoH",7,4))+2)),SUMPRODUCT(($AH18&gt;INDEX('How This Works &amp; Sources'!$B$19:$J$26,0,IF('Your Pay &amp; Benefits'!$C$12="MFJ",1,IF('Your Pay &amp; Benefits'!$C$12="HoH",7,4))))*($AH18-INDEX('How This Works &amp; Sources'!$B$19:$J$26,0,IF('Your Pay &amp; Benefits'!$C$12="MFJ",1,IF('Your Pay &amp; Benefits'!$C$12="HoH",7,4))))*INDEX('How This Works &amp; Sources'!$B$19:$J$26,0,IF('Your Pay &amp; Benefits'!$C$12="MFJ",1,IF('Your Pay &amp; Benefits'!$C$12="HoH",7,4))+2)))/'Your Pay &amp; Benefits'!$C$8-$AO18/'Your Pay &amp; Benefits'!$C$8)+$AR18+IF('Your Pay &amp; Benefits'!$C$89="Aggregate",MAX(0,IF('Your Pay &amp; Benefits'!$C$13,SUMPRODUCT((($AH18+$D18)&gt;INDEX('How This Works &amp; Sources'!$B$29:$J$36,0,IF('Your Pay &amp; Benefits'!$C$12="MFJ",1,IF('Your Pay &amp; Benefits'!$C$12="HoH",7,4))))*(($AH18+$D18)-INDEX('How This Works &amp; Sources'!$B$29:$J$36,0,IF('Your Pay &amp; Benefits'!$C$12="MFJ",1,IF('Your Pay &amp; Benefits'!$C$12="HoH",7,4))))*INDEX('How This Works &amp; Sources'!$B$29:$J$36,0,IF('Your Pay &amp; Benefits'!$C$12="MFJ",1,IF('Your Pay &amp; Benefits'!$C$12="HoH",7,4))+2)),SUMPRODUCT((($AH18+$D18)&gt;INDEX('How This Works &amp; Sources'!$B$19:$J$26,0,IF('Your Pay &amp; Benefits'!$C$12="MFJ",1,IF('Your Pay &amp; Benefits'!$C$12="HoH",7,4))))*(($AH18+$D18)-INDEX('How This Works &amp; Sources'!$B$19:$J$26,0,IF('Your Pay &amp; Benefits'!$C$12="MFJ",1,IF('Your Pay &amp; Benefits'!$C$12="HoH",7,4))))*INDEX('How This Works &amp; Sources'!$B$19:$J$26,0,IF('Your Pay &amp; Benefits'!$C$12="MFJ",1,IF('Your Pay &amp; Benefits'!$C$12="HoH",7,4))+2)))-IF('Your Pay &amp; Benefits'!$C$13,SUMPRODUCT(($AH18&gt;INDEX('How This Works &amp; Sources'!$B$29:$J$36,0,IF('Your Pay &amp; Benefits'!$C$12="MFJ",1,IF('Your Pay &amp; Benefits'!$C$12="HoH",7,4))))*($AH18-INDEX('How This Works &amp; Sources'!$B$29:$J$36,0,IF('Your Pay &amp; Benefits'!$C$12="MFJ",1,IF('Your Pay &amp; Benefits'!$C$12="HoH",7,4))))*INDEX('How This Works &amp; Sources'!$B$29:$J$36,0,IF('Your Pay &amp; Benefits'!$C$12="MFJ",1,IF('Your Pay &amp; Benefits'!$C$12="HoH",7,4))+2)),SUMPRODUCT(($AH18&gt;INDEX('How This Works &amp; Sources'!$B$19:$J$26,0,IF('Your Pay &amp; Benefits'!$C$12="MFJ",1,IF('Your Pay &amp; Benefits'!$C$12="HoH",7,4))))*($AH18-INDEX('How This Works &amp; Sources'!$B$19:$J$26,0,IF('Your Pay &amp; Benefits'!$C$12="MFJ",1,IF('Your Pay &amp; Benefits'!$C$12="HoH",7,4))))*INDEX('How This Works &amp; Sources'!$B$19:$J$26,0,IF('Your Pay &amp; Benefits'!$C$12="MFJ",1,IF('Your Pay &amp; Benefits'!$C$12="HoH",7,4))+2)))),'How This Works &amp; Sources'!$C$10*$D18),2)))</f>
      </c>
      <c r="Q18" s="7">
        <f>IF($B18="","",ROUND('How This Works &amp; Sources'!$C$4*MIN($N18,MAX(0,'How This Works &amp; Sources'!$C$3-($AX18+$AB17-$AW18))),2))</f>
      </c>
      <c r="R18" s="7">
        <f>IF($B18="","",ROUND('How This Works &amp; Sources'!$C$5*$N18,2))</f>
      </c>
      <c r="S18" s="7">
        <f>IF($B18="","",ROUND('How This Works &amp; Sources'!$C$6*MAX(0,MIN($N18,$AG17+$N18-'How This Works &amp; Sources'!$C$7)),2))</f>
      </c>
      <c r="T18" s="7">
        <f>IF($B18="","",IF('Your Pay &amp; Benefits'!$C$26,0,IF($AN18="CA",ROUND(IF($AI18&lt;=IF(($AS18+$AT18)&gt;=2,VLOOKUP($AN18,StateTables!$A$6:$AB$56,10,FALSE),VLOOKUP($AN18,StateTables!$A$6:$AB$56,9,FALSE)),0,MAX(0,SUMPRODUCT(($AJ18&gt;INDEX('How This Works &amp; Sources'!$B$39:$J$48,0,IF($AU18="Married",4,IF($AU18="Head of household",7,1))))*($AJ18-INDEX('How This Works &amp; Sources'!$B$39:$J$48,0,IF($AU18="Married",4,IF($AU18="Head of household",7,1))))*INDEX('How This Works &amp; Sources'!$B$39:$J$48,0,IF($AU18="Married",4,IF($AU18="Head of household",7,1))+2))-VLOOKUP($AN18,StateTables!$A$6:$AB$56,11,FALSE)*$AS18)/'Your Pay &amp; Benefits'!$C$8)+'Your Pay &amp; Benefits'!$C$25+VLOOKUP($AN18,StateTables!$A$6:$AB$56,13,FALSE)*$D18,2),IF(VLOOKUP($AN18,StateTables!$A$6:$AB$56,4,FALSE)="None",0,IF(ISNUMBER(SEARCH("MANUAL",VLOOKUP($AN18,StateTables!$A$6:$AB$56,5,FALSE))),'Your Pay &amp; Benefits'!$C$28,ROUND(MAX(0,$BA18+$BB18)/'Your Pay &amp; Benefits'!$C$8+'Your Pay &amp; Benefits'!$C$25+$BC18,2))))))</f>
      </c>
      <c r="U18" s="7">
        <f>IF($B18="","",IF(VLOOKUP($AN18,StateTables!$A$6:$AB$56,24,FALSE)="flatq",IF(OR(MONTH($B18)=1,MONTH($B18)=4,MONTH($B18)=7,MONTH($B18)=10),VLOOKUP($AN18,StateTables!$A$6:$AB$56,25,FALSE),0),IF(VLOOKUP($AN18,StateTables!$A$6:$AB$56,24,FALSE)="dbl",MIN(ROUND(0.005*$N18,2),ROUND(0.6*52/'Your Pay &amp; Benefits'!$C$8,2)),IF(OR(VLOOKUP($AN18,StateTables!$A$6:$AB$56,15,FALSE)="",VLOOKUP($AN18,StateTables!$A$6:$AB$56,15,FALSE)=0),0,ROUND(VLOOKUP($AN18,StateTables!$A$6:$AB$56,15,FALSE)*IF(OR(VLOOKUP($AN18,StateTables!$A$6:$AB$56,16,FALSE)="",VLOOKUP($AN18,StateTables!$A$6:$AB$56,16,FALSE)=0),$N18,MIN($N18,MAX(0,VLOOKUP($AN18,StateTables!$A$6:$AB$56,16,FALSE)-($AX18+$AB17-$AW18)))),2))))+IF(VLOOKUP($AN18,StateTables!$A$6:$AB$56,27,FALSE)="flatq",IF(OR(MONTH($B18)=1,MONTH($B18)=4,MONTH($B18)=7,MONTH($B18)=10),VLOOKUP($AN18,StateTables!$A$6:$AB$56,28,FALSE),0),IF(VLOOKUP($AN18,StateTables!$A$6:$AB$56,27,FALSE)="dbl",MIN(ROUND(0.005*$N18,2),ROUND(0.6*52/'Your Pay &amp; Benefits'!$C$8,2)),IF(OR(VLOOKUP($AN18,StateTables!$A$6:$AB$56,18,FALSE)="",VLOOKUP($AN18,StateTables!$A$6:$AB$56,18,FALSE)=0),0,ROUND(VLOOKUP($AN18,StateTables!$A$6:$AB$56,18,FALSE)*IF(OR(VLOOKUP($AN18,StateTables!$A$6:$AB$56,19,FALSE)="",VLOOKUP($AN18,StateTables!$A$6:$AB$56,19,FALSE)=0),$N18,MIN($N18,MAX(0,VLOOKUP($AN18,StateTables!$A$6:$AB$56,19,FALSE)-($AX18+$AB17-$AW18)))),2)))))</f>
      </c>
      <c r="V18" s="7">
        <f>IF($B18="","",IF($AN18="NY",IF('Your Pay &amp; Benefits'!$C$78,ROUND(SUMPRODUCT((MAX(0,($O18-$D18)*'Your Pay &amp; Benefits'!$C$8-(IF($AU18="Married",5500,5000)+1000*$AS18))&gt;INDEX('How This Works &amp; Sources'!$B$184:$J$198,0,4))*(MAX(0,($O18-$D18)*'Your Pay &amp; Benefits'!$C$8-(IF($AU18="Married",5500,5000)+1000*$AS18))-INDEX('How This Works &amp; Sources'!$B$184:$J$198,0,4))*INDEX('How This Works &amp; Sources'!$B$184:$J$198,0,4+2))/'Your Pay &amp; Benefits'!$C$8+0.0425*$D18,2),0)+IF('Your Pay &amp; Benefits'!$C$79="Resident",ROUND(0.1675*$T18,2),IF('Your Pay &amp; Benefits'!$C$79="Nonresident",ROUND(0.005*MAX(0,($O18-$D18)-(IF($AU18="Married",7950,7400)+1000*$AS18)/'Your Pay &amp; Benefits'!$C$8),2),0)),IF($AN18="PA",IF('Your Pay &amp; Benefits'!$C$80="None",'Your Pay &amp; Benefits'!$C$27+ROUND('Your Pay &amp; Benefits'!$C$81*($C18+$D18),2),ROUND(IF('Your Pay &amp; Benefits'!$C$80="Resident",IF($B18&lt;DATE(2026,7,1),0.0374,0.03735),IF($B18&lt;DATE(2026,7,1),0.0343,0.03425))*($C18+$D18),2)),IF($BF18=0,ROUND('Your Pay &amp; Benefits'!$C$81*($C18+$D18),2),'Your Pay &amp; Benefits'!$C$27+ROUND('Your Pay &amp; Benefits'!$C$81*($C18+$D18),2)))))</f>
      </c>
      <c r="W18" s="7">
        <f>IF($B18="","",IF($BF18=0,0,$BP18))</f>
      </c>
      <c r="X18" s="7">
        <f>IF($B18="","",SUM($E18:$K18)+$P18+$Q18+$R18+$S18+$T18+$U18+$V18+$W18)</f>
      </c>
      <c r="Y18" s="22">
        <f>IF($B18="","",$C18+$D18-$X18)</f>
      </c>
      <c r="Z18" s="7">
        <f>IF($B18="","",$Z17+$C18+$D18)</f>
      </c>
      <c r="AA18" s="7">
        <f>IF($B18="","",$AA17+$Y18)</f>
      </c>
      <c r="AB18" s="7">
        <f>IF($B18="","",$AB17+MIN($N18,MAX(0,'How This Works &amp; Sources'!$C$3-($AX18+$AB17-$AW18))))</f>
      </c>
      <c r="AC18" s="7">
        <f>IF($B18="","",$AC17+$E18+$F18)</f>
      </c>
      <c r="AD18" s="3">
        <f>IF($B18="","",IF(AND($AB17&lt;'How This Works &amp; Sources'!$C$3,$AB18&gt;='How This Works &amp; Sources'!$C$3),"★ Social Security maxed on this check — from the next check your net rises by about $"&amp;TEXT(ROUND('How This Works &amp; Sources'!$C$4*$N18,2),"#,##0.00")&amp;". ","")&amp;IF(AND($AC17&lt;'Your Pay &amp; Benefits'!$C$34,$AC18&gt;='Your Pay &amp; Benefits'!$C$34),"★ 401(k) reaches the $"&amp;TEXT('Your Pay &amp; Benefits'!$C$34,"#,##0")&amp;" cap on this check — deferrals stop and net pay rises. ","")&amp;IF(AND($AG17&lt;'How This Works &amp; Sources'!$C$7,$AG18&gt;='How This Works &amp; Sources'!$C$7),"★ Wages pass $200,000 — the 0.9% Additional Medicare Tax starts here. ","")&amp;IF(AND($BJ18&gt;0,$H18&gt;0,$BG17&lt;MIN($BJ18,'How This Works &amp; Sources'!$C$13),$BG17+$H18&gt;=MIN($BJ18,'How This Works &amp; Sources'!$C$13)),"★ Health FSA election is now fully deferred for the year. ",""))</f>
      </c>
      <c r="AE18" s="41" t="n"/>
      <c r="AF18" s="7">
        <f>IF(OR($B18="",$AE18=""),"",$AE18-$Y18)</f>
      </c>
      <c r="AG18" s="7">
        <f>IF($B18="","",$AG17+$N18)</f>
      </c>
      <c r="AH18" s="7">
        <f>IF($B18="","",MAX(0,($M18-$D18)*'Your Pay &amp; Benefits'!$C$8+$AP18-$AQ18-IF('Your Pay &amp; Benefits'!$C$13,0,IF('Your Pay &amp; Benefits'!$C$12="MFJ",'How This Works &amp; Sources'!$C$8,'How This Works &amp; Sources'!$C$9))))</f>
      </c>
      <c r="AI18" s="7">
        <f>IF($B18="","",$O18*'Your Pay &amp; Benefits'!$C$8)</f>
      </c>
      <c r="AJ18" s="7">
        <f>IF($B18="","",MAX(0,$AI18-VLOOKUP($AN18,StateTables!$A$6:$AB$56,12,FALSE)*$AT18-IF(($AS18+$AT18)&gt;=2,VLOOKUP($AN18,StateTables!$A$6:$AB$56,8,FALSE),VLOOKUP($AN18,StateTables!$A$6:$AB$56,7,FALSE))))</f>
      </c>
      <c r="AK18" s="7">
        <f>IF($B18="","",IFERROR(LOOKUP(2,1/(('Changes &amp; Events'!$C$6:$C$17="Salary change")*('Changes &amp; Events'!$B$6:$B$17&lt;=$B18)*('Changes &amp; Events'!$B$6:$B$17&lt;&gt;"")),'Changes &amp; Events'!$D$6:$D$17),IF('Your Pay &amp; Benefits'!$C$4="Annual salary",'Your Pay &amp; Benefits'!$C$5,'Your Pay &amp; Benefits'!$C$6)))</f>
      </c>
      <c r="AL18">
        <f>IF($B18="","",IFERROR(LOOKUP(2,1/(('Changes &amp; Events'!$C$6:$C$17="401(k) change")*('Changes &amp; Events'!$B$6:$B$17&lt;=$B18)*('Changes &amp; Events'!$B$6:$B$17&lt;&gt;"")),'Changes &amp; Events'!$D$6:$D$17),'Your Pay &amp; Benefits'!$C$30))</f>
      </c>
      <c r="AM18" s="7">
        <f>IF($B18="","",IFERROR(LOOKUP(2,1/(('Changes &amp; Events'!$C$6:$C$17="401(k) change")*('Changes &amp; Events'!$B$6:$B$17&lt;=$B18)*('Changes &amp; Events'!$B$6:$B$17&lt;&gt;"")),'Changes &amp; Events'!$E$6:$E$17),'Your Pay &amp; Benefits'!$D$31))</f>
      </c>
      <c r="AN18">
        <f>IF($B18="","",IFERROR(LOOKUP(2,1/(('Changes &amp; Events'!$C$6:$C$17="State move")*('Changes &amp; Events'!$B$6:$B$17&lt;=$B18)*('Changes &amp; Events'!$B$6:$B$17&lt;&gt;"")),'Changes &amp; Events'!$D$6:$D$17),'Your Pay &amp; Benefits'!$C$21))</f>
      </c>
      <c r="AO18" s="7">
        <f>IF($B18="","",IFERROR(LOOKUP(2,1/(('Changes &amp; Events'!$C$6:$C$17="W-4 change")*('Changes &amp; Events'!$B$6:$B$17&lt;=$B18)*('Changes &amp; Events'!$B$6:$B$17&lt;&gt;"")),'Changes &amp; Events'!$D$6:$D$17),'Your Pay &amp; Benefits'!$C$14))</f>
      </c>
      <c r="AP18" s="7">
        <f>IF($B18="","",IFERROR(LOOKUP(2,1/(('Changes &amp; Events'!$C$6:$C$17="W-4 change")*('Changes &amp; Events'!$B$6:$B$17&lt;=$B18)*('Changes &amp; Events'!$B$6:$B$17&lt;&gt;"")),'Changes &amp; Events'!$E$6:$E$17),'Your Pay &amp; Benefits'!$C$15))</f>
      </c>
      <c r="AQ18" s="7">
        <f>IF($B18="","",IFERROR(LOOKUP(2,1/(('Changes &amp; Events'!$C$6:$C$17="W-4 change")*('Changes &amp; Events'!$B$6:$B$17&lt;=$B18)*('Changes &amp; Events'!$B$6:$B$17&lt;&gt;"")),'Changes &amp; Events'!$F$6:$F$17),'Your Pay &amp; Benefits'!$C$16))</f>
      </c>
      <c r="AR18" s="7">
        <f>IF($B18="","",IFERROR(LOOKUP(2,1/(('Changes &amp; Events'!$C$6:$C$17="W-4 change")*('Changes &amp; Events'!$B$6:$B$17&lt;=$B18)*('Changes &amp; Events'!$B$6:$B$17&lt;&gt;"")),'Changes &amp; Events'!$G$6:$G$17),'Your Pay &amp; Benefits'!$C$17))</f>
      </c>
      <c r="AS18" s="6">
        <f>IF($B18="","",IFERROR(LOOKUP(2,1/((('Changes &amp; Events'!$C$6:$C$17="State move")+('Changes &amp; Events'!$C$6:$C$17="State cert change"))*('Changes &amp; Events'!$B$6:$B$17&lt;=$B18)*('Changes &amp; Events'!$B$6:$B$17&lt;&gt;"")),'Changes &amp; Events'!$F$6:$F$17),'Your Pay &amp; Benefits'!$C$23))</f>
      </c>
      <c r="AT18" s="6">
        <f>IF($B18="","",IFERROR(LOOKUP(2,1/((('Changes &amp; Events'!$C$6:$C$17="State move")+('Changes &amp; Events'!$C$6:$C$17="State cert change"))*('Changes &amp; Events'!$B$6:$B$17&lt;=$B18)*('Changes &amp; Events'!$B$6:$B$17&lt;&gt;"")),'Changes &amp; Events'!$G$6:$G$17),'Your Pay &amp; Benefits'!$C$24))</f>
      </c>
      <c r="AU18">
        <f>IF($B18="","",IFERROR(LOOKUP(2,1/(('Changes &amp; Events'!$C$6:$C$17="State move")*('Changes &amp; Events'!$B$6:$B$17&lt;=$B18)*('Changes &amp; Events'!$B$6:$B$17&lt;&gt;"")),'Changes &amp; Events'!$E$6:$E$17),'Your Pay &amp; Benefits'!$C$22))</f>
      </c>
      <c r="AV18" s="6">
        <f>IF($B18="","",1+COUNTIFS('Changes &amp; Events'!$C$6:$C$17,"Employer change",'Changes &amp; Events'!$B$6:$B$17,"&lt;="&amp;$B18,'Changes &amp; Events'!$B$6:$B$17,"&lt;&gt;"))</f>
      </c>
      <c r="AW18" s="7">
        <f>IF($B18="","",IF($AV18=1,'Your Pay &amp; Benefits'!$C$49,IF(IFERROR(MATCH(IFERROR(LOOKUP(2,1/(('Changes &amp; Events'!$C$6:$C$17="Employer change")*('Changes &amp; Events'!$B$6:$B$17&lt;=$B18)*('Changes &amp; Events'!$B$6:$B$17&lt;&gt;"")),'Changes &amp; Events'!$B$6:$B$17),""),$B$6:$B$68,1),1)&lt;=1,'Your Pay &amp; Benefits'!$C$49,INDEX($AB$6:$AB$68,MATCH(IFERROR(LOOKUP(2,1/(('Changes &amp; Events'!$C$6:$C$17="Employer change")*('Changes &amp; Events'!$B$6:$B$17&lt;=$B18)*('Changes &amp; Events'!$B$6:$B$17&lt;&gt;"")),'Changes &amp; Events'!$B$6:$B$17),""),$B$6:$B$68,1)-1))))</f>
      </c>
      <c r="AX18" s="7">
        <f>IF($B18="","",IF($AV18=1,'Your Pay &amp; Benefits'!$C$49,IFERROR(LOOKUP(2,1/(('Changes &amp; Events'!$C$6:$C$17="Employer change")*('Changes &amp; Events'!$B$6:$B$17&lt;=$B18)*('Changes &amp; Events'!$B$6:$B$17&lt;&gt;"")),'Changes &amp; Events'!$D$6:$D$17),0)))</f>
      </c>
      <c r="AY18" s="7">
        <f>IF($B18="","",($O18-$D18)*'Your Pay &amp; Benefits'!$C$8)</f>
      </c>
      <c r="AZ18" s="7">
        <f>IF($B18="","",IF($AN18="AL",MAX(0,$AY18-IF($AU18="Married",IF($AY18&lt;=25999,8500,MAX(5000,8500-175*CEILING(($AY18-25999)/500,1))),IF($AU18="Head of household",IF($AY18&lt;=25999,5200,MAX(2500,5200-135*CEILING(($AY18-25999)/500,1))),IF($AY18&lt;=25999,3000,MAX(2500,3000-25*CEILING(($AY18-25999)/500,1)))))-($P18-'How This Works &amp; Sources'!$C$10*$D18)*'Your Pay &amp; Benefits'!$C$8-IF(OR($AU18="Married",$AU18="Head of household"),3000,1500)-$AT18*IF($AY18&lt;=50000,1000,IF($AY18&lt;=100000,500,300))),IF($AN18="AR",IF(MAX(0,$AY18-2470)&lt;97701,INT(MAX(0,$AY18-2470)/100)*100+50,MAX(0,$AY18-2470)),IF($AN18="DE",MAX(0,$AI18-3250),IF($AN18="HI",MAX(0,$AI18-1144*$AS18-4350),IF($AN18="KS",MAX(0,$AI18-(9160*IF($AU18="Married",2,1)+2320*$AT18+IF($AU18="Head of household",2320,0))),IF($AN18="MD",MAX(0,$AI18-3400-3200*$AS18),IF($AN18="MN",MAX(0,$AY18-5300*$AS18),IF($AN18="MO",MAX(0,$AI18-IF($AU18="Head of household",24150,IF($AU18="Married",IF('Your Pay &amp; Benefits'!$C$83,16100,32200),16100))),IF($AN18="MT",$AY18,IF($AN18="ND",($C18+$L18)*'Your Pay &amp; Benefits'!$C$8,IF($AN18="NE",MAX(0,$AY18-2440*$AS18),IF($AN18="NJ",MAX(0,$AY18-1000*$AS18),IF($AN18="NY",MAX(0,$AY18-(IF($AU18="Married",7950,7400)+1000*$AS18)),IF($AN18="OH",MAX(0,$AY18-650*$AS18),IF($AN18="OK",MAX(0,$AY18-1000*$AS18),IF($AN18="RI",MAX(0,$AI18-1000*$AS18),IF($AN18="SC",MAX(0,$AI18-5000*$AS18-IF($AS18=0,0,MIN(0.1*$AI18,7500))),IF($AN18="VA",MAX(0,$AI18-IF($AU18="Married",17500,8750)-930*$AS18-800*$AT18),IF($AN18="VT",MAX(0,$AI18-5400*$AS18),IF($AN18="WI",MAX(0,$AI18-MAX(0,IF($AU18="Married",9461-0.2*MAX(0,$AI18-25727),6702-0.12*MAX(0,$AI18-17780)))-400*$AS18),IF($AN18="WV",MAX(0,$AI18-2000*$AS18),$AI18))))))))))))))))))))))</f>
      </c>
      <c r="BA18" s="7">
        <f>IF($B18="","",IF($BW18&lt;&gt;"",$BW18,IF($BX18&lt;&gt;"",$BX18,IF($BY18&lt;&gt;"",$BY18,0))))</f>
      </c>
      <c r="BB18" s="7">
        <f>IF($B18="","",IF($AN18="AR",-29*$AS18,IF($AN18="DE",-110*$AS18,IF($AN18="MD",$AZ18*'Your Pay &amp; Benefits'!$C$74,IF($AN18="AZ",'Your Pay &amp; Benefits'!$C$82*($M18-$D18)*'Your Pay &amp; Benefits'!$C$8,IF($AN18="CO",0.044*MAX(0,$AY18-IF($AU18="Married",10000,5000)),IF($AN18="IA",MAX(0,0.038*MAX(0,$AY18-IF($AU18="Head of household",19500,IF($AU18="Married",26000,13000)))-40*$AS18),IF($AN18="ID",0.053*MAX(0,$AY18-IF($AU18="Married",32000,16094)),IF($AN18="IL",0.0495*MAX(0,$AY18-(2925*$AS18+1000*$AT18)),IF($AN18="IN",(0.0295+'Your Pay &amp; Benefits'!$C$76)*MAX(0,$AY18-(1000*$AS18+1500*$AT18+3000*'Your Pay &amp; Benefits'!$C$86)),IF($AN18="KY",0.035*MAX(0,$AI18-3360),IF($AN18="LA",IF('Your Pay &amp; Benefits'!$C$84="0",0.0309*$AI18,0.0309*MAX(0,$AI18-IF('Your Pay &amp; Benefits'!$C$84="2",25750,12875))),IF($AN18="MA",0.05*MIN(MAX(0,$AY18-MIN(($BD17+$Q18+$R18+$S18),2000)-IF($AS18=0,0,IF($AS18=1,4400,1000*$AS18+3400))),1107750)+0.09*MAX(0,MAX(0,$AY18-MIN(($BD17+$Q18+$R18+$S18),2000)-IF($AS18=0,0,IF($AS18=1,4400,1000*$AS18+3400)))-1107750)-IF($AU18="Head of household",120,0)-110*'Your Pay &amp; Benefits'!$C$75,IF($AN18="MI",0.0425*MAX(0,$AY18-5900*$AS18),IF($AN18="MS",0.04*MAX(0,$AI18-IF($AU18="Head of household",3400,IF($AU18="Married",4600,2300))-'Your Pay &amp; Benefits'!$C$85-10000),IF($AN18="OR",IF(OR($AU18="Married",AND($AU18="Single",$AS18&gt;=3)),SUMPRODUCT((MAX(0,$AY18-MIN(($P18-'How This Works &amp; Sources'!$C$10*$D18)*'Your Pay &amp; Benefits'!$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Sources'!$B$211:$J$214,0,4))*(MAX(0,$AY18-MIN(($P18-'How This Works &amp; Sources'!$C$10*$D18)*'Your Pay &amp; Benefits'!$C$8,IF(OR($AU18="Married",AND($AU18="Single",$AS18&gt;=3)),IF($AY18&lt;250000,8750,IF($AY18&lt;260000,7000,IF($AY18&lt;270000,5250,IF($AY18&lt;280000,3500,IF($AY18&lt;290000,1750,0))))),IF($AY18&lt;125000,8750,IF($AY18&lt;130000,7000,IF($AY18&lt;135000,5250,IF($AY18&lt;140000,3500,IF($AY18&lt;145000,1750,0)))))))-IF(OR($AU18="Married",AND($AU18="Single",$AS18&gt;=3)),5820,2910))-INDEX('How This Works &amp; Sources'!$B$211:$J$214,0,4))*INDEX('How This Works &amp; Sources'!$B$211:$J$214,0,4+2)),SUMPRODUCT((MAX(0,$AY18-MIN(($P18-'How This Works &amp; Sources'!$C$10*$D18)*'Your Pay &amp; Benefits'!$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Sources'!$B$211:$J$214,0,1))*(MAX(0,$AY18-MIN(($P18-'How This Works &amp; Sources'!$C$10*$D18)*'Your Pay &amp; Benefits'!$C$8,IF(OR($AU18="Married",AND($AU18="Single",$AS18&gt;=3)),IF($AY18&lt;250000,8750,IF($AY18&lt;260000,7000,IF($AY18&lt;270000,5250,IF($AY18&lt;280000,3500,IF($AY18&lt;290000,1750,0))))),IF($AY18&lt;125000,8750,IF($AY18&lt;130000,7000,IF($AY18&lt;135000,5250,IF($AY18&lt;140000,3500,IF($AY18&lt;145000,1750,0)))))))-IF(OR($AU18="Married",AND($AU18="Single",$AS18&gt;=3)),5820,2910))-INDEX('How This Works &amp; Sources'!$B$211:$J$214,0,1))*INDEX('How This Works &amp; Sources'!$B$211:$J$214,0,1+2)))+263-263*IF(IF($AU18="Married",$AY18&gt;200000,$AY18&gt;100000),0,$AS18),IF($AN18="PA",0.0307*(($O18+$E18+$G18)*'Your Pay &amp; Benefits'!$C$8),IF($AN18="NY",IF($AU18="Married",IF($AZ18&gt;=2155350,0,IF($AZ18&gt;=1077550,0.48,IF($AZ18&gt;=373200,1.21,IF($AZ18&gt;=323200,0.21,IF($AZ18&gt;=211550,-0.19,IF($AZ18&gt;=157650,-2.8,IF($AZ18&gt;=107650,-0.8,IF($AZ18&gt;=96800,0.05,IF($AZ18&gt;=80650,-0.1,IF($AZ18&gt;=13900,0.4,IF($AZ18&gt;=11700,-0.3,IF($AZ18&gt;=8500,0.5,0)))))))))))),IF($AZ18&gt;=1077550,0,IF($AZ18&gt;=265400,4.29,IF($AZ18&gt;=215400,2.29,IF($AZ18&gt;=157650,2.29,IF($AZ18&gt;=107650,0.29,IF($AZ18&gt;=96800,0.05,IF($AZ18&gt;=80650,-0.1,IF($AZ18&gt;=13900,0.4,IF($AZ18&gt;=11700,-0.3,IF($AZ18&gt;=8500,0.5,0))))))))))),0))))))))))))))))))</f>
      </c>
      <c r="BC18" s="7">
        <f>IF($B18="","",IF($AN18="AL",0.05*$D18,IF($AN18="AR",0.039*$D18,IF($AN18="ID",0.053*$D18,IF($AN18="IN",(0.0295+'Your Pay &amp; Benefits'!$C$76)*$D18,IF($AN18="KS",0.05*$D18,IF($AN18="MA",0.09*MIN($D18,MAX(0,MAX(0,$AY18-MIN(($BD17+$Q18+$R18+$S18),2000)-IF($AS18=0,0,IF($AS18=1,4400,1000*$AS18+3400)))+$D18-1107750))+0.05*($D18-MIN($D18,MAX(0,MAX(0,$AY18-MIN(($BD17+$Q18+$R18+$S18),2000)-IF($AS18=0,0,IF($AS18=1,4400,1000*$AS18+3400)))+$D18-1107750))),IF($AN18="MD",(0.065+'Your Pay &amp; Benefits'!$C$74)*$D18,IF($AN18="MI",0.0425*$D18,IF($AN18="MN",0.0625*$D18,IF($AN18="MO",0.047*$D18,IF($AN18="MT",0.05*$D18,IF($AN18="ND",0.015*$D18,IF($AN18="NE",0.035*$D18,IF($AN18="NJ",IF('Your Pay &amp; Benefits'!$C$77="B",SUMPRODUCT(($D18*'Your Pay &amp; Benefits'!$C$8&gt;INDEX('How This Works &amp; Sources'!$B$155:$J$162,0,4))*($D18*'Your Pay &amp; Benefits'!$C$8-INDEX('How This Works &amp; Sources'!$B$155:$J$162,0,4))*INDEX('How This Works &amp; Sources'!$B$155:$J$162,0,4+2)),IF('Your Pay &amp; Benefits'!$C$77="C",SUMPRODUCT(($D18*'Your Pay &amp; Benefits'!$C$8&gt;INDEX('How This Works &amp; Sources'!$B$155:$J$162,0,7))*($D18*'Your Pay &amp; Benefits'!$C$8-INDEX('How This Works &amp; Sources'!$B$155:$J$162,0,7))*INDEX('How This Works &amp; Sources'!$B$155:$J$162,0,7+2)),IF('Your Pay &amp; Benefits'!$C$77="D",SUMPRODUCT(($D18*'Your Pay &amp; Benefits'!$C$8&gt;INDEX('How This Works &amp; Sources'!$B$167:$J$179,0,1))*($D18*'Your Pay &amp; Benefits'!$C$8-INDEX('How This Works &amp; Sources'!$B$167:$J$179,0,1))*INDEX('How This Works &amp; Sources'!$B$167:$J$179,0,1+2)),IF('Your Pay &amp; Benefits'!$C$77="E",SUMPRODUCT(($D18*'Your Pay &amp; Benefits'!$C$8&gt;INDEX('How This Works &amp; Sources'!$B$167:$J$179,0,4))*($D18*'Your Pay &amp; Benefits'!$C$8-INDEX('How This Works &amp; Sources'!$B$167:$J$179,0,4))*INDEX('How This Works &amp; Sources'!$B$167:$J$179,0,4+2)),SUMPRODUCT(($D18*'Your Pay &amp; Benefits'!$C$8&gt;INDEX('How This Works &amp; Sources'!$B$155:$J$162,0,1))*($D18*'Your Pay &amp; Benefits'!$C$8-INDEX('How This Works &amp; Sources'!$B$155:$J$162,0,1))*INDEX('How This Works &amp; Sources'!$B$155:$J$162,0,1+2))))))/'Your Pay &amp; Benefits'!$C$8,IF($AN18="NY",0.117*$D18,IF($AN18="OH",0.0275*$D18,IF($AN18="OK",0.045*$D18,IF($AN18="OR",0.08*$D18,IF($AN18="WI",IF($AY18&lt;12760,0.0354,IF($AY18&lt;25520,0.0465,IF($AY18&lt;280950,0.053,0.0765)))*$D18,0))))))))))))))))))))</f>
      </c>
      <c r="BD18" s="7">
        <f>IF($B18="","",$BD17+$Q18+$R18+$S18)</f>
      </c>
      <c r="BE18" s="6">
        <f>IF($B18="",$BE17,$BE17+$BF18)</f>
      </c>
      <c r="BF18" s="6">
        <f>IF($B18="","",IF(AND(IF(YEAR(IF('Your Pay &amp; Benefits'!$C$7="Weekly",'Your Pay &amp; Benefits'!$C$9+7*(($BE17+1)-1),IF('Your Pay &amp; Benefits'!$C$7="Biweekly",'Your Pay &amp; Benefits'!$C$9+14*(($BE17+1)-1),IF('Your Pay &amp; Benefits'!$C$7="Semimonthly",DATE(YEAR('Your Pay &amp; Benefits'!$C$9),MONTH('Your Pay &amp; Benefits'!$C$9)+INT((($BE17+1)-1)/2),MIN(DAY('Your Pay &amp; Benefits'!$C$9),DAY(EOMONTH(DATE(YEAR('Your Pay &amp; Benefits'!$C$9),MONTH('Your Pay &amp; Benefits'!$C$9)+INT((($BE17+1)-1)/2),1),0))))+IF(MOD(($BE17+1)-1,2)=1,15,0),EDATE('Your Pay &amp; Benefits'!$C$9,($BE17+1)-1)))))&lt;&gt;'Your Pay &amp; Benefits'!$C$10,"",IF('Your Pay &amp; Benefits'!$C$7="Weekly",'Your Pay &amp; Benefits'!$C$9+7*(($BE17+1)-1),IF('Your Pay &amp; Benefits'!$C$7="Biweekly",'Your Pay &amp; Benefits'!$C$9+14*(($BE17+1)-1),IF('Your Pay &amp; Benefits'!$C$7="Semimonthly",DATE(YEAR('Your Pay &amp; Benefits'!$C$9),MONTH('Your Pay &amp; Benefits'!$C$9)+INT((($BE17+1)-1)/2),MIN(DAY('Your Pay &amp; Benefits'!$C$9),DAY(EOMONTH(DATE(YEAR('Your Pay &amp; Benefits'!$C$9),MONTH('Your Pay &amp; Benefits'!$C$9)+INT((($BE17+1)-1)/2),1),0))))+IF(MOD(($BE17+1)-1,2)=1,15,0),EDATE('Your Pay &amp; Benefits'!$C$9,($BE17+1)-1)))))&lt;&gt;"",$B18=IF(YEAR(IF('Your Pay &amp; Benefits'!$C$7="Weekly",'Your Pay &amp; Benefits'!$C$9+7*(($BE17+1)-1),IF('Your Pay &amp; Benefits'!$C$7="Biweekly",'Your Pay &amp; Benefits'!$C$9+14*(($BE17+1)-1),IF('Your Pay &amp; Benefits'!$C$7="Semimonthly",DATE(YEAR('Your Pay &amp; Benefits'!$C$9),MONTH('Your Pay &amp; Benefits'!$C$9)+INT((($BE17+1)-1)/2),MIN(DAY('Your Pay &amp; Benefits'!$C$9),DAY(EOMONTH(DATE(YEAR('Your Pay &amp; Benefits'!$C$9),MONTH('Your Pay &amp; Benefits'!$C$9)+INT((($BE17+1)-1)/2),1),0))))+IF(MOD(($BE17+1)-1,2)=1,15,0),EDATE('Your Pay &amp; Benefits'!$C$9,($BE17+1)-1)))))&lt;&gt;'Your Pay &amp; Benefits'!$C$10,"",IF('Your Pay &amp; Benefits'!$C$7="Weekly",'Your Pay &amp; Benefits'!$C$9+7*(($BE17+1)-1),IF('Your Pay &amp; Benefits'!$C$7="Biweekly",'Your Pay &amp; Benefits'!$C$9+14*(($BE17+1)-1),IF('Your Pay &amp; Benefits'!$C$7="Semimonthly",DATE(YEAR('Your Pay &amp; Benefits'!$C$9),MONTH('Your Pay &amp; Benefits'!$C$9)+INT((($BE17+1)-1)/2),MIN(DAY('Your Pay &amp; Benefits'!$C$9),DAY(EOMONTH(DATE(YEAR('Your Pay &amp; Benefits'!$C$9),MONTH('Your Pay &amp; Benefits'!$C$9)+INT((($BE17+1)-1)/2),1),0))))+IF(MOD(($BE17+1)-1,2)=1,15,0),EDATE('Your Pay &amp; Benefits'!$C$9,($BE17+1)-1)))))),1,0))</f>
      </c>
      <c r="BG18" s="7">
        <f>IF($B18="","",$BG17+$H18)</f>
      </c>
      <c r="BH18" s="7">
        <f>IF($B18="","",$BH17+$I18)</f>
      </c>
      <c r="BI18" s="7">
        <f>IF($B18="","",$BI17+$G18)</f>
      </c>
      <c r="BJ18" s="7">
        <f>IF($B18="","",IFERROR(LOOKUP(2,1/(((('Changes &amp; Events'!$C$6:$C$17="Deduction start"))*('Changes &amp; Events'!$D$6:$D$17="Health FSA"))*('Changes &amp; Events'!$B$6:$B$17&lt;=$B18)*('Changes &amp; Events'!$B$6:$B$17&lt;&gt;"")),'Changes &amp; Events'!$E$6:$E$17),'Your Pay &amp; Benefits'!$D$38))</f>
      </c>
      <c r="BK18" s="7">
        <f>IF($B18="","",IFERROR(LOOKUP(2,1/(((('Changes &amp; Events'!$C$6:$C$17="Deduction start"))*('Changes &amp; Events'!$D$6:$D$17="Dependent-care FSA"))*('Changes &amp; Events'!$B$6:$B$17&lt;=$B18)*('Changes &amp; Events'!$B$6:$B$17&lt;&gt;"")),'Changes &amp; Events'!$E$6:$E$17),'Your Pay &amp; Benefits'!$D$39))</f>
      </c>
      <c r="BL18" s="7">
        <f>IF($B18="","",IFERROR(LOOKUP(2,1/(((('Changes &amp; Events'!$C$6:$C$17="Deduction start")+('Changes &amp; Events'!$C$6:$C$17="Deduction stop"))*('Changes &amp; Events'!$D$6:$D$17="HSA"))*('Changes &amp; Events'!$B$6:$B$17&lt;=$B18)*('Changes &amp; Events'!$B$6:$B$17&lt;&gt;"")),'Changes &amp; Events'!$I$6:$I$17),'Your Pay &amp; Benefits'!$D$35))</f>
      </c>
      <c r="BM18" s="7">
        <f>IF($B18="","",IFERROR(LOOKUP(2,1/(((('Changes &amp; Events'!$C$6:$C$17="Deduction start")+('Changes &amp; Events'!$C$6:$C$17="Deduction stop"))*('Changes &amp; Events'!$D$6:$D$17="Premiums"))*('Changes &amp; Events'!$B$6:$B$17&lt;=$B18)*('Changes &amp; Events'!$B$6:$B$17&lt;&gt;"")),'Changes &amp; Events'!$I$6:$I$17),'Your Pay &amp; Benefits'!$D$40+'Your Pay &amp; Benefits'!$D$41+'Your Pay &amp; Benefits'!$D$42))</f>
      </c>
      <c r="BN18" s="7">
        <f>IF($B18="","",IFERROR(LOOKUP(2,1/(((('Changes &amp; Events'!$C$6:$C$17="Deduction start")+('Changes &amp; Events'!$C$6:$C$17="Deduction stop"))*('Changes &amp; Events'!$D$6:$D$17="Commuter"))*('Changes &amp; Events'!$B$6:$B$17&lt;=$B18)*('Changes &amp; Events'!$B$6:$B$17&lt;&gt;"")),'Changes &amp; Events'!$I$6:$I$17),'Your Pay &amp; Benefits'!$D$43))</f>
      </c>
      <c r="BO18" s="7">
        <f>IF($B18="","",IFERROR(LOOKUP(2,1/(((('Changes &amp; Events'!$C$6:$C$17="Deduction start")+('Changes &amp; Events'!$C$6:$C$17="Deduction stop"))*('Changes &amp; Events'!$D$6:$D$17="Other pre-tax"))*('Changes &amp; Events'!$B$6:$B$17&lt;=$B18)*('Changes &amp; Events'!$B$6:$B$17&lt;&gt;"")),'Changes &amp; Events'!$I$6:$I$17),'Your Pay &amp; Benefits'!$D$44))</f>
      </c>
      <c r="BP18" s="7">
        <f>IF($B18="","",IFERROR(LOOKUP(2,1/(((('Changes &amp; Events'!$C$6:$C$17="Deduction start")+('Changes &amp; Events'!$C$6:$C$17="Deduction stop"))*('Changes &amp; Events'!$D$6:$D$17="Other post-tax"))*('Changes &amp; Events'!$B$6:$B$17&lt;=$B18)*('Changes &amp; Events'!$B$6:$B$17&lt;&gt;"")),'Changes &amp; Events'!$I$6:$I$17),'Your Pay &amp; Benefits'!$D$45))</f>
      </c>
      <c r="BQ18" s="6">
        <f>IF($B18="","",IFERROR(LOOKUP(2,1/(((('Changes &amp; Events'!$C$6:$C$17="Deduction start")+('Changes &amp; Events'!$C$6:$C$17="Deduction stop"))*('Changes &amp; Events'!$D$6:$D$17="Health FSA"))*('Changes &amp; Events'!$B$6:$B$17&lt;=$B18)*('Changes &amp; Events'!$B$6:$B$17&lt;&gt;"")),'Changes &amp; Events'!$J$6:$J$17),0))</f>
      </c>
      <c r="BR18" s="6">
        <f>IF($B18="","",IFERROR(LOOKUP(2,1/(((('Changes &amp; Events'!$C$6:$C$17="Deduction start")+('Changes &amp; Events'!$C$6:$C$17="Deduction stop"))*('Changes &amp; Events'!$D$6:$D$17="Dependent-care FSA"))*('Changes &amp; Events'!$B$6:$B$17&lt;=$B18)*('Changes &amp; Events'!$B$6:$B$17&lt;&gt;"")),'Changes &amp; Events'!$J$6:$J$17),0))</f>
      </c>
      <c r="BS18" s="6">
        <f>IF($B18="","",IF(SUMPRODUCT(('Changes &amp; Events'!$C$6:$C$17="Deduction start")*('Changes &amp; Events'!$B$6:$B$17&lt;=$B18)*('Changes &amp; Events'!$B$6:$B$17&lt;&gt;"")*('Changes &amp; Events'!$D$6:$D$17="Health FSA"))&gt;0,1,0))</f>
      </c>
      <c r="BT18" s="6">
        <f>IF($B18="","",IF(SUMPRODUCT(('Changes &amp; Events'!$C$6:$C$17="Deduction start")*('Changes &amp; Events'!$B$6:$B$17&lt;=$B18)*('Changes &amp; Events'!$B$6:$B$17&lt;&gt;"")*('Changes &amp; Events'!$D$6:$D$17="Dependent-care FSA"))&gt;0,1,0))</f>
      </c>
      <c r="BU18" s="24">
        <f>IF($B18="","",IF('Your Pay &amp; Benefits'!$C$13,SUMPRODUCT(($AH18&gt;=INDEX('How This Works &amp; Sources'!$B$29:$J$36,0,IF('Your Pay &amp; Benefits'!$C$12="MFJ",1,IF('Your Pay &amp; Benefits'!$C$12="HoH",7,4))))*INDEX('How This Works &amp; Sources'!$B$29:$J$36,0,IF('Your Pay &amp; Benefits'!$C$12="MFJ",1,IF('Your Pay &amp; Benefits'!$C$12="HoH",7,4))+2)),SUMPRODUCT(($AH18&gt;=INDEX('How This Works &amp; Sources'!$B$19:$J$26,0,IF('Your Pay &amp; Benefits'!$C$12="MFJ",1,IF('Your Pay &amp; Benefits'!$C$12="HoH",7,4))))*INDEX('How This Works &amp; Sources'!$B$19:$J$26,0,IF('Your Pay &amp; Benefits'!$C$12="MFJ",1,IF('Your Pay &amp; Benefits'!$C$12="HoH",7,4))+2))))</f>
      </c>
      <c r="BV18" s="24">
        <f>IF($B18="","",IF($BZ18&lt;&gt;"",$BZ18,IF($CA18&lt;&gt;"",$CA18,IF($CB18&lt;&gt;"",$CB18,IF($CC18&lt;&gt;"",$CC18,0)))))</f>
      </c>
      <c r="BW18" s="7">
        <f>IF($B18="","",IF($AN18="MD",IF(OR($AU18="Married",$AU18="Head of household"),SUMPRODUCT(($AZ18&gt;INDEX('How This Works &amp; Sources'!$B$114:$J$120,0,1))*($AZ18-INDEX('How This Works &amp; Sources'!$B$114:$J$120,0,1))*INDEX('How This Works &amp; Sources'!$B$114:$J$120,0,1+2)),SUMPRODUCT(($AZ18&gt;INDEX('How This Works &amp; Sources'!$B$103:$J$109,0,7))*($AZ18-INDEX('How This Works &amp; Sources'!$B$103:$J$109,0,7))*INDEX('How This Works &amp; Sources'!$B$103:$J$109,0,7+2))),IF($AN18="MO",SUMPRODUCT(($AZ18&gt;INDEX('How This Works &amp; Sources'!$B$125:$J$132,0,1))*($AZ18-INDEX('How This Works &amp; Sources'!$B$125:$J$132,0,1))*INDEX('How This Works &amp; Sources'!$B$125:$J$132,0,1+2)),IF($AN18="MT",IF($AU18="Head of household",SUMPRODUCT(($AZ18&gt;INDEX('How This Works &amp; Sources'!$B$137:$J$139,0,1))*($AZ18-INDEX('How This Works &amp; Sources'!$B$137:$J$139,0,1))*INDEX('How This Works &amp; Sources'!$B$137:$J$139,0,1+2)),IF($AU18="Married",SUMPRODUCT(($AZ18&gt;INDEX('How This Works &amp; Sources'!$B$125:$J$132,0,7))*($AZ18-INDEX('How This Works &amp; Sources'!$B$125:$J$132,0,7))*INDEX('How This Works &amp; Sources'!$B$125:$J$132,0,7+2)),SUMPRODUCT(($AZ18&gt;INDEX('How This Works &amp; Sources'!$B$125:$J$132,0,4))*($AZ18-INDEX('How This Works &amp; Sources'!$B$125:$J$132,0,4))*INDEX('How This Works &amp; Sources'!$B$125:$J$132,0,4+2)))),IF($AN18="ND",IF($AU18="Head of household",SUMPRODUCT(($AZ18&gt;INDEX('How This Works &amp; Sources'!$B$144:$J$150,0,1))*($AZ18-INDEX('How This Works &amp; Sources'!$B$144:$J$150,0,1))*INDEX('How This Works &amp; Sources'!$B$144:$J$150,0,1+2)),IF($AU18="Married",SUMPRODUCT(($AZ18&gt;INDEX('How This Works &amp; Sources'!$B$137:$J$139,0,7))*($AZ18-INDEX('How This Works &amp; Sources'!$B$137:$J$139,0,7))*INDEX('How This Works &amp; Sources'!$B$137:$J$139,0,7+2)),SUMPRODUCT(($AZ18&gt;INDEX('How This Works &amp; Sources'!$B$137:$J$139,0,4))*($AZ18-INDEX('How This Works &amp; Sources'!$B$137:$J$139,0,4))*INDEX('How This Works &amp; Sources'!$B$137:$J$139,0,4+2)))),IF($AN18="NJ",IF('Your Pay &amp; Benefits'!$C$77="B",SUMPRODUCT(($AZ18&gt;INDEX('How This Works &amp; Sources'!$B$155:$J$162,0,4))*($AZ18-INDEX('How This Works &amp; Sources'!$B$155:$J$162,0,4))*INDEX('How This Works &amp; Sources'!$B$155:$J$162,0,4+2)),IF('Your Pay &amp; Benefits'!$C$77="C",SUMPRODUCT(($AZ18&gt;INDEX('How This Works &amp; Sources'!$B$155:$J$162,0,7))*($AZ18-INDEX('How This Works &amp; Sources'!$B$155:$J$162,0,7))*INDEX('How This Works &amp; Sources'!$B$155:$J$162,0,7+2)),IF('Your Pay &amp; Benefits'!$C$77="D",SUMPRODUCT(($AZ18&gt;INDEX('How This Works &amp; Sources'!$B$167:$J$179,0,1))*($AZ18-INDEX('How This Works &amp; Sources'!$B$167:$J$179,0,1))*INDEX('How This Works &amp; Sources'!$B$167:$J$179,0,1+2)),IF('Your Pay &amp; Benefits'!$C$77="E",SUMPRODUCT(($AZ18&gt;INDEX('How This Works &amp; Sources'!$B$167:$J$179,0,4))*($AZ18-INDEX('How This Works &amp; Sources'!$B$167:$J$179,0,4))*INDEX('How This Works &amp; Sources'!$B$167:$J$179,0,4+2)),SUMPRODUCT(($AZ18&gt;INDEX('How This Works &amp; Sources'!$B$155:$J$162,0,1))*($AZ18-INDEX('How This Works &amp; Sources'!$B$155:$J$162,0,1))*INDEX('How This Works &amp; Sources'!$B$155:$J$162,0,1+2)))))),IF($AN18="NY",IF($AU18="Married",IF($AZ18&gt;=2155350,$AZ18*IF($AZ18&gt;25000000,0.117,IF($AZ18&gt;5000000,0.111,0.1045)),SUMPRODUCT(($AZ18&gt;INDEX('How This Works &amp; Sources'!$B$184:$J$198,0,1))*($AZ18-INDEX('How This Works &amp; Sources'!$B$184:$J$198,0,1))*INDEX('How This Works &amp; Sources'!$B$184:$J$198,0,1+2))),IF($AZ18&gt;=1077550,$AZ18*IF($AZ18&gt;25000000,0.117,IF($AZ18&gt;5000000,0.111,0.1045)),SUMPRODUCT(($AZ18&gt;INDEX('How This Works &amp; Sources'!$B$167:$J$179,0,7))*($AZ18-INDEX('How This Works &amp; Sources'!$B$167:$J$179,0,7))*INDEX('How This Works &amp; Sources'!$B$167:$J$179,0,7+2)))),"")))))))</f>
      </c>
      <c r="BX18" s="7">
        <f>IF($B18="","",IF($AN18="AL",IF(OR($AU18="Married",$AU18="Head of household"),SUMPRODUCT(($AZ18&gt;INDEX('How This Works &amp; Sources'!$B$82:$J$86,0,4))*($AZ18-INDEX('How This Works &amp; Sources'!$B$82:$J$86,0,4))*INDEX('How This Works &amp; Sources'!$B$82:$J$86,0,4+2)),SUMPRODUCT(($AZ18&gt;INDEX('How This Works &amp; Sources'!$B$82:$J$86,0,1))*($AZ18-INDEX('How This Works &amp; Sources'!$B$82:$J$86,0,1))*INDEX('How This Works &amp; Sources'!$B$82:$J$86,0,1+2))),IF($AN18="KS",IF($AU18="Married",SUMPRODUCT(($AZ18&gt;INDEX('How This Works &amp; Sources'!$B$103:$J$109,0,4))*($AZ18-INDEX('How This Works &amp; Sources'!$B$103:$J$109,0,4))*INDEX('How This Works &amp; Sources'!$B$103:$J$109,0,4+2)),SUMPRODUCT(($AZ18&gt;INDEX('How This Works &amp; Sources'!$B$103:$J$109,0,1))*($AZ18-INDEX('How This Works &amp; Sources'!$B$103:$J$109,0,1))*INDEX('How This Works &amp; Sources'!$B$103:$J$109,0,1+2))),IF($AN18="MN",IF($AU18="Married",SUMPRODUCT(($AZ18&gt;INDEX('How This Works &amp; Sources'!$B$114:$J$120,0,7))*($AZ18-INDEX('How This Works &amp; Sources'!$B$114:$J$120,0,7))*INDEX('How This Works &amp; Sources'!$B$114:$J$120,0,7+2)),SUMPRODUCT(($AZ18&gt;INDEX('How This Works &amp; Sources'!$B$114:$J$120,0,4))*($AZ18-INDEX('How This Works &amp; Sources'!$B$114:$J$120,0,4))*INDEX('How This Works &amp; Sources'!$B$114:$J$120,0,4+2))),IF($AN18="NE",MAX(IF($AU18="Married",SUMPRODUCT(($AZ18&gt;INDEX('How This Works &amp; Sources'!$B$144:$J$150,0,7))*($AZ18-INDEX('How This Works &amp; Sources'!$B$144:$J$150,0,7))*INDEX('How This Works &amp; Sources'!$B$144:$J$150,0,7+2)),SUMPRODUCT(($AZ18&gt;INDEX('How This Works &amp; Sources'!$B$144:$J$150,0,4))*($AZ18-INDEX('How This Works &amp; Sources'!$B$144:$J$150,0,4))*INDEX('How This Works &amp; Sources'!$B$144:$J$150,0,4+2))),0.015*$AZ18),IF($AN18="OH",IF($B18&gt;=DATE(2026,8,1),SUMPRODUCT(($AZ18&gt;INDEX('How This Works &amp; Sources'!$B$203:$J$206,0,1))*($AZ18-INDEX('How This Works &amp; Sources'!$B$203:$J$206,0,1))*INDEX('How This Works &amp; Sources'!$B$203:$J$206,0,1+2)),SUMPRODUCT(($AZ18&gt;INDEX('How This Works &amp; Sources'!$B$184:$J$198,0,7))*($AZ18-INDEX('How This Works &amp; Sources'!$B$184:$J$198,0,7))*INDEX('How This Works &amp; Sources'!$B$184:$J$198,0,7+2))),IF($AN18="OK",IF($AU18="Married",SUMPRODUCT(($AZ18&gt;INDEX('How This Works &amp; Sources'!$B$203:$J$206,0,7))*($AZ18-INDEX('How This Works &amp; Sources'!$B$203:$J$206,0,7))*INDEX('How This Works &amp; Sources'!$B$203:$J$206,0,7+2)),SUMPRODUCT(($AZ18&gt;INDEX('How This Works &amp; Sources'!$B$203:$J$206,0,4))*($AZ18-INDEX('How This Works &amp; Sources'!$B$203:$J$206,0,4))*INDEX('How This Works &amp; Sources'!$B$203:$J$206,0,4+2))),IF($AN18="RI",SUMPRODUCT(($AZ18&gt;INDEX('How This Works &amp; Sources'!$B$211:$J$214,0,7))*($AZ18-INDEX('How This Works &amp; Sources'!$B$211:$J$214,0,7))*INDEX('How This Works &amp; Sources'!$B$211:$J$214,0,7+2)),IF($AN18="VT",IF($AU18="Married",SUMPRODUCT(($AZ18&gt;INDEX('How This Works &amp; Sources'!$B$228:$J$232,0,1))*($AZ18-INDEX('How This Works &amp; Sources'!$B$228:$J$232,0,1))*INDEX('How This Works &amp; Sources'!$B$228:$J$232,0,1+2)),SUMPRODUCT(($AZ18&gt;INDEX('How This Works &amp; Sources'!$B$219:$J$223,0,7))*($AZ18-INDEX('How This Works &amp; Sources'!$B$219:$J$223,0,7))*INDEX('How This Works &amp; Sources'!$B$219:$J$223,0,7+2))),IF($AN18="WV",IF($AU18="Married",SUMPRODUCT(($AZ18&gt;INDEX('How This Works &amp; Sources'!$B$237:$J$241,0,7))*($AZ18-INDEX('How This Works &amp; Sources'!$B$237:$J$241,0,7))*INDEX('How This Works &amp; Sources'!$B$237:$J$241,0,7+2)),SUMPRODUCT(($AZ18&gt;INDEX('How This Works &amp; Sources'!$B$228:$J$232,0,7))*($AZ18-INDEX('How This Works &amp; Sources'!$B$228:$J$232,0,7))*INDEX('How This Works &amp; Sources'!$B$228:$J$232,0,7+2))),""))))))))))</f>
      </c>
      <c r="BY18" s="7">
        <f>IF($B18="","",IF($AN18="AR",SUMPRODUCT(($AZ18&gt;INDEX('How This Works &amp; Sources'!$B$82:$J$86,0,7))*($AZ18-INDEX('How This Works &amp; Sources'!$B$82:$J$86,0,7))*INDEX('How This Works &amp; Sources'!$B$82:$J$86,0,7+2)),IF($AN18="DE",SUMPRODUCT(($AZ18&gt;INDEX('How This Works &amp; Sources'!$B$91:$J$98,0,1))*($AZ18-INDEX('How This Works &amp; Sources'!$B$91:$J$98,0,1))*INDEX('How This Works &amp; Sources'!$B$91:$J$98,0,1+2)),IF($AN18="HI",IF($AU18="Married",SUMPRODUCT(($AZ18&gt;INDEX('How This Works &amp; Sources'!$B$91:$J$98,0,7))*($AZ18-INDEX('How This Works &amp; Sources'!$B$91:$J$98,0,7))*INDEX('How This Works &amp; Sources'!$B$91:$J$98,0,7+2)),SUMPRODUCT(($AZ18&gt;INDEX('How This Works &amp; Sources'!$B$91:$J$98,0,4))*($AZ18-INDEX('How This Works &amp; Sources'!$B$91:$J$98,0,4))*INDEX('How This Works &amp; Sources'!$B$91:$J$98,0,4+2))),IF($AN18="SC",SUMPRODUCT(($AZ18&gt;INDEX('How This Works &amp; Sources'!$B$219:$J$223,0,1))*($AZ18-INDEX('How This Works &amp; Sources'!$B$219:$J$223,0,1))*INDEX('How This Works &amp; Sources'!$B$219:$J$223,0,1+2)),IF($AN18="VA",SUMPRODUCT(($AZ18&gt;INDEX('How This Works &amp; Sources'!$B$219:$J$223,0,4))*($AZ18-INDEX('How This Works &amp; Sources'!$B$219:$J$223,0,4))*INDEX('How This Works &amp; Sources'!$B$219:$J$223,0,4+2)),IF($AN18="WI",SUMPRODUCT(($AZ18&gt;INDEX('How This Works &amp; Sources'!$B$228:$J$232,0,4))*($AZ18-INDEX('How This Works &amp; Sources'!$B$228:$J$232,0,4))*INDEX('How This Works &amp; Sources'!$B$228:$J$232,0,4+2)),"")))))))</f>
      </c>
      <c r="BZ18" s="24">
        <f>IF($B18="","",IF($AN18="NJ",IF('Your Pay &amp; Benefits'!$C$77="B",SUMPRODUCT(($AZ18&gt;=INDEX('How This Works &amp; Sources'!$B$155:$J$162,0,4))*INDEX('How This Works &amp; Sources'!$B$155:$J$162,0,4+2)),IF('Your Pay &amp; Benefits'!$C$77="C",SUMPRODUCT(($AZ18&gt;=INDEX('How This Works &amp; Sources'!$B$155:$J$162,0,7))*INDEX('How This Works &amp; Sources'!$B$155:$J$162,0,7+2)),IF('Your Pay &amp; Benefits'!$C$77="D",SUMPRODUCT(($AZ18&gt;=INDEX('How This Works &amp; Sources'!$B$167:$J$179,0,1))*INDEX('How This Works &amp; Sources'!$B$167:$J$179,0,1+2)),IF('Your Pay &amp; Benefits'!$C$77="E",SUMPRODUCT(($AZ18&gt;=INDEX('How This Works &amp; Sources'!$B$167:$J$179,0,4))*INDEX('How This Works &amp; Sources'!$B$167:$J$179,0,4+2)),SUMPRODUCT(($AZ18&gt;=INDEX('How This Works &amp; Sources'!$B$155:$J$162,0,1))*INDEX('How This Works &amp; Sources'!$B$155:$J$162,0,1+2)))))),IF($AN18="OR",IF(OR($AU18="Married",AND($AU18="Single",$AS18&gt;=3)),SUMPRODUCT((MAX(0,$AY18-MIN(($P18-'How This Works &amp; Sources'!$C$10*$D18)*'Your Pay &amp; Benefits'!$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Sources'!$B$211:$J$214,0,4))*INDEX('How This Works &amp; Sources'!$B$211:$J$214,0,4+2)),SUMPRODUCT((MAX(0,$AY18-MIN(($P18-'How This Works &amp; Sources'!$C$10*$D18)*'Your Pay &amp; Benefits'!$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Sources'!$B$211:$J$214,0,1))*INDEX('How This Works &amp; Sources'!$B$211:$J$214,0,1+2)))*IF(($P18-'How This Works &amp; Sources'!$C$10*$D18)*'Your Pay &amp; Benefits'!$C$8&gt;=IF(OR($AU18="Married",AND($AU18="Single",$AS18&gt;=3)),IF($AY18&lt;250000,8750,IF($AY18&lt;260000,7000,IF($AY18&lt;270000,5250,IF($AY18&lt;280000,3500,IF($AY18&lt;290000,1750,0))))),IF($AY18&lt;125000,8750,IF($AY18&lt;130000,7000,IF($AY18&lt;135000,5250,IF($AY18&lt;140000,3500,IF($AY18&lt;145000,1750,0)))))),1,1-IF('Your Pay &amp; Benefits'!$C$13,SUMPRODUCT(($AH18&gt;=INDEX('How This Works &amp; Sources'!$B$29:$J$36,0,IF('Your Pay &amp; Benefits'!$C$12="MFJ",1,IF('Your Pay &amp; Benefits'!$C$12="HoH",7,4))))*INDEX('How This Works &amp; Sources'!$B$29:$J$36,0,IF('Your Pay &amp; Benefits'!$C$12="MFJ",1,IF('Your Pay &amp; Benefits'!$C$12="HoH",7,4))+2)),SUMPRODUCT(($AH18&gt;=INDEX('How This Works &amp; Sources'!$B$19:$J$26,0,IF('Your Pay &amp; Benefits'!$C$12="MFJ",1,IF('Your Pay &amp; Benefits'!$C$12="HoH",7,4))))*INDEX('How This Works &amp; Sources'!$B$19:$J$26,0,IF('Your Pay &amp; Benefits'!$C$12="MFJ",1,IF('Your Pay &amp; Benefits'!$C$12="HoH",7,4))+2)))),IF($AN18="MI",IF($AY18&gt;5900*$AS18,0.0425,0),""))))</f>
      </c>
      <c r="CA18" s="24">
        <f>IF($B18="","",IF($AN18="AL",IF(OR($AU18="Married",$AU18="Head of household"),SUMPRODUCT(($AZ18&gt;=INDEX('How This Works &amp; Sources'!$B$82:$J$86,0,4))*INDEX('How This Works &amp; Sources'!$B$82:$J$86,0,4+2)),SUMPRODUCT(($AZ18&gt;=INDEX('How This Works &amp; Sources'!$B$82:$J$86,0,1))*INDEX('How This Works &amp; Sources'!$B$82:$J$86,0,1+2)))*(1-IF('Your Pay &amp; Benefits'!$C$13,SUMPRODUCT(($AH18&gt;=INDEX('How This Works &amp; Sources'!$B$29:$J$36,0,IF('Your Pay &amp; Benefits'!$C$12="MFJ",1,IF('Your Pay &amp; Benefits'!$C$12="HoH",7,4))))*INDEX('How This Works &amp; Sources'!$B$29:$J$36,0,IF('Your Pay &amp; Benefits'!$C$12="MFJ",1,IF('Your Pay &amp; Benefits'!$C$12="HoH",7,4))+2)),SUMPRODUCT(($AH18&gt;=INDEX('How This Works &amp; Sources'!$B$19:$J$26,0,IF('Your Pay &amp; Benefits'!$C$12="MFJ",1,IF('Your Pay &amp; Benefits'!$C$12="HoH",7,4))))*INDEX('How This Works &amp; Sources'!$B$19:$J$26,0,IF('Your Pay &amp; Benefits'!$C$12="MFJ",1,IF('Your Pay &amp; Benefits'!$C$12="HoH",7,4))+2)))),IF($AN18="KS",IF($AU18="Married",SUMPRODUCT(($AZ18&gt;=INDEX('How This Works &amp; Sources'!$B$103:$J$109,0,4))*INDEX('How This Works &amp; Sources'!$B$103:$J$109,0,4+2)),SUMPRODUCT(($AZ18&gt;=INDEX('How This Works &amp; Sources'!$B$103:$J$109,0,1))*INDEX('How This Works &amp; Sources'!$B$103:$J$109,0,1+2))),IF($AN18="MD",IF(OR($AU18="Married",$AU18="Head of household"),SUMPRODUCT(($AZ18&gt;=INDEX('How This Works &amp; Sources'!$B$114:$J$120,0,1))*INDEX('How This Works &amp; Sources'!$B$114:$J$120,0,1+2)),SUMPRODUCT(($AZ18&gt;=INDEX('How This Works &amp; Sources'!$B$103:$J$109,0,7))*INDEX('How This Works &amp; Sources'!$B$103:$J$109,0,7+2)))+'Your Pay &amp; Benefits'!$C$74,IF($AN18="MT",IF($AU18="Head of household",SUMPRODUCT(($AZ18&gt;=INDEX('How This Works &amp; Sources'!$B$137:$J$139,0,1))*INDEX('How This Works &amp; Sources'!$B$137:$J$139,0,1+2)),IF($AU18="Married",SUMPRODUCT(($AZ18&gt;=INDEX('How This Works &amp; Sources'!$B$125:$J$132,0,7))*INDEX('How This Works &amp; Sources'!$B$125:$J$132,0,7+2)),SUMPRODUCT(($AZ18&gt;=INDEX('How This Works &amp; Sources'!$B$125:$J$132,0,4))*INDEX('How This Works &amp; Sources'!$B$125:$J$132,0,4+2)))),IF($AN18="ND",IF($AU18="Head of household",SUMPRODUCT(($AZ18&gt;=INDEX('How This Works &amp; Sources'!$B$144:$J$150,0,1))*INDEX('How This Works &amp; Sources'!$B$144:$J$150,0,1+2)),IF($AU18="Married",SUMPRODUCT(($AZ18&gt;=INDEX('How This Works &amp; Sources'!$B$137:$J$139,0,7))*INDEX('How This Works &amp; Sources'!$B$137:$J$139,0,7+2)),SUMPRODUCT(($AZ18&gt;=INDEX('How This Works &amp; Sources'!$B$137:$J$139,0,4))*INDEX('How This Works &amp; Sources'!$B$137:$J$139,0,4+2)))),IF($AN18="NY",IF($AU18="Married",IF($AZ18&gt;=2155350,IF($AZ18&gt;25000000,0.117,IF($AZ18&gt;5000000,0.111,0.1045)),SUMPRODUCT(($AZ18&gt;=INDEX('How This Works &amp; Sources'!$B$184:$J$198,0,1))*INDEX('How This Works &amp; Sources'!$B$184:$J$198,0,1+2))),IF($AZ18&gt;=1077550,IF($AZ18&gt;25000000,0.117,IF($AZ18&gt;5000000,0.111,0.1045)),SUMPRODUCT(($AZ18&gt;=INDEX('How This Works &amp; Sources'!$B$167:$J$179,0,7))*INDEX('How This Works &amp; Sources'!$B$167:$J$179,0,7+2)))),"")))))))</f>
      </c>
      <c r="CB18" s="24">
        <f>IF($B18="","",IF($AN18="CA",SUMPRODUCT(($AJ18&gt;=INDEX('How This Works &amp; Sources'!$B$39:$J$48,0,IF($AU18="Married",4,IF($AU18="Head of household",7,1))))*INDEX('How This Works &amp; Sources'!$B$39:$J$48,0,IF($AU18="Married",4,IF($AU18="Head of household",7,1))+2)),IF($AN18="HI",IF($AU18="Married",SUMPRODUCT(($AZ18&gt;=INDEX('How This Works &amp; Sources'!$B$91:$J$98,0,7))*INDEX('How This Works &amp; Sources'!$B$91:$J$98,0,7+2)),SUMPRODUCT(($AZ18&gt;=INDEX('How This Works &amp; Sources'!$B$91:$J$98,0,4))*INDEX('How This Works &amp; Sources'!$B$91:$J$98,0,4+2))),IF($AN18="MN",IF($AU18="Married",SUMPRODUCT(($AZ18&gt;=INDEX('How This Works &amp; Sources'!$B$114:$J$120,0,7))*INDEX('How This Works &amp; Sources'!$B$114:$J$120,0,7+2)),SUMPRODUCT(($AZ18&gt;=INDEX('How This Works &amp; Sources'!$B$114:$J$120,0,4))*INDEX('How This Works &amp; Sources'!$B$114:$J$120,0,4+2))),IF($AN18="MO",SUMPRODUCT(($AZ18&gt;=INDEX('How This Works &amp; Sources'!$B$125:$J$132,0,1))*INDEX('How This Works &amp; Sources'!$B$125:$J$132,0,1+2)),IF($AN18="NE",MAX(IF($AU18="Married",SUMPRODUCT(($AZ18&gt;=INDEX('How This Works &amp; Sources'!$B$144:$J$150,0,7))*INDEX('How This Works &amp; Sources'!$B$144:$J$150,0,7+2)),SUMPRODUCT(($AZ18&gt;=INDEX('How This Works &amp; Sources'!$B$144:$J$150,0,4))*INDEX('How This Works &amp; Sources'!$B$144:$J$150,0,4+2))),0.015),IF($AN18="OH",IF($B18&gt;=DATE(2026,8,1),SUMPRODUCT(($AZ18&gt;=INDEX('How This Works &amp; Sources'!$B$203:$J$206,0,1))*INDEX('How This Works &amp; Sources'!$B$203:$J$206,0,1+2)),SUMPRODUCT(($AZ18&gt;=INDEX('How This Works &amp; Sources'!$B$184:$J$198,0,7))*INDEX('How This Works &amp; Sources'!$B$184:$J$198,0,7+2))),IF($AN18="OK",IF($AU18="Married",SUMPRODUCT(($AZ18&gt;=INDEX('How This Works &amp; Sources'!$B$203:$J$206,0,7))*INDEX('How This Works &amp; Sources'!$B$203:$J$206,0,7+2)),SUMPRODUCT(($AZ18&gt;=INDEX('How This Works &amp; Sources'!$B$203:$J$206,0,4))*INDEX('How This Works &amp; Sources'!$B$203:$J$206,0,4+2))),IF($AN18="RI",SUMPRODUCT(($AZ18&gt;=INDEX('How This Works &amp; Sources'!$B$211:$J$214,0,7))*INDEX('How This Works &amp; Sources'!$B$211:$J$214,0,7+2)),IF($AN18="SC",SUMPRODUCT(($AZ18&gt;=INDEX('How This Works &amp; Sources'!$B$219:$J$223,0,1))*INDEX('How This Works &amp; Sources'!$B$219:$J$223,0,1+2)),IF($AN18="VT",IF($AU18="Married",SUMPRODUCT(($AZ18&gt;=INDEX('How This Works &amp; Sources'!$B$228:$J$232,0,1))*INDEX('How This Works &amp; Sources'!$B$228:$J$232,0,1+2)),SUMPRODUCT(($AZ18&gt;=INDEX('How This Works &amp; Sources'!$B$219:$J$223,0,7))*INDEX('How This Works &amp; Sources'!$B$219:$J$223,0,7+2))),IF($AN18="WV",IF($AU18="Married",SUMPRODUCT(($AZ18&gt;=INDEX('How This Works &amp; Sources'!$B$237:$J$241,0,7))*INDEX('How This Works &amp; Sources'!$B$237:$J$241,0,7+2)),SUMPRODUCT(($AZ18&gt;=INDEX('How This Works &amp; Sources'!$B$228:$J$232,0,7))*INDEX('How This Works &amp; Sources'!$B$228:$J$232,0,7+2))),IF($AN18="IN",(0.0295+'Your Pay &amp; Benefits'!$C$76),"")))))))))))))</f>
      </c>
      <c r="CC18" s="24">
        <f>IF($B18="","",IF($AN18="AR",SUMPRODUCT(($AZ18&gt;=INDEX('How This Works &amp; Sources'!$B$82:$J$86,0,7))*INDEX('How This Works &amp; Sources'!$B$82:$J$86,0,7+2)),IF($AN18="DE",SUMPRODUCT(($AZ18&gt;=INDEX('How This Works &amp; Sources'!$B$91:$J$98,0,1))*INDEX('How This Works &amp; Sources'!$B$91:$J$98,0,1+2)),IF($AN18="VA",SUMPRODUCT(($AZ18&gt;=INDEX('How This Works &amp; Sources'!$B$219:$J$223,0,4))*INDEX('How This Works &amp; Sources'!$B$219:$J$223,0,4+2)),IF($AN18="WI",SUMPRODUCT(($AZ18&gt;=INDEX('How This Works &amp; Sources'!$B$228:$J$232,0,4))*INDEX('How This Works &amp; Sources'!$B$228:$J$232,0,4+2)),IF($AN18="AZ",'Your Pay &amp; Benefits'!$C$82,IF($AN18="CO",IF($AY18&gt;IF($AU18="Married",10000,5000),0.044,0),IF($AN18="IA",IF($AY18&gt;IF($AU18="Head of household",19500,IF($AU18="Married",26000,13000)),0.038,0),IF($AN18="ID",IF($AY18&gt;IF($AU18="Married",32000,16094),0.053,0),IF($AN18="IL",IF($AY18&gt;(2925*$AS18+1000*$AT18),0.0495,0),IF($AN18="KY",IF($AI18&gt;3360,0.035,0),IF($AN18="LA",0.0309,IF($AN18="MA",IF(MAX(0,$AY18-MIN(($BD17+$Q18+$R18+$S18),2000)-IF($AS18=0,0,IF($AS18=1,4400,1000*$AS18+3400)))&gt;=1107750,0.09,0.05),IF($AN18="MS",IF($AI18-IF($AU18="Head of household",3400,IF($AU18="Married",4600,2300))-'Your Pay &amp; Benefits'!$C$85&gt;10000,0.04,0),IF($AN18="PA",0.0307,"")))))))))))))))</f>
      </c>
      <c r="CD18" s="21">
        <f>IF(YEAR(IF('Your Pay &amp; Benefits'!$C$7="Weekly",'Your Pay &amp; Benefits'!$C$9+7*(($BE17+1)-1),IF('Your Pay &amp; Benefits'!$C$7="Biweekly",'Your Pay &amp; Benefits'!$C$9+14*(($BE17+1)-1),IF('Your Pay &amp; Benefits'!$C$7="Semimonthly",DATE(YEAR('Your Pay &amp; Benefits'!$C$9),MONTH('Your Pay &amp; Benefits'!$C$9)+INT((($BE17+1)-1)/2),MIN(DAY('Your Pay &amp; Benefits'!$C$9),DAY(EOMONTH(DATE(YEAR('Your Pay &amp; Benefits'!$C$9),MONTH('Your Pay &amp; Benefits'!$C$9)+INT((($BE17+1)-1)/2),1),0))))+IF(MOD(($BE17+1)-1,2)=1,15,0),EDATE('Your Pay &amp; Benefits'!$C$9,($BE17+1)-1)))))&lt;&gt;'Your Pay &amp; Benefits'!$C$10,"",IF('Your Pay &amp; Benefits'!$C$7="Weekly",'Your Pay &amp; Benefits'!$C$9+7*(($BE17+1)-1),IF('Your Pay &amp; Benefits'!$C$7="Biweekly",'Your Pay &amp; Benefits'!$C$9+14*(($BE17+1)-1),IF('Your Pay &amp; Benefits'!$C$7="Semimonthly",DATE(YEAR('Your Pay &amp; Benefits'!$C$9),MONTH('Your Pay &amp; Benefits'!$C$9)+INT((($BE17+1)-1)/2),MIN(DAY('Your Pay &amp; Benefits'!$C$9),DAY(EOMONTH(DATE(YEAR('Your Pay &amp; Benefits'!$C$9),MONTH('Your Pay &amp; Benefits'!$C$9)+INT((($BE17+1)-1)/2),1),0))))+IF(MOD(($BE17+1)-1,2)=1,15,0),EDATE('Your Pay &amp; Benefits'!$C$9,($BE17+1)-1)))))</f>
      </c>
      <c r="CE18" s="21">
        <f>IF(MIN(IF(AND('Your Pay &amp; Benefits'!$C$58&gt;MAX($B$6:$B17),'Your Pay &amp; Benefits'!$C$58&gt;=DATE('Your Pay &amp; Benefits'!$C$10,1,1),'Your Pay &amp; Benefits'!$C$58&lt;=DATE('Your Pay &amp; Benefits'!$C$10,12,31)),'Your Pay &amp; Benefits'!$C$58,999999),IF(AND('Your Pay &amp; Benefits'!$C$59&gt;MAX($B$6:$B17),'Your Pay &amp; Benefits'!$C$59&gt;=DATE('Your Pay &amp; Benefits'!$C$10,1,1),'Your Pay &amp; Benefits'!$C$59&lt;=DATE('Your Pay &amp; Benefits'!$C$10,12,31)),'Your Pay &amp; Benefits'!$C$59,999999),IF(AND('Your Pay &amp; Benefits'!$C$60&gt;MAX($B$6:$B17),'Your Pay &amp; Benefits'!$C$60&gt;=DATE('Your Pay &amp; Benefits'!$C$10,1,1),'Your Pay &amp; Benefits'!$C$60&lt;=DATE('Your Pay &amp; Benefits'!$C$10,12,31)),'Your Pay &amp; Benefits'!$C$60,999999),IF(AND('Your Pay &amp; Benefits'!$C$61&gt;MAX($B$6:$B17),'Your Pay &amp; Benefits'!$C$61&gt;=DATE('Your Pay &amp; Benefits'!$C$10,1,1),'Your Pay &amp; Benefits'!$C$61&lt;=DATE('Your Pay &amp; Benefits'!$C$10,12,31)),'Your Pay &amp; Benefits'!$C$61,999999),IF(AND('Your Pay &amp; Benefits'!$C$62&gt;MAX($B$6:$B17),'Your Pay &amp; Benefits'!$C$62&gt;=DATE('Your Pay &amp; Benefits'!$C$10,1,1),'Your Pay &amp; Benefits'!$C$62&lt;=DATE('Your Pay &amp; Benefits'!$C$10,12,31)),'Your Pay &amp; Benefits'!$C$62,999999),IF(AND('Your Pay &amp; Benefits'!$C$63&gt;MAX($B$6:$B17),'Your Pay &amp; Benefits'!$C$63&gt;=DATE('Your Pay &amp; Benefits'!$C$10,1,1),'Your Pay &amp; Benefits'!$C$63&lt;=DATE('Your Pay &amp; Benefits'!$C$10,12,31)),'Your Pay &amp; Benefits'!$C$63,999999),IF(AND('Your Pay &amp; Benefits'!$C$64&gt;MAX($B$6:$B17),'Your Pay &amp; Benefits'!$C$64&gt;=DATE('Your Pay &amp; Benefits'!$C$10,1,1),'Your Pay &amp; Benefits'!$C$64&lt;=DATE('Your Pay &amp; Benefits'!$C$10,12,31)),'Your Pay &amp; Benefits'!$C$64,999999),IF(AND('Your Pay &amp; Benefits'!$C$65&gt;MAX($B$6:$B17),'Your Pay &amp; Benefits'!$C$65&gt;=DATE('Your Pay &amp; Benefits'!$C$10,1,1),'Your Pay &amp; Benefits'!$C$65&lt;=DATE('Your Pay &amp; Benefits'!$C$10,12,31)),'Your Pay &amp; Benefits'!$C$65,999999),IF(AND('Your Pay &amp; Benefits'!$C$66&gt;MAX($B$6:$B17),'Your Pay &amp; Benefits'!$C$66&gt;=DATE('Your Pay &amp; Benefits'!$C$10,1,1),'Your Pay &amp; Benefits'!$C$66&lt;=DATE('Your Pay &amp; Benefits'!$C$10,12,31)),'Your Pay &amp; Benefits'!$C$66,999999),IF(AND('Your Pay &amp; Benefits'!$C$67&gt;MAX($B$6:$B17),'Your Pay &amp; Benefits'!$C$67&gt;=DATE('Your Pay &amp; Benefits'!$C$10,1,1),'Your Pay &amp; Benefits'!$C$67&lt;=DATE('Your Pay &amp; Benefits'!$C$10,12,31)),'Your Pay &amp; Benefits'!$C$67,999999))=999999,"",MIN(IF(AND('Your Pay &amp; Benefits'!$C$58&gt;MAX($B$6:$B17),'Your Pay &amp; Benefits'!$C$58&gt;=DATE('Your Pay &amp; Benefits'!$C$10,1,1),'Your Pay &amp; Benefits'!$C$58&lt;=DATE('Your Pay &amp; Benefits'!$C$10,12,31)),'Your Pay &amp; Benefits'!$C$58,999999),IF(AND('Your Pay &amp; Benefits'!$C$59&gt;MAX($B$6:$B17),'Your Pay &amp; Benefits'!$C$59&gt;=DATE('Your Pay &amp; Benefits'!$C$10,1,1),'Your Pay &amp; Benefits'!$C$59&lt;=DATE('Your Pay &amp; Benefits'!$C$10,12,31)),'Your Pay &amp; Benefits'!$C$59,999999),IF(AND('Your Pay &amp; Benefits'!$C$60&gt;MAX($B$6:$B17),'Your Pay &amp; Benefits'!$C$60&gt;=DATE('Your Pay &amp; Benefits'!$C$10,1,1),'Your Pay &amp; Benefits'!$C$60&lt;=DATE('Your Pay &amp; Benefits'!$C$10,12,31)),'Your Pay &amp; Benefits'!$C$60,999999),IF(AND('Your Pay &amp; Benefits'!$C$61&gt;MAX($B$6:$B17),'Your Pay &amp; Benefits'!$C$61&gt;=DATE('Your Pay &amp; Benefits'!$C$10,1,1),'Your Pay &amp; Benefits'!$C$61&lt;=DATE('Your Pay &amp; Benefits'!$C$10,12,31)),'Your Pay &amp; Benefits'!$C$61,999999),IF(AND('Your Pay &amp; Benefits'!$C$62&gt;MAX($B$6:$B17),'Your Pay &amp; Benefits'!$C$62&gt;=DATE('Your Pay &amp; Benefits'!$C$10,1,1),'Your Pay &amp; Benefits'!$C$62&lt;=DATE('Your Pay &amp; Benefits'!$C$10,12,31)),'Your Pay &amp; Benefits'!$C$62,999999),IF(AND('Your Pay &amp; Benefits'!$C$63&gt;MAX($B$6:$B17),'Your Pay &amp; Benefits'!$C$63&gt;=DATE('Your Pay &amp; Benefits'!$C$10,1,1),'Your Pay &amp; Benefits'!$C$63&lt;=DATE('Your Pay &amp; Benefits'!$C$10,12,31)),'Your Pay &amp; Benefits'!$C$63,999999),IF(AND('Your Pay &amp; Benefits'!$C$64&gt;MAX($B$6:$B17),'Your Pay &amp; Benefits'!$C$64&gt;=DATE('Your Pay &amp; Benefits'!$C$10,1,1),'Your Pay &amp; Benefits'!$C$64&lt;=DATE('Your Pay &amp; Benefits'!$C$10,12,31)),'Your Pay &amp; Benefits'!$C$64,999999),IF(AND('Your Pay &amp; Benefits'!$C$65&gt;MAX($B$6:$B17),'Your Pay &amp; Benefits'!$C$65&gt;=DATE('Your Pay &amp; Benefits'!$C$10,1,1),'Your Pay &amp; Benefits'!$C$65&lt;=DATE('Your Pay &amp; Benefits'!$C$10,12,31)),'Your Pay &amp; Benefits'!$C$65,999999),IF(AND('Your Pay &amp; Benefits'!$C$66&gt;MAX($B$6:$B17),'Your Pay &amp; Benefits'!$C$66&gt;=DATE('Your Pay &amp; Benefits'!$C$10,1,1),'Your Pay &amp; Benefits'!$C$66&lt;=DATE('Your Pay &amp; Benefits'!$C$10,12,31)),'Your Pay &amp; Benefits'!$C$66,999999),IF(AND('Your Pay &amp; Benefits'!$C$67&gt;MAX($B$6:$B17),'Your Pay &amp; Benefits'!$C$67&gt;=DATE('Your Pay &amp; Benefits'!$C$10,1,1),'Your Pay &amp; Benefits'!$C$67&lt;=DATE('Your Pay &amp; Benefits'!$C$10,12,31)),'Your Pay &amp; Benefits'!$C$67,999999)))</f>
      </c>
      <c r="CF18">
        <f>IF($B18="","",IF($D18=0,$Y18,""))</f>
      </c>
    </row>
    <row r="19">
      <c r="A19" t="n">
        <v>14</v>
      </c>
      <c r="B19" s="21">
        <f>IF(AND($CD19="",$CE19=""),"",IF($CE19="",$CD19,IF($CD19="",$CE19,MIN($CD19,$CE19))))</f>
      </c>
      <c r="C19" s="7">
        <f>IF($B19="","",IF($BF19=0,0,IF('Your Pay &amp; Benefits'!$C$4="Annual salary",ROUND($AK19/IF(AND('Your Pay &amp; Benefits'!$C$88="Actual paydays",MONTH('Your Pay &amp; Benefits'!$C$9)=1),MAX(1,MAX($BE$6:$BE$68)),'Your Pay &amp; Benefits'!$C$8),2),$AK19)))</f>
      </c>
      <c r="D19" s="7">
        <f>IF($B19="","",SUMIF('Your Pay &amp; Benefits'!$C$58:$C$67,$B19,'Your Pay &amp; Benefits'!$D$58:$D$67))</f>
      </c>
      <c r="E19" s="7">
        <f>IF($B19="","",ROUND(MAX(0,MIN(IF($AL19="Percent",$AM19*($C19+$D19),$AM19),MAX(0,'Your Pay &amp; Benefits'!$C$34-$AC18))),2))</f>
      </c>
      <c r="F19" s="7">
        <f>IF($B19="","",ROUND(MAX(0,MIN(IF('Your Pay &amp; Benefits'!$C$32="Percent",'Your Pay &amp; Benefits'!$D$32*($C19+$D19),'Your Pay &amp; Benefits'!$D$32),MAX(0,'Your Pay &amp; Benefits'!$C$34-$AC18-$E19))),2))</f>
      </c>
      <c r="G19" s="7">
        <f>IF($B19="","",IF($BF19=0,0,ROUND(MAX(0,MIN($BL19,'Your Pay &amp; Benefits'!$C$37-'Your Pay &amp; Benefits'!$C$54-$BI18)),2)))</f>
      </c>
      <c r="H19" s="7">
        <f>IF($B19="","",IF(OR($BF19=0,$BQ19=1),0,ROUND(MAX(0,MIN(IF($BS19=1,ROUND(MAX(0,MIN($BJ19,'How This Works &amp; Sources'!$C$13)-$BG18)/MAX(1,MAX($BE$6:$BE$68)-($BE18)),2),ROUND(MIN($BJ19,'How This Works &amp; Sources'!$C$13)/'Your Pay &amp; Benefits'!$C$8,2)),MIN($BJ19,'How This Works &amp; Sources'!$C$13)-$BG18)),2)))</f>
      </c>
      <c r="I19" s="7">
        <f>IF($B19="","",IF(OR($BF19=0,$BR19=1),0,ROUND(MAX(0,MIN(IF($BT19=1,ROUND(MAX(0,MIN($BK19,IF('Your Pay &amp; Benefits'!$C$12="MFJ",'How This Works &amp; Sources'!$C$14,'How This Works &amp; Sources'!$C$15))-$BH18)/MAX(1,MAX($BE$6:$BE$68)-($BE18)),2),ROUND(MIN($BK19,IF('Your Pay &amp; Benefits'!$C$12="MFJ",'How This Works &amp; Sources'!$C$14,'How This Works &amp; Sources'!$C$15))/'Your Pay &amp; Benefits'!$C$8,2)),MIN($BK19,IF('Your Pay &amp; Benefits'!$C$12="MFJ",'How This Works &amp; Sources'!$C$14,'How This Works &amp; Sources'!$C$15))-$BH18)),2)))</f>
      </c>
      <c r="J19" s="7">
        <f>IF($B19="","",IF($BF19=0,0,$BM19))</f>
      </c>
      <c r="K19" s="7">
        <f>IF($B19="","",IF($BF19=0,0,$BN19+$BO19))</f>
      </c>
      <c r="L19" s="7">
        <f>IF($B19="","",IF($BF19=0,0,'Your Pay &amp; Benefits'!$D$46))</f>
      </c>
      <c r="M19" s="7">
        <f>IF($B19="","",$C19+$D19+$L19-$E19-$G19-$H19-$I19-$J19-$K19)</f>
      </c>
      <c r="N19" s="7">
        <f>IF($B19="","",$C19+$D19+$L19-$G19-$H19-$I19-$J19-$K19)</f>
      </c>
      <c r="O19" s="7">
        <f>IF($B19="","",$C19+$D19+$L19-$E19-$H19-$I19-$J19-$K19-IF(OR($AN19="CA",$AN19="NJ"),0,$G19))</f>
      </c>
      <c r="P19" s="7">
        <f>IF($B19="","",IF('Your Pay &amp; Benefits'!$C$18,0,ROUND(MAX(0,IF('Your Pay &amp; Benefits'!$C$13,SUMPRODUCT(($AH19&gt;INDEX('How This Works &amp; Sources'!$B$29:$J$36,0,IF('Your Pay &amp; Benefits'!$C$12="MFJ",1,IF('Your Pay &amp; Benefits'!$C$12="HoH",7,4))))*($AH19-INDEX('How This Works &amp; Sources'!$B$29:$J$36,0,IF('Your Pay &amp; Benefits'!$C$12="MFJ",1,IF('Your Pay &amp; Benefits'!$C$12="HoH",7,4))))*INDEX('How This Works &amp; Sources'!$B$29:$J$36,0,IF('Your Pay &amp; Benefits'!$C$12="MFJ",1,IF('Your Pay &amp; Benefits'!$C$12="HoH",7,4))+2)),SUMPRODUCT(($AH19&gt;INDEX('How This Works &amp; Sources'!$B$19:$J$26,0,IF('Your Pay &amp; Benefits'!$C$12="MFJ",1,IF('Your Pay &amp; Benefits'!$C$12="HoH",7,4))))*($AH19-INDEX('How This Works &amp; Sources'!$B$19:$J$26,0,IF('Your Pay &amp; Benefits'!$C$12="MFJ",1,IF('Your Pay &amp; Benefits'!$C$12="HoH",7,4))))*INDEX('How This Works &amp; Sources'!$B$19:$J$26,0,IF('Your Pay &amp; Benefits'!$C$12="MFJ",1,IF('Your Pay &amp; Benefits'!$C$12="HoH",7,4))+2)))/'Your Pay &amp; Benefits'!$C$8-$AO19/'Your Pay &amp; Benefits'!$C$8)+$AR19+IF('Your Pay &amp; Benefits'!$C$89="Aggregate",MAX(0,IF('Your Pay &amp; Benefits'!$C$13,SUMPRODUCT((($AH19+$D19)&gt;INDEX('How This Works &amp; Sources'!$B$29:$J$36,0,IF('Your Pay &amp; Benefits'!$C$12="MFJ",1,IF('Your Pay &amp; Benefits'!$C$12="HoH",7,4))))*(($AH19+$D19)-INDEX('How This Works &amp; Sources'!$B$29:$J$36,0,IF('Your Pay &amp; Benefits'!$C$12="MFJ",1,IF('Your Pay &amp; Benefits'!$C$12="HoH",7,4))))*INDEX('How This Works &amp; Sources'!$B$29:$J$36,0,IF('Your Pay &amp; Benefits'!$C$12="MFJ",1,IF('Your Pay &amp; Benefits'!$C$12="HoH",7,4))+2)),SUMPRODUCT((($AH19+$D19)&gt;INDEX('How This Works &amp; Sources'!$B$19:$J$26,0,IF('Your Pay &amp; Benefits'!$C$12="MFJ",1,IF('Your Pay &amp; Benefits'!$C$12="HoH",7,4))))*(($AH19+$D19)-INDEX('How This Works &amp; Sources'!$B$19:$J$26,0,IF('Your Pay &amp; Benefits'!$C$12="MFJ",1,IF('Your Pay &amp; Benefits'!$C$12="HoH",7,4))))*INDEX('How This Works &amp; Sources'!$B$19:$J$26,0,IF('Your Pay &amp; Benefits'!$C$12="MFJ",1,IF('Your Pay &amp; Benefits'!$C$12="HoH",7,4))+2)))-IF('Your Pay &amp; Benefits'!$C$13,SUMPRODUCT(($AH19&gt;INDEX('How This Works &amp; Sources'!$B$29:$J$36,0,IF('Your Pay &amp; Benefits'!$C$12="MFJ",1,IF('Your Pay &amp; Benefits'!$C$12="HoH",7,4))))*($AH19-INDEX('How This Works &amp; Sources'!$B$29:$J$36,0,IF('Your Pay &amp; Benefits'!$C$12="MFJ",1,IF('Your Pay &amp; Benefits'!$C$12="HoH",7,4))))*INDEX('How This Works &amp; Sources'!$B$29:$J$36,0,IF('Your Pay &amp; Benefits'!$C$12="MFJ",1,IF('Your Pay &amp; Benefits'!$C$12="HoH",7,4))+2)),SUMPRODUCT(($AH19&gt;INDEX('How This Works &amp; Sources'!$B$19:$J$26,0,IF('Your Pay &amp; Benefits'!$C$12="MFJ",1,IF('Your Pay &amp; Benefits'!$C$12="HoH",7,4))))*($AH19-INDEX('How This Works &amp; Sources'!$B$19:$J$26,0,IF('Your Pay &amp; Benefits'!$C$12="MFJ",1,IF('Your Pay &amp; Benefits'!$C$12="HoH",7,4))))*INDEX('How This Works &amp; Sources'!$B$19:$J$26,0,IF('Your Pay &amp; Benefits'!$C$12="MFJ",1,IF('Your Pay &amp; Benefits'!$C$12="HoH",7,4))+2)))),'How This Works &amp; Sources'!$C$10*$D19),2)))</f>
      </c>
      <c r="Q19" s="7">
        <f>IF($B19="","",ROUND('How This Works &amp; Sources'!$C$4*MIN($N19,MAX(0,'How This Works &amp; Sources'!$C$3-($AX19+$AB18-$AW19))),2))</f>
      </c>
      <c r="R19" s="7">
        <f>IF($B19="","",ROUND('How This Works &amp; Sources'!$C$5*$N19,2))</f>
      </c>
      <c r="S19" s="7">
        <f>IF($B19="","",ROUND('How This Works &amp; Sources'!$C$6*MAX(0,MIN($N19,$AG18+$N19-'How This Works &amp; Sources'!$C$7)),2))</f>
      </c>
      <c r="T19" s="7">
        <f>IF($B19="","",IF('Your Pay &amp; Benefits'!$C$26,0,IF($AN19="CA",ROUND(IF($AI19&lt;=IF(($AS19+$AT19)&gt;=2,VLOOKUP($AN19,StateTables!$A$6:$AB$56,10,FALSE),VLOOKUP($AN19,StateTables!$A$6:$AB$56,9,FALSE)),0,MAX(0,SUMPRODUCT(($AJ19&gt;INDEX('How This Works &amp; Sources'!$B$39:$J$48,0,IF($AU19="Married",4,IF($AU19="Head of household",7,1))))*($AJ19-INDEX('How This Works &amp; Sources'!$B$39:$J$48,0,IF($AU19="Married",4,IF($AU19="Head of household",7,1))))*INDEX('How This Works &amp; Sources'!$B$39:$J$48,0,IF($AU19="Married",4,IF($AU19="Head of household",7,1))+2))-VLOOKUP($AN19,StateTables!$A$6:$AB$56,11,FALSE)*$AS19)/'Your Pay &amp; Benefits'!$C$8)+'Your Pay &amp; Benefits'!$C$25+VLOOKUP($AN19,StateTables!$A$6:$AB$56,13,FALSE)*$D19,2),IF(VLOOKUP($AN19,StateTables!$A$6:$AB$56,4,FALSE)="None",0,IF(ISNUMBER(SEARCH("MANUAL",VLOOKUP($AN19,StateTables!$A$6:$AB$56,5,FALSE))),'Your Pay &amp; Benefits'!$C$28,ROUND(MAX(0,$BA19+$BB19)/'Your Pay &amp; Benefits'!$C$8+'Your Pay &amp; Benefits'!$C$25+$BC19,2))))))</f>
      </c>
      <c r="U19" s="7">
        <f>IF($B19="","",IF(VLOOKUP($AN19,StateTables!$A$6:$AB$56,24,FALSE)="flatq",IF(OR(MONTH($B19)=1,MONTH($B19)=4,MONTH($B19)=7,MONTH($B19)=10),VLOOKUP($AN19,StateTables!$A$6:$AB$56,25,FALSE),0),IF(VLOOKUP($AN19,StateTables!$A$6:$AB$56,24,FALSE)="dbl",MIN(ROUND(0.005*$N19,2),ROUND(0.6*52/'Your Pay &amp; Benefits'!$C$8,2)),IF(OR(VLOOKUP($AN19,StateTables!$A$6:$AB$56,15,FALSE)="",VLOOKUP($AN19,StateTables!$A$6:$AB$56,15,FALSE)=0),0,ROUND(VLOOKUP($AN19,StateTables!$A$6:$AB$56,15,FALSE)*IF(OR(VLOOKUP($AN19,StateTables!$A$6:$AB$56,16,FALSE)="",VLOOKUP($AN19,StateTables!$A$6:$AB$56,16,FALSE)=0),$N19,MIN($N19,MAX(0,VLOOKUP($AN19,StateTables!$A$6:$AB$56,16,FALSE)-($AX19+$AB18-$AW19)))),2))))+IF(VLOOKUP($AN19,StateTables!$A$6:$AB$56,27,FALSE)="flatq",IF(OR(MONTH($B19)=1,MONTH($B19)=4,MONTH($B19)=7,MONTH($B19)=10),VLOOKUP($AN19,StateTables!$A$6:$AB$56,28,FALSE),0),IF(VLOOKUP($AN19,StateTables!$A$6:$AB$56,27,FALSE)="dbl",MIN(ROUND(0.005*$N19,2),ROUND(0.6*52/'Your Pay &amp; Benefits'!$C$8,2)),IF(OR(VLOOKUP($AN19,StateTables!$A$6:$AB$56,18,FALSE)="",VLOOKUP($AN19,StateTables!$A$6:$AB$56,18,FALSE)=0),0,ROUND(VLOOKUP($AN19,StateTables!$A$6:$AB$56,18,FALSE)*IF(OR(VLOOKUP($AN19,StateTables!$A$6:$AB$56,19,FALSE)="",VLOOKUP($AN19,StateTables!$A$6:$AB$56,19,FALSE)=0),$N19,MIN($N19,MAX(0,VLOOKUP($AN19,StateTables!$A$6:$AB$56,19,FALSE)-($AX19+$AB18-$AW19)))),2)))))</f>
      </c>
      <c r="V19" s="7">
        <f>IF($B19="","",IF($AN19="NY",IF('Your Pay &amp; Benefits'!$C$78,ROUND(SUMPRODUCT((MAX(0,($O19-$D19)*'Your Pay &amp; Benefits'!$C$8-(IF($AU19="Married",5500,5000)+1000*$AS19))&gt;INDEX('How This Works &amp; Sources'!$B$184:$J$198,0,4))*(MAX(0,($O19-$D19)*'Your Pay &amp; Benefits'!$C$8-(IF($AU19="Married",5500,5000)+1000*$AS19))-INDEX('How This Works &amp; Sources'!$B$184:$J$198,0,4))*INDEX('How This Works &amp; Sources'!$B$184:$J$198,0,4+2))/'Your Pay &amp; Benefits'!$C$8+0.0425*$D19,2),0)+IF('Your Pay &amp; Benefits'!$C$79="Resident",ROUND(0.1675*$T19,2),IF('Your Pay &amp; Benefits'!$C$79="Nonresident",ROUND(0.005*MAX(0,($O19-$D19)-(IF($AU19="Married",7950,7400)+1000*$AS19)/'Your Pay &amp; Benefits'!$C$8),2),0)),IF($AN19="PA",IF('Your Pay &amp; Benefits'!$C$80="None",'Your Pay &amp; Benefits'!$C$27+ROUND('Your Pay &amp; Benefits'!$C$81*($C19+$D19),2),ROUND(IF('Your Pay &amp; Benefits'!$C$80="Resident",IF($B19&lt;DATE(2026,7,1),0.0374,0.03735),IF($B19&lt;DATE(2026,7,1),0.0343,0.03425))*($C19+$D19),2)),IF($BF19=0,ROUND('Your Pay &amp; Benefits'!$C$81*($C19+$D19),2),'Your Pay &amp; Benefits'!$C$27+ROUND('Your Pay &amp; Benefits'!$C$81*($C19+$D19),2)))))</f>
      </c>
      <c r="W19" s="7">
        <f>IF($B19="","",IF($BF19=0,0,$BP19))</f>
      </c>
      <c r="X19" s="7">
        <f>IF($B19="","",SUM($E19:$K19)+$P19+$Q19+$R19+$S19+$T19+$U19+$V19+$W19)</f>
      </c>
      <c r="Y19" s="22">
        <f>IF($B19="","",$C19+$D19-$X19)</f>
      </c>
      <c r="Z19" s="7">
        <f>IF($B19="","",$Z18+$C19+$D19)</f>
      </c>
      <c r="AA19" s="7">
        <f>IF($B19="","",$AA18+$Y19)</f>
      </c>
      <c r="AB19" s="7">
        <f>IF($B19="","",$AB18+MIN($N19,MAX(0,'How This Works &amp; Sources'!$C$3-($AX19+$AB18-$AW19))))</f>
      </c>
      <c r="AC19" s="7">
        <f>IF($B19="","",$AC18+$E19+$F19)</f>
      </c>
      <c r="AD19" s="3">
        <f>IF($B19="","",IF(AND($AB18&lt;'How This Works &amp; Sources'!$C$3,$AB19&gt;='How This Works &amp; Sources'!$C$3),"★ Social Security maxed on this check — from the next check your net rises by about $"&amp;TEXT(ROUND('How This Works &amp; Sources'!$C$4*$N19,2),"#,##0.00")&amp;". ","")&amp;IF(AND($AC18&lt;'Your Pay &amp; Benefits'!$C$34,$AC19&gt;='Your Pay &amp; Benefits'!$C$34),"★ 401(k) reaches the $"&amp;TEXT('Your Pay &amp; Benefits'!$C$34,"#,##0")&amp;" cap on this check — deferrals stop and net pay rises. ","")&amp;IF(AND($AG18&lt;'How This Works &amp; Sources'!$C$7,$AG19&gt;='How This Works &amp; Sources'!$C$7),"★ Wages pass $200,000 — the 0.9% Additional Medicare Tax starts here. ","")&amp;IF(AND($BJ19&gt;0,$H19&gt;0,$BG18&lt;MIN($BJ19,'How This Works &amp; Sources'!$C$13),$BG18+$H19&gt;=MIN($BJ19,'How This Works &amp; Sources'!$C$13)),"★ Health FSA election is now fully deferred for the year. ",""))</f>
      </c>
      <c r="AE19" s="41" t="n"/>
      <c r="AF19" s="7">
        <f>IF(OR($B19="",$AE19=""),"",$AE19-$Y19)</f>
      </c>
      <c r="AG19" s="7">
        <f>IF($B19="","",$AG18+$N19)</f>
      </c>
      <c r="AH19" s="7">
        <f>IF($B19="","",MAX(0,($M19-$D19)*'Your Pay &amp; Benefits'!$C$8+$AP19-$AQ19-IF('Your Pay &amp; Benefits'!$C$13,0,IF('Your Pay &amp; Benefits'!$C$12="MFJ",'How This Works &amp; Sources'!$C$8,'How This Works &amp; Sources'!$C$9))))</f>
      </c>
      <c r="AI19" s="7">
        <f>IF($B19="","",$O19*'Your Pay &amp; Benefits'!$C$8)</f>
      </c>
      <c r="AJ19" s="7">
        <f>IF($B19="","",MAX(0,$AI19-VLOOKUP($AN19,StateTables!$A$6:$AB$56,12,FALSE)*$AT19-IF(($AS19+$AT19)&gt;=2,VLOOKUP($AN19,StateTables!$A$6:$AB$56,8,FALSE),VLOOKUP($AN19,StateTables!$A$6:$AB$56,7,FALSE))))</f>
      </c>
      <c r="AK19" s="7">
        <f>IF($B19="","",IFERROR(LOOKUP(2,1/(('Changes &amp; Events'!$C$6:$C$17="Salary change")*('Changes &amp; Events'!$B$6:$B$17&lt;=$B19)*('Changes &amp; Events'!$B$6:$B$17&lt;&gt;"")),'Changes &amp; Events'!$D$6:$D$17),IF('Your Pay &amp; Benefits'!$C$4="Annual salary",'Your Pay &amp; Benefits'!$C$5,'Your Pay &amp; Benefits'!$C$6)))</f>
      </c>
      <c r="AL19">
        <f>IF($B19="","",IFERROR(LOOKUP(2,1/(('Changes &amp; Events'!$C$6:$C$17="401(k) change")*('Changes &amp; Events'!$B$6:$B$17&lt;=$B19)*('Changes &amp; Events'!$B$6:$B$17&lt;&gt;"")),'Changes &amp; Events'!$D$6:$D$17),'Your Pay &amp; Benefits'!$C$30))</f>
      </c>
      <c r="AM19" s="7">
        <f>IF($B19="","",IFERROR(LOOKUP(2,1/(('Changes &amp; Events'!$C$6:$C$17="401(k) change")*('Changes &amp; Events'!$B$6:$B$17&lt;=$B19)*('Changes &amp; Events'!$B$6:$B$17&lt;&gt;"")),'Changes &amp; Events'!$E$6:$E$17),'Your Pay &amp; Benefits'!$D$31))</f>
      </c>
      <c r="AN19">
        <f>IF($B19="","",IFERROR(LOOKUP(2,1/(('Changes &amp; Events'!$C$6:$C$17="State move")*('Changes &amp; Events'!$B$6:$B$17&lt;=$B19)*('Changes &amp; Events'!$B$6:$B$17&lt;&gt;"")),'Changes &amp; Events'!$D$6:$D$17),'Your Pay &amp; Benefits'!$C$21))</f>
      </c>
      <c r="AO19" s="7">
        <f>IF($B19="","",IFERROR(LOOKUP(2,1/(('Changes &amp; Events'!$C$6:$C$17="W-4 change")*('Changes &amp; Events'!$B$6:$B$17&lt;=$B19)*('Changes &amp; Events'!$B$6:$B$17&lt;&gt;"")),'Changes &amp; Events'!$D$6:$D$17),'Your Pay &amp; Benefits'!$C$14))</f>
      </c>
      <c r="AP19" s="7">
        <f>IF($B19="","",IFERROR(LOOKUP(2,1/(('Changes &amp; Events'!$C$6:$C$17="W-4 change")*('Changes &amp; Events'!$B$6:$B$17&lt;=$B19)*('Changes &amp; Events'!$B$6:$B$17&lt;&gt;"")),'Changes &amp; Events'!$E$6:$E$17),'Your Pay &amp; Benefits'!$C$15))</f>
      </c>
      <c r="AQ19" s="7">
        <f>IF($B19="","",IFERROR(LOOKUP(2,1/(('Changes &amp; Events'!$C$6:$C$17="W-4 change")*('Changes &amp; Events'!$B$6:$B$17&lt;=$B19)*('Changes &amp; Events'!$B$6:$B$17&lt;&gt;"")),'Changes &amp; Events'!$F$6:$F$17),'Your Pay &amp; Benefits'!$C$16))</f>
      </c>
      <c r="AR19" s="7">
        <f>IF($B19="","",IFERROR(LOOKUP(2,1/(('Changes &amp; Events'!$C$6:$C$17="W-4 change")*('Changes &amp; Events'!$B$6:$B$17&lt;=$B19)*('Changes &amp; Events'!$B$6:$B$17&lt;&gt;"")),'Changes &amp; Events'!$G$6:$G$17),'Your Pay &amp; Benefits'!$C$17))</f>
      </c>
      <c r="AS19" s="6">
        <f>IF($B19="","",IFERROR(LOOKUP(2,1/((('Changes &amp; Events'!$C$6:$C$17="State move")+('Changes &amp; Events'!$C$6:$C$17="State cert change"))*('Changes &amp; Events'!$B$6:$B$17&lt;=$B19)*('Changes &amp; Events'!$B$6:$B$17&lt;&gt;"")),'Changes &amp; Events'!$F$6:$F$17),'Your Pay &amp; Benefits'!$C$23))</f>
      </c>
      <c r="AT19" s="6">
        <f>IF($B19="","",IFERROR(LOOKUP(2,1/((('Changes &amp; Events'!$C$6:$C$17="State move")+('Changes &amp; Events'!$C$6:$C$17="State cert change"))*('Changes &amp; Events'!$B$6:$B$17&lt;=$B19)*('Changes &amp; Events'!$B$6:$B$17&lt;&gt;"")),'Changes &amp; Events'!$G$6:$G$17),'Your Pay &amp; Benefits'!$C$24))</f>
      </c>
      <c r="AU19">
        <f>IF($B19="","",IFERROR(LOOKUP(2,1/(('Changes &amp; Events'!$C$6:$C$17="State move")*('Changes &amp; Events'!$B$6:$B$17&lt;=$B19)*('Changes &amp; Events'!$B$6:$B$17&lt;&gt;"")),'Changes &amp; Events'!$E$6:$E$17),'Your Pay &amp; Benefits'!$C$22))</f>
      </c>
      <c r="AV19" s="6">
        <f>IF($B19="","",1+COUNTIFS('Changes &amp; Events'!$C$6:$C$17,"Employer change",'Changes &amp; Events'!$B$6:$B$17,"&lt;="&amp;$B19,'Changes &amp; Events'!$B$6:$B$17,"&lt;&gt;"))</f>
      </c>
      <c r="AW19" s="7">
        <f>IF($B19="","",IF($AV19=1,'Your Pay &amp; Benefits'!$C$49,IF(IFERROR(MATCH(IFERROR(LOOKUP(2,1/(('Changes &amp; Events'!$C$6:$C$17="Employer change")*('Changes &amp; Events'!$B$6:$B$17&lt;=$B19)*('Changes &amp; Events'!$B$6:$B$17&lt;&gt;"")),'Changes &amp; Events'!$B$6:$B$17),""),$B$6:$B$68,1),1)&lt;=1,'Your Pay &amp; Benefits'!$C$49,INDEX($AB$6:$AB$68,MATCH(IFERROR(LOOKUP(2,1/(('Changes &amp; Events'!$C$6:$C$17="Employer change")*('Changes &amp; Events'!$B$6:$B$17&lt;=$B19)*('Changes &amp; Events'!$B$6:$B$17&lt;&gt;"")),'Changes &amp; Events'!$B$6:$B$17),""),$B$6:$B$68,1)-1))))</f>
      </c>
      <c r="AX19" s="7">
        <f>IF($B19="","",IF($AV19=1,'Your Pay &amp; Benefits'!$C$49,IFERROR(LOOKUP(2,1/(('Changes &amp; Events'!$C$6:$C$17="Employer change")*('Changes &amp; Events'!$B$6:$B$17&lt;=$B19)*('Changes &amp; Events'!$B$6:$B$17&lt;&gt;"")),'Changes &amp; Events'!$D$6:$D$17),0)))</f>
      </c>
      <c r="AY19" s="7">
        <f>IF($B19="","",($O19-$D19)*'Your Pay &amp; Benefits'!$C$8)</f>
      </c>
      <c r="AZ19" s="7">
        <f>IF($B19="","",IF($AN19="AL",MAX(0,$AY19-IF($AU19="Married",IF($AY19&lt;=25999,8500,MAX(5000,8500-175*CEILING(($AY19-25999)/500,1))),IF($AU19="Head of household",IF($AY19&lt;=25999,5200,MAX(2500,5200-135*CEILING(($AY19-25999)/500,1))),IF($AY19&lt;=25999,3000,MAX(2500,3000-25*CEILING(($AY19-25999)/500,1)))))-($P19-'How This Works &amp; Sources'!$C$10*$D19)*'Your Pay &amp; Benefits'!$C$8-IF(OR($AU19="Married",$AU19="Head of household"),3000,1500)-$AT19*IF($AY19&lt;=50000,1000,IF($AY19&lt;=100000,500,300))),IF($AN19="AR",IF(MAX(0,$AY19-2470)&lt;97701,INT(MAX(0,$AY19-2470)/100)*100+50,MAX(0,$AY19-2470)),IF($AN19="DE",MAX(0,$AI19-3250),IF($AN19="HI",MAX(0,$AI19-1144*$AS19-4350),IF($AN19="KS",MAX(0,$AI19-(9160*IF($AU19="Married",2,1)+2320*$AT19+IF($AU19="Head of household",2320,0))),IF($AN19="MD",MAX(0,$AI19-3400-3200*$AS19),IF($AN19="MN",MAX(0,$AY19-5300*$AS19),IF($AN19="MO",MAX(0,$AI19-IF($AU19="Head of household",24150,IF($AU19="Married",IF('Your Pay &amp; Benefits'!$C$83,16100,32200),16100))),IF($AN19="MT",$AY19,IF($AN19="ND",($C19+$L19)*'Your Pay &amp; Benefits'!$C$8,IF($AN19="NE",MAX(0,$AY19-2440*$AS19),IF($AN19="NJ",MAX(0,$AY19-1000*$AS19),IF($AN19="NY",MAX(0,$AY19-(IF($AU19="Married",7950,7400)+1000*$AS19)),IF($AN19="OH",MAX(0,$AY19-650*$AS19),IF($AN19="OK",MAX(0,$AY19-1000*$AS19),IF($AN19="RI",MAX(0,$AI19-1000*$AS19),IF($AN19="SC",MAX(0,$AI19-5000*$AS19-IF($AS19=0,0,MIN(0.1*$AI19,7500))),IF($AN19="VA",MAX(0,$AI19-IF($AU19="Married",17500,8750)-930*$AS19-800*$AT19),IF($AN19="VT",MAX(0,$AI19-5400*$AS19),IF($AN19="WI",MAX(0,$AI19-MAX(0,IF($AU19="Married",9461-0.2*MAX(0,$AI19-25727),6702-0.12*MAX(0,$AI19-17780)))-400*$AS19),IF($AN19="WV",MAX(0,$AI19-2000*$AS19),$AI19))))))))))))))))))))))</f>
      </c>
      <c r="BA19" s="7">
        <f>IF($B19="","",IF($BW19&lt;&gt;"",$BW19,IF($BX19&lt;&gt;"",$BX19,IF($BY19&lt;&gt;"",$BY19,0))))</f>
      </c>
      <c r="BB19" s="7">
        <f>IF($B19="","",IF($AN19="AR",-29*$AS19,IF($AN19="DE",-110*$AS19,IF($AN19="MD",$AZ19*'Your Pay &amp; Benefits'!$C$74,IF($AN19="AZ",'Your Pay &amp; Benefits'!$C$82*($M19-$D19)*'Your Pay &amp; Benefits'!$C$8,IF($AN19="CO",0.044*MAX(0,$AY19-IF($AU19="Married",10000,5000)),IF($AN19="IA",MAX(0,0.038*MAX(0,$AY19-IF($AU19="Head of household",19500,IF($AU19="Married",26000,13000)))-40*$AS19),IF($AN19="ID",0.053*MAX(0,$AY19-IF($AU19="Married",32000,16094)),IF($AN19="IL",0.0495*MAX(0,$AY19-(2925*$AS19+1000*$AT19)),IF($AN19="IN",(0.0295+'Your Pay &amp; Benefits'!$C$76)*MAX(0,$AY19-(1000*$AS19+1500*$AT19+3000*'Your Pay &amp; Benefits'!$C$86)),IF($AN19="KY",0.035*MAX(0,$AI19-3360),IF($AN19="LA",IF('Your Pay &amp; Benefits'!$C$84="0",0.0309*$AI19,0.0309*MAX(0,$AI19-IF('Your Pay &amp; Benefits'!$C$84="2",25750,12875))),IF($AN19="MA",0.05*MIN(MAX(0,$AY19-MIN(($BD18+$Q19+$R19+$S19),2000)-IF($AS19=0,0,IF($AS19=1,4400,1000*$AS19+3400))),1107750)+0.09*MAX(0,MAX(0,$AY19-MIN(($BD18+$Q19+$R19+$S19),2000)-IF($AS19=0,0,IF($AS19=1,4400,1000*$AS19+3400)))-1107750)-IF($AU19="Head of household",120,0)-110*'Your Pay &amp; Benefits'!$C$75,IF($AN19="MI",0.0425*MAX(0,$AY19-5900*$AS19),IF($AN19="MS",0.04*MAX(0,$AI19-IF($AU19="Head of household",3400,IF($AU19="Married",4600,2300))-'Your Pay &amp; Benefits'!$C$85-10000),IF($AN19="OR",IF(OR($AU19="Married",AND($AU19="Single",$AS19&gt;=3)),SUMPRODUCT((MAX(0,$AY19-MIN(($P19-'How This Works &amp; Sources'!$C$10*$D19)*'Your Pay &amp; Benefits'!$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Sources'!$B$211:$J$214,0,4))*(MAX(0,$AY19-MIN(($P19-'How This Works &amp; Sources'!$C$10*$D19)*'Your Pay &amp; Benefits'!$C$8,IF(OR($AU19="Married",AND($AU19="Single",$AS19&gt;=3)),IF($AY19&lt;250000,8750,IF($AY19&lt;260000,7000,IF($AY19&lt;270000,5250,IF($AY19&lt;280000,3500,IF($AY19&lt;290000,1750,0))))),IF($AY19&lt;125000,8750,IF($AY19&lt;130000,7000,IF($AY19&lt;135000,5250,IF($AY19&lt;140000,3500,IF($AY19&lt;145000,1750,0)))))))-IF(OR($AU19="Married",AND($AU19="Single",$AS19&gt;=3)),5820,2910))-INDEX('How This Works &amp; Sources'!$B$211:$J$214,0,4))*INDEX('How This Works &amp; Sources'!$B$211:$J$214,0,4+2)),SUMPRODUCT((MAX(0,$AY19-MIN(($P19-'How This Works &amp; Sources'!$C$10*$D19)*'Your Pay &amp; Benefits'!$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Sources'!$B$211:$J$214,0,1))*(MAX(0,$AY19-MIN(($P19-'How This Works &amp; Sources'!$C$10*$D19)*'Your Pay &amp; Benefits'!$C$8,IF(OR($AU19="Married",AND($AU19="Single",$AS19&gt;=3)),IF($AY19&lt;250000,8750,IF($AY19&lt;260000,7000,IF($AY19&lt;270000,5250,IF($AY19&lt;280000,3500,IF($AY19&lt;290000,1750,0))))),IF($AY19&lt;125000,8750,IF($AY19&lt;130000,7000,IF($AY19&lt;135000,5250,IF($AY19&lt;140000,3500,IF($AY19&lt;145000,1750,0)))))))-IF(OR($AU19="Married",AND($AU19="Single",$AS19&gt;=3)),5820,2910))-INDEX('How This Works &amp; Sources'!$B$211:$J$214,0,1))*INDEX('How This Works &amp; Sources'!$B$211:$J$214,0,1+2)))+263-263*IF(IF($AU19="Married",$AY19&gt;200000,$AY19&gt;100000),0,$AS19),IF($AN19="PA",0.0307*(($O19+$E19+$G19)*'Your Pay &amp; Benefits'!$C$8),IF($AN19="NY",IF($AU19="Married",IF($AZ19&gt;=2155350,0,IF($AZ19&gt;=1077550,0.48,IF($AZ19&gt;=373200,1.21,IF($AZ19&gt;=323200,0.21,IF($AZ19&gt;=211550,-0.19,IF($AZ19&gt;=157650,-2.8,IF($AZ19&gt;=107650,-0.8,IF($AZ19&gt;=96800,0.05,IF($AZ19&gt;=80650,-0.1,IF($AZ19&gt;=13900,0.4,IF($AZ19&gt;=11700,-0.3,IF($AZ19&gt;=8500,0.5,0)))))))))))),IF($AZ19&gt;=1077550,0,IF($AZ19&gt;=265400,4.29,IF($AZ19&gt;=215400,2.29,IF($AZ19&gt;=157650,2.29,IF($AZ19&gt;=107650,0.29,IF($AZ19&gt;=96800,0.05,IF($AZ19&gt;=80650,-0.1,IF($AZ19&gt;=13900,0.4,IF($AZ19&gt;=11700,-0.3,IF($AZ19&gt;=8500,0.5,0))))))))))),0))))))))))))))))))</f>
      </c>
      <c r="BC19" s="7">
        <f>IF($B19="","",IF($AN19="AL",0.05*$D19,IF($AN19="AR",0.039*$D19,IF($AN19="ID",0.053*$D19,IF($AN19="IN",(0.0295+'Your Pay &amp; Benefits'!$C$76)*$D19,IF($AN19="KS",0.05*$D19,IF($AN19="MA",0.09*MIN($D19,MAX(0,MAX(0,$AY19-MIN(($BD18+$Q19+$R19+$S19),2000)-IF($AS19=0,0,IF($AS19=1,4400,1000*$AS19+3400)))+$D19-1107750))+0.05*($D19-MIN($D19,MAX(0,MAX(0,$AY19-MIN(($BD18+$Q19+$R19+$S19),2000)-IF($AS19=0,0,IF($AS19=1,4400,1000*$AS19+3400)))+$D19-1107750))),IF($AN19="MD",(0.065+'Your Pay &amp; Benefits'!$C$74)*$D19,IF($AN19="MI",0.0425*$D19,IF($AN19="MN",0.0625*$D19,IF($AN19="MO",0.047*$D19,IF($AN19="MT",0.05*$D19,IF($AN19="ND",0.015*$D19,IF($AN19="NE",0.035*$D19,IF($AN19="NJ",IF('Your Pay &amp; Benefits'!$C$77="B",SUMPRODUCT(($D19*'Your Pay &amp; Benefits'!$C$8&gt;INDEX('How This Works &amp; Sources'!$B$155:$J$162,0,4))*($D19*'Your Pay &amp; Benefits'!$C$8-INDEX('How This Works &amp; Sources'!$B$155:$J$162,0,4))*INDEX('How This Works &amp; Sources'!$B$155:$J$162,0,4+2)),IF('Your Pay &amp; Benefits'!$C$77="C",SUMPRODUCT(($D19*'Your Pay &amp; Benefits'!$C$8&gt;INDEX('How This Works &amp; Sources'!$B$155:$J$162,0,7))*($D19*'Your Pay &amp; Benefits'!$C$8-INDEX('How This Works &amp; Sources'!$B$155:$J$162,0,7))*INDEX('How This Works &amp; Sources'!$B$155:$J$162,0,7+2)),IF('Your Pay &amp; Benefits'!$C$77="D",SUMPRODUCT(($D19*'Your Pay &amp; Benefits'!$C$8&gt;INDEX('How This Works &amp; Sources'!$B$167:$J$179,0,1))*($D19*'Your Pay &amp; Benefits'!$C$8-INDEX('How This Works &amp; Sources'!$B$167:$J$179,0,1))*INDEX('How This Works &amp; Sources'!$B$167:$J$179,0,1+2)),IF('Your Pay &amp; Benefits'!$C$77="E",SUMPRODUCT(($D19*'Your Pay &amp; Benefits'!$C$8&gt;INDEX('How This Works &amp; Sources'!$B$167:$J$179,0,4))*($D19*'Your Pay &amp; Benefits'!$C$8-INDEX('How This Works &amp; Sources'!$B$167:$J$179,0,4))*INDEX('How This Works &amp; Sources'!$B$167:$J$179,0,4+2)),SUMPRODUCT(($D19*'Your Pay &amp; Benefits'!$C$8&gt;INDEX('How This Works &amp; Sources'!$B$155:$J$162,0,1))*($D19*'Your Pay &amp; Benefits'!$C$8-INDEX('How This Works &amp; Sources'!$B$155:$J$162,0,1))*INDEX('How This Works &amp; Sources'!$B$155:$J$162,0,1+2))))))/'Your Pay &amp; Benefits'!$C$8,IF($AN19="NY",0.117*$D19,IF($AN19="OH",0.0275*$D19,IF($AN19="OK",0.045*$D19,IF($AN19="OR",0.08*$D19,IF($AN19="WI",IF($AY19&lt;12760,0.0354,IF($AY19&lt;25520,0.0465,IF($AY19&lt;280950,0.053,0.0765)))*$D19,0))))))))))))))))))))</f>
      </c>
      <c r="BD19" s="7">
        <f>IF($B19="","",$BD18+$Q19+$R19+$S19)</f>
      </c>
      <c r="BE19" s="6">
        <f>IF($B19="",$BE18,$BE18+$BF19)</f>
      </c>
      <c r="BF19" s="6">
        <f>IF($B19="","",IF(AND(IF(YEAR(IF('Your Pay &amp; Benefits'!$C$7="Weekly",'Your Pay &amp; Benefits'!$C$9+7*(($BE18+1)-1),IF('Your Pay &amp; Benefits'!$C$7="Biweekly",'Your Pay &amp; Benefits'!$C$9+14*(($BE18+1)-1),IF('Your Pay &amp; Benefits'!$C$7="Semimonthly",DATE(YEAR('Your Pay &amp; Benefits'!$C$9),MONTH('Your Pay &amp; Benefits'!$C$9)+INT((($BE18+1)-1)/2),MIN(DAY('Your Pay &amp; Benefits'!$C$9),DAY(EOMONTH(DATE(YEAR('Your Pay &amp; Benefits'!$C$9),MONTH('Your Pay &amp; Benefits'!$C$9)+INT((($BE18+1)-1)/2),1),0))))+IF(MOD(($BE18+1)-1,2)=1,15,0),EDATE('Your Pay &amp; Benefits'!$C$9,($BE18+1)-1)))))&lt;&gt;'Your Pay &amp; Benefits'!$C$10,"",IF('Your Pay &amp; Benefits'!$C$7="Weekly",'Your Pay &amp; Benefits'!$C$9+7*(($BE18+1)-1),IF('Your Pay &amp; Benefits'!$C$7="Biweekly",'Your Pay &amp; Benefits'!$C$9+14*(($BE18+1)-1),IF('Your Pay &amp; Benefits'!$C$7="Semimonthly",DATE(YEAR('Your Pay &amp; Benefits'!$C$9),MONTH('Your Pay &amp; Benefits'!$C$9)+INT((($BE18+1)-1)/2),MIN(DAY('Your Pay &amp; Benefits'!$C$9),DAY(EOMONTH(DATE(YEAR('Your Pay &amp; Benefits'!$C$9),MONTH('Your Pay &amp; Benefits'!$C$9)+INT((($BE18+1)-1)/2),1),0))))+IF(MOD(($BE18+1)-1,2)=1,15,0),EDATE('Your Pay &amp; Benefits'!$C$9,($BE18+1)-1)))))&lt;&gt;"",$B19=IF(YEAR(IF('Your Pay &amp; Benefits'!$C$7="Weekly",'Your Pay &amp; Benefits'!$C$9+7*(($BE18+1)-1),IF('Your Pay &amp; Benefits'!$C$7="Biweekly",'Your Pay &amp; Benefits'!$C$9+14*(($BE18+1)-1),IF('Your Pay &amp; Benefits'!$C$7="Semimonthly",DATE(YEAR('Your Pay &amp; Benefits'!$C$9),MONTH('Your Pay &amp; Benefits'!$C$9)+INT((($BE18+1)-1)/2),MIN(DAY('Your Pay &amp; Benefits'!$C$9),DAY(EOMONTH(DATE(YEAR('Your Pay &amp; Benefits'!$C$9),MONTH('Your Pay &amp; Benefits'!$C$9)+INT((($BE18+1)-1)/2),1),0))))+IF(MOD(($BE18+1)-1,2)=1,15,0),EDATE('Your Pay &amp; Benefits'!$C$9,($BE18+1)-1)))))&lt;&gt;'Your Pay &amp; Benefits'!$C$10,"",IF('Your Pay &amp; Benefits'!$C$7="Weekly",'Your Pay &amp; Benefits'!$C$9+7*(($BE18+1)-1),IF('Your Pay &amp; Benefits'!$C$7="Biweekly",'Your Pay &amp; Benefits'!$C$9+14*(($BE18+1)-1),IF('Your Pay &amp; Benefits'!$C$7="Semimonthly",DATE(YEAR('Your Pay &amp; Benefits'!$C$9),MONTH('Your Pay &amp; Benefits'!$C$9)+INT((($BE18+1)-1)/2),MIN(DAY('Your Pay &amp; Benefits'!$C$9),DAY(EOMONTH(DATE(YEAR('Your Pay &amp; Benefits'!$C$9),MONTH('Your Pay &amp; Benefits'!$C$9)+INT((($BE18+1)-1)/2),1),0))))+IF(MOD(($BE18+1)-1,2)=1,15,0),EDATE('Your Pay &amp; Benefits'!$C$9,($BE18+1)-1)))))),1,0))</f>
      </c>
      <c r="BG19" s="7">
        <f>IF($B19="","",$BG18+$H19)</f>
      </c>
      <c r="BH19" s="7">
        <f>IF($B19="","",$BH18+$I19)</f>
      </c>
      <c r="BI19" s="7">
        <f>IF($B19="","",$BI18+$G19)</f>
      </c>
      <c r="BJ19" s="7">
        <f>IF($B19="","",IFERROR(LOOKUP(2,1/(((('Changes &amp; Events'!$C$6:$C$17="Deduction start"))*('Changes &amp; Events'!$D$6:$D$17="Health FSA"))*('Changes &amp; Events'!$B$6:$B$17&lt;=$B19)*('Changes &amp; Events'!$B$6:$B$17&lt;&gt;"")),'Changes &amp; Events'!$E$6:$E$17),'Your Pay &amp; Benefits'!$D$38))</f>
      </c>
      <c r="BK19" s="7">
        <f>IF($B19="","",IFERROR(LOOKUP(2,1/(((('Changes &amp; Events'!$C$6:$C$17="Deduction start"))*('Changes &amp; Events'!$D$6:$D$17="Dependent-care FSA"))*('Changes &amp; Events'!$B$6:$B$17&lt;=$B19)*('Changes &amp; Events'!$B$6:$B$17&lt;&gt;"")),'Changes &amp; Events'!$E$6:$E$17),'Your Pay &amp; Benefits'!$D$39))</f>
      </c>
      <c r="BL19" s="7">
        <f>IF($B19="","",IFERROR(LOOKUP(2,1/(((('Changes &amp; Events'!$C$6:$C$17="Deduction start")+('Changes &amp; Events'!$C$6:$C$17="Deduction stop"))*('Changes &amp; Events'!$D$6:$D$17="HSA"))*('Changes &amp; Events'!$B$6:$B$17&lt;=$B19)*('Changes &amp; Events'!$B$6:$B$17&lt;&gt;"")),'Changes &amp; Events'!$I$6:$I$17),'Your Pay &amp; Benefits'!$D$35))</f>
      </c>
      <c r="BM19" s="7">
        <f>IF($B19="","",IFERROR(LOOKUP(2,1/(((('Changes &amp; Events'!$C$6:$C$17="Deduction start")+('Changes &amp; Events'!$C$6:$C$17="Deduction stop"))*('Changes &amp; Events'!$D$6:$D$17="Premiums"))*('Changes &amp; Events'!$B$6:$B$17&lt;=$B19)*('Changes &amp; Events'!$B$6:$B$17&lt;&gt;"")),'Changes &amp; Events'!$I$6:$I$17),'Your Pay &amp; Benefits'!$D$40+'Your Pay &amp; Benefits'!$D$41+'Your Pay &amp; Benefits'!$D$42))</f>
      </c>
      <c r="BN19" s="7">
        <f>IF($B19="","",IFERROR(LOOKUP(2,1/(((('Changes &amp; Events'!$C$6:$C$17="Deduction start")+('Changes &amp; Events'!$C$6:$C$17="Deduction stop"))*('Changes &amp; Events'!$D$6:$D$17="Commuter"))*('Changes &amp; Events'!$B$6:$B$17&lt;=$B19)*('Changes &amp; Events'!$B$6:$B$17&lt;&gt;"")),'Changes &amp; Events'!$I$6:$I$17),'Your Pay &amp; Benefits'!$D$43))</f>
      </c>
      <c r="BO19" s="7">
        <f>IF($B19="","",IFERROR(LOOKUP(2,1/(((('Changes &amp; Events'!$C$6:$C$17="Deduction start")+('Changes &amp; Events'!$C$6:$C$17="Deduction stop"))*('Changes &amp; Events'!$D$6:$D$17="Other pre-tax"))*('Changes &amp; Events'!$B$6:$B$17&lt;=$B19)*('Changes &amp; Events'!$B$6:$B$17&lt;&gt;"")),'Changes &amp; Events'!$I$6:$I$17),'Your Pay &amp; Benefits'!$D$44))</f>
      </c>
      <c r="BP19" s="7">
        <f>IF($B19="","",IFERROR(LOOKUP(2,1/(((('Changes &amp; Events'!$C$6:$C$17="Deduction start")+('Changes &amp; Events'!$C$6:$C$17="Deduction stop"))*('Changes &amp; Events'!$D$6:$D$17="Other post-tax"))*('Changes &amp; Events'!$B$6:$B$17&lt;=$B19)*('Changes &amp; Events'!$B$6:$B$17&lt;&gt;"")),'Changes &amp; Events'!$I$6:$I$17),'Your Pay &amp; Benefits'!$D$45))</f>
      </c>
      <c r="BQ19" s="6">
        <f>IF($B19="","",IFERROR(LOOKUP(2,1/(((('Changes &amp; Events'!$C$6:$C$17="Deduction start")+('Changes &amp; Events'!$C$6:$C$17="Deduction stop"))*('Changes &amp; Events'!$D$6:$D$17="Health FSA"))*('Changes &amp; Events'!$B$6:$B$17&lt;=$B19)*('Changes &amp; Events'!$B$6:$B$17&lt;&gt;"")),'Changes &amp; Events'!$J$6:$J$17),0))</f>
      </c>
      <c r="BR19" s="6">
        <f>IF($B19="","",IFERROR(LOOKUP(2,1/(((('Changes &amp; Events'!$C$6:$C$17="Deduction start")+('Changes &amp; Events'!$C$6:$C$17="Deduction stop"))*('Changes &amp; Events'!$D$6:$D$17="Dependent-care FSA"))*('Changes &amp; Events'!$B$6:$B$17&lt;=$B19)*('Changes &amp; Events'!$B$6:$B$17&lt;&gt;"")),'Changes &amp; Events'!$J$6:$J$17),0))</f>
      </c>
      <c r="BS19" s="6">
        <f>IF($B19="","",IF(SUMPRODUCT(('Changes &amp; Events'!$C$6:$C$17="Deduction start")*('Changes &amp; Events'!$B$6:$B$17&lt;=$B19)*('Changes &amp; Events'!$B$6:$B$17&lt;&gt;"")*('Changes &amp; Events'!$D$6:$D$17="Health FSA"))&gt;0,1,0))</f>
      </c>
      <c r="BT19" s="6">
        <f>IF($B19="","",IF(SUMPRODUCT(('Changes &amp; Events'!$C$6:$C$17="Deduction start")*('Changes &amp; Events'!$B$6:$B$17&lt;=$B19)*('Changes &amp; Events'!$B$6:$B$17&lt;&gt;"")*('Changes &amp; Events'!$D$6:$D$17="Dependent-care FSA"))&gt;0,1,0))</f>
      </c>
      <c r="BU19" s="24">
        <f>IF($B19="","",IF('Your Pay &amp; Benefits'!$C$13,SUMPRODUCT(($AH19&gt;=INDEX('How This Works &amp; Sources'!$B$29:$J$36,0,IF('Your Pay &amp; Benefits'!$C$12="MFJ",1,IF('Your Pay &amp; Benefits'!$C$12="HoH",7,4))))*INDEX('How This Works &amp; Sources'!$B$29:$J$36,0,IF('Your Pay &amp; Benefits'!$C$12="MFJ",1,IF('Your Pay &amp; Benefits'!$C$12="HoH",7,4))+2)),SUMPRODUCT(($AH19&gt;=INDEX('How This Works &amp; Sources'!$B$19:$J$26,0,IF('Your Pay &amp; Benefits'!$C$12="MFJ",1,IF('Your Pay &amp; Benefits'!$C$12="HoH",7,4))))*INDEX('How This Works &amp; Sources'!$B$19:$J$26,0,IF('Your Pay &amp; Benefits'!$C$12="MFJ",1,IF('Your Pay &amp; Benefits'!$C$12="HoH",7,4))+2))))</f>
      </c>
      <c r="BV19" s="24">
        <f>IF($B19="","",IF($BZ19&lt;&gt;"",$BZ19,IF($CA19&lt;&gt;"",$CA19,IF($CB19&lt;&gt;"",$CB19,IF($CC19&lt;&gt;"",$CC19,0)))))</f>
      </c>
      <c r="BW19" s="7">
        <f>IF($B19="","",IF($AN19="MD",IF(OR($AU19="Married",$AU19="Head of household"),SUMPRODUCT(($AZ19&gt;INDEX('How This Works &amp; Sources'!$B$114:$J$120,0,1))*($AZ19-INDEX('How This Works &amp; Sources'!$B$114:$J$120,0,1))*INDEX('How This Works &amp; Sources'!$B$114:$J$120,0,1+2)),SUMPRODUCT(($AZ19&gt;INDEX('How This Works &amp; Sources'!$B$103:$J$109,0,7))*($AZ19-INDEX('How This Works &amp; Sources'!$B$103:$J$109,0,7))*INDEX('How This Works &amp; Sources'!$B$103:$J$109,0,7+2))),IF($AN19="MO",SUMPRODUCT(($AZ19&gt;INDEX('How This Works &amp; Sources'!$B$125:$J$132,0,1))*($AZ19-INDEX('How This Works &amp; Sources'!$B$125:$J$132,0,1))*INDEX('How This Works &amp; Sources'!$B$125:$J$132,0,1+2)),IF($AN19="MT",IF($AU19="Head of household",SUMPRODUCT(($AZ19&gt;INDEX('How This Works &amp; Sources'!$B$137:$J$139,0,1))*($AZ19-INDEX('How This Works &amp; Sources'!$B$137:$J$139,0,1))*INDEX('How This Works &amp; Sources'!$B$137:$J$139,0,1+2)),IF($AU19="Married",SUMPRODUCT(($AZ19&gt;INDEX('How This Works &amp; Sources'!$B$125:$J$132,0,7))*($AZ19-INDEX('How This Works &amp; Sources'!$B$125:$J$132,0,7))*INDEX('How This Works &amp; Sources'!$B$125:$J$132,0,7+2)),SUMPRODUCT(($AZ19&gt;INDEX('How This Works &amp; Sources'!$B$125:$J$132,0,4))*($AZ19-INDEX('How This Works &amp; Sources'!$B$125:$J$132,0,4))*INDEX('How This Works &amp; Sources'!$B$125:$J$132,0,4+2)))),IF($AN19="ND",IF($AU19="Head of household",SUMPRODUCT(($AZ19&gt;INDEX('How This Works &amp; Sources'!$B$144:$J$150,0,1))*($AZ19-INDEX('How This Works &amp; Sources'!$B$144:$J$150,0,1))*INDEX('How This Works &amp; Sources'!$B$144:$J$150,0,1+2)),IF($AU19="Married",SUMPRODUCT(($AZ19&gt;INDEX('How This Works &amp; Sources'!$B$137:$J$139,0,7))*($AZ19-INDEX('How This Works &amp; Sources'!$B$137:$J$139,0,7))*INDEX('How This Works &amp; Sources'!$B$137:$J$139,0,7+2)),SUMPRODUCT(($AZ19&gt;INDEX('How This Works &amp; Sources'!$B$137:$J$139,0,4))*($AZ19-INDEX('How This Works &amp; Sources'!$B$137:$J$139,0,4))*INDEX('How This Works &amp; Sources'!$B$137:$J$139,0,4+2)))),IF($AN19="NJ",IF('Your Pay &amp; Benefits'!$C$77="B",SUMPRODUCT(($AZ19&gt;INDEX('How This Works &amp; Sources'!$B$155:$J$162,0,4))*($AZ19-INDEX('How This Works &amp; Sources'!$B$155:$J$162,0,4))*INDEX('How This Works &amp; Sources'!$B$155:$J$162,0,4+2)),IF('Your Pay &amp; Benefits'!$C$77="C",SUMPRODUCT(($AZ19&gt;INDEX('How This Works &amp; Sources'!$B$155:$J$162,0,7))*($AZ19-INDEX('How This Works &amp; Sources'!$B$155:$J$162,0,7))*INDEX('How This Works &amp; Sources'!$B$155:$J$162,0,7+2)),IF('Your Pay &amp; Benefits'!$C$77="D",SUMPRODUCT(($AZ19&gt;INDEX('How This Works &amp; Sources'!$B$167:$J$179,0,1))*($AZ19-INDEX('How This Works &amp; Sources'!$B$167:$J$179,0,1))*INDEX('How This Works &amp; Sources'!$B$167:$J$179,0,1+2)),IF('Your Pay &amp; Benefits'!$C$77="E",SUMPRODUCT(($AZ19&gt;INDEX('How This Works &amp; Sources'!$B$167:$J$179,0,4))*($AZ19-INDEX('How This Works &amp; Sources'!$B$167:$J$179,0,4))*INDEX('How This Works &amp; Sources'!$B$167:$J$179,0,4+2)),SUMPRODUCT(($AZ19&gt;INDEX('How This Works &amp; Sources'!$B$155:$J$162,0,1))*($AZ19-INDEX('How This Works &amp; Sources'!$B$155:$J$162,0,1))*INDEX('How This Works &amp; Sources'!$B$155:$J$162,0,1+2)))))),IF($AN19="NY",IF($AU19="Married",IF($AZ19&gt;=2155350,$AZ19*IF($AZ19&gt;25000000,0.117,IF($AZ19&gt;5000000,0.111,0.1045)),SUMPRODUCT(($AZ19&gt;INDEX('How This Works &amp; Sources'!$B$184:$J$198,0,1))*($AZ19-INDEX('How This Works &amp; Sources'!$B$184:$J$198,0,1))*INDEX('How This Works &amp; Sources'!$B$184:$J$198,0,1+2))),IF($AZ19&gt;=1077550,$AZ19*IF($AZ19&gt;25000000,0.117,IF($AZ19&gt;5000000,0.111,0.1045)),SUMPRODUCT(($AZ19&gt;INDEX('How This Works &amp; Sources'!$B$167:$J$179,0,7))*($AZ19-INDEX('How This Works &amp; Sources'!$B$167:$J$179,0,7))*INDEX('How This Works &amp; Sources'!$B$167:$J$179,0,7+2)))),"")))))))</f>
      </c>
      <c r="BX19" s="7">
        <f>IF($B19="","",IF($AN19="AL",IF(OR($AU19="Married",$AU19="Head of household"),SUMPRODUCT(($AZ19&gt;INDEX('How This Works &amp; Sources'!$B$82:$J$86,0,4))*($AZ19-INDEX('How This Works &amp; Sources'!$B$82:$J$86,0,4))*INDEX('How This Works &amp; Sources'!$B$82:$J$86,0,4+2)),SUMPRODUCT(($AZ19&gt;INDEX('How This Works &amp; Sources'!$B$82:$J$86,0,1))*($AZ19-INDEX('How This Works &amp; Sources'!$B$82:$J$86,0,1))*INDEX('How This Works &amp; Sources'!$B$82:$J$86,0,1+2))),IF($AN19="KS",IF($AU19="Married",SUMPRODUCT(($AZ19&gt;INDEX('How This Works &amp; Sources'!$B$103:$J$109,0,4))*($AZ19-INDEX('How This Works &amp; Sources'!$B$103:$J$109,0,4))*INDEX('How This Works &amp; Sources'!$B$103:$J$109,0,4+2)),SUMPRODUCT(($AZ19&gt;INDEX('How This Works &amp; Sources'!$B$103:$J$109,0,1))*($AZ19-INDEX('How This Works &amp; Sources'!$B$103:$J$109,0,1))*INDEX('How This Works &amp; Sources'!$B$103:$J$109,0,1+2))),IF($AN19="MN",IF($AU19="Married",SUMPRODUCT(($AZ19&gt;INDEX('How This Works &amp; Sources'!$B$114:$J$120,0,7))*($AZ19-INDEX('How This Works &amp; Sources'!$B$114:$J$120,0,7))*INDEX('How This Works &amp; Sources'!$B$114:$J$120,0,7+2)),SUMPRODUCT(($AZ19&gt;INDEX('How This Works &amp; Sources'!$B$114:$J$120,0,4))*($AZ19-INDEX('How This Works &amp; Sources'!$B$114:$J$120,0,4))*INDEX('How This Works &amp; Sources'!$B$114:$J$120,0,4+2))),IF($AN19="NE",MAX(IF($AU19="Married",SUMPRODUCT(($AZ19&gt;INDEX('How This Works &amp; Sources'!$B$144:$J$150,0,7))*($AZ19-INDEX('How This Works &amp; Sources'!$B$144:$J$150,0,7))*INDEX('How This Works &amp; Sources'!$B$144:$J$150,0,7+2)),SUMPRODUCT(($AZ19&gt;INDEX('How This Works &amp; Sources'!$B$144:$J$150,0,4))*($AZ19-INDEX('How This Works &amp; Sources'!$B$144:$J$150,0,4))*INDEX('How This Works &amp; Sources'!$B$144:$J$150,0,4+2))),0.015*$AZ19),IF($AN19="OH",IF($B19&gt;=DATE(2026,8,1),SUMPRODUCT(($AZ19&gt;INDEX('How This Works &amp; Sources'!$B$203:$J$206,0,1))*($AZ19-INDEX('How This Works &amp; Sources'!$B$203:$J$206,0,1))*INDEX('How This Works &amp; Sources'!$B$203:$J$206,0,1+2)),SUMPRODUCT(($AZ19&gt;INDEX('How This Works &amp; Sources'!$B$184:$J$198,0,7))*($AZ19-INDEX('How This Works &amp; Sources'!$B$184:$J$198,0,7))*INDEX('How This Works &amp; Sources'!$B$184:$J$198,0,7+2))),IF($AN19="OK",IF($AU19="Married",SUMPRODUCT(($AZ19&gt;INDEX('How This Works &amp; Sources'!$B$203:$J$206,0,7))*($AZ19-INDEX('How This Works &amp; Sources'!$B$203:$J$206,0,7))*INDEX('How This Works &amp; Sources'!$B$203:$J$206,0,7+2)),SUMPRODUCT(($AZ19&gt;INDEX('How This Works &amp; Sources'!$B$203:$J$206,0,4))*($AZ19-INDEX('How This Works &amp; Sources'!$B$203:$J$206,0,4))*INDEX('How This Works &amp; Sources'!$B$203:$J$206,0,4+2))),IF($AN19="RI",SUMPRODUCT(($AZ19&gt;INDEX('How This Works &amp; Sources'!$B$211:$J$214,0,7))*($AZ19-INDEX('How This Works &amp; Sources'!$B$211:$J$214,0,7))*INDEX('How This Works &amp; Sources'!$B$211:$J$214,0,7+2)),IF($AN19="VT",IF($AU19="Married",SUMPRODUCT(($AZ19&gt;INDEX('How This Works &amp; Sources'!$B$228:$J$232,0,1))*($AZ19-INDEX('How This Works &amp; Sources'!$B$228:$J$232,0,1))*INDEX('How This Works &amp; Sources'!$B$228:$J$232,0,1+2)),SUMPRODUCT(($AZ19&gt;INDEX('How This Works &amp; Sources'!$B$219:$J$223,0,7))*($AZ19-INDEX('How This Works &amp; Sources'!$B$219:$J$223,0,7))*INDEX('How This Works &amp; Sources'!$B$219:$J$223,0,7+2))),IF($AN19="WV",IF($AU19="Married",SUMPRODUCT(($AZ19&gt;INDEX('How This Works &amp; Sources'!$B$237:$J$241,0,7))*($AZ19-INDEX('How This Works &amp; Sources'!$B$237:$J$241,0,7))*INDEX('How This Works &amp; Sources'!$B$237:$J$241,0,7+2)),SUMPRODUCT(($AZ19&gt;INDEX('How This Works &amp; Sources'!$B$228:$J$232,0,7))*($AZ19-INDEX('How This Works &amp; Sources'!$B$228:$J$232,0,7))*INDEX('How This Works &amp; Sources'!$B$228:$J$232,0,7+2))),""))))))))))</f>
      </c>
      <c r="BY19" s="7">
        <f>IF($B19="","",IF($AN19="AR",SUMPRODUCT(($AZ19&gt;INDEX('How This Works &amp; Sources'!$B$82:$J$86,0,7))*($AZ19-INDEX('How This Works &amp; Sources'!$B$82:$J$86,0,7))*INDEX('How This Works &amp; Sources'!$B$82:$J$86,0,7+2)),IF($AN19="DE",SUMPRODUCT(($AZ19&gt;INDEX('How This Works &amp; Sources'!$B$91:$J$98,0,1))*($AZ19-INDEX('How This Works &amp; Sources'!$B$91:$J$98,0,1))*INDEX('How This Works &amp; Sources'!$B$91:$J$98,0,1+2)),IF($AN19="HI",IF($AU19="Married",SUMPRODUCT(($AZ19&gt;INDEX('How This Works &amp; Sources'!$B$91:$J$98,0,7))*($AZ19-INDEX('How This Works &amp; Sources'!$B$91:$J$98,0,7))*INDEX('How This Works &amp; Sources'!$B$91:$J$98,0,7+2)),SUMPRODUCT(($AZ19&gt;INDEX('How This Works &amp; Sources'!$B$91:$J$98,0,4))*($AZ19-INDEX('How This Works &amp; Sources'!$B$91:$J$98,0,4))*INDEX('How This Works &amp; Sources'!$B$91:$J$98,0,4+2))),IF($AN19="SC",SUMPRODUCT(($AZ19&gt;INDEX('How This Works &amp; Sources'!$B$219:$J$223,0,1))*($AZ19-INDEX('How This Works &amp; Sources'!$B$219:$J$223,0,1))*INDEX('How This Works &amp; Sources'!$B$219:$J$223,0,1+2)),IF($AN19="VA",SUMPRODUCT(($AZ19&gt;INDEX('How This Works &amp; Sources'!$B$219:$J$223,0,4))*($AZ19-INDEX('How This Works &amp; Sources'!$B$219:$J$223,0,4))*INDEX('How This Works &amp; Sources'!$B$219:$J$223,0,4+2)),IF($AN19="WI",SUMPRODUCT(($AZ19&gt;INDEX('How This Works &amp; Sources'!$B$228:$J$232,0,4))*($AZ19-INDEX('How This Works &amp; Sources'!$B$228:$J$232,0,4))*INDEX('How This Works &amp; Sources'!$B$228:$J$232,0,4+2)),"")))))))</f>
      </c>
      <c r="BZ19" s="24">
        <f>IF($B19="","",IF($AN19="NJ",IF('Your Pay &amp; Benefits'!$C$77="B",SUMPRODUCT(($AZ19&gt;=INDEX('How This Works &amp; Sources'!$B$155:$J$162,0,4))*INDEX('How This Works &amp; Sources'!$B$155:$J$162,0,4+2)),IF('Your Pay &amp; Benefits'!$C$77="C",SUMPRODUCT(($AZ19&gt;=INDEX('How This Works &amp; Sources'!$B$155:$J$162,0,7))*INDEX('How This Works &amp; Sources'!$B$155:$J$162,0,7+2)),IF('Your Pay &amp; Benefits'!$C$77="D",SUMPRODUCT(($AZ19&gt;=INDEX('How This Works &amp; Sources'!$B$167:$J$179,0,1))*INDEX('How This Works &amp; Sources'!$B$167:$J$179,0,1+2)),IF('Your Pay &amp; Benefits'!$C$77="E",SUMPRODUCT(($AZ19&gt;=INDEX('How This Works &amp; Sources'!$B$167:$J$179,0,4))*INDEX('How This Works &amp; Sources'!$B$167:$J$179,0,4+2)),SUMPRODUCT(($AZ19&gt;=INDEX('How This Works &amp; Sources'!$B$155:$J$162,0,1))*INDEX('How This Works &amp; Sources'!$B$155:$J$162,0,1+2)))))),IF($AN19="OR",IF(OR($AU19="Married",AND($AU19="Single",$AS19&gt;=3)),SUMPRODUCT((MAX(0,$AY19-MIN(($P19-'How This Works &amp; Sources'!$C$10*$D19)*'Your Pay &amp; Benefits'!$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Sources'!$B$211:$J$214,0,4))*INDEX('How This Works &amp; Sources'!$B$211:$J$214,0,4+2)),SUMPRODUCT((MAX(0,$AY19-MIN(($P19-'How This Works &amp; Sources'!$C$10*$D19)*'Your Pay &amp; Benefits'!$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Sources'!$B$211:$J$214,0,1))*INDEX('How This Works &amp; Sources'!$B$211:$J$214,0,1+2)))*IF(($P19-'How This Works &amp; Sources'!$C$10*$D19)*'Your Pay &amp; Benefits'!$C$8&gt;=IF(OR($AU19="Married",AND($AU19="Single",$AS19&gt;=3)),IF($AY19&lt;250000,8750,IF($AY19&lt;260000,7000,IF($AY19&lt;270000,5250,IF($AY19&lt;280000,3500,IF($AY19&lt;290000,1750,0))))),IF($AY19&lt;125000,8750,IF($AY19&lt;130000,7000,IF($AY19&lt;135000,5250,IF($AY19&lt;140000,3500,IF($AY19&lt;145000,1750,0)))))),1,1-IF('Your Pay &amp; Benefits'!$C$13,SUMPRODUCT(($AH19&gt;=INDEX('How This Works &amp; Sources'!$B$29:$J$36,0,IF('Your Pay &amp; Benefits'!$C$12="MFJ",1,IF('Your Pay &amp; Benefits'!$C$12="HoH",7,4))))*INDEX('How This Works &amp; Sources'!$B$29:$J$36,0,IF('Your Pay &amp; Benefits'!$C$12="MFJ",1,IF('Your Pay &amp; Benefits'!$C$12="HoH",7,4))+2)),SUMPRODUCT(($AH19&gt;=INDEX('How This Works &amp; Sources'!$B$19:$J$26,0,IF('Your Pay &amp; Benefits'!$C$12="MFJ",1,IF('Your Pay &amp; Benefits'!$C$12="HoH",7,4))))*INDEX('How This Works &amp; Sources'!$B$19:$J$26,0,IF('Your Pay &amp; Benefits'!$C$12="MFJ",1,IF('Your Pay &amp; Benefits'!$C$12="HoH",7,4))+2)))),IF($AN19="MI",IF($AY19&gt;5900*$AS19,0.0425,0),""))))</f>
      </c>
      <c r="CA19" s="24">
        <f>IF($B19="","",IF($AN19="AL",IF(OR($AU19="Married",$AU19="Head of household"),SUMPRODUCT(($AZ19&gt;=INDEX('How This Works &amp; Sources'!$B$82:$J$86,0,4))*INDEX('How This Works &amp; Sources'!$B$82:$J$86,0,4+2)),SUMPRODUCT(($AZ19&gt;=INDEX('How This Works &amp; Sources'!$B$82:$J$86,0,1))*INDEX('How This Works &amp; Sources'!$B$82:$J$86,0,1+2)))*(1-IF('Your Pay &amp; Benefits'!$C$13,SUMPRODUCT(($AH19&gt;=INDEX('How This Works &amp; Sources'!$B$29:$J$36,0,IF('Your Pay &amp; Benefits'!$C$12="MFJ",1,IF('Your Pay &amp; Benefits'!$C$12="HoH",7,4))))*INDEX('How This Works &amp; Sources'!$B$29:$J$36,0,IF('Your Pay &amp; Benefits'!$C$12="MFJ",1,IF('Your Pay &amp; Benefits'!$C$12="HoH",7,4))+2)),SUMPRODUCT(($AH19&gt;=INDEX('How This Works &amp; Sources'!$B$19:$J$26,0,IF('Your Pay &amp; Benefits'!$C$12="MFJ",1,IF('Your Pay &amp; Benefits'!$C$12="HoH",7,4))))*INDEX('How This Works &amp; Sources'!$B$19:$J$26,0,IF('Your Pay &amp; Benefits'!$C$12="MFJ",1,IF('Your Pay &amp; Benefits'!$C$12="HoH",7,4))+2)))),IF($AN19="KS",IF($AU19="Married",SUMPRODUCT(($AZ19&gt;=INDEX('How This Works &amp; Sources'!$B$103:$J$109,0,4))*INDEX('How This Works &amp; Sources'!$B$103:$J$109,0,4+2)),SUMPRODUCT(($AZ19&gt;=INDEX('How This Works &amp; Sources'!$B$103:$J$109,0,1))*INDEX('How This Works &amp; Sources'!$B$103:$J$109,0,1+2))),IF($AN19="MD",IF(OR($AU19="Married",$AU19="Head of household"),SUMPRODUCT(($AZ19&gt;=INDEX('How This Works &amp; Sources'!$B$114:$J$120,0,1))*INDEX('How This Works &amp; Sources'!$B$114:$J$120,0,1+2)),SUMPRODUCT(($AZ19&gt;=INDEX('How This Works &amp; Sources'!$B$103:$J$109,0,7))*INDEX('How This Works &amp; Sources'!$B$103:$J$109,0,7+2)))+'Your Pay &amp; Benefits'!$C$74,IF($AN19="MT",IF($AU19="Head of household",SUMPRODUCT(($AZ19&gt;=INDEX('How This Works &amp; Sources'!$B$137:$J$139,0,1))*INDEX('How This Works &amp; Sources'!$B$137:$J$139,0,1+2)),IF($AU19="Married",SUMPRODUCT(($AZ19&gt;=INDEX('How This Works &amp; Sources'!$B$125:$J$132,0,7))*INDEX('How This Works &amp; Sources'!$B$125:$J$132,0,7+2)),SUMPRODUCT(($AZ19&gt;=INDEX('How This Works &amp; Sources'!$B$125:$J$132,0,4))*INDEX('How This Works &amp; Sources'!$B$125:$J$132,0,4+2)))),IF($AN19="ND",IF($AU19="Head of household",SUMPRODUCT(($AZ19&gt;=INDEX('How This Works &amp; Sources'!$B$144:$J$150,0,1))*INDEX('How This Works &amp; Sources'!$B$144:$J$150,0,1+2)),IF($AU19="Married",SUMPRODUCT(($AZ19&gt;=INDEX('How This Works &amp; Sources'!$B$137:$J$139,0,7))*INDEX('How This Works &amp; Sources'!$B$137:$J$139,0,7+2)),SUMPRODUCT(($AZ19&gt;=INDEX('How This Works &amp; Sources'!$B$137:$J$139,0,4))*INDEX('How This Works &amp; Sources'!$B$137:$J$139,0,4+2)))),IF($AN19="NY",IF($AU19="Married",IF($AZ19&gt;=2155350,IF($AZ19&gt;25000000,0.117,IF($AZ19&gt;5000000,0.111,0.1045)),SUMPRODUCT(($AZ19&gt;=INDEX('How This Works &amp; Sources'!$B$184:$J$198,0,1))*INDEX('How This Works &amp; Sources'!$B$184:$J$198,0,1+2))),IF($AZ19&gt;=1077550,IF($AZ19&gt;25000000,0.117,IF($AZ19&gt;5000000,0.111,0.1045)),SUMPRODUCT(($AZ19&gt;=INDEX('How This Works &amp; Sources'!$B$167:$J$179,0,7))*INDEX('How This Works &amp; Sources'!$B$167:$J$179,0,7+2)))),"")))))))</f>
      </c>
      <c r="CB19" s="24">
        <f>IF($B19="","",IF($AN19="CA",SUMPRODUCT(($AJ19&gt;=INDEX('How This Works &amp; Sources'!$B$39:$J$48,0,IF($AU19="Married",4,IF($AU19="Head of household",7,1))))*INDEX('How This Works &amp; Sources'!$B$39:$J$48,0,IF($AU19="Married",4,IF($AU19="Head of household",7,1))+2)),IF($AN19="HI",IF($AU19="Married",SUMPRODUCT(($AZ19&gt;=INDEX('How This Works &amp; Sources'!$B$91:$J$98,0,7))*INDEX('How This Works &amp; Sources'!$B$91:$J$98,0,7+2)),SUMPRODUCT(($AZ19&gt;=INDEX('How This Works &amp; Sources'!$B$91:$J$98,0,4))*INDEX('How This Works &amp; Sources'!$B$91:$J$98,0,4+2))),IF($AN19="MN",IF($AU19="Married",SUMPRODUCT(($AZ19&gt;=INDEX('How This Works &amp; Sources'!$B$114:$J$120,0,7))*INDEX('How This Works &amp; Sources'!$B$114:$J$120,0,7+2)),SUMPRODUCT(($AZ19&gt;=INDEX('How This Works &amp; Sources'!$B$114:$J$120,0,4))*INDEX('How This Works &amp; Sources'!$B$114:$J$120,0,4+2))),IF($AN19="MO",SUMPRODUCT(($AZ19&gt;=INDEX('How This Works &amp; Sources'!$B$125:$J$132,0,1))*INDEX('How This Works &amp; Sources'!$B$125:$J$132,0,1+2)),IF($AN19="NE",MAX(IF($AU19="Married",SUMPRODUCT(($AZ19&gt;=INDEX('How This Works &amp; Sources'!$B$144:$J$150,0,7))*INDEX('How This Works &amp; Sources'!$B$144:$J$150,0,7+2)),SUMPRODUCT(($AZ19&gt;=INDEX('How This Works &amp; Sources'!$B$144:$J$150,0,4))*INDEX('How This Works &amp; Sources'!$B$144:$J$150,0,4+2))),0.015),IF($AN19="OH",IF($B19&gt;=DATE(2026,8,1),SUMPRODUCT(($AZ19&gt;=INDEX('How This Works &amp; Sources'!$B$203:$J$206,0,1))*INDEX('How This Works &amp; Sources'!$B$203:$J$206,0,1+2)),SUMPRODUCT(($AZ19&gt;=INDEX('How This Works &amp; Sources'!$B$184:$J$198,0,7))*INDEX('How This Works &amp; Sources'!$B$184:$J$198,0,7+2))),IF($AN19="OK",IF($AU19="Married",SUMPRODUCT(($AZ19&gt;=INDEX('How This Works &amp; Sources'!$B$203:$J$206,0,7))*INDEX('How This Works &amp; Sources'!$B$203:$J$206,0,7+2)),SUMPRODUCT(($AZ19&gt;=INDEX('How This Works &amp; Sources'!$B$203:$J$206,0,4))*INDEX('How This Works &amp; Sources'!$B$203:$J$206,0,4+2))),IF($AN19="RI",SUMPRODUCT(($AZ19&gt;=INDEX('How This Works &amp; Sources'!$B$211:$J$214,0,7))*INDEX('How This Works &amp; Sources'!$B$211:$J$214,0,7+2)),IF($AN19="SC",SUMPRODUCT(($AZ19&gt;=INDEX('How This Works &amp; Sources'!$B$219:$J$223,0,1))*INDEX('How This Works &amp; Sources'!$B$219:$J$223,0,1+2)),IF($AN19="VT",IF($AU19="Married",SUMPRODUCT(($AZ19&gt;=INDEX('How This Works &amp; Sources'!$B$228:$J$232,0,1))*INDEX('How This Works &amp; Sources'!$B$228:$J$232,0,1+2)),SUMPRODUCT(($AZ19&gt;=INDEX('How This Works &amp; Sources'!$B$219:$J$223,0,7))*INDEX('How This Works &amp; Sources'!$B$219:$J$223,0,7+2))),IF($AN19="WV",IF($AU19="Married",SUMPRODUCT(($AZ19&gt;=INDEX('How This Works &amp; Sources'!$B$237:$J$241,0,7))*INDEX('How This Works &amp; Sources'!$B$237:$J$241,0,7+2)),SUMPRODUCT(($AZ19&gt;=INDEX('How This Works &amp; Sources'!$B$228:$J$232,0,7))*INDEX('How This Works &amp; Sources'!$B$228:$J$232,0,7+2))),IF($AN19="IN",(0.0295+'Your Pay &amp; Benefits'!$C$76),"")))))))))))))</f>
      </c>
      <c r="CC19" s="24">
        <f>IF($B19="","",IF($AN19="AR",SUMPRODUCT(($AZ19&gt;=INDEX('How This Works &amp; Sources'!$B$82:$J$86,0,7))*INDEX('How This Works &amp; Sources'!$B$82:$J$86,0,7+2)),IF($AN19="DE",SUMPRODUCT(($AZ19&gt;=INDEX('How This Works &amp; Sources'!$B$91:$J$98,0,1))*INDEX('How This Works &amp; Sources'!$B$91:$J$98,0,1+2)),IF($AN19="VA",SUMPRODUCT(($AZ19&gt;=INDEX('How This Works &amp; Sources'!$B$219:$J$223,0,4))*INDEX('How This Works &amp; Sources'!$B$219:$J$223,0,4+2)),IF($AN19="WI",SUMPRODUCT(($AZ19&gt;=INDEX('How This Works &amp; Sources'!$B$228:$J$232,0,4))*INDEX('How This Works &amp; Sources'!$B$228:$J$232,0,4+2)),IF($AN19="AZ",'Your Pay &amp; Benefits'!$C$82,IF($AN19="CO",IF($AY19&gt;IF($AU19="Married",10000,5000),0.044,0),IF($AN19="IA",IF($AY19&gt;IF($AU19="Head of household",19500,IF($AU19="Married",26000,13000)),0.038,0),IF($AN19="ID",IF($AY19&gt;IF($AU19="Married",32000,16094),0.053,0),IF($AN19="IL",IF($AY19&gt;(2925*$AS19+1000*$AT19),0.0495,0),IF($AN19="KY",IF($AI19&gt;3360,0.035,0),IF($AN19="LA",0.0309,IF($AN19="MA",IF(MAX(0,$AY19-MIN(($BD18+$Q19+$R19+$S19),2000)-IF($AS19=0,0,IF($AS19=1,4400,1000*$AS19+3400)))&gt;=1107750,0.09,0.05),IF($AN19="MS",IF($AI19-IF($AU19="Head of household",3400,IF($AU19="Married",4600,2300))-'Your Pay &amp; Benefits'!$C$85&gt;10000,0.04,0),IF($AN19="PA",0.0307,"")))))))))))))))</f>
      </c>
      <c r="CD19" s="21">
        <f>IF(YEAR(IF('Your Pay &amp; Benefits'!$C$7="Weekly",'Your Pay &amp; Benefits'!$C$9+7*(($BE18+1)-1),IF('Your Pay &amp; Benefits'!$C$7="Biweekly",'Your Pay &amp; Benefits'!$C$9+14*(($BE18+1)-1),IF('Your Pay &amp; Benefits'!$C$7="Semimonthly",DATE(YEAR('Your Pay &amp; Benefits'!$C$9),MONTH('Your Pay &amp; Benefits'!$C$9)+INT((($BE18+1)-1)/2),MIN(DAY('Your Pay &amp; Benefits'!$C$9),DAY(EOMONTH(DATE(YEAR('Your Pay &amp; Benefits'!$C$9),MONTH('Your Pay &amp; Benefits'!$C$9)+INT((($BE18+1)-1)/2),1),0))))+IF(MOD(($BE18+1)-1,2)=1,15,0),EDATE('Your Pay &amp; Benefits'!$C$9,($BE18+1)-1)))))&lt;&gt;'Your Pay &amp; Benefits'!$C$10,"",IF('Your Pay &amp; Benefits'!$C$7="Weekly",'Your Pay &amp; Benefits'!$C$9+7*(($BE18+1)-1),IF('Your Pay &amp; Benefits'!$C$7="Biweekly",'Your Pay &amp; Benefits'!$C$9+14*(($BE18+1)-1),IF('Your Pay &amp; Benefits'!$C$7="Semimonthly",DATE(YEAR('Your Pay &amp; Benefits'!$C$9),MONTH('Your Pay &amp; Benefits'!$C$9)+INT((($BE18+1)-1)/2),MIN(DAY('Your Pay &amp; Benefits'!$C$9),DAY(EOMONTH(DATE(YEAR('Your Pay &amp; Benefits'!$C$9),MONTH('Your Pay &amp; Benefits'!$C$9)+INT((($BE18+1)-1)/2),1),0))))+IF(MOD(($BE18+1)-1,2)=1,15,0),EDATE('Your Pay &amp; Benefits'!$C$9,($BE18+1)-1)))))</f>
      </c>
      <c r="CE19" s="21">
        <f>IF(MIN(IF(AND('Your Pay &amp; Benefits'!$C$58&gt;MAX($B$6:$B18),'Your Pay &amp; Benefits'!$C$58&gt;=DATE('Your Pay &amp; Benefits'!$C$10,1,1),'Your Pay &amp; Benefits'!$C$58&lt;=DATE('Your Pay &amp; Benefits'!$C$10,12,31)),'Your Pay &amp; Benefits'!$C$58,999999),IF(AND('Your Pay &amp; Benefits'!$C$59&gt;MAX($B$6:$B18),'Your Pay &amp; Benefits'!$C$59&gt;=DATE('Your Pay &amp; Benefits'!$C$10,1,1),'Your Pay &amp; Benefits'!$C$59&lt;=DATE('Your Pay &amp; Benefits'!$C$10,12,31)),'Your Pay &amp; Benefits'!$C$59,999999),IF(AND('Your Pay &amp; Benefits'!$C$60&gt;MAX($B$6:$B18),'Your Pay &amp; Benefits'!$C$60&gt;=DATE('Your Pay &amp; Benefits'!$C$10,1,1),'Your Pay &amp; Benefits'!$C$60&lt;=DATE('Your Pay &amp; Benefits'!$C$10,12,31)),'Your Pay &amp; Benefits'!$C$60,999999),IF(AND('Your Pay &amp; Benefits'!$C$61&gt;MAX($B$6:$B18),'Your Pay &amp; Benefits'!$C$61&gt;=DATE('Your Pay &amp; Benefits'!$C$10,1,1),'Your Pay &amp; Benefits'!$C$61&lt;=DATE('Your Pay &amp; Benefits'!$C$10,12,31)),'Your Pay &amp; Benefits'!$C$61,999999),IF(AND('Your Pay &amp; Benefits'!$C$62&gt;MAX($B$6:$B18),'Your Pay &amp; Benefits'!$C$62&gt;=DATE('Your Pay &amp; Benefits'!$C$10,1,1),'Your Pay &amp; Benefits'!$C$62&lt;=DATE('Your Pay &amp; Benefits'!$C$10,12,31)),'Your Pay &amp; Benefits'!$C$62,999999),IF(AND('Your Pay &amp; Benefits'!$C$63&gt;MAX($B$6:$B18),'Your Pay &amp; Benefits'!$C$63&gt;=DATE('Your Pay &amp; Benefits'!$C$10,1,1),'Your Pay &amp; Benefits'!$C$63&lt;=DATE('Your Pay &amp; Benefits'!$C$10,12,31)),'Your Pay &amp; Benefits'!$C$63,999999),IF(AND('Your Pay &amp; Benefits'!$C$64&gt;MAX($B$6:$B18),'Your Pay &amp; Benefits'!$C$64&gt;=DATE('Your Pay &amp; Benefits'!$C$10,1,1),'Your Pay &amp; Benefits'!$C$64&lt;=DATE('Your Pay &amp; Benefits'!$C$10,12,31)),'Your Pay &amp; Benefits'!$C$64,999999),IF(AND('Your Pay &amp; Benefits'!$C$65&gt;MAX($B$6:$B18),'Your Pay &amp; Benefits'!$C$65&gt;=DATE('Your Pay &amp; Benefits'!$C$10,1,1),'Your Pay &amp; Benefits'!$C$65&lt;=DATE('Your Pay &amp; Benefits'!$C$10,12,31)),'Your Pay &amp; Benefits'!$C$65,999999),IF(AND('Your Pay &amp; Benefits'!$C$66&gt;MAX($B$6:$B18),'Your Pay &amp; Benefits'!$C$66&gt;=DATE('Your Pay &amp; Benefits'!$C$10,1,1),'Your Pay &amp; Benefits'!$C$66&lt;=DATE('Your Pay &amp; Benefits'!$C$10,12,31)),'Your Pay &amp; Benefits'!$C$66,999999),IF(AND('Your Pay &amp; Benefits'!$C$67&gt;MAX($B$6:$B18),'Your Pay &amp; Benefits'!$C$67&gt;=DATE('Your Pay &amp; Benefits'!$C$10,1,1),'Your Pay &amp; Benefits'!$C$67&lt;=DATE('Your Pay &amp; Benefits'!$C$10,12,31)),'Your Pay &amp; Benefits'!$C$67,999999))=999999,"",MIN(IF(AND('Your Pay &amp; Benefits'!$C$58&gt;MAX($B$6:$B18),'Your Pay &amp; Benefits'!$C$58&gt;=DATE('Your Pay &amp; Benefits'!$C$10,1,1),'Your Pay &amp; Benefits'!$C$58&lt;=DATE('Your Pay &amp; Benefits'!$C$10,12,31)),'Your Pay &amp; Benefits'!$C$58,999999),IF(AND('Your Pay &amp; Benefits'!$C$59&gt;MAX($B$6:$B18),'Your Pay &amp; Benefits'!$C$59&gt;=DATE('Your Pay &amp; Benefits'!$C$10,1,1),'Your Pay &amp; Benefits'!$C$59&lt;=DATE('Your Pay &amp; Benefits'!$C$10,12,31)),'Your Pay &amp; Benefits'!$C$59,999999),IF(AND('Your Pay &amp; Benefits'!$C$60&gt;MAX($B$6:$B18),'Your Pay &amp; Benefits'!$C$60&gt;=DATE('Your Pay &amp; Benefits'!$C$10,1,1),'Your Pay &amp; Benefits'!$C$60&lt;=DATE('Your Pay &amp; Benefits'!$C$10,12,31)),'Your Pay &amp; Benefits'!$C$60,999999),IF(AND('Your Pay &amp; Benefits'!$C$61&gt;MAX($B$6:$B18),'Your Pay &amp; Benefits'!$C$61&gt;=DATE('Your Pay &amp; Benefits'!$C$10,1,1),'Your Pay &amp; Benefits'!$C$61&lt;=DATE('Your Pay &amp; Benefits'!$C$10,12,31)),'Your Pay &amp; Benefits'!$C$61,999999),IF(AND('Your Pay &amp; Benefits'!$C$62&gt;MAX($B$6:$B18),'Your Pay &amp; Benefits'!$C$62&gt;=DATE('Your Pay &amp; Benefits'!$C$10,1,1),'Your Pay &amp; Benefits'!$C$62&lt;=DATE('Your Pay &amp; Benefits'!$C$10,12,31)),'Your Pay &amp; Benefits'!$C$62,999999),IF(AND('Your Pay &amp; Benefits'!$C$63&gt;MAX($B$6:$B18),'Your Pay &amp; Benefits'!$C$63&gt;=DATE('Your Pay &amp; Benefits'!$C$10,1,1),'Your Pay &amp; Benefits'!$C$63&lt;=DATE('Your Pay &amp; Benefits'!$C$10,12,31)),'Your Pay &amp; Benefits'!$C$63,999999),IF(AND('Your Pay &amp; Benefits'!$C$64&gt;MAX($B$6:$B18),'Your Pay &amp; Benefits'!$C$64&gt;=DATE('Your Pay &amp; Benefits'!$C$10,1,1),'Your Pay &amp; Benefits'!$C$64&lt;=DATE('Your Pay &amp; Benefits'!$C$10,12,31)),'Your Pay &amp; Benefits'!$C$64,999999),IF(AND('Your Pay &amp; Benefits'!$C$65&gt;MAX($B$6:$B18),'Your Pay &amp; Benefits'!$C$65&gt;=DATE('Your Pay &amp; Benefits'!$C$10,1,1),'Your Pay &amp; Benefits'!$C$65&lt;=DATE('Your Pay &amp; Benefits'!$C$10,12,31)),'Your Pay &amp; Benefits'!$C$65,999999),IF(AND('Your Pay &amp; Benefits'!$C$66&gt;MAX($B$6:$B18),'Your Pay &amp; Benefits'!$C$66&gt;=DATE('Your Pay &amp; Benefits'!$C$10,1,1),'Your Pay &amp; Benefits'!$C$66&lt;=DATE('Your Pay &amp; Benefits'!$C$10,12,31)),'Your Pay &amp; Benefits'!$C$66,999999),IF(AND('Your Pay &amp; Benefits'!$C$67&gt;MAX($B$6:$B18),'Your Pay &amp; Benefits'!$C$67&gt;=DATE('Your Pay &amp; Benefits'!$C$10,1,1),'Your Pay &amp; Benefits'!$C$67&lt;=DATE('Your Pay &amp; Benefits'!$C$10,12,31)),'Your Pay &amp; Benefits'!$C$67,999999)))</f>
      </c>
      <c r="CF19">
        <f>IF($B19="","",IF($D19=0,$Y19,""))</f>
      </c>
    </row>
    <row r="20">
      <c r="A20" t="n">
        <v>15</v>
      </c>
      <c r="B20" s="21">
        <f>IF(AND($CD20="",$CE20=""),"",IF($CE20="",$CD20,IF($CD20="",$CE20,MIN($CD20,$CE20))))</f>
      </c>
      <c r="C20" s="7">
        <f>IF($B20="","",IF($BF20=0,0,IF('Your Pay &amp; Benefits'!$C$4="Annual salary",ROUND($AK20/IF(AND('Your Pay &amp; Benefits'!$C$88="Actual paydays",MONTH('Your Pay &amp; Benefits'!$C$9)=1),MAX(1,MAX($BE$6:$BE$68)),'Your Pay &amp; Benefits'!$C$8),2),$AK20)))</f>
      </c>
      <c r="D20" s="7">
        <f>IF($B20="","",SUMIF('Your Pay &amp; Benefits'!$C$58:$C$67,$B20,'Your Pay &amp; Benefits'!$D$58:$D$67))</f>
      </c>
      <c r="E20" s="7">
        <f>IF($B20="","",ROUND(MAX(0,MIN(IF($AL20="Percent",$AM20*($C20+$D20),$AM20),MAX(0,'Your Pay &amp; Benefits'!$C$34-$AC19))),2))</f>
      </c>
      <c r="F20" s="7">
        <f>IF($B20="","",ROUND(MAX(0,MIN(IF('Your Pay &amp; Benefits'!$C$32="Percent",'Your Pay &amp; Benefits'!$D$32*($C20+$D20),'Your Pay &amp; Benefits'!$D$32),MAX(0,'Your Pay &amp; Benefits'!$C$34-$AC19-$E20))),2))</f>
      </c>
      <c r="G20" s="7">
        <f>IF($B20="","",IF($BF20=0,0,ROUND(MAX(0,MIN($BL20,'Your Pay &amp; Benefits'!$C$37-'Your Pay &amp; Benefits'!$C$54-$BI19)),2)))</f>
      </c>
      <c r="H20" s="7">
        <f>IF($B20="","",IF(OR($BF20=0,$BQ20=1),0,ROUND(MAX(0,MIN(IF($BS20=1,ROUND(MAX(0,MIN($BJ20,'How This Works &amp; Sources'!$C$13)-$BG19)/MAX(1,MAX($BE$6:$BE$68)-($BE19)),2),ROUND(MIN($BJ20,'How This Works &amp; Sources'!$C$13)/'Your Pay &amp; Benefits'!$C$8,2)),MIN($BJ20,'How This Works &amp; Sources'!$C$13)-$BG19)),2)))</f>
      </c>
      <c r="I20" s="7">
        <f>IF($B20="","",IF(OR($BF20=0,$BR20=1),0,ROUND(MAX(0,MIN(IF($BT20=1,ROUND(MAX(0,MIN($BK20,IF('Your Pay &amp; Benefits'!$C$12="MFJ",'How This Works &amp; Sources'!$C$14,'How This Works &amp; Sources'!$C$15))-$BH19)/MAX(1,MAX($BE$6:$BE$68)-($BE19)),2),ROUND(MIN($BK20,IF('Your Pay &amp; Benefits'!$C$12="MFJ",'How This Works &amp; Sources'!$C$14,'How This Works &amp; Sources'!$C$15))/'Your Pay &amp; Benefits'!$C$8,2)),MIN($BK20,IF('Your Pay &amp; Benefits'!$C$12="MFJ",'How This Works &amp; Sources'!$C$14,'How This Works &amp; Sources'!$C$15))-$BH19)),2)))</f>
      </c>
      <c r="J20" s="7">
        <f>IF($B20="","",IF($BF20=0,0,$BM20))</f>
      </c>
      <c r="K20" s="7">
        <f>IF($B20="","",IF($BF20=0,0,$BN20+$BO20))</f>
      </c>
      <c r="L20" s="7">
        <f>IF($B20="","",IF($BF20=0,0,'Your Pay &amp; Benefits'!$D$46))</f>
      </c>
      <c r="M20" s="7">
        <f>IF($B20="","",$C20+$D20+$L20-$E20-$G20-$H20-$I20-$J20-$K20)</f>
      </c>
      <c r="N20" s="7">
        <f>IF($B20="","",$C20+$D20+$L20-$G20-$H20-$I20-$J20-$K20)</f>
      </c>
      <c r="O20" s="7">
        <f>IF($B20="","",$C20+$D20+$L20-$E20-$H20-$I20-$J20-$K20-IF(OR($AN20="CA",$AN20="NJ"),0,$G20))</f>
      </c>
      <c r="P20" s="7">
        <f>IF($B20="","",IF('Your Pay &amp; Benefits'!$C$18,0,ROUND(MAX(0,IF('Your Pay &amp; Benefits'!$C$13,SUMPRODUCT(($AH20&gt;INDEX('How This Works &amp; Sources'!$B$29:$J$36,0,IF('Your Pay &amp; Benefits'!$C$12="MFJ",1,IF('Your Pay &amp; Benefits'!$C$12="HoH",7,4))))*($AH20-INDEX('How This Works &amp; Sources'!$B$29:$J$36,0,IF('Your Pay &amp; Benefits'!$C$12="MFJ",1,IF('Your Pay &amp; Benefits'!$C$12="HoH",7,4))))*INDEX('How This Works &amp; Sources'!$B$29:$J$36,0,IF('Your Pay &amp; Benefits'!$C$12="MFJ",1,IF('Your Pay &amp; Benefits'!$C$12="HoH",7,4))+2)),SUMPRODUCT(($AH20&gt;INDEX('How This Works &amp; Sources'!$B$19:$J$26,0,IF('Your Pay &amp; Benefits'!$C$12="MFJ",1,IF('Your Pay &amp; Benefits'!$C$12="HoH",7,4))))*($AH20-INDEX('How This Works &amp; Sources'!$B$19:$J$26,0,IF('Your Pay &amp; Benefits'!$C$12="MFJ",1,IF('Your Pay &amp; Benefits'!$C$12="HoH",7,4))))*INDEX('How This Works &amp; Sources'!$B$19:$J$26,0,IF('Your Pay &amp; Benefits'!$C$12="MFJ",1,IF('Your Pay &amp; Benefits'!$C$12="HoH",7,4))+2)))/'Your Pay &amp; Benefits'!$C$8-$AO20/'Your Pay &amp; Benefits'!$C$8)+$AR20+IF('Your Pay &amp; Benefits'!$C$89="Aggregate",MAX(0,IF('Your Pay &amp; Benefits'!$C$13,SUMPRODUCT((($AH20+$D20)&gt;INDEX('How This Works &amp; Sources'!$B$29:$J$36,0,IF('Your Pay &amp; Benefits'!$C$12="MFJ",1,IF('Your Pay &amp; Benefits'!$C$12="HoH",7,4))))*(($AH20+$D20)-INDEX('How This Works &amp; Sources'!$B$29:$J$36,0,IF('Your Pay &amp; Benefits'!$C$12="MFJ",1,IF('Your Pay &amp; Benefits'!$C$12="HoH",7,4))))*INDEX('How This Works &amp; Sources'!$B$29:$J$36,0,IF('Your Pay &amp; Benefits'!$C$12="MFJ",1,IF('Your Pay &amp; Benefits'!$C$12="HoH",7,4))+2)),SUMPRODUCT((($AH20+$D20)&gt;INDEX('How This Works &amp; Sources'!$B$19:$J$26,0,IF('Your Pay &amp; Benefits'!$C$12="MFJ",1,IF('Your Pay &amp; Benefits'!$C$12="HoH",7,4))))*(($AH20+$D20)-INDEX('How This Works &amp; Sources'!$B$19:$J$26,0,IF('Your Pay &amp; Benefits'!$C$12="MFJ",1,IF('Your Pay &amp; Benefits'!$C$12="HoH",7,4))))*INDEX('How This Works &amp; Sources'!$B$19:$J$26,0,IF('Your Pay &amp; Benefits'!$C$12="MFJ",1,IF('Your Pay &amp; Benefits'!$C$12="HoH",7,4))+2)))-IF('Your Pay &amp; Benefits'!$C$13,SUMPRODUCT(($AH20&gt;INDEX('How This Works &amp; Sources'!$B$29:$J$36,0,IF('Your Pay &amp; Benefits'!$C$12="MFJ",1,IF('Your Pay &amp; Benefits'!$C$12="HoH",7,4))))*($AH20-INDEX('How This Works &amp; Sources'!$B$29:$J$36,0,IF('Your Pay &amp; Benefits'!$C$12="MFJ",1,IF('Your Pay &amp; Benefits'!$C$12="HoH",7,4))))*INDEX('How This Works &amp; Sources'!$B$29:$J$36,0,IF('Your Pay &amp; Benefits'!$C$12="MFJ",1,IF('Your Pay &amp; Benefits'!$C$12="HoH",7,4))+2)),SUMPRODUCT(($AH20&gt;INDEX('How This Works &amp; Sources'!$B$19:$J$26,0,IF('Your Pay &amp; Benefits'!$C$12="MFJ",1,IF('Your Pay &amp; Benefits'!$C$12="HoH",7,4))))*($AH20-INDEX('How This Works &amp; Sources'!$B$19:$J$26,0,IF('Your Pay &amp; Benefits'!$C$12="MFJ",1,IF('Your Pay &amp; Benefits'!$C$12="HoH",7,4))))*INDEX('How This Works &amp; Sources'!$B$19:$J$26,0,IF('Your Pay &amp; Benefits'!$C$12="MFJ",1,IF('Your Pay &amp; Benefits'!$C$12="HoH",7,4))+2)))),'How This Works &amp; Sources'!$C$10*$D20),2)))</f>
      </c>
      <c r="Q20" s="7">
        <f>IF($B20="","",ROUND('How This Works &amp; Sources'!$C$4*MIN($N20,MAX(0,'How This Works &amp; Sources'!$C$3-($AX20+$AB19-$AW20))),2))</f>
      </c>
      <c r="R20" s="7">
        <f>IF($B20="","",ROUND('How This Works &amp; Sources'!$C$5*$N20,2))</f>
      </c>
      <c r="S20" s="7">
        <f>IF($B20="","",ROUND('How This Works &amp; Sources'!$C$6*MAX(0,MIN($N20,$AG19+$N20-'How This Works &amp; Sources'!$C$7)),2))</f>
      </c>
      <c r="T20" s="7">
        <f>IF($B20="","",IF('Your Pay &amp; Benefits'!$C$26,0,IF($AN20="CA",ROUND(IF($AI20&lt;=IF(($AS20+$AT20)&gt;=2,VLOOKUP($AN20,StateTables!$A$6:$AB$56,10,FALSE),VLOOKUP($AN20,StateTables!$A$6:$AB$56,9,FALSE)),0,MAX(0,SUMPRODUCT(($AJ20&gt;INDEX('How This Works &amp; Sources'!$B$39:$J$48,0,IF($AU20="Married",4,IF($AU20="Head of household",7,1))))*($AJ20-INDEX('How This Works &amp; Sources'!$B$39:$J$48,0,IF($AU20="Married",4,IF($AU20="Head of household",7,1))))*INDEX('How This Works &amp; Sources'!$B$39:$J$48,0,IF($AU20="Married",4,IF($AU20="Head of household",7,1))+2))-VLOOKUP($AN20,StateTables!$A$6:$AB$56,11,FALSE)*$AS20)/'Your Pay &amp; Benefits'!$C$8)+'Your Pay &amp; Benefits'!$C$25+VLOOKUP($AN20,StateTables!$A$6:$AB$56,13,FALSE)*$D20,2),IF(VLOOKUP($AN20,StateTables!$A$6:$AB$56,4,FALSE)="None",0,IF(ISNUMBER(SEARCH("MANUAL",VLOOKUP($AN20,StateTables!$A$6:$AB$56,5,FALSE))),'Your Pay &amp; Benefits'!$C$28,ROUND(MAX(0,$BA20+$BB20)/'Your Pay &amp; Benefits'!$C$8+'Your Pay &amp; Benefits'!$C$25+$BC20,2))))))</f>
      </c>
      <c r="U20" s="7">
        <f>IF($B20="","",IF(VLOOKUP($AN20,StateTables!$A$6:$AB$56,24,FALSE)="flatq",IF(OR(MONTH($B20)=1,MONTH($B20)=4,MONTH($B20)=7,MONTH($B20)=10),VLOOKUP($AN20,StateTables!$A$6:$AB$56,25,FALSE),0),IF(VLOOKUP($AN20,StateTables!$A$6:$AB$56,24,FALSE)="dbl",MIN(ROUND(0.005*$N20,2),ROUND(0.6*52/'Your Pay &amp; Benefits'!$C$8,2)),IF(OR(VLOOKUP($AN20,StateTables!$A$6:$AB$56,15,FALSE)="",VLOOKUP($AN20,StateTables!$A$6:$AB$56,15,FALSE)=0),0,ROUND(VLOOKUP($AN20,StateTables!$A$6:$AB$56,15,FALSE)*IF(OR(VLOOKUP($AN20,StateTables!$A$6:$AB$56,16,FALSE)="",VLOOKUP($AN20,StateTables!$A$6:$AB$56,16,FALSE)=0),$N20,MIN($N20,MAX(0,VLOOKUP($AN20,StateTables!$A$6:$AB$56,16,FALSE)-($AX20+$AB19-$AW20)))),2))))+IF(VLOOKUP($AN20,StateTables!$A$6:$AB$56,27,FALSE)="flatq",IF(OR(MONTH($B20)=1,MONTH($B20)=4,MONTH($B20)=7,MONTH($B20)=10),VLOOKUP($AN20,StateTables!$A$6:$AB$56,28,FALSE),0),IF(VLOOKUP($AN20,StateTables!$A$6:$AB$56,27,FALSE)="dbl",MIN(ROUND(0.005*$N20,2),ROUND(0.6*52/'Your Pay &amp; Benefits'!$C$8,2)),IF(OR(VLOOKUP($AN20,StateTables!$A$6:$AB$56,18,FALSE)="",VLOOKUP($AN20,StateTables!$A$6:$AB$56,18,FALSE)=0),0,ROUND(VLOOKUP($AN20,StateTables!$A$6:$AB$56,18,FALSE)*IF(OR(VLOOKUP($AN20,StateTables!$A$6:$AB$56,19,FALSE)="",VLOOKUP($AN20,StateTables!$A$6:$AB$56,19,FALSE)=0),$N20,MIN($N20,MAX(0,VLOOKUP($AN20,StateTables!$A$6:$AB$56,19,FALSE)-($AX20+$AB19-$AW20)))),2)))))</f>
      </c>
      <c r="V20" s="7">
        <f>IF($B20="","",IF($AN20="NY",IF('Your Pay &amp; Benefits'!$C$78,ROUND(SUMPRODUCT((MAX(0,($O20-$D20)*'Your Pay &amp; Benefits'!$C$8-(IF($AU20="Married",5500,5000)+1000*$AS20))&gt;INDEX('How This Works &amp; Sources'!$B$184:$J$198,0,4))*(MAX(0,($O20-$D20)*'Your Pay &amp; Benefits'!$C$8-(IF($AU20="Married",5500,5000)+1000*$AS20))-INDEX('How This Works &amp; Sources'!$B$184:$J$198,0,4))*INDEX('How This Works &amp; Sources'!$B$184:$J$198,0,4+2))/'Your Pay &amp; Benefits'!$C$8+0.0425*$D20,2),0)+IF('Your Pay &amp; Benefits'!$C$79="Resident",ROUND(0.1675*$T20,2),IF('Your Pay &amp; Benefits'!$C$79="Nonresident",ROUND(0.005*MAX(0,($O20-$D20)-(IF($AU20="Married",7950,7400)+1000*$AS20)/'Your Pay &amp; Benefits'!$C$8),2),0)),IF($AN20="PA",IF('Your Pay &amp; Benefits'!$C$80="None",'Your Pay &amp; Benefits'!$C$27+ROUND('Your Pay &amp; Benefits'!$C$81*($C20+$D20),2),ROUND(IF('Your Pay &amp; Benefits'!$C$80="Resident",IF($B20&lt;DATE(2026,7,1),0.0374,0.03735),IF($B20&lt;DATE(2026,7,1),0.0343,0.03425))*($C20+$D20),2)),IF($BF20=0,ROUND('Your Pay &amp; Benefits'!$C$81*($C20+$D20),2),'Your Pay &amp; Benefits'!$C$27+ROUND('Your Pay &amp; Benefits'!$C$81*($C20+$D20),2)))))</f>
      </c>
      <c r="W20" s="7">
        <f>IF($B20="","",IF($BF20=0,0,$BP20))</f>
      </c>
      <c r="X20" s="7">
        <f>IF($B20="","",SUM($E20:$K20)+$P20+$Q20+$R20+$S20+$T20+$U20+$V20+$W20)</f>
      </c>
      <c r="Y20" s="22">
        <f>IF($B20="","",$C20+$D20-$X20)</f>
      </c>
      <c r="Z20" s="7">
        <f>IF($B20="","",$Z19+$C20+$D20)</f>
      </c>
      <c r="AA20" s="7">
        <f>IF($B20="","",$AA19+$Y20)</f>
      </c>
      <c r="AB20" s="7">
        <f>IF($B20="","",$AB19+MIN($N20,MAX(0,'How This Works &amp; Sources'!$C$3-($AX20+$AB19-$AW20))))</f>
      </c>
      <c r="AC20" s="7">
        <f>IF($B20="","",$AC19+$E20+$F20)</f>
      </c>
      <c r="AD20" s="3">
        <f>IF($B20="","",IF(AND($AB19&lt;'How This Works &amp; Sources'!$C$3,$AB20&gt;='How This Works &amp; Sources'!$C$3),"★ Social Security maxed on this check — from the next check your net rises by about $"&amp;TEXT(ROUND('How This Works &amp; Sources'!$C$4*$N20,2),"#,##0.00")&amp;". ","")&amp;IF(AND($AC19&lt;'Your Pay &amp; Benefits'!$C$34,$AC20&gt;='Your Pay &amp; Benefits'!$C$34),"★ 401(k) reaches the $"&amp;TEXT('Your Pay &amp; Benefits'!$C$34,"#,##0")&amp;" cap on this check — deferrals stop and net pay rises. ","")&amp;IF(AND($AG19&lt;'How This Works &amp; Sources'!$C$7,$AG20&gt;='How This Works &amp; Sources'!$C$7),"★ Wages pass $200,000 — the 0.9% Additional Medicare Tax starts here. ","")&amp;IF(AND($BJ20&gt;0,$H20&gt;0,$BG19&lt;MIN($BJ20,'How This Works &amp; Sources'!$C$13),$BG19+$H20&gt;=MIN($BJ20,'How This Works &amp; Sources'!$C$13)),"★ Health FSA election is now fully deferred for the year. ",""))</f>
      </c>
      <c r="AE20" s="41" t="n"/>
      <c r="AF20" s="7">
        <f>IF(OR($B20="",$AE20=""),"",$AE20-$Y20)</f>
      </c>
      <c r="AG20" s="7">
        <f>IF($B20="","",$AG19+$N20)</f>
      </c>
      <c r="AH20" s="7">
        <f>IF($B20="","",MAX(0,($M20-$D20)*'Your Pay &amp; Benefits'!$C$8+$AP20-$AQ20-IF('Your Pay &amp; Benefits'!$C$13,0,IF('Your Pay &amp; Benefits'!$C$12="MFJ",'How This Works &amp; Sources'!$C$8,'How This Works &amp; Sources'!$C$9))))</f>
      </c>
      <c r="AI20" s="7">
        <f>IF($B20="","",$O20*'Your Pay &amp; Benefits'!$C$8)</f>
      </c>
      <c r="AJ20" s="7">
        <f>IF($B20="","",MAX(0,$AI20-VLOOKUP($AN20,StateTables!$A$6:$AB$56,12,FALSE)*$AT20-IF(($AS20+$AT20)&gt;=2,VLOOKUP($AN20,StateTables!$A$6:$AB$56,8,FALSE),VLOOKUP($AN20,StateTables!$A$6:$AB$56,7,FALSE))))</f>
      </c>
      <c r="AK20" s="7">
        <f>IF($B20="","",IFERROR(LOOKUP(2,1/(('Changes &amp; Events'!$C$6:$C$17="Salary change")*('Changes &amp; Events'!$B$6:$B$17&lt;=$B20)*('Changes &amp; Events'!$B$6:$B$17&lt;&gt;"")),'Changes &amp; Events'!$D$6:$D$17),IF('Your Pay &amp; Benefits'!$C$4="Annual salary",'Your Pay &amp; Benefits'!$C$5,'Your Pay &amp; Benefits'!$C$6)))</f>
      </c>
      <c r="AL20">
        <f>IF($B20="","",IFERROR(LOOKUP(2,1/(('Changes &amp; Events'!$C$6:$C$17="401(k) change")*('Changes &amp; Events'!$B$6:$B$17&lt;=$B20)*('Changes &amp; Events'!$B$6:$B$17&lt;&gt;"")),'Changes &amp; Events'!$D$6:$D$17),'Your Pay &amp; Benefits'!$C$30))</f>
      </c>
      <c r="AM20" s="7">
        <f>IF($B20="","",IFERROR(LOOKUP(2,1/(('Changes &amp; Events'!$C$6:$C$17="401(k) change")*('Changes &amp; Events'!$B$6:$B$17&lt;=$B20)*('Changes &amp; Events'!$B$6:$B$17&lt;&gt;"")),'Changes &amp; Events'!$E$6:$E$17),'Your Pay &amp; Benefits'!$D$31))</f>
      </c>
      <c r="AN20">
        <f>IF($B20="","",IFERROR(LOOKUP(2,1/(('Changes &amp; Events'!$C$6:$C$17="State move")*('Changes &amp; Events'!$B$6:$B$17&lt;=$B20)*('Changes &amp; Events'!$B$6:$B$17&lt;&gt;"")),'Changes &amp; Events'!$D$6:$D$17),'Your Pay &amp; Benefits'!$C$21))</f>
      </c>
      <c r="AO20" s="7">
        <f>IF($B20="","",IFERROR(LOOKUP(2,1/(('Changes &amp; Events'!$C$6:$C$17="W-4 change")*('Changes &amp; Events'!$B$6:$B$17&lt;=$B20)*('Changes &amp; Events'!$B$6:$B$17&lt;&gt;"")),'Changes &amp; Events'!$D$6:$D$17),'Your Pay &amp; Benefits'!$C$14))</f>
      </c>
      <c r="AP20" s="7">
        <f>IF($B20="","",IFERROR(LOOKUP(2,1/(('Changes &amp; Events'!$C$6:$C$17="W-4 change")*('Changes &amp; Events'!$B$6:$B$17&lt;=$B20)*('Changes &amp; Events'!$B$6:$B$17&lt;&gt;"")),'Changes &amp; Events'!$E$6:$E$17),'Your Pay &amp; Benefits'!$C$15))</f>
      </c>
      <c r="AQ20" s="7">
        <f>IF($B20="","",IFERROR(LOOKUP(2,1/(('Changes &amp; Events'!$C$6:$C$17="W-4 change")*('Changes &amp; Events'!$B$6:$B$17&lt;=$B20)*('Changes &amp; Events'!$B$6:$B$17&lt;&gt;"")),'Changes &amp; Events'!$F$6:$F$17),'Your Pay &amp; Benefits'!$C$16))</f>
      </c>
      <c r="AR20" s="7">
        <f>IF($B20="","",IFERROR(LOOKUP(2,1/(('Changes &amp; Events'!$C$6:$C$17="W-4 change")*('Changes &amp; Events'!$B$6:$B$17&lt;=$B20)*('Changes &amp; Events'!$B$6:$B$17&lt;&gt;"")),'Changes &amp; Events'!$G$6:$G$17),'Your Pay &amp; Benefits'!$C$17))</f>
      </c>
      <c r="AS20" s="6">
        <f>IF($B20="","",IFERROR(LOOKUP(2,1/((('Changes &amp; Events'!$C$6:$C$17="State move")+('Changes &amp; Events'!$C$6:$C$17="State cert change"))*('Changes &amp; Events'!$B$6:$B$17&lt;=$B20)*('Changes &amp; Events'!$B$6:$B$17&lt;&gt;"")),'Changes &amp; Events'!$F$6:$F$17),'Your Pay &amp; Benefits'!$C$23))</f>
      </c>
      <c r="AT20" s="6">
        <f>IF($B20="","",IFERROR(LOOKUP(2,1/((('Changes &amp; Events'!$C$6:$C$17="State move")+('Changes &amp; Events'!$C$6:$C$17="State cert change"))*('Changes &amp; Events'!$B$6:$B$17&lt;=$B20)*('Changes &amp; Events'!$B$6:$B$17&lt;&gt;"")),'Changes &amp; Events'!$G$6:$G$17),'Your Pay &amp; Benefits'!$C$24))</f>
      </c>
      <c r="AU20">
        <f>IF($B20="","",IFERROR(LOOKUP(2,1/(('Changes &amp; Events'!$C$6:$C$17="State move")*('Changes &amp; Events'!$B$6:$B$17&lt;=$B20)*('Changes &amp; Events'!$B$6:$B$17&lt;&gt;"")),'Changes &amp; Events'!$E$6:$E$17),'Your Pay &amp; Benefits'!$C$22))</f>
      </c>
      <c r="AV20" s="6">
        <f>IF($B20="","",1+COUNTIFS('Changes &amp; Events'!$C$6:$C$17,"Employer change",'Changes &amp; Events'!$B$6:$B$17,"&lt;="&amp;$B20,'Changes &amp; Events'!$B$6:$B$17,"&lt;&gt;"))</f>
      </c>
      <c r="AW20" s="7">
        <f>IF($B20="","",IF($AV20=1,'Your Pay &amp; Benefits'!$C$49,IF(IFERROR(MATCH(IFERROR(LOOKUP(2,1/(('Changes &amp; Events'!$C$6:$C$17="Employer change")*('Changes &amp; Events'!$B$6:$B$17&lt;=$B20)*('Changes &amp; Events'!$B$6:$B$17&lt;&gt;"")),'Changes &amp; Events'!$B$6:$B$17),""),$B$6:$B$68,1),1)&lt;=1,'Your Pay &amp; Benefits'!$C$49,INDEX($AB$6:$AB$68,MATCH(IFERROR(LOOKUP(2,1/(('Changes &amp; Events'!$C$6:$C$17="Employer change")*('Changes &amp; Events'!$B$6:$B$17&lt;=$B20)*('Changes &amp; Events'!$B$6:$B$17&lt;&gt;"")),'Changes &amp; Events'!$B$6:$B$17),""),$B$6:$B$68,1)-1))))</f>
      </c>
      <c r="AX20" s="7">
        <f>IF($B20="","",IF($AV20=1,'Your Pay &amp; Benefits'!$C$49,IFERROR(LOOKUP(2,1/(('Changes &amp; Events'!$C$6:$C$17="Employer change")*('Changes &amp; Events'!$B$6:$B$17&lt;=$B20)*('Changes &amp; Events'!$B$6:$B$17&lt;&gt;"")),'Changes &amp; Events'!$D$6:$D$17),0)))</f>
      </c>
      <c r="AY20" s="7">
        <f>IF($B20="","",($O20-$D20)*'Your Pay &amp; Benefits'!$C$8)</f>
      </c>
      <c r="AZ20" s="7">
        <f>IF($B20="","",IF($AN20="AL",MAX(0,$AY20-IF($AU20="Married",IF($AY20&lt;=25999,8500,MAX(5000,8500-175*CEILING(($AY20-25999)/500,1))),IF($AU20="Head of household",IF($AY20&lt;=25999,5200,MAX(2500,5200-135*CEILING(($AY20-25999)/500,1))),IF($AY20&lt;=25999,3000,MAX(2500,3000-25*CEILING(($AY20-25999)/500,1)))))-($P20-'How This Works &amp; Sources'!$C$10*$D20)*'Your Pay &amp; Benefits'!$C$8-IF(OR($AU20="Married",$AU20="Head of household"),3000,1500)-$AT20*IF($AY20&lt;=50000,1000,IF($AY20&lt;=100000,500,300))),IF($AN20="AR",IF(MAX(0,$AY20-2470)&lt;97701,INT(MAX(0,$AY20-2470)/100)*100+50,MAX(0,$AY20-2470)),IF($AN20="DE",MAX(0,$AI20-3250),IF($AN20="HI",MAX(0,$AI20-1144*$AS20-4350),IF($AN20="KS",MAX(0,$AI20-(9160*IF($AU20="Married",2,1)+2320*$AT20+IF($AU20="Head of household",2320,0))),IF($AN20="MD",MAX(0,$AI20-3400-3200*$AS20),IF($AN20="MN",MAX(0,$AY20-5300*$AS20),IF($AN20="MO",MAX(0,$AI20-IF($AU20="Head of household",24150,IF($AU20="Married",IF('Your Pay &amp; Benefits'!$C$83,16100,32200),16100))),IF($AN20="MT",$AY20,IF($AN20="ND",($C20+$L20)*'Your Pay &amp; Benefits'!$C$8,IF($AN20="NE",MAX(0,$AY20-2440*$AS20),IF($AN20="NJ",MAX(0,$AY20-1000*$AS20),IF($AN20="NY",MAX(0,$AY20-(IF($AU20="Married",7950,7400)+1000*$AS20)),IF($AN20="OH",MAX(0,$AY20-650*$AS20),IF($AN20="OK",MAX(0,$AY20-1000*$AS20),IF($AN20="RI",MAX(0,$AI20-1000*$AS20),IF($AN20="SC",MAX(0,$AI20-5000*$AS20-IF($AS20=0,0,MIN(0.1*$AI20,7500))),IF($AN20="VA",MAX(0,$AI20-IF($AU20="Married",17500,8750)-930*$AS20-800*$AT20),IF($AN20="VT",MAX(0,$AI20-5400*$AS20),IF($AN20="WI",MAX(0,$AI20-MAX(0,IF($AU20="Married",9461-0.2*MAX(0,$AI20-25727),6702-0.12*MAX(0,$AI20-17780)))-400*$AS20),IF($AN20="WV",MAX(0,$AI20-2000*$AS20),$AI20))))))))))))))))))))))</f>
      </c>
      <c r="BA20" s="7">
        <f>IF($B20="","",IF($BW20&lt;&gt;"",$BW20,IF($BX20&lt;&gt;"",$BX20,IF($BY20&lt;&gt;"",$BY20,0))))</f>
      </c>
      <c r="BB20" s="7">
        <f>IF($B20="","",IF($AN20="AR",-29*$AS20,IF($AN20="DE",-110*$AS20,IF($AN20="MD",$AZ20*'Your Pay &amp; Benefits'!$C$74,IF($AN20="AZ",'Your Pay &amp; Benefits'!$C$82*($M20-$D20)*'Your Pay &amp; Benefits'!$C$8,IF($AN20="CO",0.044*MAX(0,$AY20-IF($AU20="Married",10000,5000)),IF($AN20="IA",MAX(0,0.038*MAX(0,$AY20-IF($AU20="Head of household",19500,IF($AU20="Married",26000,13000)))-40*$AS20),IF($AN20="ID",0.053*MAX(0,$AY20-IF($AU20="Married",32000,16094)),IF($AN20="IL",0.0495*MAX(0,$AY20-(2925*$AS20+1000*$AT20)),IF($AN20="IN",(0.0295+'Your Pay &amp; Benefits'!$C$76)*MAX(0,$AY20-(1000*$AS20+1500*$AT20+3000*'Your Pay &amp; Benefits'!$C$86)),IF($AN20="KY",0.035*MAX(0,$AI20-3360),IF($AN20="LA",IF('Your Pay &amp; Benefits'!$C$84="0",0.0309*$AI20,0.0309*MAX(0,$AI20-IF('Your Pay &amp; Benefits'!$C$84="2",25750,12875))),IF($AN20="MA",0.05*MIN(MAX(0,$AY20-MIN(($BD19+$Q20+$R20+$S20),2000)-IF($AS20=0,0,IF($AS20=1,4400,1000*$AS20+3400))),1107750)+0.09*MAX(0,MAX(0,$AY20-MIN(($BD19+$Q20+$R20+$S20),2000)-IF($AS20=0,0,IF($AS20=1,4400,1000*$AS20+3400)))-1107750)-IF($AU20="Head of household",120,0)-110*'Your Pay &amp; Benefits'!$C$75,IF($AN20="MI",0.0425*MAX(0,$AY20-5900*$AS20),IF($AN20="MS",0.04*MAX(0,$AI20-IF($AU20="Head of household",3400,IF($AU20="Married",4600,2300))-'Your Pay &amp; Benefits'!$C$85-10000),IF($AN20="OR",IF(OR($AU20="Married",AND($AU20="Single",$AS20&gt;=3)),SUMPRODUCT((MAX(0,$AY20-MIN(($P20-'How This Works &amp; Sources'!$C$10*$D20)*'Your Pay &amp; Benefits'!$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Sources'!$B$211:$J$214,0,4))*(MAX(0,$AY20-MIN(($P20-'How This Works &amp; Sources'!$C$10*$D20)*'Your Pay &amp; Benefits'!$C$8,IF(OR($AU20="Married",AND($AU20="Single",$AS20&gt;=3)),IF($AY20&lt;250000,8750,IF($AY20&lt;260000,7000,IF($AY20&lt;270000,5250,IF($AY20&lt;280000,3500,IF($AY20&lt;290000,1750,0))))),IF($AY20&lt;125000,8750,IF($AY20&lt;130000,7000,IF($AY20&lt;135000,5250,IF($AY20&lt;140000,3500,IF($AY20&lt;145000,1750,0)))))))-IF(OR($AU20="Married",AND($AU20="Single",$AS20&gt;=3)),5820,2910))-INDEX('How This Works &amp; Sources'!$B$211:$J$214,0,4))*INDEX('How This Works &amp; Sources'!$B$211:$J$214,0,4+2)),SUMPRODUCT((MAX(0,$AY20-MIN(($P20-'How This Works &amp; Sources'!$C$10*$D20)*'Your Pay &amp; Benefits'!$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Sources'!$B$211:$J$214,0,1))*(MAX(0,$AY20-MIN(($P20-'How This Works &amp; Sources'!$C$10*$D20)*'Your Pay &amp; Benefits'!$C$8,IF(OR($AU20="Married",AND($AU20="Single",$AS20&gt;=3)),IF($AY20&lt;250000,8750,IF($AY20&lt;260000,7000,IF($AY20&lt;270000,5250,IF($AY20&lt;280000,3500,IF($AY20&lt;290000,1750,0))))),IF($AY20&lt;125000,8750,IF($AY20&lt;130000,7000,IF($AY20&lt;135000,5250,IF($AY20&lt;140000,3500,IF($AY20&lt;145000,1750,0)))))))-IF(OR($AU20="Married",AND($AU20="Single",$AS20&gt;=3)),5820,2910))-INDEX('How This Works &amp; Sources'!$B$211:$J$214,0,1))*INDEX('How This Works &amp; Sources'!$B$211:$J$214,0,1+2)))+263-263*IF(IF($AU20="Married",$AY20&gt;200000,$AY20&gt;100000),0,$AS20),IF($AN20="PA",0.0307*(($O20+$E20+$G20)*'Your Pay &amp; Benefits'!$C$8),IF($AN20="NY",IF($AU20="Married",IF($AZ20&gt;=2155350,0,IF($AZ20&gt;=1077550,0.48,IF($AZ20&gt;=373200,1.21,IF($AZ20&gt;=323200,0.21,IF($AZ20&gt;=211550,-0.19,IF($AZ20&gt;=157650,-2.8,IF($AZ20&gt;=107650,-0.8,IF($AZ20&gt;=96800,0.05,IF($AZ20&gt;=80650,-0.1,IF($AZ20&gt;=13900,0.4,IF($AZ20&gt;=11700,-0.3,IF($AZ20&gt;=8500,0.5,0)))))))))))),IF($AZ20&gt;=1077550,0,IF($AZ20&gt;=265400,4.29,IF($AZ20&gt;=215400,2.29,IF($AZ20&gt;=157650,2.29,IF($AZ20&gt;=107650,0.29,IF($AZ20&gt;=96800,0.05,IF($AZ20&gt;=80650,-0.1,IF($AZ20&gt;=13900,0.4,IF($AZ20&gt;=11700,-0.3,IF($AZ20&gt;=8500,0.5,0))))))))))),0))))))))))))))))))</f>
      </c>
      <c r="BC20" s="7">
        <f>IF($B20="","",IF($AN20="AL",0.05*$D20,IF($AN20="AR",0.039*$D20,IF($AN20="ID",0.053*$D20,IF($AN20="IN",(0.0295+'Your Pay &amp; Benefits'!$C$76)*$D20,IF($AN20="KS",0.05*$D20,IF($AN20="MA",0.09*MIN($D20,MAX(0,MAX(0,$AY20-MIN(($BD19+$Q20+$R20+$S20),2000)-IF($AS20=0,0,IF($AS20=1,4400,1000*$AS20+3400)))+$D20-1107750))+0.05*($D20-MIN($D20,MAX(0,MAX(0,$AY20-MIN(($BD19+$Q20+$R20+$S20),2000)-IF($AS20=0,0,IF($AS20=1,4400,1000*$AS20+3400)))+$D20-1107750))),IF($AN20="MD",(0.065+'Your Pay &amp; Benefits'!$C$74)*$D20,IF($AN20="MI",0.0425*$D20,IF($AN20="MN",0.0625*$D20,IF($AN20="MO",0.047*$D20,IF($AN20="MT",0.05*$D20,IF($AN20="ND",0.015*$D20,IF($AN20="NE",0.035*$D20,IF($AN20="NJ",IF('Your Pay &amp; Benefits'!$C$77="B",SUMPRODUCT(($D20*'Your Pay &amp; Benefits'!$C$8&gt;INDEX('How This Works &amp; Sources'!$B$155:$J$162,0,4))*($D20*'Your Pay &amp; Benefits'!$C$8-INDEX('How This Works &amp; Sources'!$B$155:$J$162,0,4))*INDEX('How This Works &amp; Sources'!$B$155:$J$162,0,4+2)),IF('Your Pay &amp; Benefits'!$C$77="C",SUMPRODUCT(($D20*'Your Pay &amp; Benefits'!$C$8&gt;INDEX('How This Works &amp; Sources'!$B$155:$J$162,0,7))*($D20*'Your Pay &amp; Benefits'!$C$8-INDEX('How This Works &amp; Sources'!$B$155:$J$162,0,7))*INDEX('How This Works &amp; Sources'!$B$155:$J$162,0,7+2)),IF('Your Pay &amp; Benefits'!$C$77="D",SUMPRODUCT(($D20*'Your Pay &amp; Benefits'!$C$8&gt;INDEX('How This Works &amp; Sources'!$B$167:$J$179,0,1))*($D20*'Your Pay &amp; Benefits'!$C$8-INDEX('How This Works &amp; Sources'!$B$167:$J$179,0,1))*INDEX('How This Works &amp; Sources'!$B$167:$J$179,0,1+2)),IF('Your Pay &amp; Benefits'!$C$77="E",SUMPRODUCT(($D20*'Your Pay &amp; Benefits'!$C$8&gt;INDEX('How This Works &amp; Sources'!$B$167:$J$179,0,4))*($D20*'Your Pay &amp; Benefits'!$C$8-INDEX('How This Works &amp; Sources'!$B$167:$J$179,0,4))*INDEX('How This Works &amp; Sources'!$B$167:$J$179,0,4+2)),SUMPRODUCT(($D20*'Your Pay &amp; Benefits'!$C$8&gt;INDEX('How This Works &amp; Sources'!$B$155:$J$162,0,1))*($D20*'Your Pay &amp; Benefits'!$C$8-INDEX('How This Works &amp; Sources'!$B$155:$J$162,0,1))*INDEX('How This Works &amp; Sources'!$B$155:$J$162,0,1+2))))))/'Your Pay &amp; Benefits'!$C$8,IF($AN20="NY",0.117*$D20,IF($AN20="OH",0.0275*$D20,IF($AN20="OK",0.045*$D20,IF($AN20="OR",0.08*$D20,IF($AN20="WI",IF($AY20&lt;12760,0.0354,IF($AY20&lt;25520,0.0465,IF($AY20&lt;280950,0.053,0.0765)))*$D20,0))))))))))))))))))))</f>
      </c>
      <c r="BD20" s="7">
        <f>IF($B20="","",$BD19+$Q20+$R20+$S20)</f>
      </c>
      <c r="BE20" s="6">
        <f>IF($B20="",$BE19,$BE19+$BF20)</f>
      </c>
      <c r="BF20" s="6">
        <f>IF($B20="","",IF(AND(IF(YEAR(IF('Your Pay &amp; Benefits'!$C$7="Weekly",'Your Pay &amp; Benefits'!$C$9+7*(($BE19+1)-1),IF('Your Pay &amp; Benefits'!$C$7="Biweekly",'Your Pay &amp; Benefits'!$C$9+14*(($BE19+1)-1),IF('Your Pay &amp; Benefits'!$C$7="Semimonthly",DATE(YEAR('Your Pay &amp; Benefits'!$C$9),MONTH('Your Pay &amp; Benefits'!$C$9)+INT((($BE19+1)-1)/2),MIN(DAY('Your Pay &amp; Benefits'!$C$9),DAY(EOMONTH(DATE(YEAR('Your Pay &amp; Benefits'!$C$9),MONTH('Your Pay &amp; Benefits'!$C$9)+INT((($BE19+1)-1)/2),1),0))))+IF(MOD(($BE19+1)-1,2)=1,15,0),EDATE('Your Pay &amp; Benefits'!$C$9,($BE19+1)-1)))))&lt;&gt;'Your Pay &amp; Benefits'!$C$10,"",IF('Your Pay &amp; Benefits'!$C$7="Weekly",'Your Pay &amp; Benefits'!$C$9+7*(($BE19+1)-1),IF('Your Pay &amp; Benefits'!$C$7="Biweekly",'Your Pay &amp; Benefits'!$C$9+14*(($BE19+1)-1),IF('Your Pay &amp; Benefits'!$C$7="Semimonthly",DATE(YEAR('Your Pay &amp; Benefits'!$C$9),MONTH('Your Pay &amp; Benefits'!$C$9)+INT((($BE19+1)-1)/2),MIN(DAY('Your Pay &amp; Benefits'!$C$9),DAY(EOMONTH(DATE(YEAR('Your Pay &amp; Benefits'!$C$9),MONTH('Your Pay &amp; Benefits'!$C$9)+INT((($BE19+1)-1)/2),1),0))))+IF(MOD(($BE19+1)-1,2)=1,15,0),EDATE('Your Pay &amp; Benefits'!$C$9,($BE19+1)-1)))))&lt;&gt;"",$B20=IF(YEAR(IF('Your Pay &amp; Benefits'!$C$7="Weekly",'Your Pay &amp; Benefits'!$C$9+7*(($BE19+1)-1),IF('Your Pay &amp; Benefits'!$C$7="Biweekly",'Your Pay &amp; Benefits'!$C$9+14*(($BE19+1)-1),IF('Your Pay &amp; Benefits'!$C$7="Semimonthly",DATE(YEAR('Your Pay &amp; Benefits'!$C$9),MONTH('Your Pay &amp; Benefits'!$C$9)+INT((($BE19+1)-1)/2),MIN(DAY('Your Pay &amp; Benefits'!$C$9),DAY(EOMONTH(DATE(YEAR('Your Pay &amp; Benefits'!$C$9),MONTH('Your Pay &amp; Benefits'!$C$9)+INT((($BE19+1)-1)/2),1),0))))+IF(MOD(($BE19+1)-1,2)=1,15,0),EDATE('Your Pay &amp; Benefits'!$C$9,($BE19+1)-1)))))&lt;&gt;'Your Pay &amp; Benefits'!$C$10,"",IF('Your Pay &amp; Benefits'!$C$7="Weekly",'Your Pay &amp; Benefits'!$C$9+7*(($BE19+1)-1),IF('Your Pay &amp; Benefits'!$C$7="Biweekly",'Your Pay &amp; Benefits'!$C$9+14*(($BE19+1)-1),IF('Your Pay &amp; Benefits'!$C$7="Semimonthly",DATE(YEAR('Your Pay &amp; Benefits'!$C$9),MONTH('Your Pay &amp; Benefits'!$C$9)+INT((($BE19+1)-1)/2),MIN(DAY('Your Pay &amp; Benefits'!$C$9),DAY(EOMONTH(DATE(YEAR('Your Pay &amp; Benefits'!$C$9),MONTH('Your Pay &amp; Benefits'!$C$9)+INT((($BE19+1)-1)/2),1),0))))+IF(MOD(($BE19+1)-1,2)=1,15,0),EDATE('Your Pay &amp; Benefits'!$C$9,($BE19+1)-1)))))),1,0))</f>
      </c>
      <c r="BG20" s="7">
        <f>IF($B20="","",$BG19+$H20)</f>
      </c>
      <c r="BH20" s="7">
        <f>IF($B20="","",$BH19+$I20)</f>
      </c>
      <c r="BI20" s="7">
        <f>IF($B20="","",$BI19+$G20)</f>
      </c>
      <c r="BJ20" s="7">
        <f>IF($B20="","",IFERROR(LOOKUP(2,1/(((('Changes &amp; Events'!$C$6:$C$17="Deduction start"))*('Changes &amp; Events'!$D$6:$D$17="Health FSA"))*('Changes &amp; Events'!$B$6:$B$17&lt;=$B20)*('Changes &amp; Events'!$B$6:$B$17&lt;&gt;"")),'Changes &amp; Events'!$E$6:$E$17),'Your Pay &amp; Benefits'!$D$38))</f>
      </c>
      <c r="BK20" s="7">
        <f>IF($B20="","",IFERROR(LOOKUP(2,1/(((('Changes &amp; Events'!$C$6:$C$17="Deduction start"))*('Changes &amp; Events'!$D$6:$D$17="Dependent-care FSA"))*('Changes &amp; Events'!$B$6:$B$17&lt;=$B20)*('Changes &amp; Events'!$B$6:$B$17&lt;&gt;"")),'Changes &amp; Events'!$E$6:$E$17),'Your Pay &amp; Benefits'!$D$39))</f>
      </c>
      <c r="BL20" s="7">
        <f>IF($B20="","",IFERROR(LOOKUP(2,1/(((('Changes &amp; Events'!$C$6:$C$17="Deduction start")+('Changes &amp; Events'!$C$6:$C$17="Deduction stop"))*('Changes &amp; Events'!$D$6:$D$17="HSA"))*('Changes &amp; Events'!$B$6:$B$17&lt;=$B20)*('Changes &amp; Events'!$B$6:$B$17&lt;&gt;"")),'Changes &amp; Events'!$I$6:$I$17),'Your Pay &amp; Benefits'!$D$35))</f>
      </c>
      <c r="BM20" s="7">
        <f>IF($B20="","",IFERROR(LOOKUP(2,1/(((('Changes &amp; Events'!$C$6:$C$17="Deduction start")+('Changes &amp; Events'!$C$6:$C$17="Deduction stop"))*('Changes &amp; Events'!$D$6:$D$17="Premiums"))*('Changes &amp; Events'!$B$6:$B$17&lt;=$B20)*('Changes &amp; Events'!$B$6:$B$17&lt;&gt;"")),'Changes &amp; Events'!$I$6:$I$17),'Your Pay &amp; Benefits'!$D$40+'Your Pay &amp; Benefits'!$D$41+'Your Pay &amp; Benefits'!$D$42))</f>
      </c>
      <c r="BN20" s="7">
        <f>IF($B20="","",IFERROR(LOOKUP(2,1/(((('Changes &amp; Events'!$C$6:$C$17="Deduction start")+('Changes &amp; Events'!$C$6:$C$17="Deduction stop"))*('Changes &amp; Events'!$D$6:$D$17="Commuter"))*('Changes &amp; Events'!$B$6:$B$17&lt;=$B20)*('Changes &amp; Events'!$B$6:$B$17&lt;&gt;"")),'Changes &amp; Events'!$I$6:$I$17),'Your Pay &amp; Benefits'!$D$43))</f>
      </c>
      <c r="BO20" s="7">
        <f>IF($B20="","",IFERROR(LOOKUP(2,1/(((('Changes &amp; Events'!$C$6:$C$17="Deduction start")+('Changes &amp; Events'!$C$6:$C$17="Deduction stop"))*('Changes &amp; Events'!$D$6:$D$17="Other pre-tax"))*('Changes &amp; Events'!$B$6:$B$17&lt;=$B20)*('Changes &amp; Events'!$B$6:$B$17&lt;&gt;"")),'Changes &amp; Events'!$I$6:$I$17),'Your Pay &amp; Benefits'!$D$44))</f>
      </c>
      <c r="BP20" s="7">
        <f>IF($B20="","",IFERROR(LOOKUP(2,1/(((('Changes &amp; Events'!$C$6:$C$17="Deduction start")+('Changes &amp; Events'!$C$6:$C$17="Deduction stop"))*('Changes &amp; Events'!$D$6:$D$17="Other post-tax"))*('Changes &amp; Events'!$B$6:$B$17&lt;=$B20)*('Changes &amp; Events'!$B$6:$B$17&lt;&gt;"")),'Changes &amp; Events'!$I$6:$I$17),'Your Pay &amp; Benefits'!$D$45))</f>
      </c>
      <c r="BQ20" s="6">
        <f>IF($B20="","",IFERROR(LOOKUP(2,1/(((('Changes &amp; Events'!$C$6:$C$17="Deduction start")+('Changes &amp; Events'!$C$6:$C$17="Deduction stop"))*('Changes &amp; Events'!$D$6:$D$17="Health FSA"))*('Changes &amp; Events'!$B$6:$B$17&lt;=$B20)*('Changes &amp; Events'!$B$6:$B$17&lt;&gt;"")),'Changes &amp; Events'!$J$6:$J$17),0))</f>
      </c>
      <c r="BR20" s="6">
        <f>IF($B20="","",IFERROR(LOOKUP(2,1/(((('Changes &amp; Events'!$C$6:$C$17="Deduction start")+('Changes &amp; Events'!$C$6:$C$17="Deduction stop"))*('Changes &amp; Events'!$D$6:$D$17="Dependent-care FSA"))*('Changes &amp; Events'!$B$6:$B$17&lt;=$B20)*('Changes &amp; Events'!$B$6:$B$17&lt;&gt;"")),'Changes &amp; Events'!$J$6:$J$17),0))</f>
      </c>
      <c r="BS20" s="6">
        <f>IF($B20="","",IF(SUMPRODUCT(('Changes &amp; Events'!$C$6:$C$17="Deduction start")*('Changes &amp; Events'!$B$6:$B$17&lt;=$B20)*('Changes &amp; Events'!$B$6:$B$17&lt;&gt;"")*('Changes &amp; Events'!$D$6:$D$17="Health FSA"))&gt;0,1,0))</f>
      </c>
      <c r="BT20" s="6">
        <f>IF($B20="","",IF(SUMPRODUCT(('Changes &amp; Events'!$C$6:$C$17="Deduction start")*('Changes &amp; Events'!$B$6:$B$17&lt;=$B20)*('Changes &amp; Events'!$B$6:$B$17&lt;&gt;"")*('Changes &amp; Events'!$D$6:$D$17="Dependent-care FSA"))&gt;0,1,0))</f>
      </c>
      <c r="BU20" s="24">
        <f>IF($B20="","",IF('Your Pay &amp; Benefits'!$C$13,SUMPRODUCT(($AH20&gt;=INDEX('How This Works &amp; Sources'!$B$29:$J$36,0,IF('Your Pay &amp; Benefits'!$C$12="MFJ",1,IF('Your Pay &amp; Benefits'!$C$12="HoH",7,4))))*INDEX('How This Works &amp; Sources'!$B$29:$J$36,0,IF('Your Pay &amp; Benefits'!$C$12="MFJ",1,IF('Your Pay &amp; Benefits'!$C$12="HoH",7,4))+2)),SUMPRODUCT(($AH20&gt;=INDEX('How This Works &amp; Sources'!$B$19:$J$26,0,IF('Your Pay &amp; Benefits'!$C$12="MFJ",1,IF('Your Pay &amp; Benefits'!$C$12="HoH",7,4))))*INDEX('How This Works &amp; Sources'!$B$19:$J$26,0,IF('Your Pay &amp; Benefits'!$C$12="MFJ",1,IF('Your Pay &amp; Benefits'!$C$12="HoH",7,4))+2))))</f>
      </c>
      <c r="BV20" s="24">
        <f>IF($B20="","",IF($BZ20&lt;&gt;"",$BZ20,IF($CA20&lt;&gt;"",$CA20,IF($CB20&lt;&gt;"",$CB20,IF($CC20&lt;&gt;"",$CC20,0)))))</f>
      </c>
      <c r="BW20" s="7">
        <f>IF($B20="","",IF($AN20="MD",IF(OR($AU20="Married",$AU20="Head of household"),SUMPRODUCT(($AZ20&gt;INDEX('How This Works &amp; Sources'!$B$114:$J$120,0,1))*($AZ20-INDEX('How This Works &amp; Sources'!$B$114:$J$120,0,1))*INDEX('How This Works &amp; Sources'!$B$114:$J$120,0,1+2)),SUMPRODUCT(($AZ20&gt;INDEX('How This Works &amp; Sources'!$B$103:$J$109,0,7))*($AZ20-INDEX('How This Works &amp; Sources'!$B$103:$J$109,0,7))*INDEX('How This Works &amp; Sources'!$B$103:$J$109,0,7+2))),IF($AN20="MO",SUMPRODUCT(($AZ20&gt;INDEX('How This Works &amp; Sources'!$B$125:$J$132,0,1))*($AZ20-INDEX('How This Works &amp; Sources'!$B$125:$J$132,0,1))*INDEX('How This Works &amp; Sources'!$B$125:$J$132,0,1+2)),IF($AN20="MT",IF($AU20="Head of household",SUMPRODUCT(($AZ20&gt;INDEX('How This Works &amp; Sources'!$B$137:$J$139,0,1))*($AZ20-INDEX('How This Works &amp; Sources'!$B$137:$J$139,0,1))*INDEX('How This Works &amp; Sources'!$B$137:$J$139,0,1+2)),IF($AU20="Married",SUMPRODUCT(($AZ20&gt;INDEX('How This Works &amp; Sources'!$B$125:$J$132,0,7))*($AZ20-INDEX('How This Works &amp; Sources'!$B$125:$J$132,0,7))*INDEX('How This Works &amp; Sources'!$B$125:$J$132,0,7+2)),SUMPRODUCT(($AZ20&gt;INDEX('How This Works &amp; Sources'!$B$125:$J$132,0,4))*($AZ20-INDEX('How This Works &amp; Sources'!$B$125:$J$132,0,4))*INDEX('How This Works &amp; Sources'!$B$125:$J$132,0,4+2)))),IF($AN20="ND",IF($AU20="Head of household",SUMPRODUCT(($AZ20&gt;INDEX('How This Works &amp; Sources'!$B$144:$J$150,0,1))*($AZ20-INDEX('How This Works &amp; Sources'!$B$144:$J$150,0,1))*INDEX('How This Works &amp; Sources'!$B$144:$J$150,0,1+2)),IF($AU20="Married",SUMPRODUCT(($AZ20&gt;INDEX('How This Works &amp; Sources'!$B$137:$J$139,0,7))*($AZ20-INDEX('How This Works &amp; Sources'!$B$137:$J$139,0,7))*INDEX('How This Works &amp; Sources'!$B$137:$J$139,0,7+2)),SUMPRODUCT(($AZ20&gt;INDEX('How This Works &amp; Sources'!$B$137:$J$139,0,4))*($AZ20-INDEX('How This Works &amp; Sources'!$B$137:$J$139,0,4))*INDEX('How This Works &amp; Sources'!$B$137:$J$139,0,4+2)))),IF($AN20="NJ",IF('Your Pay &amp; Benefits'!$C$77="B",SUMPRODUCT(($AZ20&gt;INDEX('How This Works &amp; Sources'!$B$155:$J$162,0,4))*($AZ20-INDEX('How This Works &amp; Sources'!$B$155:$J$162,0,4))*INDEX('How This Works &amp; Sources'!$B$155:$J$162,0,4+2)),IF('Your Pay &amp; Benefits'!$C$77="C",SUMPRODUCT(($AZ20&gt;INDEX('How This Works &amp; Sources'!$B$155:$J$162,0,7))*($AZ20-INDEX('How This Works &amp; Sources'!$B$155:$J$162,0,7))*INDEX('How This Works &amp; Sources'!$B$155:$J$162,0,7+2)),IF('Your Pay &amp; Benefits'!$C$77="D",SUMPRODUCT(($AZ20&gt;INDEX('How This Works &amp; Sources'!$B$167:$J$179,0,1))*($AZ20-INDEX('How This Works &amp; Sources'!$B$167:$J$179,0,1))*INDEX('How This Works &amp; Sources'!$B$167:$J$179,0,1+2)),IF('Your Pay &amp; Benefits'!$C$77="E",SUMPRODUCT(($AZ20&gt;INDEX('How This Works &amp; Sources'!$B$167:$J$179,0,4))*($AZ20-INDEX('How This Works &amp; Sources'!$B$167:$J$179,0,4))*INDEX('How This Works &amp; Sources'!$B$167:$J$179,0,4+2)),SUMPRODUCT(($AZ20&gt;INDEX('How This Works &amp; Sources'!$B$155:$J$162,0,1))*($AZ20-INDEX('How This Works &amp; Sources'!$B$155:$J$162,0,1))*INDEX('How This Works &amp; Sources'!$B$155:$J$162,0,1+2)))))),IF($AN20="NY",IF($AU20="Married",IF($AZ20&gt;=2155350,$AZ20*IF($AZ20&gt;25000000,0.117,IF($AZ20&gt;5000000,0.111,0.1045)),SUMPRODUCT(($AZ20&gt;INDEX('How This Works &amp; Sources'!$B$184:$J$198,0,1))*($AZ20-INDEX('How This Works &amp; Sources'!$B$184:$J$198,0,1))*INDEX('How This Works &amp; Sources'!$B$184:$J$198,0,1+2))),IF($AZ20&gt;=1077550,$AZ20*IF($AZ20&gt;25000000,0.117,IF($AZ20&gt;5000000,0.111,0.1045)),SUMPRODUCT(($AZ20&gt;INDEX('How This Works &amp; Sources'!$B$167:$J$179,0,7))*($AZ20-INDEX('How This Works &amp; Sources'!$B$167:$J$179,0,7))*INDEX('How This Works &amp; Sources'!$B$167:$J$179,0,7+2)))),"")))))))</f>
      </c>
      <c r="BX20" s="7">
        <f>IF($B20="","",IF($AN20="AL",IF(OR($AU20="Married",$AU20="Head of household"),SUMPRODUCT(($AZ20&gt;INDEX('How This Works &amp; Sources'!$B$82:$J$86,0,4))*($AZ20-INDEX('How This Works &amp; Sources'!$B$82:$J$86,0,4))*INDEX('How This Works &amp; Sources'!$B$82:$J$86,0,4+2)),SUMPRODUCT(($AZ20&gt;INDEX('How This Works &amp; Sources'!$B$82:$J$86,0,1))*($AZ20-INDEX('How This Works &amp; Sources'!$B$82:$J$86,0,1))*INDEX('How This Works &amp; Sources'!$B$82:$J$86,0,1+2))),IF($AN20="KS",IF($AU20="Married",SUMPRODUCT(($AZ20&gt;INDEX('How This Works &amp; Sources'!$B$103:$J$109,0,4))*($AZ20-INDEX('How This Works &amp; Sources'!$B$103:$J$109,0,4))*INDEX('How This Works &amp; Sources'!$B$103:$J$109,0,4+2)),SUMPRODUCT(($AZ20&gt;INDEX('How This Works &amp; Sources'!$B$103:$J$109,0,1))*($AZ20-INDEX('How This Works &amp; Sources'!$B$103:$J$109,0,1))*INDEX('How This Works &amp; Sources'!$B$103:$J$109,0,1+2))),IF($AN20="MN",IF($AU20="Married",SUMPRODUCT(($AZ20&gt;INDEX('How This Works &amp; Sources'!$B$114:$J$120,0,7))*($AZ20-INDEX('How This Works &amp; Sources'!$B$114:$J$120,0,7))*INDEX('How This Works &amp; Sources'!$B$114:$J$120,0,7+2)),SUMPRODUCT(($AZ20&gt;INDEX('How This Works &amp; Sources'!$B$114:$J$120,0,4))*($AZ20-INDEX('How This Works &amp; Sources'!$B$114:$J$120,0,4))*INDEX('How This Works &amp; Sources'!$B$114:$J$120,0,4+2))),IF($AN20="NE",MAX(IF($AU20="Married",SUMPRODUCT(($AZ20&gt;INDEX('How This Works &amp; Sources'!$B$144:$J$150,0,7))*($AZ20-INDEX('How This Works &amp; Sources'!$B$144:$J$150,0,7))*INDEX('How This Works &amp; Sources'!$B$144:$J$150,0,7+2)),SUMPRODUCT(($AZ20&gt;INDEX('How This Works &amp; Sources'!$B$144:$J$150,0,4))*($AZ20-INDEX('How This Works &amp; Sources'!$B$144:$J$150,0,4))*INDEX('How This Works &amp; Sources'!$B$144:$J$150,0,4+2))),0.015*$AZ20),IF($AN20="OH",IF($B20&gt;=DATE(2026,8,1),SUMPRODUCT(($AZ20&gt;INDEX('How This Works &amp; Sources'!$B$203:$J$206,0,1))*($AZ20-INDEX('How This Works &amp; Sources'!$B$203:$J$206,0,1))*INDEX('How This Works &amp; Sources'!$B$203:$J$206,0,1+2)),SUMPRODUCT(($AZ20&gt;INDEX('How This Works &amp; Sources'!$B$184:$J$198,0,7))*($AZ20-INDEX('How This Works &amp; Sources'!$B$184:$J$198,0,7))*INDEX('How This Works &amp; Sources'!$B$184:$J$198,0,7+2))),IF($AN20="OK",IF($AU20="Married",SUMPRODUCT(($AZ20&gt;INDEX('How This Works &amp; Sources'!$B$203:$J$206,0,7))*($AZ20-INDEX('How This Works &amp; Sources'!$B$203:$J$206,0,7))*INDEX('How This Works &amp; Sources'!$B$203:$J$206,0,7+2)),SUMPRODUCT(($AZ20&gt;INDEX('How This Works &amp; Sources'!$B$203:$J$206,0,4))*($AZ20-INDEX('How This Works &amp; Sources'!$B$203:$J$206,0,4))*INDEX('How This Works &amp; Sources'!$B$203:$J$206,0,4+2))),IF($AN20="RI",SUMPRODUCT(($AZ20&gt;INDEX('How This Works &amp; Sources'!$B$211:$J$214,0,7))*($AZ20-INDEX('How This Works &amp; Sources'!$B$211:$J$214,0,7))*INDEX('How This Works &amp; Sources'!$B$211:$J$214,0,7+2)),IF($AN20="VT",IF($AU20="Married",SUMPRODUCT(($AZ20&gt;INDEX('How This Works &amp; Sources'!$B$228:$J$232,0,1))*($AZ20-INDEX('How This Works &amp; Sources'!$B$228:$J$232,0,1))*INDEX('How This Works &amp; Sources'!$B$228:$J$232,0,1+2)),SUMPRODUCT(($AZ20&gt;INDEX('How This Works &amp; Sources'!$B$219:$J$223,0,7))*($AZ20-INDEX('How This Works &amp; Sources'!$B$219:$J$223,0,7))*INDEX('How This Works &amp; Sources'!$B$219:$J$223,0,7+2))),IF($AN20="WV",IF($AU20="Married",SUMPRODUCT(($AZ20&gt;INDEX('How This Works &amp; Sources'!$B$237:$J$241,0,7))*($AZ20-INDEX('How This Works &amp; Sources'!$B$237:$J$241,0,7))*INDEX('How This Works &amp; Sources'!$B$237:$J$241,0,7+2)),SUMPRODUCT(($AZ20&gt;INDEX('How This Works &amp; Sources'!$B$228:$J$232,0,7))*($AZ20-INDEX('How This Works &amp; Sources'!$B$228:$J$232,0,7))*INDEX('How This Works &amp; Sources'!$B$228:$J$232,0,7+2))),""))))))))))</f>
      </c>
      <c r="BY20" s="7">
        <f>IF($B20="","",IF($AN20="AR",SUMPRODUCT(($AZ20&gt;INDEX('How This Works &amp; Sources'!$B$82:$J$86,0,7))*($AZ20-INDEX('How This Works &amp; Sources'!$B$82:$J$86,0,7))*INDEX('How This Works &amp; Sources'!$B$82:$J$86,0,7+2)),IF($AN20="DE",SUMPRODUCT(($AZ20&gt;INDEX('How This Works &amp; Sources'!$B$91:$J$98,0,1))*($AZ20-INDEX('How This Works &amp; Sources'!$B$91:$J$98,0,1))*INDEX('How This Works &amp; Sources'!$B$91:$J$98,0,1+2)),IF($AN20="HI",IF($AU20="Married",SUMPRODUCT(($AZ20&gt;INDEX('How This Works &amp; Sources'!$B$91:$J$98,0,7))*($AZ20-INDEX('How This Works &amp; Sources'!$B$91:$J$98,0,7))*INDEX('How This Works &amp; Sources'!$B$91:$J$98,0,7+2)),SUMPRODUCT(($AZ20&gt;INDEX('How This Works &amp; Sources'!$B$91:$J$98,0,4))*($AZ20-INDEX('How This Works &amp; Sources'!$B$91:$J$98,0,4))*INDEX('How This Works &amp; Sources'!$B$91:$J$98,0,4+2))),IF($AN20="SC",SUMPRODUCT(($AZ20&gt;INDEX('How This Works &amp; Sources'!$B$219:$J$223,0,1))*($AZ20-INDEX('How This Works &amp; Sources'!$B$219:$J$223,0,1))*INDEX('How This Works &amp; Sources'!$B$219:$J$223,0,1+2)),IF($AN20="VA",SUMPRODUCT(($AZ20&gt;INDEX('How This Works &amp; Sources'!$B$219:$J$223,0,4))*($AZ20-INDEX('How This Works &amp; Sources'!$B$219:$J$223,0,4))*INDEX('How This Works &amp; Sources'!$B$219:$J$223,0,4+2)),IF($AN20="WI",SUMPRODUCT(($AZ20&gt;INDEX('How This Works &amp; Sources'!$B$228:$J$232,0,4))*($AZ20-INDEX('How This Works &amp; Sources'!$B$228:$J$232,0,4))*INDEX('How This Works &amp; Sources'!$B$228:$J$232,0,4+2)),"")))))))</f>
      </c>
      <c r="BZ20" s="24">
        <f>IF($B20="","",IF($AN20="NJ",IF('Your Pay &amp; Benefits'!$C$77="B",SUMPRODUCT(($AZ20&gt;=INDEX('How This Works &amp; Sources'!$B$155:$J$162,0,4))*INDEX('How This Works &amp; Sources'!$B$155:$J$162,0,4+2)),IF('Your Pay &amp; Benefits'!$C$77="C",SUMPRODUCT(($AZ20&gt;=INDEX('How This Works &amp; Sources'!$B$155:$J$162,0,7))*INDEX('How This Works &amp; Sources'!$B$155:$J$162,0,7+2)),IF('Your Pay &amp; Benefits'!$C$77="D",SUMPRODUCT(($AZ20&gt;=INDEX('How This Works &amp; Sources'!$B$167:$J$179,0,1))*INDEX('How This Works &amp; Sources'!$B$167:$J$179,0,1+2)),IF('Your Pay &amp; Benefits'!$C$77="E",SUMPRODUCT(($AZ20&gt;=INDEX('How This Works &amp; Sources'!$B$167:$J$179,0,4))*INDEX('How This Works &amp; Sources'!$B$167:$J$179,0,4+2)),SUMPRODUCT(($AZ20&gt;=INDEX('How This Works &amp; Sources'!$B$155:$J$162,0,1))*INDEX('How This Works &amp; Sources'!$B$155:$J$162,0,1+2)))))),IF($AN20="OR",IF(OR($AU20="Married",AND($AU20="Single",$AS20&gt;=3)),SUMPRODUCT((MAX(0,$AY20-MIN(($P20-'How This Works &amp; Sources'!$C$10*$D20)*'Your Pay &amp; Benefits'!$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Sources'!$B$211:$J$214,0,4))*INDEX('How This Works &amp; Sources'!$B$211:$J$214,0,4+2)),SUMPRODUCT((MAX(0,$AY20-MIN(($P20-'How This Works &amp; Sources'!$C$10*$D20)*'Your Pay &amp; Benefits'!$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Sources'!$B$211:$J$214,0,1))*INDEX('How This Works &amp; Sources'!$B$211:$J$214,0,1+2)))*IF(($P20-'How This Works &amp; Sources'!$C$10*$D20)*'Your Pay &amp; Benefits'!$C$8&gt;=IF(OR($AU20="Married",AND($AU20="Single",$AS20&gt;=3)),IF($AY20&lt;250000,8750,IF($AY20&lt;260000,7000,IF($AY20&lt;270000,5250,IF($AY20&lt;280000,3500,IF($AY20&lt;290000,1750,0))))),IF($AY20&lt;125000,8750,IF($AY20&lt;130000,7000,IF($AY20&lt;135000,5250,IF($AY20&lt;140000,3500,IF($AY20&lt;145000,1750,0)))))),1,1-IF('Your Pay &amp; Benefits'!$C$13,SUMPRODUCT(($AH20&gt;=INDEX('How This Works &amp; Sources'!$B$29:$J$36,0,IF('Your Pay &amp; Benefits'!$C$12="MFJ",1,IF('Your Pay &amp; Benefits'!$C$12="HoH",7,4))))*INDEX('How This Works &amp; Sources'!$B$29:$J$36,0,IF('Your Pay &amp; Benefits'!$C$12="MFJ",1,IF('Your Pay &amp; Benefits'!$C$12="HoH",7,4))+2)),SUMPRODUCT(($AH20&gt;=INDEX('How This Works &amp; Sources'!$B$19:$J$26,0,IF('Your Pay &amp; Benefits'!$C$12="MFJ",1,IF('Your Pay &amp; Benefits'!$C$12="HoH",7,4))))*INDEX('How This Works &amp; Sources'!$B$19:$J$26,0,IF('Your Pay &amp; Benefits'!$C$12="MFJ",1,IF('Your Pay &amp; Benefits'!$C$12="HoH",7,4))+2)))),IF($AN20="MI",IF($AY20&gt;5900*$AS20,0.0425,0),""))))</f>
      </c>
      <c r="CA20" s="24">
        <f>IF($B20="","",IF($AN20="AL",IF(OR($AU20="Married",$AU20="Head of household"),SUMPRODUCT(($AZ20&gt;=INDEX('How This Works &amp; Sources'!$B$82:$J$86,0,4))*INDEX('How This Works &amp; Sources'!$B$82:$J$86,0,4+2)),SUMPRODUCT(($AZ20&gt;=INDEX('How This Works &amp; Sources'!$B$82:$J$86,0,1))*INDEX('How This Works &amp; Sources'!$B$82:$J$86,0,1+2)))*(1-IF('Your Pay &amp; Benefits'!$C$13,SUMPRODUCT(($AH20&gt;=INDEX('How This Works &amp; Sources'!$B$29:$J$36,0,IF('Your Pay &amp; Benefits'!$C$12="MFJ",1,IF('Your Pay &amp; Benefits'!$C$12="HoH",7,4))))*INDEX('How This Works &amp; Sources'!$B$29:$J$36,0,IF('Your Pay &amp; Benefits'!$C$12="MFJ",1,IF('Your Pay &amp; Benefits'!$C$12="HoH",7,4))+2)),SUMPRODUCT(($AH20&gt;=INDEX('How This Works &amp; Sources'!$B$19:$J$26,0,IF('Your Pay &amp; Benefits'!$C$12="MFJ",1,IF('Your Pay &amp; Benefits'!$C$12="HoH",7,4))))*INDEX('How This Works &amp; Sources'!$B$19:$J$26,0,IF('Your Pay &amp; Benefits'!$C$12="MFJ",1,IF('Your Pay &amp; Benefits'!$C$12="HoH",7,4))+2)))),IF($AN20="KS",IF($AU20="Married",SUMPRODUCT(($AZ20&gt;=INDEX('How This Works &amp; Sources'!$B$103:$J$109,0,4))*INDEX('How This Works &amp; Sources'!$B$103:$J$109,0,4+2)),SUMPRODUCT(($AZ20&gt;=INDEX('How This Works &amp; Sources'!$B$103:$J$109,0,1))*INDEX('How This Works &amp; Sources'!$B$103:$J$109,0,1+2))),IF($AN20="MD",IF(OR($AU20="Married",$AU20="Head of household"),SUMPRODUCT(($AZ20&gt;=INDEX('How This Works &amp; Sources'!$B$114:$J$120,0,1))*INDEX('How This Works &amp; Sources'!$B$114:$J$120,0,1+2)),SUMPRODUCT(($AZ20&gt;=INDEX('How This Works &amp; Sources'!$B$103:$J$109,0,7))*INDEX('How This Works &amp; Sources'!$B$103:$J$109,0,7+2)))+'Your Pay &amp; Benefits'!$C$74,IF($AN20="MT",IF($AU20="Head of household",SUMPRODUCT(($AZ20&gt;=INDEX('How This Works &amp; Sources'!$B$137:$J$139,0,1))*INDEX('How This Works &amp; Sources'!$B$137:$J$139,0,1+2)),IF($AU20="Married",SUMPRODUCT(($AZ20&gt;=INDEX('How This Works &amp; Sources'!$B$125:$J$132,0,7))*INDEX('How This Works &amp; Sources'!$B$125:$J$132,0,7+2)),SUMPRODUCT(($AZ20&gt;=INDEX('How This Works &amp; Sources'!$B$125:$J$132,0,4))*INDEX('How This Works &amp; Sources'!$B$125:$J$132,0,4+2)))),IF($AN20="ND",IF($AU20="Head of household",SUMPRODUCT(($AZ20&gt;=INDEX('How This Works &amp; Sources'!$B$144:$J$150,0,1))*INDEX('How This Works &amp; Sources'!$B$144:$J$150,0,1+2)),IF($AU20="Married",SUMPRODUCT(($AZ20&gt;=INDEX('How This Works &amp; Sources'!$B$137:$J$139,0,7))*INDEX('How This Works &amp; Sources'!$B$137:$J$139,0,7+2)),SUMPRODUCT(($AZ20&gt;=INDEX('How This Works &amp; Sources'!$B$137:$J$139,0,4))*INDEX('How This Works &amp; Sources'!$B$137:$J$139,0,4+2)))),IF($AN20="NY",IF($AU20="Married",IF($AZ20&gt;=2155350,IF($AZ20&gt;25000000,0.117,IF($AZ20&gt;5000000,0.111,0.1045)),SUMPRODUCT(($AZ20&gt;=INDEX('How This Works &amp; Sources'!$B$184:$J$198,0,1))*INDEX('How This Works &amp; Sources'!$B$184:$J$198,0,1+2))),IF($AZ20&gt;=1077550,IF($AZ20&gt;25000000,0.117,IF($AZ20&gt;5000000,0.111,0.1045)),SUMPRODUCT(($AZ20&gt;=INDEX('How This Works &amp; Sources'!$B$167:$J$179,0,7))*INDEX('How This Works &amp; Sources'!$B$167:$J$179,0,7+2)))),"")))))))</f>
      </c>
      <c r="CB20" s="24">
        <f>IF($B20="","",IF($AN20="CA",SUMPRODUCT(($AJ20&gt;=INDEX('How This Works &amp; Sources'!$B$39:$J$48,0,IF($AU20="Married",4,IF($AU20="Head of household",7,1))))*INDEX('How This Works &amp; Sources'!$B$39:$J$48,0,IF($AU20="Married",4,IF($AU20="Head of household",7,1))+2)),IF($AN20="HI",IF($AU20="Married",SUMPRODUCT(($AZ20&gt;=INDEX('How This Works &amp; Sources'!$B$91:$J$98,0,7))*INDEX('How This Works &amp; Sources'!$B$91:$J$98,0,7+2)),SUMPRODUCT(($AZ20&gt;=INDEX('How This Works &amp; Sources'!$B$91:$J$98,0,4))*INDEX('How This Works &amp; Sources'!$B$91:$J$98,0,4+2))),IF($AN20="MN",IF($AU20="Married",SUMPRODUCT(($AZ20&gt;=INDEX('How This Works &amp; Sources'!$B$114:$J$120,0,7))*INDEX('How This Works &amp; Sources'!$B$114:$J$120,0,7+2)),SUMPRODUCT(($AZ20&gt;=INDEX('How This Works &amp; Sources'!$B$114:$J$120,0,4))*INDEX('How This Works &amp; Sources'!$B$114:$J$120,0,4+2))),IF($AN20="MO",SUMPRODUCT(($AZ20&gt;=INDEX('How This Works &amp; Sources'!$B$125:$J$132,0,1))*INDEX('How This Works &amp; Sources'!$B$125:$J$132,0,1+2)),IF($AN20="NE",MAX(IF($AU20="Married",SUMPRODUCT(($AZ20&gt;=INDEX('How This Works &amp; Sources'!$B$144:$J$150,0,7))*INDEX('How This Works &amp; Sources'!$B$144:$J$150,0,7+2)),SUMPRODUCT(($AZ20&gt;=INDEX('How This Works &amp; Sources'!$B$144:$J$150,0,4))*INDEX('How This Works &amp; Sources'!$B$144:$J$150,0,4+2))),0.015),IF($AN20="OH",IF($B20&gt;=DATE(2026,8,1),SUMPRODUCT(($AZ20&gt;=INDEX('How This Works &amp; Sources'!$B$203:$J$206,0,1))*INDEX('How This Works &amp; Sources'!$B$203:$J$206,0,1+2)),SUMPRODUCT(($AZ20&gt;=INDEX('How This Works &amp; Sources'!$B$184:$J$198,0,7))*INDEX('How This Works &amp; Sources'!$B$184:$J$198,0,7+2))),IF($AN20="OK",IF($AU20="Married",SUMPRODUCT(($AZ20&gt;=INDEX('How This Works &amp; Sources'!$B$203:$J$206,0,7))*INDEX('How This Works &amp; Sources'!$B$203:$J$206,0,7+2)),SUMPRODUCT(($AZ20&gt;=INDEX('How This Works &amp; Sources'!$B$203:$J$206,0,4))*INDEX('How This Works &amp; Sources'!$B$203:$J$206,0,4+2))),IF($AN20="RI",SUMPRODUCT(($AZ20&gt;=INDEX('How This Works &amp; Sources'!$B$211:$J$214,0,7))*INDEX('How This Works &amp; Sources'!$B$211:$J$214,0,7+2)),IF($AN20="SC",SUMPRODUCT(($AZ20&gt;=INDEX('How This Works &amp; Sources'!$B$219:$J$223,0,1))*INDEX('How This Works &amp; Sources'!$B$219:$J$223,0,1+2)),IF($AN20="VT",IF($AU20="Married",SUMPRODUCT(($AZ20&gt;=INDEX('How This Works &amp; Sources'!$B$228:$J$232,0,1))*INDEX('How This Works &amp; Sources'!$B$228:$J$232,0,1+2)),SUMPRODUCT(($AZ20&gt;=INDEX('How This Works &amp; Sources'!$B$219:$J$223,0,7))*INDEX('How This Works &amp; Sources'!$B$219:$J$223,0,7+2))),IF($AN20="WV",IF($AU20="Married",SUMPRODUCT(($AZ20&gt;=INDEX('How This Works &amp; Sources'!$B$237:$J$241,0,7))*INDEX('How This Works &amp; Sources'!$B$237:$J$241,0,7+2)),SUMPRODUCT(($AZ20&gt;=INDEX('How This Works &amp; Sources'!$B$228:$J$232,0,7))*INDEX('How This Works &amp; Sources'!$B$228:$J$232,0,7+2))),IF($AN20="IN",(0.0295+'Your Pay &amp; Benefits'!$C$76),"")))))))))))))</f>
      </c>
      <c r="CC20" s="24">
        <f>IF($B20="","",IF($AN20="AR",SUMPRODUCT(($AZ20&gt;=INDEX('How This Works &amp; Sources'!$B$82:$J$86,0,7))*INDEX('How This Works &amp; Sources'!$B$82:$J$86,0,7+2)),IF($AN20="DE",SUMPRODUCT(($AZ20&gt;=INDEX('How This Works &amp; Sources'!$B$91:$J$98,0,1))*INDEX('How This Works &amp; Sources'!$B$91:$J$98,0,1+2)),IF($AN20="VA",SUMPRODUCT(($AZ20&gt;=INDEX('How This Works &amp; Sources'!$B$219:$J$223,0,4))*INDEX('How This Works &amp; Sources'!$B$219:$J$223,0,4+2)),IF($AN20="WI",SUMPRODUCT(($AZ20&gt;=INDEX('How This Works &amp; Sources'!$B$228:$J$232,0,4))*INDEX('How This Works &amp; Sources'!$B$228:$J$232,0,4+2)),IF($AN20="AZ",'Your Pay &amp; Benefits'!$C$82,IF($AN20="CO",IF($AY20&gt;IF($AU20="Married",10000,5000),0.044,0),IF($AN20="IA",IF($AY20&gt;IF($AU20="Head of household",19500,IF($AU20="Married",26000,13000)),0.038,0),IF($AN20="ID",IF($AY20&gt;IF($AU20="Married",32000,16094),0.053,0),IF($AN20="IL",IF($AY20&gt;(2925*$AS20+1000*$AT20),0.0495,0),IF($AN20="KY",IF($AI20&gt;3360,0.035,0),IF($AN20="LA",0.0309,IF($AN20="MA",IF(MAX(0,$AY20-MIN(($BD19+$Q20+$R20+$S20),2000)-IF($AS20=0,0,IF($AS20=1,4400,1000*$AS20+3400)))&gt;=1107750,0.09,0.05),IF($AN20="MS",IF($AI20-IF($AU20="Head of household",3400,IF($AU20="Married",4600,2300))-'Your Pay &amp; Benefits'!$C$85&gt;10000,0.04,0),IF($AN20="PA",0.0307,"")))))))))))))))</f>
      </c>
      <c r="CD20" s="21">
        <f>IF(YEAR(IF('Your Pay &amp; Benefits'!$C$7="Weekly",'Your Pay &amp; Benefits'!$C$9+7*(($BE19+1)-1),IF('Your Pay &amp; Benefits'!$C$7="Biweekly",'Your Pay &amp; Benefits'!$C$9+14*(($BE19+1)-1),IF('Your Pay &amp; Benefits'!$C$7="Semimonthly",DATE(YEAR('Your Pay &amp; Benefits'!$C$9),MONTH('Your Pay &amp; Benefits'!$C$9)+INT((($BE19+1)-1)/2),MIN(DAY('Your Pay &amp; Benefits'!$C$9),DAY(EOMONTH(DATE(YEAR('Your Pay &amp; Benefits'!$C$9),MONTH('Your Pay &amp; Benefits'!$C$9)+INT((($BE19+1)-1)/2),1),0))))+IF(MOD(($BE19+1)-1,2)=1,15,0),EDATE('Your Pay &amp; Benefits'!$C$9,($BE19+1)-1)))))&lt;&gt;'Your Pay &amp; Benefits'!$C$10,"",IF('Your Pay &amp; Benefits'!$C$7="Weekly",'Your Pay &amp; Benefits'!$C$9+7*(($BE19+1)-1),IF('Your Pay &amp; Benefits'!$C$7="Biweekly",'Your Pay &amp; Benefits'!$C$9+14*(($BE19+1)-1),IF('Your Pay &amp; Benefits'!$C$7="Semimonthly",DATE(YEAR('Your Pay &amp; Benefits'!$C$9),MONTH('Your Pay &amp; Benefits'!$C$9)+INT((($BE19+1)-1)/2),MIN(DAY('Your Pay &amp; Benefits'!$C$9),DAY(EOMONTH(DATE(YEAR('Your Pay &amp; Benefits'!$C$9),MONTH('Your Pay &amp; Benefits'!$C$9)+INT((($BE19+1)-1)/2),1),0))))+IF(MOD(($BE19+1)-1,2)=1,15,0),EDATE('Your Pay &amp; Benefits'!$C$9,($BE19+1)-1)))))</f>
      </c>
      <c r="CE20" s="21">
        <f>IF(MIN(IF(AND('Your Pay &amp; Benefits'!$C$58&gt;MAX($B$6:$B19),'Your Pay &amp; Benefits'!$C$58&gt;=DATE('Your Pay &amp; Benefits'!$C$10,1,1),'Your Pay &amp; Benefits'!$C$58&lt;=DATE('Your Pay &amp; Benefits'!$C$10,12,31)),'Your Pay &amp; Benefits'!$C$58,999999),IF(AND('Your Pay &amp; Benefits'!$C$59&gt;MAX($B$6:$B19),'Your Pay &amp; Benefits'!$C$59&gt;=DATE('Your Pay &amp; Benefits'!$C$10,1,1),'Your Pay &amp; Benefits'!$C$59&lt;=DATE('Your Pay &amp; Benefits'!$C$10,12,31)),'Your Pay &amp; Benefits'!$C$59,999999),IF(AND('Your Pay &amp; Benefits'!$C$60&gt;MAX($B$6:$B19),'Your Pay &amp; Benefits'!$C$60&gt;=DATE('Your Pay &amp; Benefits'!$C$10,1,1),'Your Pay &amp; Benefits'!$C$60&lt;=DATE('Your Pay &amp; Benefits'!$C$10,12,31)),'Your Pay &amp; Benefits'!$C$60,999999),IF(AND('Your Pay &amp; Benefits'!$C$61&gt;MAX($B$6:$B19),'Your Pay &amp; Benefits'!$C$61&gt;=DATE('Your Pay &amp; Benefits'!$C$10,1,1),'Your Pay &amp; Benefits'!$C$61&lt;=DATE('Your Pay &amp; Benefits'!$C$10,12,31)),'Your Pay &amp; Benefits'!$C$61,999999),IF(AND('Your Pay &amp; Benefits'!$C$62&gt;MAX($B$6:$B19),'Your Pay &amp; Benefits'!$C$62&gt;=DATE('Your Pay &amp; Benefits'!$C$10,1,1),'Your Pay &amp; Benefits'!$C$62&lt;=DATE('Your Pay &amp; Benefits'!$C$10,12,31)),'Your Pay &amp; Benefits'!$C$62,999999),IF(AND('Your Pay &amp; Benefits'!$C$63&gt;MAX($B$6:$B19),'Your Pay &amp; Benefits'!$C$63&gt;=DATE('Your Pay &amp; Benefits'!$C$10,1,1),'Your Pay &amp; Benefits'!$C$63&lt;=DATE('Your Pay &amp; Benefits'!$C$10,12,31)),'Your Pay &amp; Benefits'!$C$63,999999),IF(AND('Your Pay &amp; Benefits'!$C$64&gt;MAX($B$6:$B19),'Your Pay &amp; Benefits'!$C$64&gt;=DATE('Your Pay &amp; Benefits'!$C$10,1,1),'Your Pay &amp; Benefits'!$C$64&lt;=DATE('Your Pay &amp; Benefits'!$C$10,12,31)),'Your Pay &amp; Benefits'!$C$64,999999),IF(AND('Your Pay &amp; Benefits'!$C$65&gt;MAX($B$6:$B19),'Your Pay &amp; Benefits'!$C$65&gt;=DATE('Your Pay &amp; Benefits'!$C$10,1,1),'Your Pay &amp; Benefits'!$C$65&lt;=DATE('Your Pay &amp; Benefits'!$C$10,12,31)),'Your Pay &amp; Benefits'!$C$65,999999),IF(AND('Your Pay &amp; Benefits'!$C$66&gt;MAX($B$6:$B19),'Your Pay &amp; Benefits'!$C$66&gt;=DATE('Your Pay &amp; Benefits'!$C$10,1,1),'Your Pay &amp; Benefits'!$C$66&lt;=DATE('Your Pay &amp; Benefits'!$C$10,12,31)),'Your Pay &amp; Benefits'!$C$66,999999),IF(AND('Your Pay &amp; Benefits'!$C$67&gt;MAX($B$6:$B19),'Your Pay &amp; Benefits'!$C$67&gt;=DATE('Your Pay &amp; Benefits'!$C$10,1,1),'Your Pay &amp; Benefits'!$C$67&lt;=DATE('Your Pay &amp; Benefits'!$C$10,12,31)),'Your Pay &amp; Benefits'!$C$67,999999))=999999,"",MIN(IF(AND('Your Pay &amp; Benefits'!$C$58&gt;MAX($B$6:$B19),'Your Pay &amp; Benefits'!$C$58&gt;=DATE('Your Pay &amp; Benefits'!$C$10,1,1),'Your Pay &amp; Benefits'!$C$58&lt;=DATE('Your Pay &amp; Benefits'!$C$10,12,31)),'Your Pay &amp; Benefits'!$C$58,999999),IF(AND('Your Pay &amp; Benefits'!$C$59&gt;MAX($B$6:$B19),'Your Pay &amp; Benefits'!$C$59&gt;=DATE('Your Pay &amp; Benefits'!$C$10,1,1),'Your Pay &amp; Benefits'!$C$59&lt;=DATE('Your Pay &amp; Benefits'!$C$10,12,31)),'Your Pay &amp; Benefits'!$C$59,999999),IF(AND('Your Pay &amp; Benefits'!$C$60&gt;MAX($B$6:$B19),'Your Pay &amp; Benefits'!$C$60&gt;=DATE('Your Pay &amp; Benefits'!$C$10,1,1),'Your Pay &amp; Benefits'!$C$60&lt;=DATE('Your Pay &amp; Benefits'!$C$10,12,31)),'Your Pay &amp; Benefits'!$C$60,999999),IF(AND('Your Pay &amp; Benefits'!$C$61&gt;MAX($B$6:$B19),'Your Pay &amp; Benefits'!$C$61&gt;=DATE('Your Pay &amp; Benefits'!$C$10,1,1),'Your Pay &amp; Benefits'!$C$61&lt;=DATE('Your Pay &amp; Benefits'!$C$10,12,31)),'Your Pay &amp; Benefits'!$C$61,999999),IF(AND('Your Pay &amp; Benefits'!$C$62&gt;MAX($B$6:$B19),'Your Pay &amp; Benefits'!$C$62&gt;=DATE('Your Pay &amp; Benefits'!$C$10,1,1),'Your Pay &amp; Benefits'!$C$62&lt;=DATE('Your Pay &amp; Benefits'!$C$10,12,31)),'Your Pay &amp; Benefits'!$C$62,999999),IF(AND('Your Pay &amp; Benefits'!$C$63&gt;MAX($B$6:$B19),'Your Pay &amp; Benefits'!$C$63&gt;=DATE('Your Pay &amp; Benefits'!$C$10,1,1),'Your Pay &amp; Benefits'!$C$63&lt;=DATE('Your Pay &amp; Benefits'!$C$10,12,31)),'Your Pay &amp; Benefits'!$C$63,999999),IF(AND('Your Pay &amp; Benefits'!$C$64&gt;MAX($B$6:$B19),'Your Pay &amp; Benefits'!$C$64&gt;=DATE('Your Pay &amp; Benefits'!$C$10,1,1),'Your Pay &amp; Benefits'!$C$64&lt;=DATE('Your Pay &amp; Benefits'!$C$10,12,31)),'Your Pay &amp; Benefits'!$C$64,999999),IF(AND('Your Pay &amp; Benefits'!$C$65&gt;MAX($B$6:$B19),'Your Pay &amp; Benefits'!$C$65&gt;=DATE('Your Pay &amp; Benefits'!$C$10,1,1),'Your Pay &amp; Benefits'!$C$65&lt;=DATE('Your Pay &amp; Benefits'!$C$10,12,31)),'Your Pay &amp; Benefits'!$C$65,999999),IF(AND('Your Pay &amp; Benefits'!$C$66&gt;MAX($B$6:$B19),'Your Pay &amp; Benefits'!$C$66&gt;=DATE('Your Pay &amp; Benefits'!$C$10,1,1),'Your Pay &amp; Benefits'!$C$66&lt;=DATE('Your Pay &amp; Benefits'!$C$10,12,31)),'Your Pay &amp; Benefits'!$C$66,999999),IF(AND('Your Pay &amp; Benefits'!$C$67&gt;MAX($B$6:$B19),'Your Pay &amp; Benefits'!$C$67&gt;=DATE('Your Pay &amp; Benefits'!$C$10,1,1),'Your Pay &amp; Benefits'!$C$67&lt;=DATE('Your Pay &amp; Benefits'!$C$10,12,31)),'Your Pay &amp; Benefits'!$C$67,999999)))</f>
      </c>
      <c r="CF20">
        <f>IF($B20="","",IF($D20=0,$Y20,""))</f>
      </c>
    </row>
    <row r="21">
      <c r="A21" t="n">
        <v>16</v>
      </c>
      <c r="B21" s="21">
        <f>IF(AND($CD21="",$CE21=""),"",IF($CE21="",$CD21,IF($CD21="",$CE21,MIN($CD21,$CE21))))</f>
      </c>
      <c r="C21" s="7">
        <f>IF($B21="","",IF($BF21=0,0,IF('Your Pay &amp; Benefits'!$C$4="Annual salary",ROUND($AK21/IF(AND('Your Pay &amp; Benefits'!$C$88="Actual paydays",MONTH('Your Pay &amp; Benefits'!$C$9)=1),MAX(1,MAX($BE$6:$BE$68)),'Your Pay &amp; Benefits'!$C$8),2),$AK21)))</f>
      </c>
      <c r="D21" s="7">
        <f>IF($B21="","",SUMIF('Your Pay &amp; Benefits'!$C$58:$C$67,$B21,'Your Pay &amp; Benefits'!$D$58:$D$67))</f>
      </c>
      <c r="E21" s="7">
        <f>IF($B21="","",ROUND(MAX(0,MIN(IF($AL21="Percent",$AM21*($C21+$D21),$AM21),MAX(0,'Your Pay &amp; Benefits'!$C$34-$AC20))),2))</f>
      </c>
      <c r="F21" s="7">
        <f>IF($B21="","",ROUND(MAX(0,MIN(IF('Your Pay &amp; Benefits'!$C$32="Percent",'Your Pay &amp; Benefits'!$D$32*($C21+$D21),'Your Pay &amp; Benefits'!$D$32),MAX(0,'Your Pay &amp; Benefits'!$C$34-$AC20-$E21))),2))</f>
      </c>
      <c r="G21" s="7">
        <f>IF($B21="","",IF($BF21=0,0,ROUND(MAX(0,MIN($BL21,'Your Pay &amp; Benefits'!$C$37-'Your Pay &amp; Benefits'!$C$54-$BI20)),2)))</f>
      </c>
      <c r="H21" s="7">
        <f>IF($B21="","",IF(OR($BF21=0,$BQ21=1),0,ROUND(MAX(0,MIN(IF($BS21=1,ROUND(MAX(0,MIN($BJ21,'How This Works &amp; Sources'!$C$13)-$BG20)/MAX(1,MAX($BE$6:$BE$68)-($BE20)),2),ROUND(MIN($BJ21,'How This Works &amp; Sources'!$C$13)/'Your Pay &amp; Benefits'!$C$8,2)),MIN($BJ21,'How This Works &amp; Sources'!$C$13)-$BG20)),2)))</f>
      </c>
      <c r="I21" s="7">
        <f>IF($B21="","",IF(OR($BF21=0,$BR21=1),0,ROUND(MAX(0,MIN(IF($BT21=1,ROUND(MAX(0,MIN($BK21,IF('Your Pay &amp; Benefits'!$C$12="MFJ",'How This Works &amp; Sources'!$C$14,'How This Works &amp; Sources'!$C$15))-$BH20)/MAX(1,MAX($BE$6:$BE$68)-($BE20)),2),ROUND(MIN($BK21,IF('Your Pay &amp; Benefits'!$C$12="MFJ",'How This Works &amp; Sources'!$C$14,'How This Works &amp; Sources'!$C$15))/'Your Pay &amp; Benefits'!$C$8,2)),MIN($BK21,IF('Your Pay &amp; Benefits'!$C$12="MFJ",'How This Works &amp; Sources'!$C$14,'How This Works &amp; Sources'!$C$15))-$BH20)),2)))</f>
      </c>
      <c r="J21" s="7">
        <f>IF($B21="","",IF($BF21=0,0,$BM21))</f>
      </c>
      <c r="K21" s="7">
        <f>IF($B21="","",IF($BF21=0,0,$BN21+$BO21))</f>
      </c>
      <c r="L21" s="7">
        <f>IF($B21="","",IF($BF21=0,0,'Your Pay &amp; Benefits'!$D$46))</f>
      </c>
      <c r="M21" s="7">
        <f>IF($B21="","",$C21+$D21+$L21-$E21-$G21-$H21-$I21-$J21-$K21)</f>
      </c>
      <c r="N21" s="7">
        <f>IF($B21="","",$C21+$D21+$L21-$G21-$H21-$I21-$J21-$K21)</f>
      </c>
      <c r="O21" s="7">
        <f>IF($B21="","",$C21+$D21+$L21-$E21-$H21-$I21-$J21-$K21-IF(OR($AN21="CA",$AN21="NJ"),0,$G21))</f>
      </c>
      <c r="P21" s="7">
        <f>IF($B21="","",IF('Your Pay &amp; Benefits'!$C$18,0,ROUND(MAX(0,IF('Your Pay &amp; Benefits'!$C$13,SUMPRODUCT(($AH21&gt;INDEX('How This Works &amp; Sources'!$B$29:$J$36,0,IF('Your Pay &amp; Benefits'!$C$12="MFJ",1,IF('Your Pay &amp; Benefits'!$C$12="HoH",7,4))))*($AH21-INDEX('How This Works &amp; Sources'!$B$29:$J$36,0,IF('Your Pay &amp; Benefits'!$C$12="MFJ",1,IF('Your Pay &amp; Benefits'!$C$12="HoH",7,4))))*INDEX('How This Works &amp; Sources'!$B$29:$J$36,0,IF('Your Pay &amp; Benefits'!$C$12="MFJ",1,IF('Your Pay &amp; Benefits'!$C$12="HoH",7,4))+2)),SUMPRODUCT(($AH21&gt;INDEX('How This Works &amp; Sources'!$B$19:$J$26,0,IF('Your Pay &amp; Benefits'!$C$12="MFJ",1,IF('Your Pay &amp; Benefits'!$C$12="HoH",7,4))))*($AH21-INDEX('How This Works &amp; Sources'!$B$19:$J$26,0,IF('Your Pay &amp; Benefits'!$C$12="MFJ",1,IF('Your Pay &amp; Benefits'!$C$12="HoH",7,4))))*INDEX('How This Works &amp; Sources'!$B$19:$J$26,0,IF('Your Pay &amp; Benefits'!$C$12="MFJ",1,IF('Your Pay &amp; Benefits'!$C$12="HoH",7,4))+2)))/'Your Pay &amp; Benefits'!$C$8-$AO21/'Your Pay &amp; Benefits'!$C$8)+$AR21+IF('Your Pay &amp; Benefits'!$C$89="Aggregate",MAX(0,IF('Your Pay &amp; Benefits'!$C$13,SUMPRODUCT((($AH21+$D21)&gt;INDEX('How This Works &amp; Sources'!$B$29:$J$36,0,IF('Your Pay &amp; Benefits'!$C$12="MFJ",1,IF('Your Pay &amp; Benefits'!$C$12="HoH",7,4))))*(($AH21+$D21)-INDEX('How This Works &amp; Sources'!$B$29:$J$36,0,IF('Your Pay &amp; Benefits'!$C$12="MFJ",1,IF('Your Pay &amp; Benefits'!$C$12="HoH",7,4))))*INDEX('How This Works &amp; Sources'!$B$29:$J$36,0,IF('Your Pay &amp; Benefits'!$C$12="MFJ",1,IF('Your Pay &amp; Benefits'!$C$12="HoH",7,4))+2)),SUMPRODUCT((($AH21+$D21)&gt;INDEX('How This Works &amp; Sources'!$B$19:$J$26,0,IF('Your Pay &amp; Benefits'!$C$12="MFJ",1,IF('Your Pay &amp; Benefits'!$C$12="HoH",7,4))))*(($AH21+$D21)-INDEX('How This Works &amp; Sources'!$B$19:$J$26,0,IF('Your Pay &amp; Benefits'!$C$12="MFJ",1,IF('Your Pay &amp; Benefits'!$C$12="HoH",7,4))))*INDEX('How This Works &amp; Sources'!$B$19:$J$26,0,IF('Your Pay &amp; Benefits'!$C$12="MFJ",1,IF('Your Pay &amp; Benefits'!$C$12="HoH",7,4))+2)))-IF('Your Pay &amp; Benefits'!$C$13,SUMPRODUCT(($AH21&gt;INDEX('How This Works &amp; Sources'!$B$29:$J$36,0,IF('Your Pay &amp; Benefits'!$C$12="MFJ",1,IF('Your Pay &amp; Benefits'!$C$12="HoH",7,4))))*($AH21-INDEX('How This Works &amp; Sources'!$B$29:$J$36,0,IF('Your Pay &amp; Benefits'!$C$12="MFJ",1,IF('Your Pay &amp; Benefits'!$C$12="HoH",7,4))))*INDEX('How This Works &amp; Sources'!$B$29:$J$36,0,IF('Your Pay &amp; Benefits'!$C$12="MFJ",1,IF('Your Pay &amp; Benefits'!$C$12="HoH",7,4))+2)),SUMPRODUCT(($AH21&gt;INDEX('How This Works &amp; Sources'!$B$19:$J$26,0,IF('Your Pay &amp; Benefits'!$C$12="MFJ",1,IF('Your Pay &amp; Benefits'!$C$12="HoH",7,4))))*($AH21-INDEX('How This Works &amp; Sources'!$B$19:$J$26,0,IF('Your Pay &amp; Benefits'!$C$12="MFJ",1,IF('Your Pay &amp; Benefits'!$C$12="HoH",7,4))))*INDEX('How This Works &amp; Sources'!$B$19:$J$26,0,IF('Your Pay &amp; Benefits'!$C$12="MFJ",1,IF('Your Pay &amp; Benefits'!$C$12="HoH",7,4))+2)))),'How This Works &amp; Sources'!$C$10*$D21),2)))</f>
      </c>
      <c r="Q21" s="7">
        <f>IF($B21="","",ROUND('How This Works &amp; Sources'!$C$4*MIN($N21,MAX(0,'How This Works &amp; Sources'!$C$3-($AX21+$AB20-$AW21))),2))</f>
      </c>
      <c r="R21" s="7">
        <f>IF($B21="","",ROUND('How This Works &amp; Sources'!$C$5*$N21,2))</f>
      </c>
      <c r="S21" s="7">
        <f>IF($B21="","",ROUND('How This Works &amp; Sources'!$C$6*MAX(0,MIN($N21,$AG20+$N21-'How This Works &amp; Sources'!$C$7)),2))</f>
      </c>
      <c r="T21" s="7">
        <f>IF($B21="","",IF('Your Pay &amp; Benefits'!$C$26,0,IF($AN21="CA",ROUND(IF($AI21&lt;=IF(($AS21+$AT21)&gt;=2,VLOOKUP($AN21,StateTables!$A$6:$AB$56,10,FALSE),VLOOKUP($AN21,StateTables!$A$6:$AB$56,9,FALSE)),0,MAX(0,SUMPRODUCT(($AJ21&gt;INDEX('How This Works &amp; Sources'!$B$39:$J$48,0,IF($AU21="Married",4,IF($AU21="Head of household",7,1))))*($AJ21-INDEX('How This Works &amp; Sources'!$B$39:$J$48,0,IF($AU21="Married",4,IF($AU21="Head of household",7,1))))*INDEX('How This Works &amp; Sources'!$B$39:$J$48,0,IF($AU21="Married",4,IF($AU21="Head of household",7,1))+2))-VLOOKUP($AN21,StateTables!$A$6:$AB$56,11,FALSE)*$AS21)/'Your Pay &amp; Benefits'!$C$8)+'Your Pay &amp; Benefits'!$C$25+VLOOKUP($AN21,StateTables!$A$6:$AB$56,13,FALSE)*$D21,2),IF(VLOOKUP($AN21,StateTables!$A$6:$AB$56,4,FALSE)="None",0,IF(ISNUMBER(SEARCH("MANUAL",VLOOKUP($AN21,StateTables!$A$6:$AB$56,5,FALSE))),'Your Pay &amp; Benefits'!$C$28,ROUND(MAX(0,$BA21+$BB21)/'Your Pay &amp; Benefits'!$C$8+'Your Pay &amp; Benefits'!$C$25+$BC21,2))))))</f>
      </c>
      <c r="U21" s="7">
        <f>IF($B21="","",IF(VLOOKUP($AN21,StateTables!$A$6:$AB$56,24,FALSE)="flatq",IF(OR(MONTH($B21)=1,MONTH($B21)=4,MONTH($B21)=7,MONTH($B21)=10),VLOOKUP($AN21,StateTables!$A$6:$AB$56,25,FALSE),0),IF(VLOOKUP($AN21,StateTables!$A$6:$AB$56,24,FALSE)="dbl",MIN(ROUND(0.005*$N21,2),ROUND(0.6*52/'Your Pay &amp; Benefits'!$C$8,2)),IF(OR(VLOOKUP($AN21,StateTables!$A$6:$AB$56,15,FALSE)="",VLOOKUP($AN21,StateTables!$A$6:$AB$56,15,FALSE)=0),0,ROUND(VLOOKUP($AN21,StateTables!$A$6:$AB$56,15,FALSE)*IF(OR(VLOOKUP($AN21,StateTables!$A$6:$AB$56,16,FALSE)="",VLOOKUP($AN21,StateTables!$A$6:$AB$56,16,FALSE)=0),$N21,MIN($N21,MAX(0,VLOOKUP($AN21,StateTables!$A$6:$AB$56,16,FALSE)-($AX21+$AB20-$AW21)))),2))))+IF(VLOOKUP($AN21,StateTables!$A$6:$AB$56,27,FALSE)="flatq",IF(OR(MONTH($B21)=1,MONTH($B21)=4,MONTH($B21)=7,MONTH($B21)=10),VLOOKUP($AN21,StateTables!$A$6:$AB$56,28,FALSE),0),IF(VLOOKUP($AN21,StateTables!$A$6:$AB$56,27,FALSE)="dbl",MIN(ROUND(0.005*$N21,2),ROUND(0.6*52/'Your Pay &amp; Benefits'!$C$8,2)),IF(OR(VLOOKUP($AN21,StateTables!$A$6:$AB$56,18,FALSE)="",VLOOKUP($AN21,StateTables!$A$6:$AB$56,18,FALSE)=0),0,ROUND(VLOOKUP($AN21,StateTables!$A$6:$AB$56,18,FALSE)*IF(OR(VLOOKUP($AN21,StateTables!$A$6:$AB$56,19,FALSE)="",VLOOKUP($AN21,StateTables!$A$6:$AB$56,19,FALSE)=0),$N21,MIN($N21,MAX(0,VLOOKUP($AN21,StateTables!$A$6:$AB$56,19,FALSE)-($AX21+$AB20-$AW21)))),2)))))</f>
      </c>
      <c r="V21" s="7">
        <f>IF($B21="","",IF($AN21="NY",IF('Your Pay &amp; Benefits'!$C$78,ROUND(SUMPRODUCT((MAX(0,($O21-$D21)*'Your Pay &amp; Benefits'!$C$8-(IF($AU21="Married",5500,5000)+1000*$AS21))&gt;INDEX('How This Works &amp; Sources'!$B$184:$J$198,0,4))*(MAX(0,($O21-$D21)*'Your Pay &amp; Benefits'!$C$8-(IF($AU21="Married",5500,5000)+1000*$AS21))-INDEX('How This Works &amp; Sources'!$B$184:$J$198,0,4))*INDEX('How This Works &amp; Sources'!$B$184:$J$198,0,4+2))/'Your Pay &amp; Benefits'!$C$8+0.0425*$D21,2),0)+IF('Your Pay &amp; Benefits'!$C$79="Resident",ROUND(0.1675*$T21,2),IF('Your Pay &amp; Benefits'!$C$79="Nonresident",ROUND(0.005*MAX(0,($O21-$D21)-(IF($AU21="Married",7950,7400)+1000*$AS21)/'Your Pay &amp; Benefits'!$C$8),2),0)),IF($AN21="PA",IF('Your Pay &amp; Benefits'!$C$80="None",'Your Pay &amp; Benefits'!$C$27+ROUND('Your Pay &amp; Benefits'!$C$81*($C21+$D21),2),ROUND(IF('Your Pay &amp; Benefits'!$C$80="Resident",IF($B21&lt;DATE(2026,7,1),0.0374,0.03735),IF($B21&lt;DATE(2026,7,1),0.0343,0.03425))*($C21+$D21),2)),IF($BF21=0,ROUND('Your Pay &amp; Benefits'!$C$81*($C21+$D21),2),'Your Pay &amp; Benefits'!$C$27+ROUND('Your Pay &amp; Benefits'!$C$81*($C21+$D21),2)))))</f>
      </c>
      <c r="W21" s="7">
        <f>IF($B21="","",IF($BF21=0,0,$BP21))</f>
      </c>
      <c r="X21" s="7">
        <f>IF($B21="","",SUM($E21:$K21)+$P21+$Q21+$R21+$S21+$T21+$U21+$V21+$W21)</f>
      </c>
      <c r="Y21" s="22">
        <f>IF($B21="","",$C21+$D21-$X21)</f>
      </c>
      <c r="Z21" s="7">
        <f>IF($B21="","",$Z20+$C21+$D21)</f>
      </c>
      <c r="AA21" s="7">
        <f>IF($B21="","",$AA20+$Y21)</f>
      </c>
      <c r="AB21" s="7">
        <f>IF($B21="","",$AB20+MIN($N21,MAX(0,'How This Works &amp; Sources'!$C$3-($AX21+$AB20-$AW21))))</f>
      </c>
      <c r="AC21" s="7">
        <f>IF($B21="","",$AC20+$E21+$F21)</f>
      </c>
      <c r="AD21" s="3">
        <f>IF($B21="","",IF(AND($AB20&lt;'How This Works &amp; Sources'!$C$3,$AB21&gt;='How This Works &amp; Sources'!$C$3),"★ Social Security maxed on this check — from the next check your net rises by about $"&amp;TEXT(ROUND('How This Works &amp; Sources'!$C$4*$N21,2),"#,##0.00")&amp;". ","")&amp;IF(AND($AC20&lt;'Your Pay &amp; Benefits'!$C$34,$AC21&gt;='Your Pay &amp; Benefits'!$C$34),"★ 401(k) reaches the $"&amp;TEXT('Your Pay &amp; Benefits'!$C$34,"#,##0")&amp;" cap on this check — deferrals stop and net pay rises. ","")&amp;IF(AND($AG20&lt;'How This Works &amp; Sources'!$C$7,$AG21&gt;='How This Works &amp; Sources'!$C$7),"★ Wages pass $200,000 — the 0.9% Additional Medicare Tax starts here. ","")&amp;IF(AND($BJ21&gt;0,$H21&gt;0,$BG20&lt;MIN($BJ21,'How This Works &amp; Sources'!$C$13),$BG20+$H21&gt;=MIN($BJ21,'How This Works &amp; Sources'!$C$13)),"★ Health FSA election is now fully deferred for the year. ",""))</f>
      </c>
      <c r="AE21" s="41" t="n"/>
      <c r="AF21" s="7">
        <f>IF(OR($B21="",$AE21=""),"",$AE21-$Y21)</f>
      </c>
      <c r="AG21" s="7">
        <f>IF($B21="","",$AG20+$N21)</f>
      </c>
      <c r="AH21" s="7">
        <f>IF($B21="","",MAX(0,($M21-$D21)*'Your Pay &amp; Benefits'!$C$8+$AP21-$AQ21-IF('Your Pay &amp; Benefits'!$C$13,0,IF('Your Pay &amp; Benefits'!$C$12="MFJ",'How This Works &amp; Sources'!$C$8,'How This Works &amp; Sources'!$C$9))))</f>
      </c>
      <c r="AI21" s="7">
        <f>IF($B21="","",$O21*'Your Pay &amp; Benefits'!$C$8)</f>
      </c>
      <c r="AJ21" s="7">
        <f>IF($B21="","",MAX(0,$AI21-VLOOKUP($AN21,StateTables!$A$6:$AB$56,12,FALSE)*$AT21-IF(($AS21+$AT21)&gt;=2,VLOOKUP($AN21,StateTables!$A$6:$AB$56,8,FALSE),VLOOKUP($AN21,StateTables!$A$6:$AB$56,7,FALSE))))</f>
      </c>
      <c r="AK21" s="7">
        <f>IF($B21="","",IFERROR(LOOKUP(2,1/(('Changes &amp; Events'!$C$6:$C$17="Salary change")*('Changes &amp; Events'!$B$6:$B$17&lt;=$B21)*('Changes &amp; Events'!$B$6:$B$17&lt;&gt;"")),'Changes &amp; Events'!$D$6:$D$17),IF('Your Pay &amp; Benefits'!$C$4="Annual salary",'Your Pay &amp; Benefits'!$C$5,'Your Pay &amp; Benefits'!$C$6)))</f>
      </c>
      <c r="AL21">
        <f>IF($B21="","",IFERROR(LOOKUP(2,1/(('Changes &amp; Events'!$C$6:$C$17="401(k) change")*('Changes &amp; Events'!$B$6:$B$17&lt;=$B21)*('Changes &amp; Events'!$B$6:$B$17&lt;&gt;"")),'Changes &amp; Events'!$D$6:$D$17),'Your Pay &amp; Benefits'!$C$30))</f>
      </c>
      <c r="AM21" s="7">
        <f>IF($B21="","",IFERROR(LOOKUP(2,1/(('Changes &amp; Events'!$C$6:$C$17="401(k) change")*('Changes &amp; Events'!$B$6:$B$17&lt;=$B21)*('Changes &amp; Events'!$B$6:$B$17&lt;&gt;"")),'Changes &amp; Events'!$E$6:$E$17),'Your Pay &amp; Benefits'!$D$31))</f>
      </c>
      <c r="AN21">
        <f>IF($B21="","",IFERROR(LOOKUP(2,1/(('Changes &amp; Events'!$C$6:$C$17="State move")*('Changes &amp; Events'!$B$6:$B$17&lt;=$B21)*('Changes &amp; Events'!$B$6:$B$17&lt;&gt;"")),'Changes &amp; Events'!$D$6:$D$17),'Your Pay &amp; Benefits'!$C$21))</f>
      </c>
      <c r="AO21" s="7">
        <f>IF($B21="","",IFERROR(LOOKUP(2,1/(('Changes &amp; Events'!$C$6:$C$17="W-4 change")*('Changes &amp; Events'!$B$6:$B$17&lt;=$B21)*('Changes &amp; Events'!$B$6:$B$17&lt;&gt;"")),'Changes &amp; Events'!$D$6:$D$17),'Your Pay &amp; Benefits'!$C$14))</f>
      </c>
      <c r="AP21" s="7">
        <f>IF($B21="","",IFERROR(LOOKUP(2,1/(('Changes &amp; Events'!$C$6:$C$17="W-4 change")*('Changes &amp; Events'!$B$6:$B$17&lt;=$B21)*('Changes &amp; Events'!$B$6:$B$17&lt;&gt;"")),'Changes &amp; Events'!$E$6:$E$17),'Your Pay &amp; Benefits'!$C$15))</f>
      </c>
      <c r="AQ21" s="7">
        <f>IF($B21="","",IFERROR(LOOKUP(2,1/(('Changes &amp; Events'!$C$6:$C$17="W-4 change")*('Changes &amp; Events'!$B$6:$B$17&lt;=$B21)*('Changes &amp; Events'!$B$6:$B$17&lt;&gt;"")),'Changes &amp; Events'!$F$6:$F$17),'Your Pay &amp; Benefits'!$C$16))</f>
      </c>
      <c r="AR21" s="7">
        <f>IF($B21="","",IFERROR(LOOKUP(2,1/(('Changes &amp; Events'!$C$6:$C$17="W-4 change")*('Changes &amp; Events'!$B$6:$B$17&lt;=$B21)*('Changes &amp; Events'!$B$6:$B$17&lt;&gt;"")),'Changes &amp; Events'!$G$6:$G$17),'Your Pay &amp; Benefits'!$C$17))</f>
      </c>
      <c r="AS21" s="6">
        <f>IF($B21="","",IFERROR(LOOKUP(2,1/((('Changes &amp; Events'!$C$6:$C$17="State move")+('Changes &amp; Events'!$C$6:$C$17="State cert change"))*('Changes &amp; Events'!$B$6:$B$17&lt;=$B21)*('Changes &amp; Events'!$B$6:$B$17&lt;&gt;"")),'Changes &amp; Events'!$F$6:$F$17),'Your Pay &amp; Benefits'!$C$23))</f>
      </c>
      <c r="AT21" s="6">
        <f>IF($B21="","",IFERROR(LOOKUP(2,1/((('Changes &amp; Events'!$C$6:$C$17="State move")+('Changes &amp; Events'!$C$6:$C$17="State cert change"))*('Changes &amp; Events'!$B$6:$B$17&lt;=$B21)*('Changes &amp; Events'!$B$6:$B$17&lt;&gt;"")),'Changes &amp; Events'!$G$6:$G$17),'Your Pay &amp; Benefits'!$C$24))</f>
      </c>
      <c r="AU21">
        <f>IF($B21="","",IFERROR(LOOKUP(2,1/(('Changes &amp; Events'!$C$6:$C$17="State move")*('Changes &amp; Events'!$B$6:$B$17&lt;=$B21)*('Changes &amp; Events'!$B$6:$B$17&lt;&gt;"")),'Changes &amp; Events'!$E$6:$E$17),'Your Pay &amp; Benefits'!$C$22))</f>
      </c>
      <c r="AV21" s="6">
        <f>IF($B21="","",1+COUNTIFS('Changes &amp; Events'!$C$6:$C$17,"Employer change",'Changes &amp; Events'!$B$6:$B$17,"&lt;="&amp;$B21,'Changes &amp; Events'!$B$6:$B$17,"&lt;&gt;"))</f>
      </c>
      <c r="AW21" s="7">
        <f>IF($B21="","",IF($AV21=1,'Your Pay &amp; Benefits'!$C$49,IF(IFERROR(MATCH(IFERROR(LOOKUP(2,1/(('Changes &amp; Events'!$C$6:$C$17="Employer change")*('Changes &amp; Events'!$B$6:$B$17&lt;=$B21)*('Changes &amp; Events'!$B$6:$B$17&lt;&gt;"")),'Changes &amp; Events'!$B$6:$B$17),""),$B$6:$B$68,1),1)&lt;=1,'Your Pay &amp; Benefits'!$C$49,INDEX($AB$6:$AB$68,MATCH(IFERROR(LOOKUP(2,1/(('Changes &amp; Events'!$C$6:$C$17="Employer change")*('Changes &amp; Events'!$B$6:$B$17&lt;=$B21)*('Changes &amp; Events'!$B$6:$B$17&lt;&gt;"")),'Changes &amp; Events'!$B$6:$B$17),""),$B$6:$B$68,1)-1))))</f>
      </c>
      <c r="AX21" s="7">
        <f>IF($B21="","",IF($AV21=1,'Your Pay &amp; Benefits'!$C$49,IFERROR(LOOKUP(2,1/(('Changes &amp; Events'!$C$6:$C$17="Employer change")*('Changes &amp; Events'!$B$6:$B$17&lt;=$B21)*('Changes &amp; Events'!$B$6:$B$17&lt;&gt;"")),'Changes &amp; Events'!$D$6:$D$17),0)))</f>
      </c>
      <c r="AY21" s="7">
        <f>IF($B21="","",($O21-$D21)*'Your Pay &amp; Benefits'!$C$8)</f>
      </c>
      <c r="AZ21" s="7">
        <f>IF($B21="","",IF($AN21="AL",MAX(0,$AY21-IF($AU21="Married",IF($AY21&lt;=25999,8500,MAX(5000,8500-175*CEILING(($AY21-25999)/500,1))),IF($AU21="Head of household",IF($AY21&lt;=25999,5200,MAX(2500,5200-135*CEILING(($AY21-25999)/500,1))),IF($AY21&lt;=25999,3000,MAX(2500,3000-25*CEILING(($AY21-25999)/500,1)))))-($P21-'How This Works &amp; Sources'!$C$10*$D21)*'Your Pay &amp; Benefits'!$C$8-IF(OR($AU21="Married",$AU21="Head of household"),3000,1500)-$AT21*IF($AY21&lt;=50000,1000,IF($AY21&lt;=100000,500,300))),IF($AN21="AR",IF(MAX(0,$AY21-2470)&lt;97701,INT(MAX(0,$AY21-2470)/100)*100+50,MAX(0,$AY21-2470)),IF($AN21="DE",MAX(0,$AI21-3250),IF($AN21="HI",MAX(0,$AI21-1144*$AS21-4350),IF($AN21="KS",MAX(0,$AI21-(9160*IF($AU21="Married",2,1)+2320*$AT21+IF($AU21="Head of household",2320,0))),IF($AN21="MD",MAX(0,$AI21-3400-3200*$AS21),IF($AN21="MN",MAX(0,$AY21-5300*$AS21),IF($AN21="MO",MAX(0,$AI21-IF($AU21="Head of household",24150,IF($AU21="Married",IF('Your Pay &amp; Benefits'!$C$83,16100,32200),16100))),IF($AN21="MT",$AY21,IF($AN21="ND",($C21+$L21)*'Your Pay &amp; Benefits'!$C$8,IF($AN21="NE",MAX(0,$AY21-2440*$AS21),IF($AN21="NJ",MAX(0,$AY21-1000*$AS21),IF($AN21="NY",MAX(0,$AY21-(IF($AU21="Married",7950,7400)+1000*$AS21)),IF($AN21="OH",MAX(0,$AY21-650*$AS21),IF($AN21="OK",MAX(0,$AY21-1000*$AS21),IF($AN21="RI",MAX(0,$AI21-1000*$AS21),IF($AN21="SC",MAX(0,$AI21-5000*$AS21-IF($AS21=0,0,MIN(0.1*$AI21,7500))),IF($AN21="VA",MAX(0,$AI21-IF($AU21="Married",17500,8750)-930*$AS21-800*$AT21),IF($AN21="VT",MAX(0,$AI21-5400*$AS21),IF($AN21="WI",MAX(0,$AI21-MAX(0,IF($AU21="Married",9461-0.2*MAX(0,$AI21-25727),6702-0.12*MAX(0,$AI21-17780)))-400*$AS21),IF($AN21="WV",MAX(0,$AI21-2000*$AS21),$AI21))))))))))))))))))))))</f>
      </c>
      <c r="BA21" s="7">
        <f>IF($B21="","",IF($BW21&lt;&gt;"",$BW21,IF($BX21&lt;&gt;"",$BX21,IF($BY21&lt;&gt;"",$BY21,0))))</f>
      </c>
      <c r="BB21" s="7">
        <f>IF($B21="","",IF($AN21="AR",-29*$AS21,IF($AN21="DE",-110*$AS21,IF($AN21="MD",$AZ21*'Your Pay &amp; Benefits'!$C$74,IF($AN21="AZ",'Your Pay &amp; Benefits'!$C$82*($M21-$D21)*'Your Pay &amp; Benefits'!$C$8,IF($AN21="CO",0.044*MAX(0,$AY21-IF($AU21="Married",10000,5000)),IF($AN21="IA",MAX(0,0.038*MAX(0,$AY21-IF($AU21="Head of household",19500,IF($AU21="Married",26000,13000)))-40*$AS21),IF($AN21="ID",0.053*MAX(0,$AY21-IF($AU21="Married",32000,16094)),IF($AN21="IL",0.0495*MAX(0,$AY21-(2925*$AS21+1000*$AT21)),IF($AN21="IN",(0.0295+'Your Pay &amp; Benefits'!$C$76)*MAX(0,$AY21-(1000*$AS21+1500*$AT21+3000*'Your Pay &amp; Benefits'!$C$86)),IF($AN21="KY",0.035*MAX(0,$AI21-3360),IF($AN21="LA",IF('Your Pay &amp; Benefits'!$C$84="0",0.0309*$AI21,0.0309*MAX(0,$AI21-IF('Your Pay &amp; Benefits'!$C$84="2",25750,12875))),IF($AN21="MA",0.05*MIN(MAX(0,$AY21-MIN(($BD20+$Q21+$R21+$S21),2000)-IF($AS21=0,0,IF($AS21=1,4400,1000*$AS21+3400))),1107750)+0.09*MAX(0,MAX(0,$AY21-MIN(($BD20+$Q21+$R21+$S21),2000)-IF($AS21=0,0,IF($AS21=1,4400,1000*$AS21+3400)))-1107750)-IF($AU21="Head of household",120,0)-110*'Your Pay &amp; Benefits'!$C$75,IF($AN21="MI",0.0425*MAX(0,$AY21-5900*$AS21),IF($AN21="MS",0.04*MAX(0,$AI21-IF($AU21="Head of household",3400,IF($AU21="Married",4600,2300))-'Your Pay &amp; Benefits'!$C$85-10000),IF($AN21="OR",IF(OR($AU21="Married",AND($AU21="Single",$AS21&gt;=3)),SUMPRODUCT((MAX(0,$AY21-MIN(($P21-'How This Works &amp; Sources'!$C$10*$D21)*'Your Pay &amp; Benefits'!$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Sources'!$B$211:$J$214,0,4))*(MAX(0,$AY21-MIN(($P21-'How This Works &amp; Sources'!$C$10*$D21)*'Your Pay &amp; Benefits'!$C$8,IF(OR($AU21="Married",AND($AU21="Single",$AS21&gt;=3)),IF($AY21&lt;250000,8750,IF($AY21&lt;260000,7000,IF($AY21&lt;270000,5250,IF($AY21&lt;280000,3500,IF($AY21&lt;290000,1750,0))))),IF($AY21&lt;125000,8750,IF($AY21&lt;130000,7000,IF($AY21&lt;135000,5250,IF($AY21&lt;140000,3500,IF($AY21&lt;145000,1750,0)))))))-IF(OR($AU21="Married",AND($AU21="Single",$AS21&gt;=3)),5820,2910))-INDEX('How This Works &amp; Sources'!$B$211:$J$214,0,4))*INDEX('How This Works &amp; Sources'!$B$211:$J$214,0,4+2)),SUMPRODUCT((MAX(0,$AY21-MIN(($P21-'How This Works &amp; Sources'!$C$10*$D21)*'Your Pay &amp; Benefits'!$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Sources'!$B$211:$J$214,0,1))*(MAX(0,$AY21-MIN(($P21-'How This Works &amp; Sources'!$C$10*$D21)*'Your Pay &amp; Benefits'!$C$8,IF(OR($AU21="Married",AND($AU21="Single",$AS21&gt;=3)),IF($AY21&lt;250000,8750,IF($AY21&lt;260000,7000,IF($AY21&lt;270000,5250,IF($AY21&lt;280000,3500,IF($AY21&lt;290000,1750,0))))),IF($AY21&lt;125000,8750,IF($AY21&lt;130000,7000,IF($AY21&lt;135000,5250,IF($AY21&lt;140000,3500,IF($AY21&lt;145000,1750,0)))))))-IF(OR($AU21="Married",AND($AU21="Single",$AS21&gt;=3)),5820,2910))-INDEX('How This Works &amp; Sources'!$B$211:$J$214,0,1))*INDEX('How This Works &amp; Sources'!$B$211:$J$214,0,1+2)))+263-263*IF(IF($AU21="Married",$AY21&gt;200000,$AY21&gt;100000),0,$AS21),IF($AN21="PA",0.0307*(($O21+$E21+$G21)*'Your Pay &amp; Benefits'!$C$8),IF($AN21="NY",IF($AU21="Married",IF($AZ21&gt;=2155350,0,IF($AZ21&gt;=1077550,0.48,IF($AZ21&gt;=373200,1.21,IF($AZ21&gt;=323200,0.21,IF($AZ21&gt;=211550,-0.19,IF($AZ21&gt;=157650,-2.8,IF($AZ21&gt;=107650,-0.8,IF($AZ21&gt;=96800,0.05,IF($AZ21&gt;=80650,-0.1,IF($AZ21&gt;=13900,0.4,IF($AZ21&gt;=11700,-0.3,IF($AZ21&gt;=8500,0.5,0)))))))))))),IF($AZ21&gt;=1077550,0,IF($AZ21&gt;=265400,4.29,IF($AZ21&gt;=215400,2.29,IF($AZ21&gt;=157650,2.29,IF($AZ21&gt;=107650,0.29,IF($AZ21&gt;=96800,0.05,IF($AZ21&gt;=80650,-0.1,IF($AZ21&gt;=13900,0.4,IF($AZ21&gt;=11700,-0.3,IF($AZ21&gt;=8500,0.5,0))))))))))),0))))))))))))))))))</f>
      </c>
      <c r="BC21" s="7">
        <f>IF($B21="","",IF($AN21="AL",0.05*$D21,IF($AN21="AR",0.039*$D21,IF($AN21="ID",0.053*$D21,IF($AN21="IN",(0.0295+'Your Pay &amp; Benefits'!$C$76)*$D21,IF($AN21="KS",0.05*$D21,IF($AN21="MA",0.09*MIN($D21,MAX(0,MAX(0,$AY21-MIN(($BD20+$Q21+$R21+$S21),2000)-IF($AS21=0,0,IF($AS21=1,4400,1000*$AS21+3400)))+$D21-1107750))+0.05*($D21-MIN($D21,MAX(0,MAX(0,$AY21-MIN(($BD20+$Q21+$R21+$S21),2000)-IF($AS21=0,0,IF($AS21=1,4400,1000*$AS21+3400)))+$D21-1107750))),IF($AN21="MD",(0.065+'Your Pay &amp; Benefits'!$C$74)*$D21,IF($AN21="MI",0.0425*$D21,IF($AN21="MN",0.0625*$D21,IF($AN21="MO",0.047*$D21,IF($AN21="MT",0.05*$D21,IF($AN21="ND",0.015*$D21,IF($AN21="NE",0.035*$D21,IF($AN21="NJ",IF('Your Pay &amp; Benefits'!$C$77="B",SUMPRODUCT(($D21*'Your Pay &amp; Benefits'!$C$8&gt;INDEX('How This Works &amp; Sources'!$B$155:$J$162,0,4))*($D21*'Your Pay &amp; Benefits'!$C$8-INDEX('How This Works &amp; Sources'!$B$155:$J$162,0,4))*INDEX('How This Works &amp; Sources'!$B$155:$J$162,0,4+2)),IF('Your Pay &amp; Benefits'!$C$77="C",SUMPRODUCT(($D21*'Your Pay &amp; Benefits'!$C$8&gt;INDEX('How This Works &amp; Sources'!$B$155:$J$162,0,7))*($D21*'Your Pay &amp; Benefits'!$C$8-INDEX('How This Works &amp; Sources'!$B$155:$J$162,0,7))*INDEX('How This Works &amp; Sources'!$B$155:$J$162,0,7+2)),IF('Your Pay &amp; Benefits'!$C$77="D",SUMPRODUCT(($D21*'Your Pay &amp; Benefits'!$C$8&gt;INDEX('How This Works &amp; Sources'!$B$167:$J$179,0,1))*($D21*'Your Pay &amp; Benefits'!$C$8-INDEX('How This Works &amp; Sources'!$B$167:$J$179,0,1))*INDEX('How This Works &amp; Sources'!$B$167:$J$179,0,1+2)),IF('Your Pay &amp; Benefits'!$C$77="E",SUMPRODUCT(($D21*'Your Pay &amp; Benefits'!$C$8&gt;INDEX('How This Works &amp; Sources'!$B$167:$J$179,0,4))*($D21*'Your Pay &amp; Benefits'!$C$8-INDEX('How This Works &amp; Sources'!$B$167:$J$179,0,4))*INDEX('How This Works &amp; Sources'!$B$167:$J$179,0,4+2)),SUMPRODUCT(($D21*'Your Pay &amp; Benefits'!$C$8&gt;INDEX('How This Works &amp; Sources'!$B$155:$J$162,0,1))*($D21*'Your Pay &amp; Benefits'!$C$8-INDEX('How This Works &amp; Sources'!$B$155:$J$162,0,1))*INDEX('How This Works &amp; Sources'!$B$155:$J$162,0,1+2))))))/'Your Pay &amp; Benefits'!$C$8,IF($AN21="NY",0.117*$D21,IF($AN21="OH",0.0275*$D21,IF($AN21="OK",0.045*$D21,IF($AN21="OR",0.08*$D21,IF($AN21="WI",IF($AY21&lt;12760,0.0354,IF($AY21&lt;25520,0.0465,IF($AY21&lt;280950,0.053,0.0765)))*$D21,0))))))))))))))))))))</f>
      </c>
      <c r="BD21" s="7">
        <f>IF($B21="","",$BD20+$Q21+$R21+$S21)</f>
      </c>
      <c r="BE21" s="6">
        <f>IF($B21="",$BE20,$BE20+$BF21)</f>
      </c>
      <c r="BF21" s="6">
        <f>IF($B21="","",IF(AND(IF(YEAR(IF('Your Pay &amp; Benefits'!$C$7="Weekly",'Your Pay &amp; Benefits'!$C$9+7*(($BE20+1)-1),IF('Your Pay &amp; Benefits'!$C$7="Biweekly",'Your Pay &amp; Benefits'!$C$9+14*(($BE20+1)-1),IF('Your Pay &amp; Benefits'!$C$7="Semimonthly",DATE(YEAR('Your Pay &amp; Benefits'!$C$9),MONTH('Your Pay &amp; Benefits'!$C$9)+INT((($BE20+1)-1)/2),MIN(DAY('Your Pay &amp; Benefits'!$C$9),DAY(EOMONTH(DATE(YEAR('Your Pay &amp; Benefits'!$C$9),MONTH('Your Pay &amp; Benefits'!$C$9)+INT((($BE20+1)-1)/2),1),0))))+IF(MOD(($BE20+1)-1,2)=1,15,0),EDATE('Your Pay &amp; Benefits'!$C$9,($BE20+1)-1)))))&lt;&gt;'Your Pay &amp; Benefits'!$C$10,"",IF('Your Pay &amp; Benefits'!$C$7="Weekly",'Your Pay &amp; Benefits'!$C$9+7*(($BE20+1)-1),IF('Your Pay &amp; Benefits'!$C$7="Biweekly",'Your Pay &amp; Benefits'!$C$9+14*(($BE20+1)-1),IF('Your Pay &amp; Benefits'!$C$7="Semimonthly",DATE(YEAR('Your Pay &amp; Benefits'!$C$9),MONTH('Your Pay &amp; Benefits'!$C$9)+INT((($BE20+1)-1)/2),MIN(DAY('Your Pay &amp; Benefits'!$C$9),DAY(EOMONTH(DATE(YEAR('Your Pay &amp; Benefits'!$C$9),MONTH('Your Pay &amp; Benefits'!$C$9)+INT((($BE20+1)-1)/2),1),0))))+IF(MOD(($BE20+1)-1,2)=1,15,0),EDATE('Your Pay &amp; Benefits'!$C$9,($BE20+1)-1)))))&lt;&gt;"",$B21=IF(YEAR(IF('Your Pay &amp; Benefits'!$C$7="Weekly",'Your Pay &amp; Benefits'!$C$9+7*(($BE20+1)-1),IF('Your Pay &amp; Benefits'!$C$7="Biweekly",'Your Pay &amp; Benefits'!$C$9+14*(($BE20+1)-1),IF('Your Pay &amp; Benefits'!$C$7="Semimonthly",DATE(YEAR('Your Pay &amp; Benefits'!$C$9),MONTH('Your Pay &amp; Benefits'!$C$9)+INT((($BE20+1)-1)/2),MIN(DAY('Your Pay &amp; Benefits'!$C$9),DAY(EOMONTH(DATE(YEAR('Your Pay &amp; Benefits'!$C$9),MONTH('Your Pay &amp; Benefits'!$C$9)+INT((($BE20+1)-1)/2),1),0))))+IF(MOD(($BE20+1)-1,2)=1,15,0),EDATE('Your Pay &amp; Benefits'!$C$9,($BE20+1)-1)))))&lt;&gt;'Your Pay &amp; Benefits'!$C$10,"",IF('Your Pay &amp; Benefits'!$C$7="Weekly",'Your Pay &amp; Benefits'!$C$9+7*(($BE20+1)-1),IF('Your Pay &amp; Benefits'!$C$7="Biweekly",'Your Pay &amp; Benefits'!$C$9+14*(($BE20+1)-1),IF('Your Pay &amp; Benefits'!$C$7="Semimonthly",DATE(YEAR('Your Pay &amp; Benefits'!$C$9),MONTH('Your Pay &amp; Benefits'!$C$9)+INT((($BE20+1)-1)/2),MIN(DAY('Your Pay &amp; Benefits'!$C$9),DAY(EOMONTH(DATE(YEAR('Your Pay &amp; Benefits'!$C$9),MONTH('Your Pay &amp; Benefits'!$C$9)+INT((($BE20+1)-1)/2),1),0))))+IF(MOD(($BE20+1)-1,2)=1,15,0),EDATE('Your Pay &amp; Benefits'!$C$9,($BE20+1)-1)))))),1,0))</f>
      </c>
      <c r="BG21" s="7">
        <f>IF($B21="","",$BG20+$H21)</f>
      </c>
      <c r="BH21" s="7">
        <f>IF($B21="","",$BH20+$I21)</f>
      </c>
      <c r="BI21" s="7">
        <f>IF($B21="","",$BI20+$G21)</f>
      </c>
      <c r="BJ21" s="7">
        <f>IF($B21="","",IFERROR(LOOKUP(2,1/(((('Changes &amp; Events'!$C$6:$C$17="Deduction start"))*('Changes &amp; Events'!$D$6:$D$17="Health FSA"))*('Changes &amp; Events'!$B$6:$B$17&lt;=$B21)*('Changes &amp; Events'!$B$6:$B$17&lt;&gt;"")),'Changes &amp; Events'!$E$6:$E$17),'Your Pay &amp; Benefits'!$D$38))</f>
      </c>
      <c r="BK21" s="7">
        <f>IF($B21="","",IFERROR(LOOKUP(2,1/(((('Changes &amp; Events'!$C$6:$C$17="Deduction start"))*('Changes &amp; Events'!$D$6:$D$17="Dependent-care FSA"))*('Changes &amp; Events'!$B$6:$B$17&lt;=$B21)*('Changes &amp; Events'!$B$6:$B$17&lt;&gt;"")),'Changes &amp; Events'!$E$6:$E$17),'Your Pay &amp; Benefits'!$D$39))</f>
      </c>
      <c r="BL21" s="7">
        <f>IF($B21="","",IFERROR(LOOKUP(2,1/(((('Changes &amp; Events'!$C$6:$C$17="Deduction start")+('Changes &amp; Events'!$C$6:$C$17="Deduction stop"))*('Changes &amp; Events'!$D$6:$D$17="HSA"))*('Changes &amp; Events'!$B$6:$B$17&lt;=$B21)*('Changes &amp; Events'!$B$6:$B$17&lt;&gt;"")),'Changes &amp; Events'!$I$6:$I$17),'Your Pay &amp; Benefits'!$D$35))</f>
      </c>
      <c r="BM21" s="7">
        <f>IF($B21="","",IFERROR(LOOKUP(2,1/(((('Changes &amp; Events'!$C$6:$C$17="Deduction start")+('Changes &amp; Events'!$C$6:$C$17="Deduction stop"))*('Changes &amp; Events'!$D$6:$D$17="Premiums"))*('Changes &amp; Events'!$B$6:$B$17&lt;=$B21)*('Changes &amp; Events'!$B$6:$B$17&lt;&gt;"")),'Changes &amp; Events'!$I$6:$I$17),'Your Pay &amp; Benefits'!$D$40+'Your Pay &amp; Benefits'!$D$41+'Your Pay &amp; Benefits'!$D$42))</f>
      </c>
      <c r="BN21" s="7">
        <f>IF($B21="","",IFERROR(LOOKUP(2,1/(((('Changes &amp; Events'!$C$6:$C$17="Deduction start")+('Changes &amp; Events'!$C$6:$C$17="Deduction stop"))*('Changes &amp; Events'!$D$6:$D$17="Commuter"))*('Changes &amp; Events'!$B$6:$B$17&lt;=$B21)*('Changes &amp; Events'!$B$6:$B$17&lt;&gt;"")),'Changes &amp; Events'!$I$6:$I$17),'Your Pay &amp; Benefits'!$D$43))</f>
      </c>
      <c r="BO21" s="7">
        <f>IF($B21="","",IFERROR(LOOKUP(2,1/(((('Changes &amp; Events'!$C$6:$C$17="Deduction start")+('Changes &amp; Events'!$C$6:$C$17="Deduction stop"))*('Changes &amp; Events'!$D$6:$D$17="Other pre-tax"))*('Changes &amp; Events'!$B$6:$B$17&lt;=$B21)*('Changes &amp; Events'!$B$6:$B$17&lt;&gt;"")),'Changes &amp; Events'!$I$6:$I$17),'Your Pay &amp; Benefits'!$D$44))</f>
      </c>
      <c r="BP21" s="7">
        <f>IF($B21="","",IFERROR(LOOKUP(2,1/(((('Changes &amp; Events'!$C$6:$C$17="Deduction start")+('Changes &amp; Events'!$C$6:$C$17="Deduction stop"))*('Changes &amp; Events'!$D$6:$D$17="Other post-tax"))*('Changes &amp; Events'!$B$6:$B$17&lt;=$B21)*('Changes &amp; Events'!$B$6:$B$17&lt;&gt;"")),'Changes &amp; Events'!$I$6:$I$17),'Your Pay &amp; Benefits'!$D$45))</f>
      </c>
      <c r="BQ21" s="6">
        <f>IF($B21="","",IFERROR(LOOKUP(2,1/(((('Changes &amp; Events'!$C$6:$C$17="Deduction start")+('Changes &amp; Events'!$C$6:$C$17="Deduction stop"))*('Changes &amp; Events'!$D$6:$D$17="Health FSA"))*('Changes &amp; Events'!$B$6:$B$17&lt;=$B21)*('Changes &amp; Events'!$B$6:$B$17&lt;&gt;"")),'Changes &amp; Events'!$J$6:$J$17),0))</f>
      </c>
      <c r="BR21" s="6">
        <f>IF($B21="","",IFERROR(LOOKUP(2,1/(((('Changes &amp; Events'!$C$6:$C$17="Deduction start")+('Changes &amp; Events'!$C$6:$C$17="Deduction stop"))*('Changes &amp; Events'!$D$6:$D$17="Dependent-care FSA"))*('Changes &amp; Events'!$B$6:$B$17&lt;=$B21)*('Changes &amp; Events'!$B$6:$B$17&lt;&gt;"")),'Changes &amp; Events'!$J$6:$J$17),0))</f>
      </c>
      <c r="BS21" s="6">
        <f>IF($B21="","",IF(SUMPRODUCT(('Changes &amp; Events'!$C$6:$C$17="Deduction start")*('Changes &amp; Events'!$B$6:$B$17&lt;=$B21)*('Changes &amp; Events'!$B$6:$B$17&lt;&gt;"")*('Changes &amp; Events'!$D$6:$D$17="Health FSA"))&gt;0,1,0))</f>
      </c>
      <c r="BT21" s="6">
        <f>IF($B21="","",IF(SUMPRODUCT(('Changes &amp; Events'!$C$6:$C$17="Deduction start")*('Changes &amp; Events'!$B$6:$B$17&lt;=$B21)*('Changes &amp; Events'!$B$6:$B$17&lt;&gt;"")*('Changes &amp; Events'!$D$6:$D$17="Dependent-care FSA"))&gt;0,1,0))</f>
      </c>
      <c r="BU21" s="24">
        <f>IF($B21="","",IF('Your Pay &amp; Benefits'!$C$13,SUMPRODUCT(($AH21&gt;=INDEX('How This Works &amp; Sources'!$B$29:$J$36,0,IF('Your Pay &amp; Benefits'!$C$12="MFJ",1,IF('Your Pay &amp; Benefits'!$C$12="HoH",7,4))))*INDEX('How This Works &amp; Sources'!$B$29:$J$36,0,IF('Your Pay &amp; Benefits'!$C$12="MFJ",1,IF('Your Pay &amp; Benefits'!$C$12="HoH",7,4))+2)),SUMPRODUCT(($AH21&gt;=INDEX('How This Works &amp; Sources'!$B$19:$J$26,0,IF('Your Pay &amp; Benefits'!$C$12="MFJ",1,IF('Your Pay &amp; Benefits'!$C$12="HoH",7,4))))*INDEX('How This Works &amp; Sources'!$B$19:$J$26,0,IF('Your Pay &amp; Benefits'!$C$12="MFJ",1,IF('Your Pay &amp; Benefits'!$C$12="HoH",7,4))+2))))</f>
      </c>
      <c r="BV21" s="24">
        <f>IF($B21="","",IF($BZ21&lt;&gt;"",$BZ21,IF($CA21&lt;&gt;"",$CA21,IF($CB21&lt;&gt;"",$CB21,IF($CC21&lt;&gt;"",$CC21,0)))))</f>
      </c>
      <c r="BW21" s="7">
        <f>IF($B21="","",IF($AN21="MD",IF(OR($AU21="Married",$AU21="Head of household"),SUMPRODUCT(($AZ21&gt;INDEX('How This Works &amp; Sources'!$B$114:$J$120,0,1))*($AZ21-INDEX('How This Works &amp; Sources'!$B$114:$J$120,0,1))*INDEX('How This Works &amp; Sources'!$B$114:$J$120,0,1+2)),SUMPRODUCT(($AZ21&gt;INDEX('How This Works &amp; Sources'!$B$103:$J$109,0,7))*($AZ21-INDEX('How This Works &amp; Sources'!$B$103:$J$109,0,7))*INDEX('How This Works &amp; Sources'!$B$103:$J$109,0,7+2))),IF($AN21="MO",SUMPRODUCT(($AZ21&gt;INDEX('How This Works &amp; Sources'!$B$125:$J$132,0,1))*($AZ21-INDEX('How This Works &amp; Sources'!$B$125:$J$132,0,1))*INDEX('How This Works &amp; Sources'!$B$125:$J$132,0,1+2)),IF($AN21="MT",IF($AU21="Head of household",SUMPRODUCT(($AZ21&gt;INDEX('How This Works &amp; Sources'!$B$137:$J$139,0,1))*($AZ21-INDEX('How This Works &amp; Sources'!$B$137:$J$139,0,1))*INDEX('How This Works &amp; Sources'!$B$137:$J$139,0,1+2)),IF($AU21="Married",SUMPRODUCT(($AZ21&gt;INDEX('How This Works &amp; Sources'!$B$125:$J$132,0,7))*($AZ21-INDEX('How This Works &amp; Sources'!$B$125:$J$132,0,7))*INDEX('How This Works &amp; Sources'!$B$125:$J$132,0,7+2)),SUMPRODUCT(($AZ21&gt;INDEX('How This Works &amp; Sources'!$B$125:$J$132,0,4))*($AZ21-INDEX('How This Works &amp; Sources'!$B$125:$J$132,0,4))*INDEX('How This Works &amp; Sources'!$B$125:$J$132,0,4+2)))),IF($AN21="ND",IF($AU21="Head of household",SUMPRODUCT(($AZ21&gt;INDEX('How This Works &amp; Sources'!$B$144:$J$150,0,1))*($AZ21-INDEX('How This Works &amp; Sources'!$B$144:$J$150,0,1))*INDEX('How This Works &amp; Sources'!$B$144:$J$150,0,1+2)),IF($AU21="Married",SUMPRODUCT(($AZ21&gt;INDEX('How This Works &amp; Sources'!$B$137:$J$139,0,7))*($AZ21-INDEX('How This Works &amp; Sources'!$B$137:$J$139,0,7))*INDEX('How This Works &amp; Sources'!$B$137:$J$139,0,7+2)),SUMPRODUCT(($AZ21&gt;INDEX('How This Works &amp; Sources'!$B$137:$J$139,0,4))*($AZ21-INDEX('How This Works &amp; Sources'!$B$137:$J$139,0,4))*INDEX('How This Works &amp; Sources'!$B$137:$J$139,0,4+2)))),IF($AN21="NJ",IF('Your Pay &amp; Benefits'!$C$77="B",SUMPRODUCT(($AZ21&gt;INDEX('How This Works &amp; Sources'!$B$155:$J$162,0,4))*($AZ21-INDEX('How This Works &amp; Sources'!$B$155:$J$162,0,4))*INDEX('How This Works &amp; Sources'!$B$155:$J$162,0,4+2)),IF('Your Pay &amp; Benefits'!$C$77="C",SUMPRODUCT(($AZ21&gt;INDEX('How This Works &amp; Sources'!$B$155:$J$162,0,7))*($AZ21-INDEX('How This Works &amp; Sources'!$B$155:$J$162,0,7))*INDEX('How This Works &amp; Sources'!$B$155:$J$162,0,7+2)),IF('Your Pay &amp; Benefits'!$C$77="D",SUMPRODUCT(($AZ21&gt;INDEX('How This Works &amp; Sources'!$B$167:$J$179,0,1))*($AZ21-INDEX('How This Works &amp; Sources'!$B$167:$J$179,0,1))*INDEX('How This Works &amp; Sources'!$B$167:$J$179,0,1+2)),IF('Your Pay &amp; Benefits'!$C$77="E",SUMPRODUCT(($AZ21&gt;INDEX('How This Works &amp; Sources'!$B$167:$J$179,0,4))*($AZ21-INDEX('How This Works &amp; Sources'!$B$167:$J$179,0,4))*INDEX('How This Works &amp; Sources'!$B$167:$J$179,0,4+2)),SUMPRODUCT(($AZ21&gt;INDEX('How This Works &amp; Sources'!$B$155:$J$162,0,1))*($AZ21-INDEX('How This Works &amp; Sources'!$B$155:$J$162,0,1))*INDEX('How This Works &amp; Sources'!$B$155:$J$162,0,1+2)))))),IF($AN21="NY",IF($AU21="Married",IF($AZ21&gt;=2155350,$AZ21*IF($AZ21&gt;25000000,0.117,IF($AZ21&gt;5000000,0.111,0.1045)),SUMPRODUCT(($AZ21&gt;INDEX('How This Works &amp; Sources'!$B$184:$J$198,0,1))*($AZ21-INDEX('How This Works &amp; Sources'!$B$184:$J$198,0,1))*INDEX('How This Works &amp; Sources'!$B$184:$J$198,0,1+2))),IF($AZ21&gt;=1077550,$AZ21*IF($AZ21&gt;25000000,0.117,IF($AZ21&gt;5000000,0.111,0.1045)),SUMPRODUCT(($AZ21&gt;INDEX('How This Works &amp; Sources'!$B$167:$J$179,0,7))*($AZ21-INDEX('How This Works &amp; Sources'!$B$167:$J$179,0,7))*INDEX('How This Works &amp; Sources'!$B$167:$J$179,0,7+2)))),"")))))))</f>
      </c>
      <c r="BX21" s="7">
        <f>IF($B21="","",IF($AN21="AL",IF(OR($AU21="Married",$AU21="Head of household"),SUMPRODUCT(($AZ21&gt;INDEX('How This Works &amp; Sources'!$B$82:$J$86,0,4))*($AZ21-INDEX('How This Works &amp; Sources'!$B$82:$J$86,0,4))*INDEX('How This Works &amp; Sources'!$B$82:$J$86,0,4+2)),SUMPRODUCT(($AZ21&gt;INDEX('How This Works &amp; Sources'!$B$82:$J$86,0,1))*($AZ21-INDEX('How This Works &amp; Sources'!$B$82:$J$86,0,1))*INDEX('How This Works &amp; Sources'!$B$82:$J$86,0,1+2))),IF($AN21="KS",IF($AU21="Married",SUMPRODUCT(($AZ21&gt;INDEX('How This Works &amp; Sources'!$B$103:$J$109,0,4))*($AZ21-INDEX('How This Works &amp; Sources'!$B$103:$J$109,0,4))*INDEX('How This Works &amp; Sources'!$B$103:$J$109,0,4+2)),SUMPRODUCT(($AZ21&gt;INDEX('How This Works &amp; Sources'!$B$103:$J$109,0,1))*($AZ21-INDEX('How This Works &amp; Sources'!$B$103:$J$109,0,1))*INDEX('How This Works &amp; Sources'!$B$103:$J$109,0,1+2))),IF($AN21="MN",IF($AU21="Married",SUMPRODUCT(($AZ21&gt;INDEX('How This Works &amp; Sources'!$B$114:$J$120,0,7))*($AZ21-INDEX('How This Works &amp; Sources'!$B$114:$J$120,0,7))*INDEX('How This Works &amp; Sources'!$B$114:$J$120,0,7+2)),SUMPRODUCT(($AZ21&gt;INDEX('How This Works &amp; Sources'!$B$114:$J$120,0,4))*($AZ21-INDEX('How This Works &amp; Sources'!$B$114:$J$120,0,4))*INDEX('How This Works &amp; Sources'!$B$114:$J$120,0,4+2))),IF($AN21="NE",MAX(IF($AU21="Married",SUMPRODUCT(($AZ21&gt;INDEX('How This Works &amp; Sources'!$B$144:$J$150,0,7))*($AZ21-INDEX('How This Works &amp; Sources'!$B$144:$J$150,0,7))*INDEX('How This Works &amp; Sources'!$B$144:$J$150,0,7+2)),SUMPRODUCT(($AZ21&gt;INDEX('How This Works &amp; Sources'!$B$144:$J$150,0,4))*($AZ21-INDEX('How This Works &amp; Sources'!$B$144:$J$150,0,4))*INDEX('How This Works &amp; Sources'!$B$144:$J$150,0,4+2))),0.015*$AZ21),IF($AN21="OH",IF($B21&gt;=DATE(2026,8,1),SUMPRODUCT(($AZ21&gt;INDEX('How This Works &amp; Sources'!$B$203:$J$206,0,1))*($AZ21-INDEX('How This Works &amp; Sources'!$B$203:$J$206,0,1))*INDEX('How This Works &amp; Sources'!$B$203:$J$206,0,1+2)),SUMPRODUCT(($AZ21&gt;INDEX('How This Works &amp; Sources'!$B$184:$J$198,0,7))*($AZ21-INDEX('How This Works &amp; Sources'!$B$184:$J$198,0,7))*INDEX('How This Works &amp; Sources'!$B$184:$J$198,0,7+2))),IF($AN21="OK",IF($AU21="Married",SUMPRODUCT(($AZ21&gt;INDEX('How This Works &amp; Sources'!$B$203:$J$206,0,7))*($AZ21-INDEX('How This Works &amp; Sources'!$B$203:$J$206,0,7))*INDEX('How This Works &amp; Sources'!$B$203:$J$206,0,7+2)),SUMPRODUCT(($AZ21&gt;INDEX('How This Works &amp; Sources'!$B$203:$J$206,0,4))*($AZ21-INDEX('How This Works &amp; Sources'!$B$203:$J$206,0,4))*INDEX('How This Works &amp; Sources'!$B$203:$J$206,0,4+2))),IF($AN21="RI",SUMPRODUCT(($AZ21&gt;INDEX('How This Works &amp; Sources'!$B$211:$J$214,0,7))*($AZ21-INDEX('How This Works &amp; Sources'!$B$211:$J$214,0,7))*INDEX('How This Works &amp; Sources'!$B$211:$J$214,0,7+2)),IF($AN21="VT",IF($AU21="Married",SUMPRODUCT(($AZ21&gt;INDEX('How This Works &amp; Sources'!$B$228:$J$232,0,1))*($AZ21-INDEX('How This Works &amp; Sources'!$B$228:$J$232,0,1))*INDEX('How This Works &amp; Sources'!$B$228:$J$232,0,1+2)),SUMPRODUCT(($AZ21&gt;INDEX('How This Works &amp; Sources'!$B$219:$J$223,0,7))*($AZ21-INDEX('How This Works &amp; Sources'!$B$219:$J$223,0,7))*INDEX('How This Works &amp; Sources'!$B$219:$J$223,0,7+2))),IF($AN21="WV",IF($AU21="Married",SUMPRODUCT(($AZ21&gt;INDEX('How This Works &amp; Sources'!$B$237:$J$241,0,7))*($AZ21-INDEX('How This Works &amp; Sources'!$B$237:$J$241,0,7))*INDEX('How This Works &amp; Sources'!$B$237:$J$241,0,7+2)),SUMPRODUCT(($AZ21&gt;INDEX('How This Works &amp; Sources'!$B$228:$J$232,0,7))*($AZ21-INDEX('How This Works &amp; Sources'!$B$228:$J$232,0,7))*INDEX('How This Works &amp; Sources'!$B$228:$J$232,0,7+2))),""))))))))))</f>
      </c>
      <c r="BY21" s="7">
        <f>IF($B21="","",IF($AN21="AR",SUMPRODUCT(($AZ21&gt;INDEX('How This Works &amp; Sources'!$B$82:$J$86,0,7))*($AZ21-INDEX('How This Works &amp; Sources'!$B$82:$J$86,0,7))*INDEX('How This Works &amp; Sources'!$B$82:$J$86,0,7+2)),IF($AN21="DE",SUMPRODUCT(($AZ21&gt;INDEX('How This Works &amp; Sources'!$B$91:$J$98,0,1))*($AZ21-INDEX('How This Works &amp; Sources'!$B$91:$J$98,0,1))*INDEX('How This Works &amp; Sources'!$B$91:$J$98,0,1+2)),IF($AN21="HI",IF($AU21="Married",SUMPRODUCT(($AZ21&gt;INDEX('How This Works &amp; Sources'!$B$91:$J$98,0,7))*($AZ21-INDEX('How This Works &amp; Sources'!$B$91:$J$98,0,7))*INDEX('How This Works &amp; Sources'!$B$91:$J$98,0,7+2)),SUMPRODUCT(($AZ21&gt;INDEX('How This Works &amp; Sources'!$B$91:$J$98,0,4))*($AZ21-INDEX('How This Works &amp; Sources'!$B$91:$J$98,0,4))*INDEX('How This Works &amp; Sources'!$B$91:$J$98,0,4+2))),IF($AN21="SC",SUMPRODUCT(($AZ21&gt;INDEX('How This Works &amp; Sources'!$B$219:$J$223,0,1))*($AZ21-INDEX('How This Works &amp; Sources'!$B$219:$J$223,0,1))*INDEX('How This Works &amp; Sources'!$B$219:$J$223,0,1+2)),IF($AN21="VA",SUMPRODUCT(($AZ21&gt;INDEX('How This Works &amp; Sources'!$B$219:$J$223,0,4))*($AZ21-INDEX('How This Works &amp; Sources'!$B$219:$J$223,0,4))*INDEX('How This Works &amp; Sources'!$B$219:$J$223,0,4+2)),IF($AN21="WI",SUMPRODUCT(($AZ21&gt;INDEX('How This Works &amp; Sources'!$B$228:$J$232,0,4))*($AZ21-INDEX('How This Works &amp; Sources'!$B$228:$J$232,0,4))*INDEX('How This Works &amp; Sources'!$B$228:$J$232,0,4+2)),"")))))))</f>
      </c>
      <c r="BZ21" s="24">
        <f>IF($B21="","",IF($AN21="NJ",IF('Your Pay &amp; Benefits'!$C$77="B",SUMPRODUCT(($AZ21&gt;=INDEX('How This Works &amp; Sources'!$B$155:$J$162,0,4))*INDEX('How This Works &amp; Sources'!$B$155:$J$162,0,4+2)),IF('Your Pay &amp; Benefits'!$C$77="C",SUMPRODUCT(($AZ21&gt;=INDEX('How This Works &amp; Sources'!$B$155:$J$162,0,7))*INDEX('How This Works &amp; Sources'!$B$155:$J$162,0,7+2)),IF('Your Pay &amp; Benefits'!$C$77="D",SUMPRODUCT(($AZ21&gt;=INDEX('How This Works &amp; Sources'!$B$167:$J$179,0,1))*INDEX('How This Works &amp; Sources'!$B$167:$J$179,0,1+2)),IF('Your Pay &amp; Benefits'!$C$77="E",SUMPRODUCT(($AZ21&gt;=INDEX('How This Works &amp; Sources'!$B$167:$J$179,0,4))*INDEX('How This Works &amp; Sources'!$B$167:$J$179,0,4+2)),SUMPRODUCT(($AZ21&gt;=INDEX('How This Works &amp; Sources'!$B$155:$J$162,0,1))*INDEX('How This Works &amp; Sources'!$B$155:$J$162,0,1+2)))))),IF($AN21="OR",IF(OR($AU21="Married",AND($AU21="Single",$AS21&gt;=3)),SUMPRODUCT((MAX(0,$AY21-MIN(($P21-'How This Works &amp; Sources'!$C$10*$D21)*'Your Pay &amp; Benefits'!$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Sources'!$B$211:$J$214,0,4))*INDEX('How This Works &amp; Sources'!$B$211:$J$214,0,4+2)),SUMPRODUCT((MAX(0,$AY21-MIN(($P21-'How This Works &amp; Sources'!$C$10*$D21)*'Your Pay &amp; Benefits'!$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Sources'!$B$211:$J$214,0,1))*INDEX('How This Works &amp; Sources'!$B$211:$J$214,0,1+2)))*IF(($P21-'How This Works &amp; Sources'!$C$10*$D21)*'Your Pay &amp; Benefits'!$C$8&gt;=IF(OR($AU21="Married",AND($AU21="Single",$AS21&gt;=3)),IF($AY21&lt;250000,8750,IF($AY21&lt;260000,7000,IF($AY21&lt;270000,5250,IF($AY21&lt;280000,3500,IF($AY21&lt;290000,1750,0))))),IF($AY21&lt;125000,8750,IF($AY21&lt;130000,7000,IF($AY21&lt;135000,5250,IF($AY21&lt;140000,3500,IF($AY21&lt;145000,1750,0)))))),1,1-IF('Your Pay &amp; Benefits'!$C$13,SUMPRODUCT(($AH21&gt;=INDEX('How This Works &amp; Sources'!$B$29:$J$36,0,IF('Your Pay &amp; Benefits'!$C$12="MFJ",1,IF('Your Pay &amp; Benefits'!$C$12="HoH",7,4))))*INDEX('How This Works &amp; Sources'!$B$29:$J$36,0,IF('Your Pay &amp; Benefits'!$C$12="MFJ",1,IF('Your Pay &amp; Benefits'!$C$12="HoH",7,4))+2)),SUMPRODUCT(($AH21&gt;=INDEX('How This Works &amp; Sources'!$B$19:$J$26,0,IF('Your Pay &amp; Benefits'!$C$12="MFJ",1,IF('Your Pay &amp; Benefits'!$C$12="HoH",7,4))))*INDEX('How This Works &amp; Sources'!$B$19:$J$26,0,IF('Your Pay &amp; Benefits'!$C$12="MFJ",1,IF('Your Pay &amp; Benefits'!$C$12="HoH",7,4))+2)))),IF($AN21="MI",IF($AY21&gt;5900*$AS21,0.0425,0),""))))</f>
      </c>
      <c r="CA21" s="24">
        <f>IF($B21="","",IF($AN21="AL",IF(OR($AU21="Married",$AU21="Head of household"),SUMPRODUCT(($AZ21&gt;=INDEX('How This Works &amp; Sources'!$B$82:$J$86,0,4))*INDEX('How This Works &amp; Sources'!$B$82:$J$86,0,4+2)),SUMPRODUCT(($AZ21&gt;=INDEX('How This Works &amp; Sources'!$B$82:$J$86,0,1))*INDEX('How This Works &amp; Sources'!$B$82:$J$86,0,1+2)))*(1-IF('Your Pay &amp; Benefits'!$C$13,SUMPRODUCT(($AH21&gt;=INDEX('How This Works &amp; Sources'!$B$29:$J$36,0,IF('Your Pay &amp; Benefits'!$C$12="MFJ",1,IF('Your Pay &amp; Benefits'!$C$12="HoH",7,4))))*INDEX('How This Works &amp; Sources'!$B$29:$J$36,0,IF('Your Pay &amp; Benefits'!$C$12="MFJ",1,IF('Your Pay &amp; Benefits'!$C$12="HoH",7,4))+2)),SUMPRODUCT(($AH21&gt;=INDEX('How This Works &amp; Sources'!$B$19:$J$26,0,IF('Your Pay &amp; Benefits'!$C$12="MFJ",1,IF('Your Pay &amp; Benefits'!$C$12="HoH",7,4))))*INDEX('How This Works &amp; Sources'!$B$19:$J$26,0,IF('Your Pay &amp; Benefits'!$C$12="MFJ",1,IF('Your Pay &amp; Benefits'!$C$12="HoH",7,4))+2)))),IF($AN21="KS",IF($AU21="Married",SUMPRODUCT(($AZ21&gt;=INDEX('How This Works &amp; Sources'!$B$103:$J$109,0,4))*INDEX('How This Works &amp; Sources'!$B$103:$J$109,0,4+2)),SUMPRODUCT(($AZ21&gt;=INDEX('How This Works &amp; Sources'!$B$103:$J$109,0,1))*INDEX('How This Works &amp; Sources'!$B$103:$J$109,0,1+2))),IF($AN21="MD",IF(OR($AU21="Married",$AU21="Head of household"),SUMPRODUCT(($AZ21&gt;=INDEX('How This Works &amp; Sources'!$B$114:$J$120,0,1))*INDEX('How This Works &amp; Sources'!$B$114:$J$120,0,1+2)),SUMPRODUCT(($AZ21&gt;=INDEX('How This Works &amp; Sources'!$B$103:$J$109,0,7))*INDEX('How This Works &amp; Sources'!$B$103:$J$109,0,7+2)))+'Your Pay &amp; Benefits'!$C$74,IF($AN21="MT",IF($AU21="Head of household",SUMPRODUCT(($AZ21&gt;=INDEX('How This Works &amp; Sources'!$B$137:$J$139,0,1))*INDEX('How This Works &amp; Sources'!$B$137:$J$139,0,1+2)),IF($AU21="Married",SUMPRODUCT(($AZ21&gt;=INDEX('How This Works &amp; Sources'!$B$125:$J$132,0,7))*INDEX('How This Works &amp; Sources'!$B$125:$J$132,0,7+2)),SUMPRODUCT(($AZ21&gt;=INDEX('How This Works &amp; Sources'!$B$125:$J$132,0,4))*INDEX('How This Works &amp; Sources'!$B$125:$J$132,0,4+2)))),IF($AN21="ND",IF($AU21="Head of household",SUMPRODUCT(($AZ21&gt;=INDEX('How This Works &amp; Sources'!$B$144:$J$150,0,1))*INDEX('How This Works &amp; Sources'!$B$144:$J$150,0,1+2)),IF($AU21="Married",SUMPRODUCT(($AZ21&gt;=INDEX('How This Works &amp; Sources'!$B$137:$J$139,0,7))*INDEX('How This Works &amp; Sources'!$B$137:$J$139,0,7+2)),SUMPRODUCT(($AZ21&gt;=INDEX('How This Works &amp; Sources'!$B$137:$J$139,0,4))*INDEX('How This Works &amp; Sources'!$B$137:$J$139,0,4+2)))),IF($AN21="NY",IF($AU21="Married",IF($AZ21&gt;=2155350,IF($AZ21&gt;25000000,0.117,IF($AZ21&gt;5000000,0.111,0.1045)),SUMPRODUCT(($AZ21&gt;=INDEX('How This Works &amp; Sources'!$B$184:$J$198,0,1))*INDEX('How This Works &amp; Sources'!$B$184:$J$198,0,1+2))),IF($AZ21&gt;=1077550,IF($AZ21&gt;25000000,0.117,IF($AZ21&gt;5000000,0.111,0.1045)),SUMPRODUCT(($AZ21&gt;=INDEX('How This Works &amp; Sources'!$B$167:$J$179,0,7))*INDEX('How This Works &amp; Sources'!$B$167:$J$179,0,7+2)))),"")))))))</f>
      </c>
      <c r="CB21" s="24">
        <f>IF($B21="","",IF($AN21="CA",SUMPRODUCT(($AJ21&gt;=INDEX('How This Works &amp; Sources'!$B$39:$J$48,0,IF($AU21="Married",4,IF($AU21="Head of household",7,1))))*INDEX('How This Works &amp; Sources'!$B$39:$J$48,0,IF($AU21="Married",4,IF($AU21="Head of household",7,1))+2)),IF($AN21="HI",IF($AU21="Married",SUMPRODUCT(($AZ21&gt;=INDEX('How This Works &amp; Sources'!$B$91:$J$98,0,7))*INDEX('How This Works &amp; Sources'!$B$91:$J$98,0,7+2)),SUMPRODUCT(($AZ21&gt;=INDEX('How This Works &amp; Sources'!$B$91:$J$98,0,4))*INDEX('How This Works &amp; Sources'!$B$91:$J$98,0,4+2))),IF($AN21="MN",IF($AU21="Married",SUMPRODUCT(($AZ21&gt;=INDEX('How This Works &amp; Sources'!$B$114:$J$120,0,7))*INDEX('How This Works &amp; Sources'!$B$114:$J$120,0,7+2)),SUMPRODUCT(($AZ21&gt;=INDEX('How This Works &amp; Sources'!$B$114:$J$120,0,4))*INDEX('How This Works &amp; Sources'!$B$114:$J$120,0,4+2))),IF($AN21="MO",SUMPRODUCT(($AZ21&gt;=INDEX('How This Works &amp; Sources'!$B$125:$J$132,0,1))*INDEX('How This Works &amp; Sources'!$B$125:$J$132,0,1+2)),IF($AN21="NE",MAX(IF($AU21="Married",SUMPRODUCT(($AZ21&gt;=INDEX('How This Works &amp; Sources'!$B$144:$J$150,0,7))*INDEX('How This Works &amp; Sources'!$B$144:$J$150,0,7+2)),SUMPRODUCT(($AZ21&gt;=INDEX('How This Works &amp; Sources'!$B$144:$J$150,0,4))*INDEX('How This Works &amp; Sources'!$B$144:$J$150,0,4+2))),0.015),IF($AN21="OH",IF($B21&gt;=DATE(2026,8,1),SUMPRODUCT(($AZ21&gt;=INDEX('How This Works &amp; Sources'!$B$203:$J$206,0,1))*INDEX('How This Works &amp; Sources'!$B$203:$J$206,0,1+2)),SUMPRODUCT(($AZ21&gt;=INDEX('How This Works &amp; Sources'!$B$184:$J$198,0,7))*INDEX('How This Works &amp; Sources'!$B$184:$J$198,0,7+2))),IF($AN21="OK",IF($AU21="Married",SUMPRODUCT(($AZ21&gt;=INDEX('How This Works &amp; Sources'!$B$203:$J$206,0,7))*INDEX('How This Works &amp; Sources'!$B$203:$J$206,0,7+2)),SUMPRODUCT(($AZ21&gt;=INDEX('How This Works &amp; Sources'!$B$203:$J$206,0,4))*INDEX('How This Works &amp; Sources'!$B$203:$J$206,0,4+2))),IF($AN21="RI",SUMPRODUCT(($AZ21&gt;=INDEX('How This Works &amp; Sources'!$B$211:$J$214,0,7))*INDEX('How This Works &amp; Sources'!$B$211:$J$214,0,7+2)),IF($AN21="SC",SUMPRODUCT(($AZ21&gt;=INDEX('How This Works &amp; Sources'!$B$219:$J$223,0,1))*INDEX('How This Works &amp; Sources'!$B$219:$J$223,0,1+2)),IF($AN21="VT",IF($AU21="Married",SUMPRODUCT(($AZ21&gt;=INDEX('How This Works &amp; Sources'!$B$228:$J$232,0,1))*INDEX('How This Works &amp; Sources'!$B$228:$J$232,0,1+2)),SUMPRODUCT(($AZ21&gt;=INDEX('How This Works &amp; Sources'!$B$219:$J$223,0,7))*INDEX('How This Works &amp; Sources'!$B$219:$J$223,0,7+2))),IF($AN21="WV",IF($AU21="Married",SUMPRODUCT(($AZ21&gt;=INDEX('How This Works &amp; Sources'!$B$237:$J$241,0,7))*INDEX('How This Works &amp; Sources'!$B$237:$J$241,0,7+2)),SUMPRODUCT(($AZ21&gt;=INDEX('How This Works &amp; Sources'!$B$228:$J$232,0,7))*INDEX('How This Works &amp; Sources'!$B$228:$J$232,0,7+2))),IF($AN21="IN",(0.0295+'Your Pay &amp; Benefits'!$C$76),"")))))))))))))</f>
      </c>
      <c r="CC21" s="24">
        <f>IF($B21="","",IF($AN21="AR",SUMPRODUCT(($AZ21&gt;=INDEX('How This Works &amp; Sources'!$B$82:$J$86,0,7))*INDEX('How This Works &amp; Sources'!$B$82:$J$86,0,7+2)),IF($AN21="DE",SUMPRODUCT(($AZ21&gt;=INDEX('How This Works &amp; Sources'!$B$91:$J$98,0,1))*INDEX('How This Works &amp; Sources'!$B$91:$J$98,0,1+2)),IF($AN21="VA",SUMPRODUCT(($AZ21&gt;=INDEX('How This Works &amp; Sources'!$B$219:$J$223,0,4))*INDEX('How This Works &amp; Sources'!$B$219:$J$223,0,4+2)),IF($AN21="WI",SUMPRODUCT(($AZ21&gt;=INDEX('How This Works &amp; Sources'!$B$228:$J$232,0,4))*INDEX('How This Works &amp; Sources'!$B$228:$J$232,0,4+2)),IF($AN21="AZ",'Your Pay &amp; Benefits'!$C$82,IF($AN21="CO",IF($AY21&gt;IF($AU21="Married",10000,5000),0.044,0),IF($AN21="IA",IF($AY21&gt;IF($AU21="Head of household",19500,IF($AU21="Married",26000,13000)),0.038,0),IF($AN21="ID",IF($AY21&gt;IF($AU21="Married",32000,16094),0.053,0),IF($AN21="IL",IF($AY21&gt;(2925*$AS21+1000*$AT21),0.0495,0),IF($AN21="KY",IF($AI21&gt;3360,0.035,0),IF($AN21="LA",0.0309,IF($AN21="MA",IF(MAX(0,$AY21-MIN(($BD20+$Q21+$R21+$S21),2000)-IF($AS21=0,0,IF($AS21=1,4400,1000*$AS21+3400)))&gt;=1107750,0.09,0.05),IF($AN21="MS",IF($AI21-IF($AU21="Head of household",3400,IF($AU21="Married",4600,2300))-'Your Pay &amp; Benefits'!$C$85&gt;10000,0.04,0),IF($AN21="PA",0.0307,"")))))))))))))))</f>
      </c>
      <c r="CD21" s="21">
        <f>IF(YEAR(IF('Your Pay &amp; Benefits'!$C$7="Weekly",'Your Pay &amp; Benefits'!$C$9+7*(($BE20+1)-1),IF('Your Pay &amp; Benefits'!$C$7="Biweekly",'Your Pay &amp; Benefits'!$C$9+14*(($BE20+1)-1),IF('Your Pay &amp; Benefits'!$C$7="Semimonthly",DATE(YEAR('Your Pay &amp; Benefits'!$C$9),MONTH('Your Pay &amp; Benefits'!$C$9)+INT((($BE20+1)-1)/2),MIN(DAY('Your Pay &amp; Benefits'!$C$9),DAY(EOMONTH(DATE(YEAR('Your Pay &amp; Benefits'!$C$9),MONTH('Your Pay &amp; Benefits'!$C$9)+INT((($BE20+1)-1)/2),1),0))))+IF(MOD(($BE20+1)-1,2)=1,15,0),EDATE('Your Pay &amp; Benefits'!$C$9,($BE20+1)-1)))))&lt;&gt;'Your Pay &amp; Benefits'!$C$10,"",IF('Your Pay &amp; Benefits'!$C$7="Weekly",'Your Pay &amp; Benefits'!$C$9+7*(($BE20+1)-1),IF('Your Pay &amp; Benefits'!$C$7="Biweekly",'Your Pay &amp; Benefits'!$C$9+14*(($BE20+1)-1),IF('Your Pay &amp; Benefits'!$C$7="Semimonthly",DATE(YEAR('Your Pay &amp; Benefits'!$C$9),MONTH('Your Pay &amp; Benefits'!$C$9)+INT((($BE20+1)-1)/2),MIN(DAY('Your Pay &amp; Benefits'!$C$9),DAY(EOMONTH(DATE(YEAR('Your Pay &amp; Benefits'!$C$9),MONTH('Your Pay &amp; Benefits'!$C$9)+INT((($BE20+1)-1)/2),1),0))))+IF(MOD(($BE20+1)-1,2)=1,15,0),EDATE('Your Pay &amp; Benefits'!$C$9,($BE20+1)-1)))))</f>
      </c>
      <c r="CE21" s="21">
        <f>IF(MIN(IF(AND('Your Pay &amp; Benefits'!$C$58&gt;MAX($B$6:$B20),'Your Pay &amp; Benefits'!$C$58&gt;=DATE('Your Pay &amp; Benefits'!$C$10,1,1),'Your Pay &amp; Benefits'!$C$58&lt;=DATE('Your Pay &amp; Benefits'!$C$10,12,31)),'Your Pay &amp; Benefits'!$C$58,999999),IF(AND('Your Pay &amp; Benefits'!$C$59&gt;MAX($B$6:$B20),'Your Pay &amp; Benefits'!$C$59&gt;=DATE('Your Pay &amp; Benefits'!$C$10,1,1),'Your Pay &amp; Benefits'!$C$59&lt;=DATE('Your Pay &amp; Benefits'!$C$10,12,31)),'Your Pay &amp; Benefits'!$C$59,999999),IF(AND('Your Pay &amp; Benefits'!$C$60&gt;MAX($B$6:$B20),'Your Pay &amp; Benefits'!$C$60&gt;=DATE('Your Pay &amp; Benefits'!$C$10,1,1),'Your Pay &amp; Benefits'!$C$60&lt;=DATE('Your Pay &amp; Benefits'!$C$10,12,31)),'Your Pay &amp; Benefits'!$C$60,999999),IF(AND('Your Pay &amp; Benefits'!$C$61&gt;MAX($B$6:$B20),'Your Pay &amp; Benefits'!$C$61&gt;=DATE('Your Pay &amp; Benefits'!$C$10,1,1),'Your Pay &amp; Benefits'!$C$61&lt;=DATE('Your Pay &amp; Benefits'!$C$10,12,31)),'Your Pay &amp; Benefits'!$C$61,999999),IF(AND('Your Pay &amp; Benefits'!$C$62&gt;MAX($B$6:$B20),'Your Pay &amp; Benefits'!$C$62&gt;=DATE('Your Pay &amp; Benefits'!$C$10,1,1),'Your Pay &amp; Benefits'!$C$62&lt;=DATE('Your Pay &amp; Benefits'!$C$10,12,31)),'Your Pay &amp; Benefits'!$C$62,999999),IF(AND('Your Pay &amp; Benefits'!$C$63&gt;MAX($B$6:$B20),'Your Pay &amp; Benefits'!$C$63&gt;=DATE('Your Pay &amp; Benefits'!$C$10,1,1),'Your Pay &amp; Benefits'!$C$63&lt;=DATE('Your Pay &amp; Benefits'!$C$10,12,31)),'Your Pay &amp; Benefits'!$C$63,999999),IF(AND('Your Pay &amp; Benefits'!$C$64&gt;MAX($B$6:$B20),'Your Pay &amp; Benefits'!$C$64&gt;=DATE('Your Pay &amp; Benefits'!$C$10,1,1),'Your Pay &amp; Benefits'!$C$64&lt;=DATE('Your Pay &amp; Benefits'!$C$10,12,31)),'Your Pay &amp; Benefits'!$C$64,999999),IF(AND('Your Pay &amp; Benefits'!$C$65&gt;MAX($B$6:$B20),'Your Pay &amp; Benefits'!$C$65&gt;=DATE('Your Pay &amp; Benefits'!$C$10,1,1),'Your Pay &amp; Benefits'!$C$65&lt;=DATE('Your Pay &amp; Benefits'!$C$10,12,31)),'Your Pay &amp; Benefits'!$C$65,999999),IF(AND('Your Pay &amp; Benefits'!$C$66&gt;MAX($B$6:$B20),'Your Pay &amp; Benefits'!$C$66&gt;=DATE('Your Pay &amp; Benefits'!$C$10,1,1),'Your Pay &amp; Benefits'!$C$66&lt;=DATE('Your Pay &amp; Benefits'!$C$10,12,31)),'Your Pay &amp; Benefits'!$C$66,999999),IF(AND('Your Pay &amp; Benefits'!$C$67&gt;MAX($B$6:$B20),'Your Pay &amp; Benefits'!$C$67&gt;=DATE('Your Pay &amp; Benefits'!$C$10,1,1),'Your Pay &amp; Benefits'!$C$67&lt;=DATE('Your Pay &amp; Benefits'!$C$10,12,31)),'Your Pay &amp; Benefits'!$C$67,999999))=999999,"",MIN(IF(AND('Your Pay &amp; Benefits'!$C$58&gt;MAX($B$6:$B20),'Your Pay &amp; Benefits'!$C$58&gt;=DATE('Your Pay &amp; Benefits'!$C$10,1,1),'Your Pay &amp; Benefits'!$C$58&lt;=DATE('Your Pay &amp; Benefits'!$C$10,12,31)),'Your Pay &amp; Benefits'!$C$58,999999),IF(AND('Your Pay &amp; Benefits'!$C$59&gt;MAX($B$6:$B20),'Your Pay &amp; Benefits'!$C$59&gt;=DATE('Your Pay &amp; Benefits'!$C$10,1,1),'Your Pay &amp; Benefits'!$C$59&lt;=DATE('Your Pay &amp; Benefits'!$C$10,12,31)),'Your Pay &amp; Benefits'!$C$59,999999),IF(AND('Your Pay &amp; Benefits'!$C$60&gt;MAX($B$6:$B20),'Your Pay &amp; Benefits'!$C$60&gt;=DATE('Your Pay &amp; Benefits'!$C$10,1,1),'Your Pay &amp; Benefits'!$C$60&lt;=DATE('Your Pay &amp; Benefits'!$C$10,12,31)),'Your Pay &amp; Benefits'!$C$60,999999),IF(AND('Your Pay &amp; Benefits'!$C$61&gt;MAX($B$6:$B20),'Your Pay &amp; Benefits'!$C$61&gt;=DATE('Your Pay &amp; Benefits'!$C$10,1,1),'Your Pay &amp; Benefits'!$C$61&lt;=DATE('Your Pay &amp; Benefits'!$C$10,12,31)),'Your Pay &amp; Benefits'!$C$61,999999),IF(AND('Your Pay &amp; Benefits'!$C$62&gt;MAX($B$6:$B20),'Your Pay &amp; Benefits'!$C$62&gt;=DATE('Your Pay &amp; Benefits'!$C$10,1,1),'Your Pay &amp; Benefits'!$C$62&lt;=DATE('Your Pay &amp; Benefits'!$C$10,12,31)),'Your Pay &amp; Benefits'!$C$62,999999),IF(AND('Your Pay &amp; Benefits'!$C$63&gt;MAX($B$6:$B20),'Your Pay &amp; Benefits'!$C$63&gt;=DATE('Your Pay &amp; Benefits'!$C$10,1,1),'Your Pay &amp; Benefits'!$C$63&lt;=DATE('Your Pay &amp; Benefits'!$C$10,12,31)),'Your Pay &amp; Benefits'!$C$63,999999),IF(AND('Your Pay &amp; Benefits'!$C$64&gt;MAX($B$6:$B20),'Your Pay &amp; Benefits'!$C$64&gt;=DATE('Your Pay &amp; Benefits'!$C$10,1,1),'Your Pay &amp; Benefits'!$C$64&lt;=DATE('Your Pay &amp; Benefits'!$C$10,12,31)),'Your Pay &amp; Benefits'!$C$64,999999),IF(AND('Your Pay &amp; Benefits'!$C$65&gt;MAX($B$6:$B20),'Your Pay &amp; Benefits'!$C$65&gt;=DATE('Your Pay &amp; Benefits'!$C$10,1,1),'Your Pay &amp; Benefits'!$C$65&lt;=DATE('Your Pay &amp; Benefits'!$C$10,12,31)),'Your Pay &amp; Benefits'!$C$65,999999),IF(AND('Your Pay &amp; Benefits'!$C$66&gt;MAX($B$6:$B20),'Your Pay &amp; Benefits'!$C$66&gt;=DATE('Your Pay &amp; Benefits'!$C$10,1,1),'Your Pay &amp; Benefits'!$C$66&lt;=DATE('Your Pay &amp; Benefits'!$C$10,12,31)),'Your Pay &amp; Benefits'!$C$66,999999),IF(AND('Your Pay &amp; Benefits'!$C$67&gt;MAX($B$6:$B20),'Your Pay &amp; Benefits'!$C$67&gt;=DATE('Your Pay &amp; Benefits'!$C$10,1,1),'Your Pay &amp; Benefits'!$C$67&lt;=DATE('Your Pay &amp; Benefits'!$C$10,12,31)),'Your Pay &amp; Benefits'!$C$67,999999)))</f>
      </c>
      <c r="CF21">
        <f>IF($B21="","",IF($D21=0,$Y21,""))</f>
      </c>
    </row>
    <row r="22">
      <c r="A22" t="n">
        <v>17</v>
      </c>
      <c r="B22" s="21">
        <f>IF(AND($CD22="",$CE22=""),"",IF($CE22="",$CD22,IF($CD22="",$CE22,MIN($CD22,$CE22))))</f>
      </c>
      <c r="C22" s="7">
        <f>IF($B22="","",IF($BF22=0,0,IF('Your Pay &amp; Benefits'!$C$4="Annual salary",ROUND($AK22/IF(AND('Your Pay &amp; Benefits'!$C$88="Actual paydays",MONTH('Your Pay &amp; Benefits'!$C$9)=1),MAX(1,MAX($BE$6:$BE$68)),'Your Pay &amp; Benefits'!$C$8),2),$AK22)))</f>
      </c>
      <c r="D22" s="7">
        <f>IF($B22="","",SUMIF('Your Pay &amp; Benefits'!$C$58:$C$67,$B22,'Your Pay &amp; Benefits'!$D$58:$D$67))</f>
      </c>
      <c r="E22" s="7">
        <f>IF($B22="","",ROUND(MAX(0,MIN(IF($AL22="Percent",$AM22*($C22+$D22),$AM22),MAX(0,'Your Pay &amp; Benefits'!$C$34-$AC21))),2))</f>
      </c>
      <c r="F22" s="7">
        <f>IF($B22="","",ROUND(MAX(0,MIN(IF('Your Pay &amp; Benefits'!$C$32="Percent",'Your Pay &amp; Benefits'!$D$32*($C22+$D22),'Your Pay &amp; Benefits'!$D$32),MAX(0,'Your Pay &amp; Benefits'!$C$34-$AC21-$E22))),2))</f>
      </c>
      <c r="G22" s="7">
        <f>IF($B22="","",IF($BF22=0,0,ROUND(MAX(0,MIN($BL22,'Your Pay &amp; Benefits'!$C$37-'Your Pay &amp; Benefits'!$C$54-$BI21)),2)))</f>
      </c>
      <c r="H22" s="7">
        <f>IF($B22="","",IF(OR($BF22=0,$BQ22=1),0,ROUND(MAX(0,MIN(IF($BS22=1,ROUND(MAX(0,MIN($BJ22,'How This Works &amp; Sources'!$C$13)-$BG21)/MAX(1,MAX($BE$6:$BE$68)-($BE21)),2),ROUND(MIN($BJ22,'How This Works &amp; Sources'!$C$13)/'Your Pay &amp; Benefits'!$C$8,2)),MIN($BJ22,'How This Works &amp; Sources'!$C$13)-$BG21)),2)))</f>
      </c>
      <c r="I22" s="7">
        <f>IF($B22="","",IF(OR($BF22=0,$BR22=1),0,ROUND(MAX(0,MIN(IF($BT22=1,ROUND(MAX(0,MIN($BK22,IF('Your Pay &amp; Benefits'!$C$12="MFJ",'How This Works &amp; Sources'!$C$14,'How This Works &amp; Sources'!$C$15))-$BH21)/MAX(1,MAX($BE$6:$BE$68)-($BE21)),2),ROUND(MIN($BK22,IF('Your Pay &amp; Benefits'!$C$12="MFJ",'How This Works &amp; Sources'!$C$14,'How This Works &amp; Sources'!$C$15))/'Your Pay &amp; Benefits'!$C$8,2)),MIN($BK22,IF('Your Pay &amp; Benefits'!$C$12="MFJ",'How This Works &amp; Sources'!$C$14,'How This Works &amp; Sources'!$C$15))-$BH21)),2)))</f>
      </c>
      <c r="J22" s="7">
        <f>IF($B22="","",IF($BF22=0,0,$BM22))</f>
      </c>
      <c r="K22" s="7">
        <f>IF($B22="","",IF($BF22=0,0,$BN22+$BO22))</f>
      </c>
      <c r="L22" s="7">
        <f>IF($B22="","",IF($BF22=0,0,'Your Pay &amp; Benefits'!$D$46))</f>
      </c>
      <c r="M22" s="7">
        <f>IF($B22="","",$C22+$D22+$L22-$E22-$G22-$H22-$I22-$J22-$K22)</f>
      </c>
      <c r="N22" s="7">
        <f>IF($B22="","",$C22+$D22+$L22-$G22-$H22-$I22-$J22-$K22)</f>
      </c>
      <c r="O22" s="7">
        <f>IF($B22="","",$C22+$D22+$L22-$E22-$H22-$I22-$J22-$K22-IF(OR($AN22="CA",$AN22="NJ"),0,$G22))</f>
      </c>
      <c r="P22" s="7">
        <f>IF($B22="","",IF('Your Pay &amp; Benefits'!$C$18,0,ROUND(MAX(0,IF('Your Pay &amp; Benefits'!$C$13,SUMPRODUCT(($AH22&gt;INDEX('How This Works &amp; Sources'!$B$29:$J$36,0,IF('Your Pay &amp; Benefits'!$C$12="MFJ",1,IF('Your Pay &amp; Benefits'!$C$12="HoH",7,4))))*($AH22-INDEX('How This Works &amp; Sources'!$B$29:$J$36,0,IF('Your Pay &amp; Benefits'!$C$12="MFJ",1,IF('Your Pay &amp; Benefits'!$C$12="HoH",7,4))))*INDEX('How This Works &amp; Sources'!$B$29:$J$36,0,IF('Your Pay &amp; Benefits'!$C$12="MFJ",1,IF('Your Pay &amp; Benefits'!$C$12="HoH",7,4))+2)),SUMPRODUCT(($AH22&gt;INDEX('How This Works &amp; Sources'!$B$19:$J$26,0,IF('Your Pay &amp; Benefits'!$C$12="MFJ",1,IF('Your Pay &amp; Benefits'!$C$12="HoH",7,4))))*($AH22-INDEX('How This Works &amp; Sources'!$B$19:$J$26,0,IF('Your Pay &amp; Benefits'!$C$12="MFJ",1,IF('Your Pay &amp; Benefits'!$C$12="HoH",7,4))))*INDEX('How This Works &amp; Sources'!$B$19:$J$26,0,IF('Your Pay &amp; Benefits'!$C$12="MFJ",1,IF('Your Pay &amp; Benefits'!$C$12="HoH",7,4))+2)))/'Your Pay &amp; Benefits'!$C$8-$AO22/'Your Pay &amp; Benefits'!$C$8)+$AR22+IF('Your Pay &amp; Benefits'!$C$89="Aggregate",MAX(0,IF('Your Pay &amp; Benefits'!$C$13,SUMPRODUCT((($AH22+$D22)&gt;INDEX('How This Works &amp; Sources'!$B$29:$J$36,0,IF('Your Pay &amp; Benefits'!$C$12="MFJ",1,IF('Your Pay &amp; Benefits'!$C$12="HoH",7,4))))*(($AH22+$D22)-INDEX('How This Works &amp; Sources'!$B$29:$J$36,0,IF('Your Pay &amp; Benefits'!$C$12="MFJ",1,IF('Your Pay &amp; Benefits'!$C$12="HoH",7,4))))*INDEX('How This Works &amp; Sources'!$B$29:$J$36,0,IF('Your Pay &amp; Benefits'!$C$12="MFJ",1,IF('Your Pay &amp; Benefits'!$C$12="HoH",7,4))+2)),SUMPRODUCT((($AH22+$D22)&gt;INDEX('How This Works &amp; Sources'!$B$19:$J$26,0,IF('Your Pay &amp; Benefits'!$C$12="MFJ",1,IF('Your Pay &amp; Benefits'!$C$12="HoH",7,4))))*(($AH22+$D22)-INDEX('How This Works &amp; Sources'!$B$19:$J$26,0,IF('Your Pay &amp; Benefits'!$C$12="MFJ",1,IF('Your Pay &amp; Benefits'!$C$12="HoH",7,4))))*INDEX('How This Works &amp; Sources'!$B$19:$J$26,0,IF('Your Pay &amp; Benefits'!$C$12="MFJ",1,IF('Your Pay &amp; Benefits'!$C$12="HoH",7,4))+2)))-IF('Your Pay &amp; Benefits'!$C$13,SUMPRODUCT(($AH22&gt;INDEX('How This Works &amp; Sources'!$B$29:$J$36,0,IF('Your Pay &amp; Benefits'!$C$12="MFJ",1,IF('Your Pay &amp; Benefits'!$C$12="HoH",7,4))))*($AH22-INDEX('How This Works &amp; Sources'!$B$29:$J$36,0,IF('Your Pay &amp; Benefits'!$C$12="MFJ",1,IF('Your Pay &amp; Benefits'!$C$12="HoH",7,4))))*INDEX('How This Works &amp; Sources'!$B$29:$J$36,0,IF('Your Pay &amp; Benefits'!$C$12="MFJ",1,IF('Your Pay &amp; Benefits'!$C$12="HoH",7,4))+2)),SUMPRODUCT(($AH22&gt;INDEX('How This Works &amp; Sources'!$B$19:$J$26,0,IF('Your Pay &amp; Benefits'!$C$12="MFJ",1,IF('Your Pay &amp; Benefits'!$C$12="HoH",7,4))))*($AH22-INDEX('How This Works &amp; Sources'!$B$19:$J$26,0,IF('Your Pay &amp; Benefits'!$C$12="MFJ",1,IF('Your Pay &amp; Benefits'!$C$12="HoH",7,4))))*INDEX('How This Works &amp; Sources'!$B$19:$J$26,0,IF('Your Pay &amp; Benefits'!$C$12="MFJ",1,IF('Your Pay &amp; Benefits'!$C$12="HoH",7,4))+2)))),'How This Works &amp; Sources'!$C$10*$D22),2)))</f>
      </c>
      <c r="Q22" s="7">
        <f>IF($B22="","",ROUND('How This Works &amp; Sources'!$C$4*MIN($N22,MAX(0,'How This Works &amp; Sources'!$C$3-($AX22+$AB21-$AW22))),2))</f>
      </c>
      <c r="R22" s="7">
        <f>IF($B22="","",ROUND('How This Works &amp; Sources'!$C$5*$N22,2))</f>
      </c>
      <c r="S22" s="7">
        <f>IF($B22="","",ROUND('How This Works &amp; Sources'!$C$6*MAX(0,MIN($N22,$AG21+$N22-'How This Works &amp; Sources'!$C$7)),2))</f>
      </c>
      <c r="T22" s="7">
        <f>IF($B22="","",IF('Your Pay &amp; Benefits'!$C$26,0,IF($AN22="CA",ROUND(IF($AI22&lt;=IF(($AS22+$AT22)&gt;=2,VLOOKUP($AN22,StateTables!$A$6:$AB$56,10,FALSE),VLOOKUP($AN22,StateTables!$A$6:$AB$56,9,FALSE)),0,MAX(0,SUMPRODUCT(($AJ22&gt;INDEX('How This Works &amp; Sources'!$B$39:$J$48,0,IF($AU22="Married",4,IF($AU22="Head of household",7,1))))*($AJ22-INDEX('How This Works &amp; Sources'!$B$39:$J$48,0,IF($AU22="Married",4,IF($AU22="Head of household",7,1))))*INDEX('How This Works &amp; Sources'!$B$39:$J$48,0,IF($AU22="Married",4,IF($AU22="Head of household",7,1))+2))-VLOOKUP($AN22,StateTables!$A$6:$AB$56,11,FALSE)*$AS22)/'Your Pay &amp; Benefits'!$C$8)+'Your Pay &amp; Benefits'!$C$25+VLOOKUP($AN22,StateTables!$A$6:$AB$56,13,FALSE)*$D22,2),IF(VLOOKUP($AN22,StateTables!$A$6:$AB$56,4,FALSE)="None",0,IF(ISNUMBER(SEARCH("MANUAL",VLOOKUP($AN22,StateTables!$A$6:$AB$56,5,FALSE))),'Your Pay &amp; Benefits'!$C$28,ROUND(MAX(0,$BA22+$BB22)/'Your Pay &amp; Benefits'!$C$8+'Your Pay &amp; Benefits'!$C$25+$BC22,2))))))</f>
      </c>
      <c r="U22" s="7">
        <f>IF($B22="","",IF(VLOOKUP($AN22,StateTables!$A$6:$AB$56,24,FALSE)="flatq",IF(OR(MONTH($B22)=1,MONTH($B22)=4,MONTH($B22)=7,MONTH($B22)=10),VLOOKUP($AN22,StateTables!$A$6:$AB$56,25,FALSE),0),IF(VLOOKUP($AN22,StateTables!$A$6:$AB$56,24,FALSE)="dbl",MIN(ROUND(0.005*$N22,2),ROUND(0.6*52/'Your Pay &amp; Benefits'!$C$8,2)),IF(OR(VLOOKUP($AN22,StateTables!$A$6:$AB$56,15,FALSE)="",VLOOKUP($AN22,StateTables!$A$6:$AB$56,15,FALSE)=0),0,ROUND(VLOOKUP($AN22,StateTables!$A$6:$AB$56,15,FALSE)*IF(OR(VLOOKUP($AN22,StateTables!$A$6:$AB$56,16,FALSE)="",VLOOKUP($AN22,StateTables!$A$6:$AB$56,16,FALSE)=0),$N22,MIN($N22,MAX(0,VLOOKUP($AN22,StateTables!$A$6:$AB$56,16,FALSE)-($AX22+$AB21-$AW22)))),2))))+IF(VLOOKUP($AN22,StateTables!$A$6:$AB$56,27,FALSE)="flatq",IF(OR(MONTH($B22)=1,MONTH($B22)=4,MONTH($B22)=7,MONTH($B22)=10),VLOOKUP($AN22,StateTables!$A$6:$AB$56,28,FALSE),0),IF(VLOOKUP($AN22,StateTables!$A$6:$AB$56,27,FALSE)="dbl",MIN(ROUND(0.005*$N22,2),ROUND(0.6*52/'Your Pay &amp; Benefits'!$C$8,2)),IF(OR(VLOOKUP($AN22,StateTables!$A$6:$AB$56,18,FALSE)="",VLOOKUP($AN22,StateTables!$A$6:$AB$56,18,FALSE)=0),0,ROUND(VLOOKUP($AN22,StateTables!$A$6:$AB$56,18,FALSE)*IF(OR(VLOOKUP($AN22,StateTables!$A$6:$AB$56,19,FALSE)="",VLOOKUP($AN22,StateTables!$A$6:$AB$56,19,FALSE)=0),$N22,MIN($N22,MAX(0,VLOOKUP($AN22,StateTables!$A$6:$AB$56,19,FALSE)-($AX22+$AB21-$AW22)))),2)))))</f>
      </c>
      <c r="V22" s="7">
        <f>IF($B22="","",IF($AN22="NY",IF('Your Pay &amp; Benefits'!$C$78,ROUND(SUMPRODUCT((MAX(0,($O22-$D22)*'Your Pay &amp; Benefits'!$C$8-(IF($AU22="Married",5500,5000)+1000*$AS22))&gt;INDEX('How This Works &amp; Sources'!$B$184:$J$198,0,4))*(MAX(0,($O22-$D22)*'Your Pay &amp; Benefits'!$C$8-(IF($AU22="Married",5500,5000)+1000*$AS22))-INDEX('How This Works &amp; Sources'!$B$184:$J$198,0,4))*INDEX('How This Works &amp; Sources'!$B$184:$J$198,0,4+2))/'Your Pay &amp; Benefits'!$C$8+0.0425*$D22,2),0)+IF('Your Pay &amp; Benefits'!$C$79="Resident",ROUND(0.1675*$T22,2),IF('Your Pay &amp; Benefits'!$C$79="Nonresident",ROUND(0.005*MAX(0,($O22-$D22)-(IF($AU22="Married",7950,7400)+1000*$AS22)/'Your Pay &amp; Benefits'!$C$8),2),0)),IF($AN22="PA",IF('Your Pay &amp; Benefits'!$C$80="None",'Your Pay &amp; Benefits'!$C$27+ROUND('Your Pay &amp; Benefits'!$C$81*($C22+$D22),2),ROUND(IF('Your Pay &amp; Benefits'!$C$80="Resident",IF($B22&lt;DATE(2026,7,1),0.0374,0.03735),IF($B22&lt;DATE(2026,7,1),0.0343,0.03425))*($C22+$D22),2)),IF($BF22=0,ROUND('Your Pay &amp; Benefits'!$C$81*($C22+$D22),2),'Your Pay &amp; Benefits'!$C$27+ROUND('Your Pay &amp; Benefits'!$C$81*($C22+$D22),2)))))</f>
      </c>
      <c r="W22" s="7">
        <f>IF($B22="","",IF($BF22=0,0,$BP22))</f>
      </c>
      <c r="X22" s="7">
        <f>IF($B22="","",SUM($E22:$K22)+$P22+$Q22+$R22+$S22+$T22+$U22+$V22+$W22)</f>
      </c>
      <c r="Y22" s="22">
        <f>IF($B22="","",$C22+$D22-$X22)</f>
      </c>
      <c r="Z22" s="7">
        <f>IF($B22="","",$Z21+$C22+$D22)</f>
      </c>
      <c r="AA22" s="7">
        <f>IF($B22="","",$AA21+$Y22)</f>
      </c>
      <c r="AB22" s="7">
        <f>IF($B22="","",$AB21+MIN($N22,MAX(0,'How This Works &amp; Sources'!$C$3-($AX22+$AB21-$AW22))))</f>
      </c>
      <c r="AC22" s="7">
        <f>IF($B22="","",$AC21+$E22+$F22)</f>
      </c>
      <c r="AD22" s="3">
        <f>IF($B22="","",IF(AND($AB21&lt;'How This Works &amp; Sources'!$C$3,$AB22&gt;='How This Works &amp; Sources'!$C$3),"★ Social Security maxed on this check — from the next check your net rises by about $"&amp;TEXT(ROUND('How This Works &amp; Sources'!$C$4*$N22,2),"#,##0.00")&amp;". ","")&amp;IF(AND($AC21&lt;'Your Pay &amp; Benefits'!$C$34,$AC22&gt;='Your Pay &amp; Benefits'!$C$34),"★ 401(k) reaches the $"&amp;TEXT('Your Pay &amp; Benefits'!$C$34,"#,##0")&amp;" cap on this check — deferrals stop and net pay rises. ","")&amp;IF(AND($AG21&lt;'How This Works &amp; Sources'!$C$7,$AG22&gt;='How This Works &amp; Sources'!$C$7),"★ Wages pass $200,000 — the 0.9% Additional Medicare Tax starts here. ","")&amp;IF(AND($BJ22&gt;0,$H22&gt;0,$BG21&lt;MIN($BJ22,'How This Works &amp; Sources'!$C$13),$BG21+$H22&gt;=MIN($BJ22,'How This Works &amp; Sources'!$C$13)),"★ Health FSA election is now fully deferred for the year. ",""))</f>
      </c>
      <c r="AE22" s="41" t="n"/>
      <c r="AF22" s="7">
        <f>IF(OR($B22="",$AE22=""),"",$AE22-$Y22)</f>
      </c>
      <c r="AG22" s="7">
        <f>IF($B22="","",$AG21+$N22)</f>
      </c>
      <c r="AH22" s="7">
        <f>IF($B22="","",MAX(0,($M22-$D22)*'Your Pay &amp; Benefits'!$C$8+$AP22-$AQ22-IF('Your Pay &amp; Benefits'!$C$13,0,IF('Your Pay &amp; Benefits'!$C$12="MFJ",'How This Works &amp; Sources'!$C$8,'How This Works &amp; Sources'!$C$9))))</f>
      </c>
      <c r="AI22" s="7">
        <f>IF($B22="","",$O22*'Your Pay &amp; Benefits'!$C$8)</f>
      </c>
      <c r="AJ22" s="7">
        <f>IF($B22="","",MAX(0,$AI22-VLOOKUP($AN22,StateTables!$A$6:$AB$56,12,FALSE)*$AT22-IF(($AS22+$AT22)&gt;=2,VLOOKUP($AN22,StateTables!$A$6:$AB$56,8,FALSE),VLOOKUP($AN22,StateTables!$A$6:$AB$56,7,FALSE))))</f>
      </c>
      <c r="AK22" s="7">
        <f>IF($B22="","",IFERROR(LOOKUP(2,1/(('Changes &amp; Events'!$C$6:$C$17="Salary change")*('Changes &amp; Events'!$B$6:$B$17&lt;=$B22)*('Changes &amp; Events'!$B$6:$B$17&lt;&gt;"")),'Changes &amp; Events'!$D$6:$D$17),IF('Your Pay &amp; Benefits'!$C$4="Annual salary",'Your Pay &amp; Benefits'!$C$5,'Your Pay &amp; Benefits'!$C$6)))</f>
      </c>
      <c r="AL22">
        <f>IF($B22="","",IFERROR(LOOKUP(2,1/(('Changes &amp; Events'!$C$6:$C$17="401(k) change")*('Changes &amp; Events'!$B$6:$B$17&lt;=$B22)*('Changes &amp; Events'!$B$6:$B$17&lt;&gt;"")),'Changes &amp; Events'!$D$6:$D$17),'Your Pay &amp; Benefits'!$C$30))</f>
      </c>
      <c r="AM22" s="7">
        <f>IF($B22="","",IFERROR(LOOKUP(2,1/(('Changes &amp; Events'!$C$6:$C$17="401(k) change")*('Changes &amp; Events'!$B$6:$B$17&lt;=$B22)*('Changes &amp; Events'!$B$6:$B$17&lt;&gt;"")),'Changes &amp; Events'!$E$6:$E$17),'Your Pay &amp; Benefits'!$D$31))</f>
      </c>
      <c r="AN22">
        <f>IF($B22="","",IFERROR(LOOKUP(2,1/(('Changes &amp; Events'!$C$6:$C$17="State move")*('Changes &amp; Events'!$B$6:$B$17&lt;=$B22)*('Changes &amp; Events'!$B$6:$B$17&lt;&gt;"")),'Changes &amp; Events'!$D$6:$D$17),'Your Pay &amp; Benefits'!$C$21))</f>
      </c>
      <c r="AO22" s="7">
        <f>IF($B22="","",IFERROR(LOOKUP(2,1/(('Changes &amp; Events'!$C$6:$C$17="W-4 change")*('Changes &amp; Events'!$B$6:$B$17&lt;=$B22)*('Changes &amp; Events'!$B$6:$B$17&lt;&gt;"")),'Changes &amp; Events'!$D$6:$D$17),'Your Pay &amp; Benefits'!$C$14))</f>
      </c>
      <c r="AP22" s="7">
        <f>IF($B22="","",IFERROR(LOOKUP(2,1/(('Changes &amp; Events'!$C$6:$C$17="W-4 change")*('Changes &amp; Events'!$B$6:$B$17&lt;=$B22)*('Changes &amp; Events'!$B$6:$B$17&lt;&gt;"")),'Changes &amp; Events'!$E$6:$E$17),'Your Pay &amp; Benefits'!$C$15))</f>
      </c>
      <c r="AQ22" s="7">
        <f>IF($B22="","",IFERROR(LOOKUP(2,1/(('Changes &amp; Events'!$C$6:$C$17="W-4 change")*('Changes &amp; Events'!$B$6:$B$17&lt;=$B22)*('Changes &amp; Events'!$B$6:$B$17&lt;&gt;"")),'Changes &amp; Events'!$F$6:$F$17),'Your Pay &amp; Benefits'!$C$16))</f>
      </c>
      <c r="AR22" s="7">
        <f>IF($B22="","",IFERROR(LOOKUP(2,1/(('Changes &amp; Events'!$C$6:$C$17="W-4 change")*('Changes &amp; Events'!$B$6:$B$17&lt;=$B22)*('Changes &amp; Events'!$B$6:$B$17&lt;&gt;"")),'Changes &amp; Events'!$G$6:$G$17),'Your Pay &amp; Benefits'!$C$17))</f>
      </c>
      <c r="AS22" s="6">
        <f>IF($B22="","",IFERROR(LOOKUP(2,1/((('Changes &amp; Events'!$C$6:$C$17="State move")+('Changes &amp; Events'!$C$6:$C$17="State cert change"))*('Changes &amp; Events'!$B$6:$B$17&lt;=$B22)*('Changes &amp; Events'!$B$6:$B$17&lt;&gt;"")),'Changes &amp; Events'!$F$6:$F$17),'Your Pay &amp; Benefits'!$C$23))</f>
      </c>
      <c r="AT22" s="6">
        <f>IF($B22="","",IFERROR(LOOKUP(2,1/((('Changes &amp; Events'!$C$6:$C$17="State move")+('Changes &amp; Events'!$C$6:$C$17="State cert change"))*('Changes &amp; Events'!$B$6:$B$17&lt;=$B22)*('Changes &amp; Events'!$B$6:$B$17&lt;&gt;"")),'Changes &amp; Events'!$G$6:$G$17),'Your Pay &amp; Benefits'!$C$24))</f>
      </c>
      <c r="AU22">
        <f>IF($B22="","",IFERROR(LOOKUP(2,1/(('Changes &amp; Events'!$C$6:$C$17="State move")*('Changes &amp; Events'!$B$6:$B$17&lt;=$B22)*('Changes &amp; Events'!$B$6:$B$17&lt;&gt;"")),'Changes &amp; Events'!$E$6:$E$17),'Your Pay &amp; Benefits'!$C$22))</f>
      </c>
      <c r="AV22" s="6">
        <f>IF($B22="","",1+COUNTIFS('Changes &amp; Events'!$C$6:$C$17,"Employer change",'Changes &amp; Events'!$B$6:$B$17,"&lt;="&amp;$B22,'Changes &amp; Events'!$B$6:$B$17,"&lt;&gt;"))</f>
      </c>
      <c r="AW22" s="7">
        <f>IF($B22="","",IF($AV22=1,'Your Pay &amp; Benefits'!$C$49,IF(IFERROR(MATCH(IFERROR(LOOKUP(2,1/(('Changes &amp; Events'!$C$6:$C$17="Employer change")*('Changes &amp; Events'!$B$6:$B$17&lt;=$B22)*('Changes &amp; Events'!$B$6:$B$17&lt;&gt;"")),'Changes &amp; Events'!$B$6:$B$17),""),$B$6:$B$68,1),1)&lt;=1,'Your Pay &amp; Benefits'!$C$49,INDEX($AB$6:$AB$68,MATCH(IFERROR(LOOKUP(2,1/(('Changes &amp; Events'!$C$6:$C$17="Employer change")*('Changes &amp; Events'!$B$6:$B$17&lt;=$B22)*('Changes &amp; Events'!$B$6:$B$17&lt;&gt;"")),'Changes &amp; Events'!$B$6:$B$17),""),$B$6:$B$68,1)-1))))</f>
      </c>
      <c r="AX22" s="7">
        <f>IF($B22="","",IF($AV22=1,'Your Pay &amp; Benefits'!$C$49,IFERROR(LOOKUP(2,1/(('Changes &amp; Events'!$C$6:$C$17="Employer change")*('Changes &amp; Events'!$B$6:$B$17&lt;=$B22)*('Changes &amp; Events'!$B$6:$B$17&lt;&gt;"")),'Changes &amp; Events'!$D$6:$D$17),0)))</f>
      </c>
      <c r="AY22" s="7">
        <f>IF($B22="","",($O22-$D22)*'Your Pay &amp; Benefits'!$C$8)</f>
      </c>
      <c r="AZ22" s="7">
        <f>IF($B22="","",IF($AN22="AL",MAX(0,$AY22-IF($AU22="Married",IF($AY22&lt;=25999,8500,MAX(5000,8500-175*CEILING(($AY22-25999)/500,1))),IF($AU22="Head of household",IF($AY22&lt;=25999,5200,MAX(2500,5200-135*CEILING(($AY22-25999)/500,1))),IF($AY22&lt;=25999,3000,MAX(2500,3000-25*CEILING(($AY22-25999)/500,1)))))-($P22-'How This Works &amp; Sources'!$C$10*$D22)*'Your Pay &amp; Benefits'!$C$8-IF(OR($AU22="Married",$AU22="Head of household"),3000,1500)-$AT22*IF($AY22&lt;=50000,1000,IF($AY22&lt;=100000,500,300))),IF($AN22="AR",IF(MAX(0,$AY22-2470)&lt;97701,INT(MAX(0,$AY22-2470)/100)*100+50,MAX(0,$AY22-2470)),IF($AN22="DE",MAX(0,$AI22-3250),IF($AN22="HI",MAX(0,$AI22-1144*$AS22-4350),IF($AN22="KS",MAX(0,$AI22-(9160*IF($AU22="Married",2,1)+2320*$AT22+IF($AU22="Head of household",2320,0))),IF($AN22="MD",MAX(0,$AI22-3400-3200*$AS22),IF($AN22="MN",MAX(0,$AY22-5300*$AS22),IF($AN22="MO",MAX(0,$AI22-IF($AU22="Head of household",24150,IF($AU22="Married",IF('Your Pay &amp; Benefits'!$C$83,16100,32200),16100))),IF($AN22="MT",$AY22,IF($AN22="ND",($C22+$L22)*'Your Pay &amp; Benefits'!$C$8,IF($AN22="NE",MAX(0,$AY22-2440*$AS22),IF($AN22="NJ",MAX(0,$AY22-1000*$AS22),IF($AN22="NY",MAX(0,$AY22-(IF($AU22="Married",7950,7400)+1000*$AS22)),IF($AN22="OH",MAX(0,$AY22-650*$AS22),IF($AN22="OK",MAX(0,$AY22-1000*$AS22),IF($AN22="RI",MAX(0,$AI22-1000*$AS22),IF($AN22="SC",MAX(0,$AI22-5000*$AS22-IF($AS22=0,0,MIN(0.1*$AI22,7500))),IF($AN22="VA",MAX(0,$AI22-IF($AU22="Married",17500,8750)-930*$AS22-800*$AT22),IF($AN22="VT",MAX(0,$AI22-5400*$AS22),IF($AN22="WI",MAX(0,$AI22-MAX(0,IF($AU22="Married",9461-0.2*MAX(0,$AI22-25727),6702-0.12*MAX(0,$AI22-17780)))-400*$AS22),IF($AN22="WV",MAX(0,$AI22-2000*$AS22),$AI22))))))))))))))))))))))</f>
      </c>
      <c r="BA22" s="7">
        <f>IF($B22="","",IF($BW22&lt;&gt;"",$BW22,IF($BX22&lt;&gt;"",$BX22,IF($BY22&lt;&gt;"",$BY22,0))))</f>
      </c>
      <c r="BB22" s="7">
        <f>IF($B22="","",IF($AN22="AR",-29*$AS22,IF($AN22="DE",-110*$AS22,IF($AN22="MD",$AZ22*'Your Pay &amp; Benefits'!$C$74,IF($AN22="AZ",'Your Pay &amp; Benefits'!$C$82*($M22-$D22)*'Your Pay &amp; Benefits'!$C$8,IF($AN22="CO",0.044*MAX(0,$AY22-IF($AU22="Married",10000,5000)),IF($AN22="IA",MAX(0,0.038*MAX(0,$AY22-IF($AU22="Head of household",19500,IF($AU22="Married",26000,13000)))-40*$AS22),IF($AN22="ID",0.053*MAX(0,$AY22-IF($AU22="Married",32000,16094)),IF($AN22="IL",0.0495*MAX(0,$AY22-(2925*$AS22+1000*$AT22)),IF($AN22="IN",(0.0295+'Your Pay &amp; Benefits'!$C$76)*MAX(0,$AY22-(1000*$AS22+1500*$AT22+3000*'Your Pay &amp; Benefits'!$C$86)),IF($AN22="KY",0.035*MAX(0,$AI22-3360),IF($AN22="LA",IF('Your Pay &amp; Benefits'!$C$84="0",0.0309*$AI22,0.0309*MAX(0,$AI22-IF('Your Pay &amp; Benefits'!$C$84="2",25750,12875))),IF($AN22="MA",0.05*MIN(MAX(0,$AY22-MIN(($BD21+$Q22+$R22+$S22),2000)-IF($AS22=0,0,IF($AS22=1,4400,1000*$AS22+3400))),1107750)+0.09*MAX(0,MAX(0,$AY22-MIN(($BD21+$Q22+$R22+$S22),2000)-IF($AS22=0,0,IF($AS22=1,4400,1000*$AS22+3400)))-1107750)-IF($AU22="Head of household",120,0)-110*'Your Pay &amp; Benefits'!$C$75,IF($AN22="MI",0.0425*MAX(0,$AY22-5900*$AS22),IF($AN22="MS",0.04*MAX(0,$AI22-IF($AU22="Head of household",3400,IF($AU22="Married",4600,2300))-'Your Pay &amp; Benefits'!$C$85-10000),IF($AN22="OR",IF(OR($AU22="Married",AND($AU22="Single",$AS22&gt;=3)),SUMPRODUCT((MAX(0,$AY22-MIN(($P22-'How This Works &amp; Sources'!$C$10*$D22)*'Your Pay &amp; Benefits'!$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Sources'!$B$211:$J$214,0,4))*(MAX(0,$AY22-MIN(($P22-'How This Works &amp; Sources'!$C$10*$D22)*'Your Pay &amp; Benefits'!$C$8,IF(OR($AU22="Married",AND($AU22="Single",$AS22&gt;=3)),IF($AY22&lt;250000,8750,IF($AY22&lt;260000,7000,IF($AY22&lt;270000,5250,IF($AY22&lt;280000,3500,IF($AY22&lt;290000,1750,0))))),IF($AY22&lt;125000,8750,IF($AY22&lt;130000,7000,IF($AY22&lt;135000,5250,IF($AY22&lt;140000,3500,IF($AY22&lt;145000,1750,0)))))))-IF(OR($AU22="Married",AND($AU22="Single",$AS22&gt;=3)),5820,2910))-INDEX('How This Works &amp; Sources'!$B$211:$J$214,0,4))*INDEX('How This Works &amp; Sources'!$B$211:$J$214,0,4+2)),SUMPRODUCT((MAX(0,$AY22-MIN(($P22-'How This Works &amp; Sources'!$C$10*$D22)*'Your Pay &amp; Benefits'!$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Sources'!$B$211:$J$214,0,1))*(MAX(0,$AY22-MIN(($P22-'How This Works &amp; Sources'!$C$10*$D22)*'Your Pay &amp; Benefits'!$C$8,IF(OR($AU22="Married",AND($AU22="Single",$AS22&gt;=3)),IF($AY22&lt;250000,8750,IF($AY22&lt;260000,7000,IF($AY22&lt;270000,5250,IF($AY22&lt;280000,3500,IF($AY22&lt;290000,1750,0))))),IF($AY22&lt;125000,8750,IF($AY22&lt;130000,7000,IF($AY22&lt;135000,5250,IF($AY22&lt;140000,3500,IF($AY22&lt;145000,1750,0)))))))-IF(OR($AU22="Married",AND($AU22="Single",$AS22&gt;=3)),5820,2910))-INDEX('How This Works &amp; Sources'!$B$211:$J$214,0,1))*INDEX('How This Works &amp; Sources'!$B$211:$J$214,0,1+2)))+263-263*IF(IF($AU22="Married",$AY22&gt;200000,$AY22&gt;100000),0,$AS22),IF($AN22="PA",0.0307*(($O22+$E22+$G22)*'Your Pay &amp; Benefits'!$C$8),IF($AN22="NY",IF($AU22="Married",IF($AZ22&gt;=2155350,0,IF($AZ22&gt;=1077550,0.48,IF($AZ22&gt;=373200,1.21,IF($AZ22&gt;=323200,0.21,IF($AZ22&gt;=211550,-0.19,IF($AZ22&gt;=157650,-2.8,IF($AZ22&gt;=107650,-0.8,IF($AZ22&gt;=96800,0.05,IF($AZ22&gt;=80650,-0.1,IF($AZ22&gt;=13900,0.4,IF($AZ22&gt;=11700,-0.3,IF($AZ22&gt;=8500,0.5,0)))))))))))),IF($AZ22&gt;=1077550,0,IF($AZ22&gt;=265400,4.29,IF($AZ22&gt;=215400,2.29,IF($AZ22&gt;=157650,2.29,IF($AZ22&gt;=107650,0.29,IF($AZ22&gt;=96800,0.05,IF($AZ22&gt;=80650,-0.1,IF($AZ22&gt;=13900,0.4,IF($AZ22&gt;=11700,-0.3,IF($AZ22&gt;=8500,0.5,0))))))))))),0))))))))))))))))))</f>
      </c>
      <c r="BC22" s="7">
        <f>IF($B22="","",IF($AN22="AL",0.05*$D22,IF($AN22="AR",0.039*$D22,IF($AN22="ID",0.053*$D22,IF($AN22="IN",(0.0295+'Your Pay &amp; Benefits'!$C$76)*$D22,IF($AN22="KS",0.05*$D22,IF($AN22="MA",0.09*MIN($D22,MAX(0,MAX(0,$AY22-MIN(($BD21+$Q22+$R22+$S22),2000)-IF($AS22=0,0,IF($AS22=1,4400,1000*$AS22+3400)))+$D22-1107750))+0.05*($D22-MIN($D22,MAX(0,MAX(0,$AY22-MIN(($BD21+$Q22+$R22+$S22),2000)-IF($AS22=0,0,IF($AS22=1,4400,1000*$AS22+3400)))+$D22-1107750))),IF($AN22="MD",(0.065+'Your Pay &amp; Benefits'!$C$74)*$D22,IF($AN22="MI",0.0425*$D22,IF($AN22="MN",0.0625*$D22,IF($AN22="MO",0.047*$D22,IF($AN22="MT",0.05*$D22,IF($AN22="ND",0.015*$D22,IF($AN22="NE",0.035*$D22,IF($AN22="NJ",IF('Your Pay &amp; Benefits'!$C$77="B",SUMPRODUCT(($D22*'Your Pay &amp; Benefits'!$C$8&gt;INDEX('How This Works &amp; Sources'!$B$155:$J$162,0,4))*($D22*'Your Pay &amp; Benefits'!$C$8-INDEX('How This Works &amp; Sources'!$B$155:$J$162,0,4))*INDEX('How This Works &amp; Sources'!$B$155:$J$162,0,4+2)),IF('Your Pay &amp; Benefits'!$C$77="C",SUMPRODUCT(($D22*'Your Pay &amp; Benefits'!$C$8&gt;INDEX('How This Works &amp; Sources'!$B$155:$J$162,0,7))*($D22*'Your Pay &amp; Benefits'!$C$8-INDEX('How This Works &amp; Sources'!$B$155:$J$162,0,7))*INDEX('How This Works &amp; Sources'!$B$155:$J$162,0,7+2)),IF('Your Pay &amp; Benefits'!$C$77="D",SUMPRODUCT(($D22*'Your Pay &amp; Benefits'!$C$8&gt;INDEX('How This Works &amp; Sources'!$B$167:$J$179,0,1))*($D22*'Your Pay &amp; Benefits'!$C$8-INDEX('How This Works &amp; Sources'!$B$167:$J$179,0,1))*INDEX('How This Works &amp; Sources'!$B$167:$J$179,0,1+2)),IF('Your Pay &amp; Benefits'!$C$77="E",SUMPRODUCT(($D22*'Your Pay &amp; Benefits'!$C$8&gt;INDEX('How This Works &amp; Sources'!$B$167:$J$179,0,4))*($D22*'Your Pay &amp; Benefits'!$C$8-INDEX('How This Works &amp; Sources'!$B$167:$J$179,0,4))*INDEX('How This Works &amp; Sources'!$B$167:$J$179,0,4+2)),SUMPRODUCT(($D22*'Your Pay &amp; Benefits'!$C$8&gt;INDEX('How This Works &amp; Sources'!$B$155:$J$162,0,1))*($D22*'Your Pay &amp; Benefits'!$C$8-INDEX('How This Works &amp; Sources'!$B$155:$J$162,0,1))*INDEX('How This Works &amp; Sources'!$B$155:$J$162,0,1+2))))))/'Your Pay &amp; Benefits'!$C$8,IF($AN22="NY",0.117*$D22,IF($AN22="OH",0.0275*$D22,IF($AN22="OK",0.045*$D22,IF($AN22="OR",0.08*$D22,IF($AN22="WI",IF($AY22&lt;12760,0.0354,IF($AY22&lt;25520,0.0465,IF($AY22&lt;280950,0.053,0.0765)))*$D22,0))))))))))))))))))))</f>
      </c>
      <c r="BD22" s="7">
        <f>IF($B22="","",$BD21+$Q22+$R22+$S22)</f>
      </c>
      <c r="BE22" s="6">
        <f>IF($B22="",$BE21,$BE21+$BF22)</f>
      </c>
      <c r="BF22" s="6">
        <f>IF($B22="","",IF(AND(IF(YEAR(IF('Your Pay &amp; Benefits'!$C$7="Weekly",'Your Pay &amp; Benefits'!$C$9+7*(($BE21+1)-1),IF('Your Pay &amp; Benefits'!$C$7="Biweekly",'Your Pay &amp; Benefits'!$C$9+14*(($BE21+1)-1),IF('Your Pay &amp; Benefits'!$C$7="Semimonthly",DATE(YEAR('Your Pay &amp; Benefits'!$C$9),MONTH('Your Pay &amp; Benefits'!$C$9)+INT((($BE21+1)-1)/2),MIN(DAY('Your Pay &amp; Benefits'!$C$9),DAY(EOMONTH(DATE(YEAR('Your Pay &amp; Benefits'!$C$9),MONTH('Your Pay &amp; Benefits'!$C$9)+INT((($BE21+1)-1)/2),1),0))))+IF(MOD(($BE21+1)-1,2)=1,15,0),EDATE('Your Pay &amp; Benefits'!$C$9,($BE21+1)-1)))))&lt;&gt;'Your Pay &amp; Benefits'!$C$10,"",IF('Your Pay &amp; Benefits'!$C$7="Weekly",'Your Pay &amp; Benefits'!$C$9+7*(($BE21+1)-1),IF('Your Pay &amp; Benefits'!$C$7="Biweekly",'Your Pay &amp; Benefits'!$C$9+14*(($BE21+1)-1),IF('Your Pay &amp; Benefits'!$C$7="Semimonthly",DATE(YEAR('Your Pay &amp; Benefits'!$C$9),MONTH('Your Pay &amp; Benefits'!$C$9)+INT((($BE21+1)-1)/2),MIN(DAY('Your Pay &amp; Benefits'!$C$9),DAY(EOMONTH(DATE(YEAR('Your Pay &amp; Benefits'!$C$9),MONTH('Your Pay &amp; Benefits'!$C$9)+INT((($BE21+1)-1)/2),1),0))))+IF(MOD(($BE21+1)-1,2)=1,15,0),EDATE('Your Pay &amp; Benefits'!$C$9,($BE21+1)-1)))))&lt;&gt;"",$B22=IF(YEAR(IF('Your Pay &amp; Benefits'!$C$7="Weekly",'Your Pay &amp; Benefits'!$C$9+7*(($BE21+1)-1),IF('Your Pay &amp; Benefits'!$C$7="Biweekly",'Your Pay &amp; Benefits'!$C$9+14*(($BE21+1)-1),IF('Your Pay &amp; Benefits'!$C$7="Semimonthly",DATE(YEAR('Your Pay &amp; Benefits'!$C$9),MONTH('Your Pay &amp; Benefits'!$C$9)+INT((($BE21+1)-1)/2),MIN(DAY('Your Pay &amp; Benefits'!$C$9),DAY(EOMONTH(DATE(YEAR('Your Pay &amp; Benefits'!$C$9),MONTH('Your Pay &amp; Benefits'!$C$9)+INT((($BE21+1)-1)/2),1),0))))+IF(MOD(($BE21+1)-1,2)=1,15,0),EDATE('Your Pay &amp; Benefits'!$C$9,($BE21+1)-1)))))&lt;&gt;'Your Pay &amp; Benefits'!$C$10,"",IF('Your Pay &amp; Benefits'!$C$7="Weekly",'Your Pay &amp; Benefits'!$C$9+7*(($BE21+1)-1),IF('Your Pay &amp; Benefits'!$C$7="Biweekly",'Your Pay &amp; Benefits'!$C$9+14*(($BE21+1)-1),IF('Your Pay &amp; Benefits'!$C$7="Semimonthly",DATE(YEAR('Your Pay &amp; Benefits'!$C$9),MONTH('Your Pay &amp; Benefits'!$C$9)+INT((($BE21+1)-1)/2),MIN(DAY('Your Pay &amp; Benefits'!$C$9),DAY(EOMONTH(DATE(YEAR('Your Pay &amp; Benefits'!$C$9),MONTH('Your Pay &amp; Benefits'!$C$9)+INT((($BE21+1)-1)/2),1),0))))+IF(MOD(($BE21+1)-1,2)=1,15,0),EDATE('Your Pay &amp; Benefits'!$C$9,($BE21+1)-1)))))),1,0))</f>
      </c>
      <c r="BG22" s="7">
        <f>IF($B22="","",$BG21+$H22)</f>
      </c>
      <c r="BH22" s="7">
        <f>IF($B22="","",$BH21+$I22)</f>
      </c>
      <c r="BI22" s="7">
        <f>IF($B22="","",$BI21+$G22)</f>
      </c>
      <c r="BJ22" s="7">
        <f>IF($B22="","",IFERROR(LOOKUP(2,1/(((('Changes &amp; Events'!$C$6:$C$17="Deduction start"))*('Changes &amp; Events'!$D$6:$D$17="Health FSA"))*('Changes &amp; Events'!$B$6:$B$17&lt;=$B22)*('Changes &amp; Events'!$B$6:$B$17&lt;&gt;"")),'Changes &amp; Events'!$E$6:$E$17),'Your Pay &amp; Benefits'!$D$38))</f>
      </c>
      <c r="BK22" s="7">
        <f>IF($B22="","",IFERROR(LOOKUP(2,1/(((('Changes &amp; Events'!$C$6:$C$17="Deduction start"))*('Changes &amp; Events'!$D$6:$D$17="Dependent-care FSA"))*('Changes &amp; Events'!$B$6:$B$17&lt;=$B22)*('Changes &amp; Events'!$B$6:$B$17&lt;&gt;"")),'Changes &amp; Events'!$E$6:$E$17),'Your Pay &amp; Benefits'!$D$39))</f>
      </c>
      <c r="BL22" s="7">
        <f>IF($B22="","",IFERROR(LOOKUP(2,1/(((('Changes &amp; Events'!$C$6:$C$17="Deduction start")+('Changes &amp; Events'!$C$6:$C$17="Deduction stop"))*('Changes &amp; Events'!$D$6:$D$17="HSA"))*('Changes &amp; Events'!$B$6:$B$17&lt;=$B22)*('Changes &amp; Events'!$B$6:$B$17&lt;&gt;"")),'Changes &amp; Events'!$I$6:$I$17),'Your Pay &amp; Benefits'!$D$35))</f>
      </c>
      <c r="BM22" s="7">
        <f>IF($B22="","",IFERROR(LOOKUP(2,1/(((('Changes &amp; Events'!$C$6:$C$17="Deduction start")+('Changes &amp; Events'!$C$6:$C$17="Deduction stop"))*('Changes &amp; Events'!$D$6:$D$17="Premiums"))*('Changes &amp; Events'!$B$6:$B$17&lt;=$B22)*('Changes &amp; Events'!$B$6:$B$17&lt;&gt;"")),'Changes &amp; Events'!$I$6:$I$17),'Your Pay &amp; Benefits'!$D$40+'Your Pay &amp; Benefits'!$D$41+'Your Pay &amp; Benefits'!$D$42))</f>
      </c>
      <c r="BN22" s="7">
        <f>IF($B22="","",IFERROR(LOOKUP(2,1/(((('Changes &amp; Events'!$C$6:$C$17="Deduction start")+('Changes &amp; Events'!$C$6:$C$17="Deduction stop"))*('Changes &amp; Events'!$D$6:$D$17="Commuter"))*('Changes &amp; Events'!$B$6:$B$17&lt;=$B22)*('Changes &amp; Events'!$B$6:$B$17&lt;&gt;"")),'Changes &amp; Events'!$I$6:$I$17),'Your Pay &amp; Benefits'!$D$43))</f>
      </c>
      <c r="BO22" s="7">
        <f>IF($B22="","",IFERROR(LOOKUP(2,1/(((('Changes &amp; Events'!$C$6:$C$17="Deduction start")+('Changes &amp; Events'!$C$6:$C$17="Deduction stop"))*('Changes &amp; Events'!$D$6:$D$17="Other pre-tax"))*('Changes &amp; Events'!$B$6:$B$17&lt;=$B22)*('Changes &amp; Events'!$B$6:$B$17&lt;&gt;"")),'Changes &amp; Events'!$I$6:$I$17),'Your Pay &amp; Benefits'!$D$44))</f>
      </c>
      <c r="BP22" s="7">
        <f>IF($B22="","",IFERROR(LOOKUP(2,1/(((('Changes &amp; Events'!$C$6:$C$17="Deduction start")+('Changes &amp; Events'!$C$6:$C$17="Deduction stop"))*('Changes &amp; Events'!$D$6:$D$17="Other post-tax"))*('Changes &amp; Events'!$B$6:$B$17&lt;=$B22)*('Changes &amp; Events'!$B$6:$B$17&lt;&gt;"")),'Changes &amp; Events'!$I$6:$I$17),'Your Pay &amp; Benefits'!$D$45))</f>
      </c>
      <c r="BQ22" s="6">
        <f>IF($B22="","",IFERROR(LOOKUP(2,1/(((('Changes &amp; Events'!$C$6:$C$17="Deduction start")+('Changes &amp; Events'!$C$6:$C$17="Deduction stop"))*('Changes &amp; Events'!$D$6:$D$17="Health FSA"))*('Changes &amp; Events'!$B$6:$B$17&lt;=$B22)*('Changes &amp; Events'!$B$6:$B$17&lt;&gt;"")),'Changes &amp; Events'!$J$6:$J$17),0))</f>
      </c>
      <c r="BR22" s="6">
        <f>IF($B22="","",IFERROR(LOOKUP(2,1/(((('Changes &amp; Events'!$C$6:$C$17="Deduction start")+('Changes &amp; Events'!$C$6:$C$17="Deduction stop"))*('Changes &amp; Events'!$D$6:$D$17="Dependent-care FSA"))*('Changes &amp; Events'!$B$6:$B$17&lt;=$B22)*('Changes &amp; Events'!$B$6:$B$17&lt;&gt;"")),'Changes &amp; Events'!$J$6:$J$17),0))</f>
      </c>
      <c r="BS22" s="6">
        <f>IF($B22="","",IF(SUMPRODUCT(('Changes &amp; Events'!$C$6:$C$17="Deduction start")*('Changes &amp; Events'!$B$6:$B$17&lt;=$B22)*('Changes &amp; Events'!$B$6:$B$17&lt;&gt;"")*('Changes &amp; Events'!$D$6:$D$17="Health FSA"))&gt;0,1,0))</f>
      </c>
      <c r="BT22" s="6">
        <f>IF($B22="","",IF(SUMPRODUCT(('Changes &amp; Events'!$C$6:$C$17="Deduction start")*('Changes &amp; Events'!$B$6:$B$17&lt;=$B22)*('Changes &amp; Events'!$B$6:$B$17&lt;&gt;"")*('Changes &amp; Events'!$D$6:$D$17="Dependent-care FSA"))&gt;0,1,0))</f>
      </c>
      <c r="BU22" s="24">
        <f>IF($B22="","",IF('Your Pay &amp; Benefits'!$C$13,SUMPRODUCT(($AH22&gt;=INDEX('How This Works &amp; Sources'!$B$29:$J$36,0,IF('Your Pay &amp; Benefits'!$C$12="MFJ",1,IF('Your Pay &amp; Benefits'!$C$12="HoH",7,4))))*INDEX('How This Works &amp; Sources'!$B$29:$J$36,0,IF('Your Pay &amp; Benefits'!$C$12="MFJ",1,IF('Your Pay &amp; Benefits'!$C$12="HoH",7,4))+2)),SUMPRODUCT(($AH22&gt;=INDEX('How This Works &amp; Sources'!$B$19:$J$26,0,IF('Your Pay &amp; Benefits'!$C$12="MFJ",1,IF('Your Pay &amp; Benefits'!$C$12="HoH",7,4))))*INDEX('How This Works &amp; Sources'!$B$19:$J$26,0,IF('Your Pay &amp; Benefits'!$C$12="MFJ",1,IF('Your Pay &amp; Benefits'!$C$12="HoH",7,4))+2))))</f>
      </c>
      <c r="BV22" s="24">
        <f>IF($B22="","",IF($BZ22&lt;&gt;"",$BZ22,IF($CA22&lt;&gt;"",$CA22,IF($CB22&lt;&gt;"",$CB22,IF($CC22&lt;&gt;"",$CC22,0)))))</f>
      </c>
      <c r="BW22" s="7">
        <f>IF($B22="","",IF($AN22="MD",IF(OR($AU22="Married",$AU22="Head of household"),SUMPRODUCT(($AZ22&gt;INDEX('How This Works &amp; Sources'!$B$114:$J$120,0,1))*($AZ22-INDEX('How This Works &amp; Sources'!$B$114:$J$120,0,1))*INDEX('How This Works &amp; Sources'!$B$114:$J$120,0,1+2)),SUMPRODUCT(($AZ22&gt;INDEX('How This Works &amp; Sources'!$B$103:$J$109,0,7))*($AZ22-INDEX('How This Works &amp; Sources'!$B$103:$J$109,0,7))*INDEX('How This Works &amp; Sources'!$B$103:$J$109,0,7+2))),IF($AN22="MO",SUMPRODUCT(($AZ22&gt;INDEX('How This Works &amp; Sources'!$B$125:$J$132,0,1))*($AZ22-INDEX('How This Works &amp; Sources'!$B$125:$J$132,0,1))*INDEX('How This Works &amp; Sources'!$B$125:$J$132,0,1+2)),IF($AN22="MT",IF($AU22="Head of household",SUMPRODUCT(($AZ22&gt;INDEX('How This Works &amp; Sources'!$B$137:$J$139,0,1))*($AZ22-INDEX('How This Works &amp; Sources'!$B$137:$J$139,0,1))*INDEX('How This Works &amp; Sources'!$B$137:$J$139,0,1+2)),IF($AU22="Married",SUMPRODUCT(($AZ22&gt;INDEX('How This Works &amp; Sources'!$B$125:$J$132,0,7))*($AZ22-INDEX('How This Works &amp; Sources'!$B$125:$J$132,0,7))*INDEX('How This Works &amp; Sources'!$B$125:$J$132,0,7+2)),SUMPRODUCT(($AZ22&gt;INDEX('How This Works &amp; Sources'!$B$125:$J$132,0,4))*($AZ22-INDEX('How This Works &amp; Sources'!$B$125:$J$132,0,4))*INDEX('How This Works &amp; Sources'!$B$125:$J$132,0,4+2)))),IF($AN22="ND",IF($AU22="Head of household",SUMPRODUCT(($AZ22&gt;INDEX('How This Works &amp; Sources'!$B$144:$J$150,0,1))*($AZ22-INDEX('How This Works &amp; Sources'!$B$144:$J$150,0,1))*INDEX('How This Works &amp; Sources'!$B$144:$J$150,0,1+2)),IF($AU22="Married",SUMPRODUCT(($AZ22&gt;INDEX('How This Works &amp; Sources'!$B$137:$J$139,0,7))*($AZ22-INDEX('How This Works &amp; Sources'!$B$137:$J$139,0,7))*INDEX('How This Works &amp; Sources'!$B$137:$J$139,0,7+2)),SUMPRODUCT(($AZ22&gt;INDEX('How This Works &amp; Sources'!$B$137:$J$139,0,4))*($AZ22-INDEX('How This Works &amp; Sources'!$B$137:$J$139,0,4))*INDEX('How This Works &amp; Sources'!$B$137:$J$139,0,4+2)))),IF($AN22="NJ",IF('Your Pay &amp; Benefits'!$C$77="B",SUMPRODUCT(($AZ22&gt;INDEX('How This Works &amp; Sources'!$B$155:$J$162,0,4))*($AZ22-INDEX('How This Works &amp; Sources'!$B$155:$J$162,0,4))*INDEX('How This Works &amp; Sources'!$B$155:$J$162,0,4+2)),IF('Your Pay &amp; Benefits'!$C$77="C",SUMPRODUCT(($AZ22&gt;INDEX('How This Works &amp; Sources'!$B$155:$J$162,0,7))*($AZ22-INDEX('How This Works &amp; Sources'!$B$155:$J$162,0,7))*INDEX('How This Works &amp; Sources'!$B$155:$J$162,0,7+2)),IF('Your Pay &amp; Benefits'!$C$77="D",SUMPRODUCT(($AZ22&gt;INDEX('How This Works &amp; Sources'!$B$167:$J$179,0,1))*($AZ22-INDEX('How This Works &amp; Sources'!$B$167:$J$179,0,1))*INDEX('How This Works &amp; Sources'!$B$167:$J$179,0,1+2)),IF('Your Pay &amp; Benefits'!$C$77="E",SUMPRODUCT(($AZ22&gt;INDEX('How This Works &amp; Sources'!$B$167:$J$179,0,4))*($AZ22-INDEX('How This Works &amp; Sources'!$B$167:$J$179,0,4))*INDEX('How This Works &amp; Sources'!$B$167:$J$179,0,4+2)),SUMPRODUCT(($AZ22&gt;INDEX('How This Works &amp; Sources'!$B$155:$J$162,0,1))*($AZ22-INDEX('How This Works &amp; Sources'!$B$155:$J$162,0,1))*INDEX('How This Works &amp; Sources'!$B$155:$J$162,0,1+2)))))),IF($AN22="NY",IF($AU22="Married",IF($AZ22&gt;=2155350,$AZ22*IF($AZ22&gt;25000000,0.117,IF($AZ22&gt;5000000,0.111,0.1045)),SUMPRODUCT(($AZ22&gt;INDEX('How This Works &amp; Sources'!$B$184:$J$198,0,1))*($AZ22-INDEX('How This Works &amp; Sources'!$B$184:$J$198,0,1))*INDEX('How This Works &amp; Sources'!$B$184:$J$198,0,1+2))),IF($AZ22&gt;=1077550,$AZ22*IF($AZ22&gt;25000000,0.117,IF($AZ22&gt;5000000,0.111,0.1045)),SUMPRODUCT(($AZ22&gt;INDEX('How This Works &amp; Sources'!$B$167:$J$179,0,7))*($AZ22-INDEX('How This Works &amp; Sources'!$B$167:$J$179,0,7))*INDEX('How This Works &amp; Sources'!$B$167:$J$179,0,7+2)))),"")))))))</f>
      </c>
      <c r="BX22" s="7">
        <f>IF($B22="","",IF($AN22="AL",IF(OR($AU22="Married",$AU22="Head of household"),SUMPRODUCT(($AZ22&gt;INDEX('How This Works &amp; Sources'!$B$82:$J$86,0,4))*($AZ22-INDEX('How This Works &amp; Sources'!$B$82:$J$86,0,4))*INDEX('How This Works &amp; Sources'!$B$82:$J$86,0,4+2)),SUMPRODUCT(($AZ22&gt;INDEX('How This Works &amp; Sources'!$B$82:$J$86,0,1))*($AZ22-INDEX('How This Works &amp; Sources'!$B$82:$J$86,0,1))*INDEX('How This Works &amp; Sources'!$B$82:$J$86,0,1+2))),IF($AN22="KS",IF($AU22="Married",SUMPRODUCT(($AZ22&gt;INDEX('How This Works &amp; Sources'!$B$103:$J$109,0,4))*($AZ22-INDEX('How This Works &amp; Sources'!$B$103:$J$109,0,4))*INDEX('How This Works &amp; Sources'!$B$103:$J$109,0,4+2)),SUMPRODUCT(($AZ22&gt;INDEX('How This Works &amp; Sources'!$B$103:$J$109,0,1))*($AZ22-INDEX('How This Works &amp; Sources'!$B$103:$J$109,0,1))*INDEX('How This Works &amp; Sources'!$B$103:$J$109,0,1+2))),IF($AN22="MN",IF($AU22="Married",SUMPRODUCT(($AZ22&gt;INDEX('How This Works &amp; Sources'!$B$114:$J$120,0,7))*($AZ22-INDEX('How This Works &amp; Sources'!$B$114:$J$120,0,7))*INDEX('How This Works &amp; Sources'!$B$114:$J$120,0,7+2)),SUMPRODUCT(($AZ22&gt;INDEX('How This Works &amp; Sources'!$B$114:$J$120,0,4))*($AZ22-INDEX('How This Works &amp; Sources'!$B$114:$J$120,0,4))*INDEX('How This Works &amp; Sources'!$B$114:$J$120,0,4+2))),IF($AN22="NE",MAX(IF($AU22="Married",SUMPRODUCT(($AZ22&gt;INDEX('How This Works &amp; Sources'!$B$144:$J$150,0,7))*($AZ22-INDEX('How This Works &amp; Sources'!$B$144:$J$150,0,7))*INDEX('How This Works &amp; Sources'!$B$144:$J$150,0,7+2)),SUMPRODUCT(($AZ22&gt;INDEX('How This Works &amp; Sources'!$B$144:$J$150,0,4))*($AZ22-INDEX('How This Works &amp; Sources'!$B$144:$J$150,0,4))*INDEX('How This Works &amp; Sources'!$B$144:$J$150,0,4+2))),0.015*$AZ22),IF($AN22="OH",IF($B22&gt;=DATE(2026,8,1),SUMPRODUCT(($AZ22&gt;INDEX('How This Works &amp; Sources'!$B$203:$J$206,0,1))*($AZ22-INDEX('How This Works &amp; Sources'!$B$203:$J$206,0,1))*INDEX('How This Works &amp; Sources'!$B$203:$J$206,0,1+2)),SUMPRODUCT(($AZ22&gt;INDEX('How This Works &amp; Sources'!$B$184:$J$198,0,7))*($AZ22-INDEX('How This Works &amp; Sources'!$B$184:$J$198,0,7))*INDEX('How This Works &amp; Sources'!$B$184:$J$198,0,7+2))),IF($AN22="OK",IF($AU22="Married",SUMPRODUCT(($AZ22&gt;INDEX('How This Works &amp; Sources'!$B$203:$J$206,0,7))*($AZ22-INDEX('How This Works &amp; Sources'!$B$203:$J$206,0,7))*INDEX('How This Works &amp; Sources'!$B$203:$J$206,0,7+2)),SUMPRODUCT(($AZ22&gt;INDEX('How This Works &amp; Sources'!$B$203:$J$206,0,4))*($AZ22-INDEX('How This Works &amp; Sources'!$B$203:$J$206,0,4))*INDEX('How This Works &amp; Sources'!$B$203:$J$206,0,4+2))),IF($AN22="RI",SUMPRODUCT(($AZ22&gt;INDEX('How This Works &amp; Sources'!$B$211:$J$214,0,7))*($AZ22-INDEX('How This Works &amp; Sources'!$B$211:$J$214,0,7))*INDEX('How This Works &amp; Sources'!$B$211:$J$214,0,7+2)),IF($AN22="VT",IF($AU22="Married",SUMPRODUCT(($AZ22&gt;INDEX('How This Works &amp; Sources'!$B$228:$J$232,0,1))*($AZ22-INDEX('How This Works &amp; Sources'!$B$228:$J$232,0,1))*INDEX('How This Works &amp; Sources'!$B$228:$J$232,0,1+2)),SUMPRODUCT(($AZ22&gt;INDEX('How This Works &amp; Sources'!$B$219:$J$223,0,7))*($AZ22-INDEX('How This Works &amp; Sources'!$B$219:$J$223,0,7))*INDEX('How This Works &amp; Sources'!$B$219:$J$223,0,7+2))),IF($AN22="WV",IF($AU22="Married",SUMPRODUCT(($AZ22&gt;INDEX('How This Works &amp; Sources'!$B$237:$J$241,0,7))*($AZ22-INDEX('How This Works &amp; Sources'!$B$237:$J$241,0,7))*INDEX('How This Works &amp; Sources'!$B$237:$J$241,0,7+2)),SUMPRODUCT(($AZ22&gt;INDEX('How This Works &amp; Sources'!$B$228:$J$232,0,7))*($AZ22-INDEX('How This Works &amp; Sources'!$B$228:$J$232,0,7))*INDEX('How This Works &amp; Sources'!$B$228:$J$232,0,7+2))),""))))))))))</f>
      </c>
      <c r="BY22" s="7">
        <f>IF($B22="","",IF($AN22="AR",SUMPRODUCT(($AZ22&gt;INDEX('How This Works &amp; Sources'!$B$82:$J$86,0,7))*($AZ22-INDEX('How This Works &amp; Sources'!$B$82:$J$86,0,7))*INDEX('How This Works &amp; Sources'!$B$82:$J$86,0,7+2)),IF($AN22="DE",SUMPRODUCT(($AZ22&gt;INDEX('How This Works &amp; Sources'!$B$91:$J$98,0,1))*($AZ22-INDEX('How This Works &amp; Sources'!$B$91:$J$98,0,1))*INDEX('How This Works &amp; Sources'!$B$91:$J$98,0,1+2)),IF($AN22="HI",IF($AU22="Married",SUMPRODUCT(($AZ22&gt;INDEX('How This Works &amp; Sources'!$B$91:$J$98,0,7))*($AZ22-INDEX('How This Works &amp; Sources'!$B$91:$J$98,0,7))*INDEX('How This Works &amp; Sources'!$B$91:$J$98,0,7+2)),SUMPRODUCT(($AZ22&gt;INDEX('How This Works &amp; Sources'!$B$91:$J$98,0,4))*($AZ22-INDEX('How This Works &amp; Sources'!$B$91:$J$98,0,4))*INDEX('How This Works &amp; Sources'!$B$91:$J$98,0,4+2))),IF($AN22="SC",SUMPRODUCT(($AZ22&gt;INDEX('How This Works &amp; Sources'!$B$219:$J$223,0,1))*($AZ22-INDEX('How This Works &amp; Sources'!$B$219:$J$223,0,1))*INDEX('How This Works &amp; Sources'!$B$219:$J$223,0,1+2)),IF($AN22="VA",SUMPRODUCT(($AZ22&gt;INDEX('How This Works &amp; Sources'!$B$219:$J$223,0,4))*($AZ22-INDEX('How This Works &amp; Sources'!$B$219:$J$223,0,4))*INDEX('How This Works &amp; Sources'!$B$219:$J$223,0,4+2)),IF($AN22="WI",SUMPRODUCT(($AZ22&gt;INDEX('How This Works &amp; Sources'!$B$228:$J$232,0,4))*($AZ22-INDEX('How This Works &amp; Sources'!$B$228:$J$232,0,4))*INDEX('How This Works &amp; Sources'!$B$228:$J$232,0,4+2)),"")))))))</f>
      </c>
      <c r="BZ22" s="24">
        <f>IF($B22="","",IF($AN22="NJ",IF('Your Pay &amp; Benefits'!$C$77="B",SUMPRODUCT(($AZ22&gt;=INDEX('How This Works &amp; Sources'!$B$155:$J$162,0,4))*INDEX('How This Works &amp; Sources'!$B$155:$J$162,0,4+2)),IF('Your Pay &amp; Benefits'!$C$77="C",SUMPRODUCT(($AZ22&gt;=INDEX('How This Works &amp; Sources'!$B$155:$J$162,0,7))*INDEX('How This Works &amp; Sources'!$B$155:$J$162,0,7+2)),IF('Your Pay &amp; Benefits'!$C$77="D",SUMPRODUCT(($AZ22&gt;=INDEX('How This Works &amp; Sources'!$B$167:$J$179,0,1))*INDEX('How This Works &amp; Sources'!$B$167:$J$179,0,1+2)),IF('Your Pay &amp; Benefits'!$C$77="E",SUMPRODUCT(($AZ22&gt;=INDEX('How This Works &amp; Sources'!$B$167:$J$179,0,4))*INDEX('How This Works &amp; Sources'!$B$167:$J$179,0,4+2)),SUMPRODUCT(($AZ22&gt;=INDEX('How This Works &amp; Sources'!$B$155:$J$162,0,1))*INDEX('How This Works &amp; Sources'!$B$155:$J$162,0,1+2)))))),IF($AN22="OR",IF(OR($AU22="Married",AND($AU22="Single",$AS22&gt;=3)),SUMPRODUCT((MAX(0,$AY22-MIN(($P22-'How This Works &amp; Sources'!$C$10*$D22)*'Your Pay &amp; Benefits'!$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Sources'!$B$211:$J$214,0,4))*INDEX('How This Works &amp; Sources'!$B$211:$J$214,0,4+2)),SUMPRODUCT((MAX(0,$AY22-MIN(($P22-'How This Works &amp; Sources'!$C$10*$D22)*'Your Pay &amp; Benefits'!$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Sources'!$B$211:$J$214,0,1))*INDEX('How This Works &amp; Sources'!$B$211:$J$214,0,1+2)))*IF(($P22-'How This Works &amp; Sources'!$C$10*$D22)*'Your Pay &amp; Benefits'!$C$8&gt;=IF(OR($AU22="Married",AND($AU22="Single",$AS22&gt;=3)),IF($AY22&lt;250000,8750,IF($AY22&lt;260000,7000,IF($AY22&lt;270000,5250,IF($AY22&lt;280000,3500,IF($AY22&lt;290000,1750,0))))),IF($AY22&lt;125000,8750,IF($AY22&lt;130000,7000,IF($AY22&lt;135000,5250,IF($AY22&lt;140000,3500,IF($AY22&lt;145000,1750,0)))))),1,1-IF('Your Pay &amp; Benefits'!$C$13,SUMPRODUCT(($AH22&gt;=INDEX('How This Works &amp; Sources'!$B$29:$J$36,0,IF('Your Pay &amp; Benefits'!$C$12="MFJ",1,IF('Your Pay &amp; Benefits'!$C$12="HoH",7,4))))*INDEX('How This Works &amp; Sources'!$B$29:$J$36,0,IF('Your Pay &amp; Benefits'!$C$12="MFJ",1,IF('Your Pay &amp; Benefits'!$C$12="HoH",7,4))+2)),SUMPRODUCT(($AH22&gt;=INDEX('How This Works &amp; Sources'!$B$19:$J$26,0,IF('Your Pay &amp; Benefits'!$C$12="MFJ",1,IF('Your Pay &amp; Benefits'!$C$12="HoH",7,4))))*INDEX('How This Works &amp; Sources'!$B$19:$J$26,0,IF('Your Pay &amp; Benefits'!$C$12="MFJ",1,IF('Your Pay &amp; Benefits'!$C$12="HoH",7,4))+2)))),IF($AN22="MI",IF($AY22&gt;5900*$AS22,0.0425,0),""))))</f>
      </c>
      <c r="CA22" s="24">
        <f>IF($B22="","",IF($AN22="AL",IF(OR($AU22="Married",$AU22="Head of household"),SUMPRODUCT(($AZ22&gt;=INDEX('How This Works &amp; Sources'!$B$82:$J$86,0,4))*INDEX('How This Works &amp; Sources'!$B$82:$J$86,0,4+2)),SUMPRODUCT(($AZ22&gt;=INDEX('How This Works &amp; Sources'!$B$82:$J$86,0,1))*INDEX('How This Works &amp; Sources'!$B$82:$J$86,0,1+2)))*(1-IF('Your Pay &amp; Benefits'!$C$13,SUMPRODUCT(($AH22&gt;=INDEX('How This Works &amp; Sources'!$B$29:$J$36,0,IF('Your Pay &amp; Benefits'!$C$12="MFJ",1,IF('Your Pay &amp; Benefits'!$C$12="HoH",7,4))))*INDEX('How This Works &amp; Sources'!$B$29:$J$36,0,IF('Your Pay &amp; Benefits'!$C$12="MFJ",1,IF('Your Pay &amp; Benefits'!$C$12="HoH",7,4))+2)),SUMPRODUCT(($AH22&gt;=INDEX('How This Works &amp; Sources'!$B$19:$J$26,0,IF('Your Pay &amp; Benefits'!$C$12="MFJ",1,IF('Your Pay &amp; Benefits'!$C$12="HoH",7,4))))*INDEX('How This Works &amp; Sources'!$B$19:$J$26,0,IF('Your Pay &amp; Benefits'!$C$12="MFJ",1,IF('Your Pay &amp; Benefits'!$C$12="HoH",7,4))+2)))),IF($AN22="KS",IF($AU22="Married",SUMPRODUCT(($AZ22&gt;=INDEX('How This Works &amp; Sources'!$B$103:$J$109,0,4))*INDEX('How This Works &amp; Sources'!$B$103:$J$109,0,4+2)),SUMPRODUCT(($AZ22&gt;=INDEX('How This Works &amp; Sources'!$B$103:$J$109,0,1))*INDEX('How This Works &amp; Sources'!$B$103:$J$109,0,1+2))),IF($AN22="MD",IF(OR($AU22="Married",$AU22="Head of household"),SUMPRODUCT(($AZ22&gt;=INDEX('How This Works &amp; Sources'!$B$114:$J$120,0,1))*INDEX('How This Works &amp; Sources'!$B$114:$J$120,0,1+2)),SUMPRODUCT(($AZ22&gt;=INDEX('How This Works &amp; Sources'!$B$103:$J$109,0,7))*INDEX('How This Works &amp; Sources'!$B$103:$J$109,0,7+2)))+'Your Pay &amp; Benefits'!$C$74,IF($AN22="MT",IF($AU22="Head of household",SUMPRODUCT(($AZ22&gt;=INDEX('How This Works &amp; Sources'!$B$137:$J$139,0,1))*INDEX('How This Works &amp; Sources'!$B$137:$J$139,0,1+2)),IF($AU22="Married",SUMPRODUCT(($AZ22&gt;=INDEX('How This Works &amp; Sources'!$B$125:$J$132,0,7))*INDEX('How This Works &amp; Sources'!$B$125:$J$132,0,7+2)),SUMPRODUCT(($AZ22&gt;=INDEX('How This Works &amp; Sources'!$B$125:$J$132,0,4))*INDEX('How This Works &amp; Sources'!$B$125:$J$132,0,4+2)))),IF($AN22="ND",IF($AU22="Head of household",SUMPRODUCT(($AZ22&gt;=INDEX('How This Works &amp; Sources'!$B$144:$J$150,0,1))*INDEX('How This Works &amp; Sources'!$B$144:$J$150,0,1+2)),IF($AU22="Married",SUMPRODUCT(($AZ22&gt;=INDEX('How This Works &amp; Sources'!$B$137:$J$139,0,7))*INDEX('How This Works &amp; Sources'!$B$137:$J$139,0,7+2)),SUMPRODUCT(($AZ22&gt;=INDEX('How This Works &amp; Sources'!$B$137:$J$139,0,4))*INDEX('How This Works &amp; Sources'!$B$137:$J$139,0,4+2)))),IF($AN22="NY",IF($AU22="Married",IF($AZ22&gt;=2155350,IF($AZ22&gt;25000000,0.117,IF($AZ22&gt;5000000,0.111,0.1045)),SUMPRODUCT(($AZ22&gt;=INDEX('How This Works &amp; Sources'!$B$184:$J$198,0,1))*INDEX('How This Works &amp; Sources'!$B$184:$J$198,0,1+2))),IF($AZ22&gt;=1077550,IF($AZ22&gt;25000000,0.117,IF($AZ22&gt;5000000,0.111,0.1045)),SUMPRODUCT(($AZ22&gt;=INDEX('How This Works &amp; Sources'!$B$167:$J$179,0,7))*INDEX('How This Works &amp; Sources'!$B$167:$J$179,0,7+2)))),"")))))))</f>
      </c>
      <c r="CB22" s="24">
        <f>IF($B22="","",IF($AN22="CA",SUMPRODUCT(($AJ22&gt;=INDEX('How This Works &amp; Sources'!$B$39:$J$48,0,IF($AU22="Married",4,IF($AU22="Head of household",7,1))))*INDEX('How This Works &amp; Sources'!$B$39:$J$48,0,IF($AU22="Married",4,IF($AU22="Head of household",7,1))+2)),IF($AN22="HI",IF($AU22="Married",SUMPRODUCT(($AZ22&gt;=INDEX('How This Works &amp; Sources'!$B$91:$J$98,0,7))*INDEX('How This Works &amp; Sources'!$B$91:$J$98,0,7+2)),SUMPRODUCT(($AZ22&gt;=INDEX('How This Works &amp; Sources'!$B$91:$J$98,0,4))*INDEX('How This Works &amp; Sources'!$B$91:$J$98,0,4+2))),IF($AN22="MN",IF($AU22="Married",SUMPRODUCT(($AZ22&gt;=INDEX('How This Works &amp; Sources'!$B$114:$J$120,0,7))*INDEX('How This Works &amp; Sources'!$B$114:$J$120,0,7+2)),SUMPRODUCT(($AZ22&gt;=INDEX('How This Works &amp; Sources'!$B$114:$J$120,0,4))*INDEX('How This Works &amp; Sources'!$B$114:$J$120,0,4+2))),IF($AN22="MO",SUMPRODUCT(($AZ22&gt;=INDEX('How This Works &amp; Sources'!$B$125:$J$132,0,1))*INDEX('How This Works &amp; Sources'!$B$125:$J$132,0,1+2)),IF($AN22="NE",MAX(IF($AU22="Married",SUMPRODUCT(($AZ22&gt;=INDEX('How This Works &amp; Sources'!$B$144:$J$150,0,7))*INDEX('How This Works &amp; Sources'!$B$144:$J$150,0,7+2)),SUMPRODUCT(($AZ22&gt;=INDEX('How This Works &amp; Sources'!$B$144:$J$150,0,4))*INDEX('How This Works &amp; Sources'!$B$144:$J$150,0,4+2))),0.015),IF($AN22="OH",IF($B22&gt;=DATE(2026,8,1),SUMPRODUCT(($AZ22&gt;=INDEX('How This Works &amp; Sources'!$B$203:$J$206,0,1))*INDEX('How This Works &amp; Sources'!$B$203:$J$206,0,1+2)),SUMPRODUCT(($AZ22&gt;=INDEX('How This Works &amp; Sources'!$B$184:$J$198,0,7))*INDEX('How This Works &amp; Sources'!$B$184:$J$198,0,7+2))),IF($AN22="OK",IF($AU22="Married",SUMPRODUCT(($AZ22&gt;=INDEX('How This Works &amp; Sources'!$B$203:$J$206,0,7))*INDEX('How This Works &amp; Sources'!$B$203:$J$206,0,7+2)),SUMPRODUCT(($AZ22&gt;=INDEX('How This Works &amp; Sources'!$B$203:$J$206,0,4))*INDEX('How This Works &amp; Sources'!$B$203:$J$206,0,4+2))),IF($AN22="RI",SUMPRODUCT(($AZ22&gt;=INDEX('How This Works &amp; Sources'!$B$211:$J$214,0,7))*INDEX('How This Works &amp; Sources'!$B$211:$J$214,0,7+2)),IF($AN22="SC",SUMPRODUCT(($AZ22&gt;=INDEX('How This Works &amp; Sources'!$B$219:$J$223,0,1))*INDEX('How This Works &amp; Sources'!$B$219:$J$223,0,1+2)),IF($AN22="VT",IF($AU22="Married",SUMPRODUCT(($AZ22&gt;=INDEX('How This Works &amp; Sources'!$B$228:$J$232,0,1))*INDEX('How This Works &amp; Sources'!$B$228:$J$232,0,1+2)),SUMPRODUCT(($AZ22&gt;=INDEX('How This Works &amp; Sources'!$B$219:$J$223,0,7))*INDEX('How This Works &amp; Sources'!$B$219:$J$223,0,7+2))),IF($AN22="WV",IF($AU22="Married",SUMPRODUCT(($AZ22&gt;=INDEX('How This Works &amp; Sources'!$B$237:$J$241,0,7))*INDEX('How This Works &amp; Sources'!$B$237:$J$241,0,7+2)),SUMPRODUCT(($AZ22&gt;=INDEX('How This Works &amp; Sources'!$B$228:$J$232,0,7))*INDEX('How This Works &amp; Sources'!$B$228:$J$232,0,7+2))),IF($AN22="IN",(0.0295+'Your Pay &amp; Benefits'!$C$76),"")))))))))))))</f>
      </c>
      <c r="CC22" s="24">
        <f>IF($B22="","",IF($AN22="AR",SUMPRODUCT(($AZ22&gt;=INDEX('How This Works &amp; Sources'!$B$82:$J$86,0,7))*INDEX('How This Works &amp; Sources'!$B$82:$J$86,0,7+2)),IF($AN22="DE",SUMPRODUCT(($AZ22&gt;=INDEX('How This Works &amp; Sources'!$B$91:$J$98,0,1))*INDEX('How This Works &amp; Sources'!$B$91:$J$98,0,1+2)),IF($AN22="VA",SUMPRODUCT(($AZ22&gt;=INDEX('How This Works &amp; Sources'!$B$219:$J$223,0,4))*INDEX('How This Works &amp; Sources'!$B$219:$J$223,0,4+2)),IF($AN22="WI",SUMPRODUCT(($AZ22&gt;=INDEX('How This Works &amp; Sources'!$B$228:$J$232,0,4))*INDEX('How This Works &amp; Sources'!$B$228:$J$232,0,4+2)),IF($AN22="AZ",'Your Pay &amp; Benefits'!$C$82,IF($AN22="CO",IF($AY22&gt;IF($AU22="Married",10000,5000),0.044,0),IF($AN22="IA",IF($AY22&gt;IF($AU22="Head of household",19500,IF($AU22="Married",26000,13000)),0.038,0),IF($AN22="ID",IF($AY22&gt;IF($AU22="Married",32000,16094),0.053,0),IF($AN22="IL",IF($AY22&gt;(2925*$AS22+1000*$AT22),0.0495,0),IF($AN22="KY",IF($AI22&gt;3360,0.035,0),IF($AN22="LA",0.0309,IF($AN22="MA",IF(MAX(0,$AY22-MIN(($BD21+$Q22+$R22+$S22),2000)-IF($AS22=0,0,IF($AS22=1,4400,1000*$AS22+3400)))&gt;=1107750,0.09,0.05),IF($AN22="MS",IF($AI22-IF($AU22="Head of household",3400,IF($AU22="Married",4600,2300))-'Your Pay &amp; Benefits'!$C$85&gt;10000,0.04,0),IF($AN22="PA",0.0307,"")))))))))))))))</f>
      </c>
      <c r="CD22" s="21">
        <f>IF(YEAR(IF('Your Pay &amp; Benefits'!$C$7="Weekly",'Your Pay &amp; Benefits'!$C$9+7*(($BE21+1)-1),IF('Your Pay &amp; Benefits'!$C$7="Biweekly",'Your Pay &amp; Benefits'!$C$9+14*(($BE21+1)-1),IF('Your Pay &amp; Benefits'!$C$7="Semimonthly",DATE(YEAR('Your Pay &amp; Benefits'!$C$9),MONTH('Your Pay &amp; Benefits'!$C$9)+INT((($BE21+1)-1)/2),MIN(DAY('Your Pay &amp; Benefits'!$C$9),DAY(EOMONTH(DATE(YEAR('Your Pay &amp; Benefits'!$C$9),MONTH('Your Pay &amp; Benefits'!$C$9)+INT((($BE21+1)-1)/2),1),0))))+IF(MOD(($BE21+1)-1,2)=1,15,0),EDATE('Your Pay &amp; Benefits'!$C$9,($BE21+1)-1)))))&lt;&gt;'Your Pay &amp; Benefits'!$C$10,"",IF('Your Pay &amp; Benefits'!$C$7="Weekly",'Your Pay &amp; Benefits'!$C$9+7*(($BE21+1)-1),IF('Your Pay &amp; Benefits'!$C$7="Biweekly",'Your Pay &amp; Benefits'!$C$9+14*(($BE21+1)-1),IF('Your Pay &amp; Benefits'!$C$7="Semimonthly",DATE(YEAR('Your Pay &amp; Benefits'!$C$9),MONTH('Your Pay &amp; Benefits'!$C$9)+INT((($BE21+1)-1)/2),MIN(DAY('Your Pay &amp; Benefits'!$C$9),DAY(EOMONTH(DATE(YEAR('Your Pay &amp; Benefits'!$C$9),MONTH('Your Pay &amp; Benefits'!$C$9)+INT((($BE21+1)-1)/2),1),0))))+IF(MOD(($BE21+1)-1,2)=1,15,0),EDATE('Your Pay &amp; Benefits'!$C$9,($BE21+1)-1)))))</f>
      </c>
      <c r="CE22" s="21">
        <f>IF(MIN(IF(AND('Your Pay &amp; Benefits'!$C$58&gt;MAX($B$6:$B21),'Your Pay &amp; Benefits'!$C$58&gt;=DATE('Your Pay &amp; Benefits'!$C$10,1,1),'Your Pay &amp; Benefits'!$C$58&lt;=DATE('Your Pay &amp; Benefits'!$C$10,12,31)),'Your Pay &amp; Benefits'!$C$58,999999),IF(AND('Your Pay &amp; Benefits'!$C$59&gt;MAX($B$6:$B21),'Your Pay &amp; Benefits'!$C$59&gt;=DATE('Your Pay &amp; Benefits'!$C$10,1,1),'Your Pay &amp; Benefits'!$C$59&lt;=DATE('Your Pay &amp; Benefits'!$C$10,12,31)),'Your Pay &amp; Benefits'!$C$59,999999),IF(AND('Your Pay &amp; Benefits'!$C$60&gt;MAX($B$6:$B21),'Your Pay &amp; Benefits'!$C$60&gt;=DATE('Your Pay &amp; Benefits'!$C$10,1,1),'Your Pay &amp; Benefits'!$C$60&lt;=DATE('Your Pay &amp; Benefits'!$C$10,12,31)),'Your Pay &amp; Benefits'!$C$60,999999),IF(AND('Your Pay &amp; Benefits'!$C$61&gt;MAX($B$6:$B21),'Your Pay &amp; Benefits'!$C$61&gt;=DATE('Your Pay &amp; Benefits'!$C$10,1,1),'Your Pay &amp; Benefits'!$C$61&lt;=DATE('Your Pay &amp; Benefits'!$C$10,12,31)),'Your Pay &amp; Benefits'!$C$61,999999),IF(AND('Your Pay &amp; Benefits'!$C$62&gt;MAX($B$6:$B21),'Your Pay &amp; Benefits'!$C$62&gt;=DATE('Your Pay &amp; Benefits'!$C$10,1,1),'Your Pay &amp; Benefits'!$C$62&lt;=DATE('Your Pay &amp; Benefits'!$C$10,12,31)),'Your Pay &amp; Benefits'!$C$62,999999),IF(AND('Your Pay &amp; Benefits'!$C$63&gt;MAX($B$6:$B21),'Your Pay &amp; Benefits'!$C$63&gt;=DATE('Your Pay &amp; Benefits'!$C$10,1,1),'Your Pay &amp; Benefits'!$C$63&lt;=DATE('Your Pay &amp; Benefits'!$C$10,12,31)),'Your Pay &amp; Benefits'!$C$63,999999),IF(AND('Your Pay &amp; Benefits'!$C$64&gt;MAX($B$6:$B21),'Your Pay &amp; Benefits'!$C$64&gt;=DATE('Your Pay &amp; Benefits'!$C$10,1,1),'Your Pay &amp; Benefits'!$C$64&lt;=DATE('Your Pay &amp; Benefits'!$C$10,12,31)),'Your Pay &amp; Benefits'!$C$64,999999),IF(AND('Your Pay &amp; Benefits'!$C$65&gt;MAX($B$6:$B21),'Your Pay &amp; Benefits'!$C$65&gt;=DATE('Your Pay &amp; Benefits'!$C$10,1,1),'Your Pay &amp; Benefits'!$C$65&lt;=DATE('Your Pay &amp; Benefits'!$C$10,12,31)),'Your Pay &amp; Benefits'!$C$65,999999),IF(AND('Your Pay &amp; Benefits'!$C$66&gt;MAX($B$6:$B21),'Your Pay &amp; Benefits'!$C$66&gt;=DATE('Your Pay &amp; Benefits'!$C$10,1,1),'Your Pay &amp; Benefits'!$C$66&lt;=DATE('Your Pay &amp; Benefits'!$C$10,12,31)),'Your Pay &amp; Benefits'!$C$66,999999),IF(AND('Your Pay &amp; Benefits'!$C$67&gt;MAX($B$6:$B21),'Your Pay &amp; Benefits'!$C$67&gt;=DATE('Your Pay &amp; Benefits'!$C$10,1,1),'Your Pay &amp; Benefits'!$C$67&lt;=DATE('Your Pay &amp; Benefits'!$C$10,12,31)),'Your Pay &amp; Benefits'!$C$67,999999))=999999,"",MIN(IF(AND('Your Pay &amp; Benefits'!$C$58&gt;MAX($B$6:$B21),'Your Pay &amp; Benefits'!$C$58&gt;=DATE('Your Pay &amp; Benefits'!$C$10,1,1),'Your Pay &amp; Benefits'!$C$58&lt;=DATE('Your Pay &amp; Benefits'!$C$10,12,31)),'Your Pay &amp; Benefits'!$C$58,999999),IF(AND('Your Pay &amp; Benefits'!$C$59&gt;MAX($B$6:$B21),'Your Pay &amp; Benefits'!$C$59&gt;=DATE('Your Pay &amp; Benefits'!$C$10,1,1),'Your Pay &amp; Benefits'!$C$59&lt;=DATE('Your Pay &amp; Benefits'!$C$10,12,31)),'Your Pay &amp; Benefits'!$C$59,999999),IF(AND('Your Pay &amp; Benefits'!$C$60&gt;MAX($B$6:$B21),'Your Pay &amp; Benefits'!$C$60&gt;=DATE('Your Pay &amp; Benefits'!$C$10,1,1),'Your Pay &amp; Benefits'!$C$60&lt;=DATE('Your Pay &amp; Benefits'!$C$10,12,31)),'Your Pay &amp; Benefits'!$C$60,999999),IF(AND('Your Pay &amp; Benefits'!$C$61&gt;MAX($B$6:$B21),'Your Pay &amp; Benefits'!$C$61&gt;=DATE('Your Pay &amp; Benefits'!$C$10,1,1),'Your Pay &amp; Benefits'!$C$61&lt;=DATE('Your Pay &amp; Benefits'!$C$10,12,31)),'Your Pay &amp; Benefits'!$C$61,999999),IF(AND('Your Pay &amp; Benefits'!$C$62&gt;MAX($B$6:$B21),'Your Pay &amp; Benefits'!$C$62&gt;=DATE('Your Pay &amp; Benefits'!$C$10,1,1),'Your Pay &amp; Benefits'!$C$62&lt;=DATE('Your Pay &amp; Benefits'!$C$10,12,31)),'Your Pay &amp; Benefits'!$C$62,999999),IF(AND('Your Pay &amp; Benefits'!$C$63&gt;MAX($B$6:$B21),'Your Pay &amp; Benefits'!$C$63&gt;=DATE('Your Pay &amp; Benefits'!$C$10,1,1),'Your Pay &amp; Benefits'!$C$63&lt;=DATE('Your Pay &amp; Benefits'!$C$10,12,31)),'Your Pay &amp; Benefits'!$C$63,999999),IF(AND('Your Pay &amp; Benefits'!$C$64&gt;MAX($B$6:$B21),'Your Pay &amp; Benefits'!$C$64&gt;=DATE('Your Pay &amp; Benefits'!$C$10,1,1),'Your Pay &amp; Benefits'!$C$64&lt;=DATE('Your Pay &amp; Benefits'!$C$10,12,31)),'Your Pay &amp; Benefits'!$C$64,999999),IF(AND('Your Pay &amp; Benefits'!$C$65&gt;MAX($B$6:$B21),'Your Pay &amp; Benefits'!$C$65&gt;=DATE('Your Pay &amp; Benefits'!$C$10,1,1),'Your Pay &amp; Benefits'!$C$65&lt;=DATE('Your Pay &amp; Benefits'!$C$10,12,31)),'Your Pay &amp; Benefits'!$C$65,999999),IF(AND('Your Pay &amp; Benefits'!$C$66&gt;MAX($B$6:$B21),'Your Pay &amp; Benefits'!$C$66&gt;=DATE('Your Pay &amp; Benefits'!$C$10,1,1),'Your Pay &amp; Benefits'!$C$66&lt;=DATE('Your Pay &amp; Benefits'!$C$10,12,31)),'Your Pay &amp; Benefits'!$C$66,999999),IF(AND('Your Pay &amp; Benefits'!$C$67&gt;MAX($B$6:$B21),'Your Pay &amp; Benefits'!$C$67&gt;=DATE('Your Pay &amp; Benefits'!$C$10,1,1),'Your Pay &amp; Benefits'!$C$67&lt;=DATE('Your Pay &amp; Benefits'!$C$10,12,31)),'Your Pay &amp; Benefits'!$C$67,999999)))</f>
      </c>
      <c r="CF22">
        <f>IF($B22="","",IF($D22=0,$Y22,""))</f>
      </c>
    </row>
    <row r="23">
      <c r="A23" t="n">
        <v>18</v>
      </c>
      <c r="B23" s="21">
        <f>IF(AND($CD23="",$CE23=""),"",IF($CE23="",$CD23,IF($CD23="",$CE23,MIN($CD23,$CE23))))</f>
      </c>
      <c r="C23" s="7">
        <f>IF($B23="","",IF($BF23=0,0,IF('Your Pay &amp; Benefits'!$C$4="Annual salary",ROUND($AK23/IF(AND('Your Pay &amp; Benefits'!$C$88="Actual paydays",MONTH('Your Pay &amp; Benefits'!$C$9)=1),MAX(1,MAX($BE$6:$BE$68)),'Your Pay &amp; Benefits'!$C$8),2),$AK23)))</f>
      </c>
      <c r="D23" s="7">
        <f>IF($B23="","",SUMIF('Your Pay &amp; Benefits'!$C$58:$C$67,$B23,'Your Pay &amp; Benefits'!$D$58:$D$67))</f>
      </c>
      <c r="E23" s="7">
        <f>IF($B23="","",ROUND(MAX(0,MIN(IF($AL23="Percent",$AM23*($C23+$D23),$AM23),MAX(0,'Your Pay &amp; Benefits'!$C$34-$AC22))),2))</f>
      </c>
      <c r="F23" s="7">
        <f>IF($B23="","",ROUND(MAX(0,MIN(IF('Your Pay &amp; Benefits'!$C$32="Percent",'Your Pay &amp; Benefits'!$D$32*($C23+$D23),'Your Pay &amp; Benefits'!$D$32),MAX(0,'Your Pay &amp; Benefits'!$C$34-$AC22-$E23))),2))</f>
      </c>
      <c r="G23" s="7">
        <f>IF($B23="","",IF($BF23=0,0,ROUND(MAX(0,MIN($BL23,'Your Pay &amp; Benefits'!$C$37-'Your Pay &amp; Benefits'!$C$54-$BI22)),2)))</f>
      </c>
      <c r="H23" s="7">
        <f>IF($B23="","",IF(OR($BF23=0,$BQ23=1),0,ROUND(MAX(0,MIN(IF($BS23=1,ROUND(MAX(0,MIN($BJ23,'How This Works &amp; Sources'!$C$13)-$BG22)/MAX(1,MAX($BE$6:$BE$68)-($BE22)),2),ROUND(MIN($BJ23,'How This Works &amp; Sources'!$C$13)/'Your Pay &amp; Benefits'!$C$8,2)),MIN($BJ23,'How This Works &amp; Sources'!$C$13)-$BG22)),2)))</f>
      </c>
      <c r="I23" s="7">
        <f>IF($B23="","",IF(OR($BF23=0,$BR23=1),0,ROUND(MAX(0,MIN(IF($BT23=1,ROUND(MAX(0,MIN($BK23,IF('Your Pay &amp; Benefits'!$C$12="MFJ",'How This Works &amp; Sources'!$C$14,'How This Works &amp; Sources'!$C$15))-$BH22)/MAX(1,MAX($BE$6:$BE$68)-($BE22)),2),ROUND(MIN($BK23,IF('Your Pay &amp; Benefits'!$C$12="MFJ",'How This Works &amp; Sources'!$C$14,'How This Works &amp; Sources'!$C$15))/'Your Pay &amp; Benefits'!$C$8,2)),MIN($BK23,IF('Your Pay &amp; Benefits'!$C$12="MFJ",'How This Works &amp; Sources'!$C$14,'How This Works &amp; Sources'!$C$15))-$BH22)),2)))</f>
      </c>
      <c r="J23" s="7">
        <f>IF($B23="","",IF($BF23=0,0,$BM23))</f>
      </c>
      <c r="K23" s="7">
        <f>IF($B23="","",IF($BF23=0,0,$BN23+$BO23))</f>
      </c>
      <c r="L23" s="7">
        <f>IF($B23="","",IF($BF23=0,0,'Your Pay &amp; Benefits'!$D$46))</f>
      </c>
      <c r="M23" s="7">
        <f>IF($B23="","",$C23+$D23+$L23-$E23-$G23-$H23-$I23-$J23-$K23)</f>
      </c>
      <c r="N23" s="7">
        <f>IF($B23="","",$C23+$D23+$L23-$G23-$H23-$I23-$J23-$K23)</f>
      </c>
      <c r="O23" s="7">
        <f>IF($B23="","",$C23+$D23+$L23-$E23-$H23-$I23-$J23-$K23-IF(OR($AN23="CA",$AN23="NJ"),0,$G23))</f>
      </c>
      <c r="P23" s="7">
        <f>IF($B23="","",IF('Your Pay &amp; Benefits'!$C$18,0,ROUND(MAX(0,IF('Your Pay &amp; Benefits'!$C$13,SUMPRODUCT(($AH23&gt;INDEX('How This Works &amp; Sources'!$B$29:$J$36,0,IF('Your Pay &amp; Benefits'!$C$12="MFJ",1,IF('Your Pay &amp; Benefits'!$C$12="HoH",7,4))))*($AH23-INDEX('How This Works &amp; Sources'!$B$29:$J$36,0,IF('Your Pay &amp; Benefits'!$C$12="MFJ",1,IF('Your Pay &amp; Benefits'!$C$12="HoH",7,4))))*INDEX('How This Works &amp; Sources'!$B$29:$J$36,0,IF('Your Pay &amp; Benefits'!$C$12="MFJ",1,IF('Your Pay &amp; Benefits'!$C$12="HoH",7,4))+2)),SUMPRODUCT(($AH23&gt;INDEX('How This Works &amp; Sources'!$B$19:$J$26,0,IF('Your Pay &amp; Benefits'!$C$12="MFJ",1,IF('Your Pay &amp; Benefits'!$C$12="HoH",7,4))))*($AH23-INDEX('How This Works &amp; Sources'!$B$19:$J$26,0,IF('Your Pay &amp; Benefits'!$C$12="MFJ",1,IF('Your Pay &amp; Benefits'!$C$12="HoH",7,4))))*INDEX('How This Works &amp; Sources'!$B$19:$J$26,0,IF('Your Pay &amp; Benefits'!$C$12="MFJ",1,IF('Your Pay &amp; Benefits'!$C$12="HoH",7,4))+2)))/'Your Pay &amp; Benefits'!$C$8-$AO23/'Your Pay &amp; Benefits'!$C$8)+$AR23+IF('Your Pay &amp; Benefits'!$C$89="Aggregate",MAX(0,IF('Your Pay &amp; Benefits'!$C$13,SUMPRODUCT((($AH23+$D23)&gt;INDEX('How This Works &amp; Sources'!$B$29:$J$36,0,IF('Your Pay &amp; Benefits'!$C$12="MFJ",1,IF('Your Pay &amp; Benefits'!$C$12="HoH",7,4))))*(($AH23+$D23)-INDEX('How This Works &amp; Sources'!$B$29:$J$36,0,IF('Your Pay &amp; Benefits'!$C$12="MFJ",1,IF('Your Pay &amp; Benefits'!$C$12="HoH",7,4))))*INDEX('How This Works &amp; Sources'!$B$29:$J$36,0,IF('Your Pay &amp; Benefits'!$C$12="MFJ",1,IF('Your Pay &amp; Benefits'!$C$12="HoH",7,4))+2)),SUMPRODUCT((($AH23+$D23)&gt;INDEX('How This Works &amp; Sources'!$B$19:$J$26,0,IF('Your Pay &amp; Benefits'!$C$12="MFJ",1,IF('Your Pay &amp; Benefits'!$C$12="HoH",7,4))))*(($AH23+$D23)-INDEX('How This Works &amp; Sources'!$B$19:$J$26,0,IF('Your Pay &amp; Benefits'!$C$12="MFJ",1,IF('Your Pay &amp; Benefits'!$C$12="HoH",7,4))))*INDEX('How This Works &amp; Sources'!$B$19:$J$26,0,IF('Your Pay &amp; Benefits'!$C$12="MFJ",1,IF('Your Pay &amp; Benefits'!$C$12="HoH",7,4))+2)))-IF('Your Pay &amp; Benefits'!$C$13,SUMPRODUCT(($AH23&gt;INDEX('How This Works &amp; Sources'!$B$29:$J$36,0,IF('Your Pay &amp; Benefits'!$C$12="MFJ",1,IF('Your Pay &amp; Benefits'!$C$12="HoH",7,4))))*($AH23-INDEX('How This Works &amp; Sources'!$B$29:$J$36,0,IF('Your Pay &amp; Benefits'!$C$12="MFJ",1,IF('Your Pay &amp; Benefits'!$C$12="HoH",7,4))))*INDEX('How This Works &amp; Sources'!$B$29:$J$36,0,IF('Your Pay &amp; Benefits'!$C$12="MFJ",1,IF('Your Pay &amp; Benefits'!$C$12="HoH",7,4))+2)),SUMPRODUCT(($AH23&gt;INDEX('How This Works &amp; Sources'!$B$19:$J$26,0,IF('Your Pay &amp; Benefits'!$C$12="MFJ",1,IF('Your Pay &amp; Benefits'!$C$12="HoH",7,4))))*($AH23-INDEX('How This Works &amp; Sources'!$B$19:$J$26,0,IF('Your Pay &amp; Benefits'!$C$12="MFJ",1,IF('Your Pay &amp; Benefits'!$C$12="HoH",7,4))))*INDEX('How This Works &amp; Sources'!$B$19:$J$26,0,IF('Your Pay &amp; Benefits'!$C$12="MFJ",1,IF('Your Pay &amp; Benefits'!$C$12="HoH",7,4))+2)))),'How This Works &amp; Sources'!$C$10*$D23),2)))</f>
      </c>
      <c r="Q23" s="7">
        <f>IF($B23="","",ROUND('How This Works &amp; Sources'!$C$4*MIN($N23,MAX(0,'How This Works &amp; Sources'!$C$3-($AX23+$AB22-$AW23))),2))</f>
      </c>
      <c r="R23" s="7">
        <f>IF($B23="","",ROUND('How This Works &amp; Sources'!$C$5*$N23,2))</f>
      </c>
      <c r="S23" s="7">
        <f>IF($B23="","",ROUND('How This Works &amp; Sources'!$C$6*MAX(0,MIN($N23,$AG22+$N23-'How This Works &amp; Sources'!$C$7)),2))</f>
      </c>
      <c r="T23" s="7">
        <f>IF($B23="","",IF('Your Pay &amp; Benefits'!$C$26,0,IF($AN23="CA",ROUND(IF($AI23&lt;=IF(($AS23+$AT23)&gt;=2,VLOOKUP($AN23,StateTables!$A$6:$AB$56,10,FALSE),VLOOKUP($AN23,StateTables!$A$6:$AB$56,9,FALSE)),0,MAX(0,SUMPRODUCT(($AJ23&gt;INDEX('How This Works &amp; Sources'!$B$39:$J$48,0,IF($AU23="Married",4,IF($AU23="Head of household",7,1))))*($AJ23-INDEX('How This Works &amp; Sources'!$B$39:$J$48,0,IF($AU23="Married",4,IF($AU23="Head of household",7,1))))*INDEX('How This Works &amp; Sources'!$B$39:$J$48,0,IF($AU23="Married",4,IF($AU23="Head of household",7,1))+2))-VLOOKUP($AN23,StateTables!$A$6:$AB$56,11,FALSE)*$AS23)/'Your Pay &amp; Benefits'!$C$8)+'Your Pay &amp; Benefits'!$C$25+VLOOKUP($AN23,StateTables!$A$6:$AB$56,13,FALSE)*$D23,2),IF(VLOOKUP($AN23,StateTables!$A$6:$AB$56,4,FALSE)="None",0,IF(ISNUMBER(SEARCH("MANUAL",VLOOKUP($AN23,StateTables!$A$6:$AB$56,5,FALSE))),'Your Pay &amp; Benefits'!$C$28,ROUND(MAX(0,$BA23+$BB23)/'Your Pay &amp; Benefits'!$C$8+'Your Pay &amp; Benefits'!$C$25+$BC23,2))))))</f>
      </c>
      <c r="U23" s="7">
        <f>IF($B23="","",IF(VLOOKUP($AN23,StateTables!$A$6:$AB$56,24,FALSE)="flatq",IF(OR(MONTH($B23)=1,MONTH($B23)=4,MONTH($B23)=7,MONTH($B23)=10),VLOOKUP($AN23,StateTables!$A$6:$AB$56,25,FALSE),0),IF(VLOOKUP($AN23,StateTables!$A$6:$AB$56,24,FALSE)="dbl",MIN(ROUND(0.005*$N23,2),ROUND(0.6*52/'Your Pay &amp; Benefits'!$C$8,2)),IF(OR(VLOOKUP($AN23,StateTables!$A$6:$AB$56,15,FALSE)="",VLOOKUP($AN23,StateTables!$A$6:$AB$56,15,FALSE)=0),0,ROUND(VLOOKUP($AN23,StateTables!$A$6:$AB$56,15,FALSE)*IF(OR(VLOOKUP($AN23,StateTables!$A$6:$AB$56,16,FALSE)="",VLOOKUP($AN23,StateTables!$A$6:$AB$56,16,FALSE)=0),$N23,MIN($N23,MAX(0,VLOOKUP($AN23,StateTables!$A$6:$AB$56,16,FALSE)-($AX23+$AB22-$AW23)))),2))))+IF(VLOOKUP($AN23,StateTables!$A$6:$AB$56,27,FALSE)="flatq",IF(OR(MONTH($B23)=1,MONTH($B23)=4,MONTH($B23)=7,MONTH($B23)=10),VLOOKUP($AN23,StateTables!$A$6:$AB$56,28,FALSE),0),IF(VLOOKUP($AN23,StateTables!$A$6:$AB$56,27,FALSE)="dbl",MIN(ROUND(0.005*$N23,2),ROUND(0.6*52/'Your Pay &amp; Benefits'!$C$8,2)),IF(OR(VLOOKUP($AN23,StateTables!$A$6:$AB$56,18,FALSE)="",VLOOKUP($AN23,StateTables!$A$6:$AB$56,18,FALSE)=0),0,ROUND(VLOOKUP($AN23,StateTables!$A$6:$AB$56,18,FALSE)*IF(OR(VLOOKUP($AN23,StateTables!$A$6:$AB$56,19,FALSE)="",VLOOKUP($AN23,StateTables!$A$6:$AB$56,19,FALSE)=0),$N23,MIN($N23,MAX(0,VLOOKUP($AN23,StateTables!$A$6:$AB$56,19,FALSE)-($AX23+$AB22-$AW23)))),2)))))</f>
      </c>
      <c r="V23" s="7">
        <f>IF($B23="","",IF($AN23="NY",IF('Your Pay &amp; Benefits'!$C$78,ROUND(SUMPRODUCT((MAX(0,($O23-$D23)*'Your Pay &amp; Benefits'!$C$8-(IF($AU23="Married",5500,5000)+1000*$AS23))&gt;INDEX('How This Works &amp; Sources'!$B$184:$J$198,0,4))*(MAX(0,($O23-$D23)*'Your Pay &amp; Benefits'!$C$8-(IF($AU23="Married",5500,5000)+1000*$AS23))-INDEX('How This Works &amp; Sources'!$B$184:$J$198,0,4))*INDEX('How This Works &amp; Sources'!$B$184:$J$198,0,4+2))/'Your Pay &amp; Benefits'!$C$8+0.0425*$D23,2),0)+IF('Your Pay &amp; Benefits'!$C$79="Resident",ROUND(0.1675*$T23,2),IF('Your Pay &amp; Benefits'!$C$79="Nonresident",ROUND(0.005*MAX(0,($O23-$D23)-(IF($AU23="Married",7950,7400)+1000*$AS23)/'Your Pay &amp; Benefits'!$C$8),2),0)),IF($AN23="PA",IF('Your Pay &amp; Benefits'!$C$80="None",'Your Pay &amp; Benefits'!$C$27+ROUND('Your Pay &amp; Benefits'!$C$81*($C23+$D23),2),ROUND(IF('Your Pay &amp; Benefits'!$C$80="Resident",IF($B23&lt;DATE(2026,7,1),0.0374,0.03735),IF($B23&lt;DATE(2026,7,1),0.0343,0.03425))*($C23+$D23),2)),IF($BF23=0,ROUND('Your Pay &amp; Benefits'!$C$81*($C23+$D23),2),'Your Pay &amp; Benefits'!$C$27+ROUND('Your Pay &amp; Benefits'!$C$81*($C23+$D23),2)))))</f>
      </c>
      <c r="W23" s="7">
        <f>IF($B23="","",IF($BF23=0,0,$BP23))</f>
      </c>
      <c r="X23" s="7">
        <f>IF($B23="","",SUM($E23:$K23)+$P23+$Q23+$R23+$S23+$T23+$U23+$V23+$W23)</f>
      </c>
      <c r="Y23" s="22">
        <f>IF($B23="","",$C23+$D23-$X23)</f>
      </c>
      <c r="Z23" s="7">
        <f>IF($B23="","",$Z22+$C23+$D23)</f>
      </c>
      <c r="AA23" s="7">
        <f>IF($B23="","",$AA22+$Y23)</f>
      </c>
      <c r="AB23" s="7">
        <f>IF($B23="","",$AB22+MIN($N23,MAX(0,'How This Works &amp; Sources'!$C$3-($AX23+$AB22-$AW23))))</f>
      </c>
      <c r="AC23" s="7">
        <f>IF($B23="","",$AC22+$E23+$F23)</f>
      </c>
      <c r="AD23" s="3">
        <f>IF($B23="","",IF(AND($AB22&lt;'How This Works &amp; Sources'!$C$3,$AB23&gt;='How This Works &amp; Sources'!$C$3),"★ Social Security maxed on this check — from the next check your net rises by about $"&amp;TEXT(ROUND('How This Works &amp; Sources'!$C$4*$N23,2),"#,##0.00")&amp;". ","")&amp;IF(AND($AC22&lt;'Your Pay &amp; Benefits'!$C$34,$AC23&gt;='Your Pay &amp; Benefits'!$C$34),"★ 401(k) reaches the $"&amp;TEXT('Your Pay &amp; Benefits'!$C$34,"#,##0")&amp;" cap on this check — deferrals stop and net pay rises. ","")&amp;IF(AND($AG22&lt;'How This Works &amp; Sources'!$C$7,$AG23&gt;='How This Works &amp; Sources'!$C$7),"★ Wages pass $200,000 — the 0.9% Additional Medicare Tax starts here. ","")&amp;IF(AND($BJ23&gt;0,$H23&gt;0,$BG22&lt;MIN($BJ23,'How This Works &amp; Sources'!$C$13),$BG22+$H23&gt;=MIN($BJ23,'How This Works &amp; Sources'!$C$13)),"★ Health FSA election is now fully deferred for the year. ",""))</f>
      </c>
      <c r="AE23" s="41" t="n"/>
      <c r="AF23" s="7">
        <f>IF(OR($B23="",$AE23=""),"",$AE23-$Y23)</f>
      </c>
      <c r="AG23" s="7">
        <f>IF($B23="","",$AG22+$N23)</f>
      </c>
      <c r="AH23" s="7">
        <f>IF($B23="","",MAX(0,($M23-$D23)*'Your Pay &amp; Benefits'!$C$8+$AP23-$AQ23-IF('Your Pay &amp; Benefits'!$C$13,0,IF('Your Pay &amp; Benefits'!$C$12="MFJ",'How This Works &amp; Sources'!$C$8,'How This Works &amp; Sources'!$C$9))))</f>
      </c>
      <c r="AI23" s="7">
        <f>IF($B23="","",$O23*'Your Pay &amp; Benefits'!$C$8)</f>
      </c>
      <c r="AJ23" s="7">
        <f>IF($B23="","",MAX(0,$AI23-VLOOKUP($AN23,StateTables!$A$6:$AB$56,12,FALSE)*$AT23-IF(($AS23+$AT23)&gt;=2,VLOOKUP($AN23,StateTables!$A$6:$AB$56,8,FALSE),VLOOKUP($AN23,StateTables!$A$6:$AB$56,7,FALSE))))</f>
      </c>
      <c r="AK23" s="7">
        <f>IF($B23="","",IFERROR(LOOKUP(2,1/(('Changes &amp; Events'!$C$6:$C$17="Salary change")*('Changes &amp; Events'!$B$6:$B$17&lt;=$B23)*('Changes &amp; Events'!$B$6:$B$17&lt;&gt;"")),'Changes &amp; Events'!$D$6:$D$17),IF('Your Pay &amp; Benefits'!$C$4="Annual salary",'Your Pay &amp; Benefits'!$C$5,'Your Pay &amp; Benefits'!$C$6)))</f>
      </c>
      <c r="AL23">
        <f>IF($B23="","",IFERROR(LOOKUP(2,1/(('Changes &amp; Events'!$C$6:$C$17="401(k) change")*('Changes &amp; Events'!$B$6:$B$17&lt;=$B23)*('Changes &amp; Events'!$B$6:$B$17&lt;&gt;"")),'Changes &amp; Events'!$D$6:$D$17),'Your Pay &amp; Benefits'!$C$30))</f>
      </c>
      <c r="AM23" s="7">
        <f>IF($B23="","",IFERROR(LOOKUP(2,1/(('Changes &amp; Events'!$C$6:$C$17="401(k) change")*('Changes &amp; Events'!$B$6:$B$17&lt;=$B23)*('Changes &amp; Events'!$B$6:$B$17&lt;&gt;"")),'Changes &amp; Events'!$E$6:$E$17),'Your Pay &amp; Benefits'!$D$31))</f>
      </c>
      <c r="AN23">
        <f>IF($B23="","",IFERROR(LOOKUP(2,1/(('Changes &amp; Events'!$C$6:$C$17="State move")*('Changes &amp; Events'!$B$6:$B$17&lt;=$B23)*('Changes &amp; Events'!$B$6:$B$17&lt;&gt;"")),'Changes &amp; Events'!$D$6:$D$17),'Your Pay &amp; Benefits'!$C$21))</f>
      </c>
      <c r="AO23" s="7">
        <f>IF($B23="","",IFERROR(LOOKUP(2,1/(('Changes &amp; Events'!$C$6:$C$17="W-4 change")*('Changes &amp; Events'!$B$6:$B$17&lt;=$B23)*('Changes &amp; Events'!$B$6:$B$17&lt;&gt;"")),'Changes &amp; Events'!$D$6:$D$17),'Your Pay &amp; Benefits'!$C$14))</f>
      </c>
      <c r="AP23" s="7">
        <f>IF($B23="","",IFERROR(LOOKUP(2,1/(('Changes &amp; Events'!$C$6:$C$17="W-4 change")*('Changes &amp; Events'!$B$6:$B$17&lt;=$B23)*('Changes &amp; Events'!$B$6:$B$17&lt;&gt;"")),'Changes &amp; Events'!$E$6:$E$17),'Your Pay &amp; Benefits'!$C$15))</f>
      </c>
      <c r="AQ23" s="7">
        <f>IF($B23="","",IFERROR(LOOKUP(2,1/(('Changes &amp; Events'!$C$6:$C$17="W-4 change")*('Changes &amp; Events'!$B$6:$B$17&lt;=$B23)*('Changes &amp; Events'!$B$6:$B$17&lt;&gt;"")),'Changes &amp; Events'!$F$6:$F$17),'Your Pay &amp; Benefits'!$C$16))</f>
      </c>
      <c r="AR23" s="7">
        <f>IF($B23="","",IFERROR(LOOKUP(2,1/(('Changes &amp; Events'!$C$6:$C$17="W-4 change")*('Changes &amp; Events'!$B$6:$B$17&lt;=$B23)*('Changes &amp; Events'!$B$6:$B$17&lt;&gt;"")),'Changes &amp; Events'!$G$6:$G$17),'Your Pay &amp; Benefits'!$C$17))</f>
      </c>
      <c r="AS23" s="6">
        <f>IF($B23="","",IFERROR(LOOKUP(2,1/((('Changes &amp; Events'!$C$6:$C$17="State move")+('Changes &amp; Events'!$C$6:$C$17="State cert change"))*('Changes &amp; Events'!$B$6:$B$17&lt;=$B23)*('Changes &amp; Events'!$B$6:$B$17&lt;&gt;"")),'Changes &amp; Events'!$F$6:$F$17),'Your Pay &amp; Benefits'!$C$23))</f>
      </c>
      <c r="AT23" s="6">
        <f>IF($B23="","",IFERROR(LOOKUP(2,1/((('Changes &amp; Events'!$C$6:$C$17="State move")+('Changes &amp; Events'!$C$6:$C$17="State cert change"))*('Changes &amp; Events'!$B$6:$B$17&lt;=$B23)*('Changes &amp; Events'!$B$6:$B$17&lt;&gt;"")),'Changes &amp; Events'!$G$6:$G$17),'Your Pay &amp; Benefits'!$C$24))</f>
      </c>
      <c r="AU23">
        <f>IF($B23="","",IFERROR(LOOKUP(2,1/(('Changes &amp; Events'!$C$6:$C$17="State move")*('Changes &amp; Events'!$B$6:$B$17&lt;=$B23)*('Changes &amp; Events'!$B$6:$B$17&lt;&gt;"")),'Changes &amp; Events'!$E$6:$E$17),'Your Pay &amp; Benefits'!$C$22))</f>
      </c>
      <c r="AV23" s="6">
        <f>IF($B23="","",1+COUNTIFS('Changes &amp; Events'!$C$6:$C$17,"Employer change",'Changes &amp; Events'!$B$6:$B$17,"&lt;="&amp;$B23,'Changes &amp; Events'!$B$6:$B$17,"&lt;&gt;"))</f>
      </c>
      <c r="AW23" s="7">
        <f>IF($B23="","",IF($AV23=1,'Your Pay &amp; Benefits'!$C$49,IF(IFERROR(MATCH(IFERROR(LOOKUP(2,1/(('Changes &amp; Events'!$C$6:$C$17="Employer change")*('Changes &amp; Events'!$B$6:$B$17&lt;=$B23)*('Changes &amp; Events'!$B$6:$B$17&lt;&gt;"")),'Changes &amp; Events'!$B$6:$B$17),""),$B$6:$B$68,1),1)&lt;=1,'Your Pay &amp; Benefits'!$C$49,INDEX($AB$6:$AB$68,MATCH(IFERROR(LOOKUP(2,1/(('Changes &amp; Events'!$C$6:$C$17="Employer change")*('Changes &amp; Events'!$B$6:$B$17&lt;=$B23)*('Changes &amp; Events'!$B$6:$B$17&lt;&gt;"")),'Changes &amp; Events'!$B$6:$B$17),""),$B$6:$B$68,1)-1))))</f>
      </c>
      <c r="AX23" s="7">
        <f>IF($B23="","",IF($AV23=1,'Your Pay &amp; Benefits'!$C$49,IFERROR(LOOKUP(2,1/(('Changes &amp; Events'!$C$6:$C$17="Employer change")*('Changes &amp; Events'!$B$6:$B$17&lt;=$B23)*('Changes &amp; Events'!$B$6:$B$17&lt;&gt;"")),'Changes &amp; Events'!$D$6:$D$17),0)))</f>
      </c>
      <c r="AY23" s="7">
        <f>IF($B23="","",($O23-$D23)*'Your Pay &amp; Benefits'!$C$8)</f>
      </c>
      <c r="AZ23" s="7">
        <f>IF($B23="","",IF($AN23="AL",MAX(0,$AY23-IF($AU23="Married",IF($AY23&lt;=25999,8500,MAX(5000,8500-175*CEILING(($AY23-25999)/500,1))),IF($AU23="Head of household",IF($AY23&lt;=25999,5200,MAX(2500,5200-135*CEILING(($AY23-25999)/500,1))),IF($AY23&lt;=25999,3000,MAX(2500,3000-25*CEILING(($AY23-25999)/500,1)))))-($P23-'How This Works &amp; Sources'!$C$10*$D23)*'Your Pay &amp; Benefits'!$C$8-IF(OR($AU23="Married",$AU23="Head of household"),3000,1500)-$AT23*IF($AY23&lt;=50000,1000,IF($AY23&lt;=100000,500,300))),IF($AN23="AR",IF(MAX(0,$AY23-2470)&lt;97701,INT(MAX(0,$AY23-2470)/100)*100+50,MAX(0,$AY23-2470)),IF($AN23="DE",MAX(0,$AI23-3250),IF($AN23="HI",MAX(0,$AI23-1144*$AS23-4350),IF($AN23="KS",MAX(0,$AI23-(9160*IF($AU23="Married",2,1)+2320*$AT23+IF($AU23="Head of household",2320,0))),IF($AN23="MD",MAX(0,$AI23-3400-3200*$AS23),IF($AN23="MN",MAX(0,$AY23-5300*$AS23),IF($AN23="MO",MAX(0,$AI23-IF($AU23="Head of household",24150,IF($AU23="Married",IF('Your Pay &amp; Benefits'!$C$83,16100,32200),16100))),IF($AN23="MT",$AY23,IF($AN23="ND",($C23+$L23)*'Your Pay &amp; Benefits'!$C$8,IF($AN23="NE",MAX(0,$AY23-2440*$AS23),IF($AN23="NJ",MAX(0,$AY23-1000*$AS23),IF($AN23="NY",MAX(0,$AY23-(IF($AU23="Married",7950,7400)+1000*$AS23)),IF($AN23="OH",MAX(0,$AY23-650*$AS23),IF($AN23="OK",MAX(0,$AY23-1000*$AS23),IF($AN23="RI",MAX(0,$AI23-1000*$AS23),IF($AN23="SC",MAX(0,$AI23-5000*$AS23-IF($AS23=0,0,MIN(0.1*$AI23,7500))),IF($AN23="VA",MAX(0,$AI23-IF($AU23="Married",17500,8750)-930*$AS23-800*$AT23),IF($AN23="VT",MAX(0,$AI23-5400*$AS23),IF($AN23="WI",MAX(0,$AI23-MAX(0,IF($AU23="Married",9461-0.2*MAX(0,$AI23-25727),6702-0.12*MAX(0,$AI23-17780)))-400*$AS23),IF($AN23="WV",MAX(0,$AI23-2000*$AS23),$AI23))))))))))))))))))))))</f>
      </c>
      <c r="BA23" s="7">
        <f>IF($B23="","",IF($BW23&lt;&gt;"",$BW23,IF($BX23&lt;&gt;"",$BX23,IF($BY23&lt;&gt;"",$BY23,0))))</f>
      </c>
      <c r="BB23" s="7">
        <f>IF($B23="","",IF($AN23="AR",-29*$AS23,IF($AN23="DE",-110*$AS23,IF($AN23="MD",$AZ23*'Your Pay &amp; Benefits'!$C$74,IF($AN23="AZ",'Your Pay &amp; Benefits'!$C$82*($M23-$D23)*'Your Pay &amp; Benefits'!$C$8,IF($AN23="CO",0.044*MAX(0,$AY23-IF($AU23="Married",10000,5000)),IF($AN23="IA",MAX(0,0.038*MAX(0,$AY23-IF($AU23="Head of household",19500,IF($AU23="Married",26000,13000)))-40*$AS23),IF($AN23="ID",0.053*MAX(0,$AY23-IF($AU23="Married",32000,16094)),IF($AN23="IL",0.0495*MAX(0,$AY23-(2925*$AS23+1000*$AT23)),IF($AN23="IN",(0.0295+'Your Pay &amp; Benefits'!$C$76)*MAX(0,$AY23-(1000*$AS23+1500*$AT23+3000*'Your Pay &amp; Benefits'!$C$86)),IF($AN23="KY",0.035*MAX(0,$AI23-3360),IF($AN23="LA",IF('Your Pay &amp; Benefits'!$C$84="0",0.0309*$AI23,0.0309*MAX(0,$AI23-IF('Your Pay &amp; Benefits'!$C$84="2",25750,12875))),IF($AN23="MA",0.05*MIN(MAX(0,$AY23-MIN(($BD22+$Q23+$R23+$S23),2000)-IF($AS23=0,0,IF($AS23=1,4400,1000*$AS23+3400))),1107750)+0.09*MAX(0,MAX(0,$AY23-MIN(($BD22+$Q23+$R23+$S23),2000)-IF($AS23=0,0,IF($AS23=1,4400,1000*$AS23+3400)))-1107750)-IF($AU23="Head of household",120,0)-110*'Your Pay &amp; Benefits'!$C$75,IF($AN23="MI",0.0425*MAX(0,$AY23-5900*$AS23),IF($AN23="MS",0.04*MAX(0,$AI23-IF($AU23="Head of household",3400,IF($AU23="Married",4600,2300))-'Your Pay &amp; Benefits'!$C$85-10000),IF($AN23="OR",IF(OR($AU23="Married",AND($AU23="Single",$AS23&gt;=3)),SUMPRODUCT((MAX(0,$AY23-MIN(($P23-'How This Works &amp; Sources'!$C$10*$D23)*'Your Pay &amp; Benefits'!$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Sources'!$B$211:$J$214,0,4))*(MAX(0,$AY23-MIN(($P23-'How This Works &amp; Sources'!$C$10*$D23)*'Your Pay &amp; Benefits'!$C$8,IF(OR($AU23="Married",AND($AU23="Single",$AS23&gt;=3)),IF($AY23&lt;250000,8750,IF($AY23&lt;260000,7000,IF($AY23&lt;270000,5250,IF($AY23&lt;280000,3500,IF($AY23&lt;290000,1750,0))))),IF($AY23&lt;125000,8750,IF($AY23&lt;130000,7000,IF($AY23&lt;135000,5250,IF($AY23&lt;140000,3500,IF($AY23&lt;145000,1750,0)))))))-IF(OR($AU23="Married",AND($AU23="Single",$AS23&gt;=3)),5820,2910))-INDEX('How This Works &amp; Sources'!$B$211:$J$214,0,4))*INDEX('How This Works &amp; Sources'!$B$211:$J$214,0,4+2)),SUMPRODUCT((MAX(0,$AY23-MIN(($P23-'How This Works &amp; Sources'!$C$10*$D23)*'Your Pay &amp; Benefits'!$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Sources'!$B$211:$J$214,0,1))*(MAX(0,$AY23-MIN(($P23-'How This Works &amp; Sources'!$C$10*$D23)*'Your Pay &amp; Benefits'!$C$8,IF(OR($AU23="Married",AND($AU23="Single",$AS23&gt;=3)),IF($AY23&lt;250000,8750,IF($AY23&lt;260000,7000,IF($AY23&lt;270000,5250,IF($AY23&lt;280000,3500,IF($AY23&lt;290000,1750,0))))),IF($AY23&lt;125000,8750,IF($AY23&lt;130000,7000,IF($AY23&lt;135000,5250,IF($AY23&lt;140000,3500,IF($AY23&lt;145000,1750,0)))))))-IF(OR($AU23="Married",AND($AU23="Single",$AS23&gt;=3)),5820,2910))-INDEX('How This Works &amp; Sources'!$B$211:$J$214,0,1))*INDEX('How This Works &amp; Sources'!$B$211:$J$214,0,1+2)))+263-263*IF(IF($AU23="Married",$AY23&gt;200000,$AY23&gt;100000),0,$AS23),IF($AN23="PA",0.0307*(($O23+$E23+$G23)*'Your Pay &amp; Benefits'!$C$8),IF($AN23="NY",IF($AU23="Married",IF($AZ23&gt;=2155350,0,IF($AZ23&gt;=1077550,0.48,IF($AZ23&gt;=373200,1.21,IF($AZ23&gt;=323200,0.21,IF($AZ23&gt;=211550,-0.19,IF($AZ23&gt;=157650,-2.8,IF($AZ23&gt;=107650,-0.8,IF($AZ23&gt;=96800,0.05,IF($AZ23&gt;=80650,-0.1,IF($AZ23&gt;=13900,0.4,IF($AZ23&gt;=11700,-0.3,IF($AZ23&gt;=8500,0.5,0)))))))))))),IF($AZ23&gt;=1077550,0,IF($AZ23&gt;=265400,4.29,IF($AZ23&gt;=215400,2.29,IF($AZ23&gt;=157650,2.29,IF($AZ23&gt;=107650,0.29,IF($AZ23&gt;=96800,0.05,IF($AZ23&gt;=80650,-0.1,IF($AZ23&gt;=13900,0.4,IF($AZ23&gt;=11700,-0.3,IF($AZ23&gt;=8500,0.5,0))))))))))),0))))))))))))))))))</f>
      </c>
      <c r="BC23" s="7">
        <f>IF($B23="","",IF($AN23="AL",0.05*$D23,IF($AN23="AR",0.039*$D23,IF($AN23="ID",0.053*$D23,IF($AN23="IN",(0.0295+'Your Pay &amp; Benefits'!$C$76)*$D23,IF($AN23="KS",0.05*$D23,IF($AN23="MA",0.09*MIN($D23,MAX(0,MAX(0,$AY23-MIN(($BD22+$Q23+$R23+$S23),2000)-IF($AS23=0,0,IF($AS23=1,4400,1000*$AS23+3400)))+$D23-1107750))+0.05*($D23-MIN($D23,MAX(0,MAX(0,$AY23-MIN(($BD22+$Q23+$R23+$S23),2000)-IF($AS23=0,0,IF($AS23=1,4400,1000*$AS23+3400)))+$D23-1107750))),IF($AN23="MD",(0.065+'Your Pay &amp; Benefits'!$C$74)*$D23,IF($AN23="MI",0.0425*$D23,IF($AN23="MN",0.0625*$D23,IF($AN23="MO",0.047*$D23,IF($AN23="MT",0.05*$D23,IF($AN23="ND",0.015*$D23,IF($AN23="NE",0.035*$D23,IF($AN23="NJ",IF('Your Pay &amp; Benefits'!$C$77="B",SUMPRODUCT(($D23*'Your Pay &amp; Benefits'!$C$8&gt;INDEX('How This Works &amp; Sources'!$B$155:$J$162,0,4))*($D23*'Your Pay &amp; Benefits'!$C$8-INDEX('How This Works &amp; Sources'!$B$155:$J$162,0,4))*INDEX('How This Works &amp; Sources'!$B$155:$J$162,0,4+2)),IF('Your Pay &amp; Benefits'!$C$77="C",SUMPRODUCT(($D23*'Your Pay &amp; Benefits'!$C$8&gt;INDEX('How This Works &amp; Sources'!$B$155:$J$162,0,7))*($D23*'Your Pay &amp; Benefits'!$C$8-INDEX('How This Works &amp; Sources'!$B$155:$J$162,0,7))*INDEX('How This Works &amp; Sources'!$B$155:$J$162,0,7+2)),IF('Your Pay &amp; Benefits'!$C$77="D",SUMPRODUCT(($D23*'Your Pay &amp; Benefits'!$C$8&gt;INDEX('How This Works &amp; Sources'!$B$167:$J$179,0,1))*($D23*'Your Pay &amp; Benefits'!$C$8-INDEX('How This Works &amp; Sources'!$B$167:$J$179,0,1))*INDEX('How This Works &amp; Sources'!$B$167:$J$179,0,1+2)),IF('Your Pay &amp; Benefits'!$C$77="E",SUMPRODUCT(($D23*'Your Pay &amp; Benefits'!$C$8&gt;INDEX('How This Works &amp; Sources'!$B$167:$J$179,0,4))*($D23*'Your Pay &amp; Benefits'!$C$8-INDEX('How This Works &amp; Sources'!$B$167:$J$179,0,4))*INDEX('How This Works &amp; Sources'!$B$167:$J$179,0,4+2)),SUMPRODUCT(($D23*'Your Pay &amp; Benefits'!$C$8&gt;INDEX('How This Works &amp; Sources'!$B$155:$J$162,0,1))*($D23*'Your Pay &amp; Benefits'!$C$8-INDEX('How This Works &amp; Sources'!$B$155:$J$162,0,1))*INDEX('How This Works &amp; Sources'!$B$155:$J$162,0,1+2))))))/'Your Pay &amp; Benefits'!$C$8,IF($AN23="NY",0.117*$D23,IF($AN23="OH",0.0275*$D23,IF($AN23="OK",0.045*$D23,IF($AN23="OR",0.08*$D23,IF($AN23="WI",IF($AY23&lt;12760,0.0354,IF($AY23&lt;25520,0.0465,IF($AY23&lt;280950,0.053,0.0765)))*$D23,0))))))))))))))))))))</f>
      </c>
      <c r="BD23" s="7">
        <f>IF($B23="","",$BD22+$Q23+$R23+$S23)</f>
      </c>
      <c r="BE23" s="6">
        <f>IF($B23="",$BE22,$BE22+$BF23)</f>
      </c>
      <c r="BF23" s="6">
        <f>IF($B23="","",IF(AND(IF(YEAR(IF('Your Pay &amp; Benefits'!$C$7="Weekly",'Your Pay &amp; Benefits'!$C$9+7*(($BE22+1)-1),IF('Your Pay &amp; Benefits'!$C$7="Biweekly",'Your Pay &amp; Benefits'!$C$9+14*(($BE22+1)-1),IF('Your Pay &amp; Benefits'!$C$7="Semimonthly",DATE(YEAR('Your Pay &amp; Benefits'!$C$9),MONTH('Your Pay &amp; Benefits'!$C$9)+INT((($BE22+1)-1)/2),MIN(DAY('Your Pay &amp; Benefits'!$C$9),DAY(EOMONTH(DATE(YEAR('Your Pay &amp; Benefits'!$C$9),MONTH('Your Pay &amp; Benefits'!$C$9)+INT((($BE22+1)-1)/2),1),0))))+IF(MOD(($BE22+1)-1,2)=1,15,0),EDATE('Your Pay &amp; Benefits'!$C$9,($BE22+1)-1)))))&lt;&gt;'Your Pay &amp; Benefits'!$C$10,"",IF('Your Pay &amp; Benefits'!$C$7="Weekly",'Your Pay &amp; Benefits'!$C$9+7*(($BE22+1)-1),IF('Your Pay &amp; Benefits'!$C$7="Biweekly",'Your Pay &amp; Benefits'!$C$9+14*(($BE22+1)-1),IF('Your Pay &amp; Benefits'!$C$7="Semimonthly",DATE(YEAR('Your Pay &amp; Benefits'!$C$9),MONTH('Your Pay &amp; Benefits'!$C$9)+INT((($BE22+1)-1)/2),MIN(DAY('Your Pay &amp; Benefits'!$C$9),DAY(EOMONTH(DATE(YEAR('Your Pay &amp; Benefits'!$C$9),MONTH('Your Pay &amp; Benefits'!$C$9)+INT((($BE22+1)-1)/2),1),0))))+IF(MOD(($BE22+1)-1,2)=1,15,0),EDATE('Your Pay &amp; Benefits'!$C$9,($BE22+1)-1)))))&lt;&gt;"",$B23=IF(YEAR(IF('Your Pay &amp; Benefits'!$C$7="Weekly",'Your Pay &amp; Benefits'!$C$9+7*(($BE22+1)-1),IF('Your Pay &amp; Benefits'!$C$7="Biweekly",'Your Pay &amp; Benefits'!$C$9+14*(($BE22+1)-1),IF('Your Pay &amp; Benefits'!$C$7="Semimonthly",DATE(YEAR('Your Pay &amp; Benefits'!$C$9),MONTH('Your Pay &amp; Benefits'!$C$9)+INT((($BE22+1)-1)/2),MIN(DAY('Your Pay &amp; Benefits'!$C$9),DAY(EOMONTH(DATE(YEAR('Your Pay &amp; Benefits'!$C$9),MONTH('Your Pay &amp; Benefits'!$C$9)+INT((($BE22+1)-1)/2),1),0))))+IF(MOD(($BE22+1)-1,2)=1,15,0),EDATE('Your Pay &amp; Benefits'!$C$9,($BE22+1)-1)))))&lt;&gt;'Your Pay &amp; Benefits'!$C$10,"",IF('Your Pay &amp; Benefits'!$C$7="Weekly",'Your Pay &amp; Benefits'!$C$9+7*(($BE22+1)-1),IF('Your Pay &amp; Benefits'!$C$7="Biweekly",'Your Pay &amp; Benefits'!$C$9+14*(($BE22+1)-1),IF('Your Pay &amp; Benefits'!$C$7="Semimonthly",DATE(YEAR('Your Pay &amp; Benefits'!$C$9),MONTH('Your Pay &amp; Benefits'!$C$9)+INT((($BE22+1)-1)/2),MIN(DAY('Your Pay &amp; Benefits'!$C$9),DAY(EOMONTH(DATE(YEAR('Your Pay &amp; Benefits'!$C$9),MONTH('Your Pay &amp; Benefits'!$C$9)+INT((($BE22+1)-1)/2),1),0))))+IF(MOD(($BE22+1)-1,2)=1,15,0),EDATE('Your Pay &amp; Benefits'!$C$9,($BE22+1)-1)))))),1,0))</f>
      </c>
      <c r="BG23" s="7">
        <f>IF($B23="","",$BG22+$H23)</f>
      </c>
      <c r="BH23" s="7">
        <f>IF($B23="","",$BH22+$I23)</f>
      </c>
      <c r="BI23" s="7">
        <f>IF($B23="","",$BI22+$G23)</f>
      </c>
      <c r="BJ23" s="7">
        <f>IF($B23="","",IFERROR(LOOKUP(2,1/(((('Changes &amp; Events'!$C$6:$C$17="Deduction start"))*('Changes &amp; Events'!$D$6:$D$17="Health FSA"))*('Changes &amp; Events'!$B$6:$B$17&lt;=$B23)*('Changes &amp; Events'!$B$6:$B$17&lt;&gt;"")),'Changes &amp; Events'!$E$6:$E$17),'Your Pay &amp; Benefits'!$D$38))</f>
      </c>
      <c r="BK23" s="7">
        <f>IF($B23="","",IFERROR(LOOKUP(2,1/(((('Changes &amp; Events'!$C$6:$C$17="Deduction start"))*('Changes &amp; Events'!$D$6:$D$17="Dependent-care FSA"))*('Changes &amp; Events'!$B$6:$B$17&lt;=$B23)*('Changes &amp; Events'!$B$6:$B$17&lt;&gt;"")),'Changes &amp; Events'!$E$6:$E$17),'Your Pay &amp; Benefits'!$D$39))</f>
      </c>
      <c r="BL23" s="7">
        <f>IF($B23="","",IFERROR(LOOKUP(2,1/(((('Changes &amp; Events'!$C$6:$C$17="Deduction start")+('Changes &amp; Events'!$C$6:$C$17="Deduction stop"))*('Changes &amp; Events'!$D$6:$D$17="HSA"))*('Changes &amp; Events'!$B$6:$B$17&lt;=$B23)*('Changes &amp; Events'!$B$6:$B$17&lt;&gt;"")),'Changes &amp; Events'!$I$6:$I$17),'Your Pay &amp; Benefits'!$D$35))</f>
      </c>
      <c r="BM23" s="7">
        <f>IF($B23="","",IFERROR(LOOKUP(2,1/(((('Changes &amp; Events'!$C$6:$C$17="Deduction start")+('Changes &amp; Events'!$C$6:$C$17="Deduction stop"))*('Changes &amp; Events'!$D$6:$D$17="Premiums"))*('Changes &amp; Events'!$B$6:$B$17&lt;=$B23)*('Changes &amp; Events'!$B$6:$B$17&lt;&gt;"")),'Changes &amp; Events'!$I$6:$I$17),'Your Pay &amp; Benefits'!$D$40+'Your Pay &amp; Benefits'!$D$41+'Your Pay &amp; Benefits'!$D$42))</f>
      </c>
      <c r="BN23" s="7">
        <f>IF($B23="","",IFERROR(LOOKUP(2,1/(((('Changes &amp; Events'!$C$6:$C$17="Deduction start")+('Changes &amp; Events'!$C$6:$C$17="Deduction stop"))*('Changes &amp; Events'!$D$6:$D$17="Commuter"))*('Changes &amp; Events'!$B$6:$B$17&lt;=$B23)*('Changes &amp; Events'!$B$6:$B$17&lt;&gt;"")),'Changes &amp; Events'!$I$6:$I$17),'Your Pay &amp; Benefits'!$D$43))</f>
      </c>
      <c r="BO23" s="7">
        <f>IF($B23="","",IFERROR(LOOKUP(2,1/(((('Changes &amp; Events'!$C$6:$C$17="Deduction start")+('Changes &amp; Events'!$C$6:$C$17="Deduction stop"))*('Changes &amp; Events'!$D$6:$D$17="Other pre-tax"))*('Changes &amp; Events'!$B$6:$B$17&lt;=$B23)*('Changes &amp; Events'!$B$6:$B$17&lt;&gt;"")),'Changes &amp; Events'!$I$6:$I$17),'Your Pay &amp; Benefits'!$D$44))</f>
      </c>
      <c r="BP23" s="7">
        <f>IF($B23="","",IFERROR(LOOKUP(2,1/(((('Changes &amp; Events'!$C$6:$C$17="Deduction start")+('Changes &amp; Events'!$C$6:$C$17="Deduction stop"))*('Changes &amp; Events'!$D$6:$D$17="Other post-tax"))*('Changes &amp; Events'!$B$6:$B$17&lt;=$B23)*('Changes &amp; Events'!$B$6:$B$17&lt;&gt;"")),'Changes &amp; Events'!$I$6:$I$17),'Your Pay &amp; Benefits'!$D$45))</f>
      </c>
      <c r="BQ23" s="6">
        <f>IF($B23="","",IFERROR(LOOKUP(2,1/(((('Changes &amp; Events'!$C$6:$C$17="Deduction start")+('Changes &amp; Events'!$C$6:$C$17="Deduction stop"))*('Changes &amp; Events'!$D$6:$D$17="Health FSA"))*('Changes &amp; Events'!$B$6:$B$17&lt;=$B23)*('Changes &amp; Events'!$B$6:$B$17&lt;&gt;"")),'Changes &amp; Events'!$J$6:$J$17),0))</f>
      </c>
      <c r="BR23" s="6">
        <f>IF($B23="","",IFERROR(LOOKUP(2,1/(((('Changes &amp; Events'!$C$6:$C$17="Deduction start")+('Changes &amp; Events'!$C$6:$C$17="Deduction stop"))*('Changes &amp; Events'!$D$6:$D$17="Dependent-care FSA"))*('Changes &amp; Events'!$B$6:$B$17&lt;=$B23)*('Changes &amp; Events'!$B$6:$B$17&lt;&gt;"")),'Changes &amp; Events'!$J$6:$J$17),0))</f>
      </c>
      <c r="BS23" s="6">
        <f>IF($B23="","",IF(SUMPRODUCT(('Changes &amp; Events'!$C$6:$C$17="Deduction start")*('Changes &amp; Events'!$B$6:$B$17&lt;=$B23)*('Changes &amp; Events'!$B$6:$B$17&lt;&gt;"")*('Changes &amp; Events'!$D$6:$D$17="Health FSA"))&gt;0,1,0))</f>
      </c>
      <c r="BT23" s="6">
        <f>IF($B23="","",IF(SUMPRODUCT(('Changes &amp; Events'!$C$6:$C$17="Deduction start")*('Changes &amp; Events'!$B$6:$B$17&lt;=$B23)*('Changes &amp; Events'!$B$6:$B$17&lt;&gt;"")*('Changes &amp; Events'!$D$6:$D$17="Dependent-care FSA"))&gt;0,1,0))</f>
      </c>
      <c r="BU23" s="24">
        <f>IF($B23="","",IF('Your Pay &amp; Benefits'!$C$13,SUMPRODUCT(($AH23&gt;=INDEX('How This Works &amp; Sources'!$B$29:$J$36,0,IF('Your Pay &amp; Benefits'!$C$12="MFJ",1,IF('Your Pay &amp; Benefits'!$C$12="HoH",7,4))))*INDEX('How This Works &amp; Sources'!$B$29:$J$36,0,IF('Your Pay &amp; Benefits'!$C$12="MFJ",1,IF('Your Pay &amp; Benefits'!$C$12="HoH",7,4))+2)),SUMPRODUCT(($AH23&gt;=INDEX('How This Works &amp; Sources'!$B$19:$J$26,0,IF('Your Pay &amp; Benefits'!$C$12="MFJ",1,IF('Your Pay &amp; Benefits'!$C$12="HoH",7,4))))*INDEX('How This Works &amp; Sources'!$B$19:$J$26,0,IF('Your Pay &amp; Benefits'!$C$12="MFJ",1,IF('Your Pay &amp; Benefits'!$C$12="HoH",7,4))+2))))</f>
      </c>
      <c r="BV23" s="24">
        <f>IF($B23="","",IF($BZ23&lt;&gt;"",$BZ23,IF($CA23&lt;&gt;"",$CA23,IF($CB23&lt;&gt;"",$CB23,IF($CC23&lt;&gt;"",$CC23,0)))))</f>
      </c>
      <c r="BW23" s="7">
        <f>IF($B23="","",IF($AN23="MD",IF(OR($AU23="Married",$AU23="Head of household"),SUMPRODUCT(($AZ23&gt;INDEX('How This Works &amp; Sources'!$B$114:$J$120,0,1))*($AZ23-INDEX('How This Works &amp; Sources'!$B$114:$J$120,0,1))*INDEX('How This Works &amp; Sources'!$B$114:$J$120,0,1+2)),SUMPRODUCT(($AZ23&gt;INDEX('How This Works &amp; Sources'!$B$103:$J$109,0,7))*($AZ23-INDEX('How This Works &amp; Sources'!$B$103:$J$109,0,7))*INDEX('How This Works &amp; Sources'!$B$103:$J$109,0,7+2))),IF($AN23="MO",SUMPRODUCT(($AZ23&gt;INDEX('How This Works &amp; Sources'!$B$125:$J$132,0,1))*($AZ23-INDEX('How This Works &amp; Sources'!$B$125:$J$132,0,1))*INDEX('How This Works &amp; Sources'!$B$125:$J$132,0,1+2)),IF($AN23="MT",IF($AU23="Head of household",SUMPRODUCT(($AZ23&gt;INDEX('How This Works &amp; Sources'!$B$137:$J$139,0,1))*($AZ23-INDEX('How This Works &amp; Sources'!$B$137:$J$139,0,1))*INDEX('How This Works &amp; Sources'!$B$137:$J$139,0,1+2)),IF($AU23="Married",SUMPRODUCT(($AZ23&gt;INDEX('How This Works &amp; Sources'!$B$125:$J$132,0,7))*($AZ23-INDEX('How This Works &amp; Sources'!$B$125:$J$132,0,7))*INDEX('How This Works &amp; Sources'!$B$125:$J$132,0,7+2)),SUMPRODUCT(($AZ23&gt;INDEX('How This Works &amp; Sources'!$B$125:$J$132,0,4))*($AZ23-INDEX('How This Works &amp; Sources'!$B$125:$J$132,0,4))*INDEX('How This Works &amp; Sources'!$B$125:$J$132,0,4+2)))),IF($AN23="ND",IF($AU23="Head of household",SUMPRODUCT(($AZ23&gt;INDEX('How This Works &amp; Sources'!$B$144:$J$150,0,1))*($AZ23-INDEX('How This Works &amp; Sources'!$B$144:$J$150,0,1))*INDEX('How This Works &amp; Sources'!$B$144:$J$150,0,1+2)),IF($AU23="Married",SUMPRODUCT(($AZ23&gt;INDEX('How This Works &amp; Sources'!$B$137:$J$139,0,7))*($AZ23-INDEX('How This Works &amp; Sources'!$B$137:$J$139,0,7))*INDEX('How This Works &amp; Sources'!$B$137:$J$139,0,7+2)),SUMPRODUCT(($AZ23&gt;INDEX('How This Works &amp; Sources'!$B$137:$J$139,0,4))*($AZ23-INDEX('How This Works &amp; Sources'!$B$137:$J$139,0,4))*INDEX('How This Works &amp; Sources'!$B$137:$J$139,0,4+2)))),IF($AN23="NJ",IF('Your Pay &amp; Benefits'!$C$77="B",SUMPRODUCT(($AZ23&gt;INDEX('How This Works &amp; Sources'!$B$155:$J$162,0,4))*($AZ23-INDEX('How This Works &amp; Sources'!$B$155:$J$162,0,4))*INDEX('How This Works &amp; Sources'!$B$155:$J$162,0,4+2)),IF('Your Pay &amp; Benefits'!$C$77="C",SUMPRODUCT(($AZ23&gt;INDEX('How This Works &amp; Sources'!$B$155:$J$162,0,7))*($AZ23-INDEX('How This Works &amp; Sources'!$B$155:$J$162,0,7))*INDEX('How This Works &amp; Sources'!$B$155:$J$162,0,7+2)),IF('Your Pay &amp; Benefits'!$C$77="D",SUMPRODUCT(($AZ23&gt;INDEX('How This Works &amp; Sources'!$B$167:$J$179,0,1))*($AZ23-INDEX('How This Works &amp; Sources'!$B$167:$J$179,0,1))*INDEX('How This Works &amp; Sources'!$B$167:$J$179,0,1+2)),IF('Your Pay &amp; Benefits'!$C$77="E",SUMPRODUCT(($AZ23&gt;INDEX('How This Works &amp; Sources'!$B$167:$J$179,0,4))*($AZ23-INDEX('How This Works &amp; Sources'!$B$167:$J$179,0,4))*INDEX('How This Works &amp; Sources'!$B$167:$J$179,0,4+2)),SUMPRODUCT(($AZ23&gt;INDEX('How This Works &amp; Sources'!$B$155:$J$162,0,1))*($AZ23-INDEX('How This Works &amp; Sources'!$B$155:$J$162,0,1))*INDEX('How This Works &amp; Sources'!$B$155:$J$162,0,1+2)))))),IF($AN23="NY",IF($AU23="Married",IF($AZ23&gt;=2155350,$AZ23*IF($AZ23&gt;25000000,0.117,IF($AZ23&gt;5000000,0.111,0.1045)),SUMPRODUCT(($AZ23&gt;INDEX('How This Works &amp; Sources'!$B$184:$J$198,0,1))*($AZ23-INDEX('How This Works &amp; Sources'!$B$184:$J$198,0,1))*INDEX('How This Works &amp; Sources'!$B$184:$J$198,0,1+2))),IF($AZ23&gt;=1077550,$AZ23*IF($AZ23&gt;25000000,0.117,IF($AZ23&gt;5000000,0.111,0.1045)),SUMPRODUCT(($AZ23&gt;INDEX('How This Works &amp; Sources'!$B$167:$J$179,0,7))*($AZ23-INDEX('How This Works &amp; Sources'!$B$167:$J$179,0,7))*INDEX('How This Works &amp; Sources'!$B$167:$J$179,0,7+2)))),"")))))))</f>
      </c>
      <c r="BX23" s="7">
        <f>IF($B23="","",IF($AN23="AL",IF(OR($AU23="Married",$AU23="Head of household"),SUMPRODUCT(($AZ23&gt;INDEX('How This Works &amp; Sources'!$B$82:$J$86,0,4))*($AZ23-INDEX('How This Works &amp; Sources'!$B$82:$J$86,0,4))*INDEX('How This Works &amp; Sources'!$B$82:$J$86,0,4+2)),SUMPRODUCT(($AZ23&gt;INDEX('How This Works &amp; Sources'!$B$82:$J$86,0,1))*($AZ23-INDEX('How This Works &amp; Sources'!$B$82:$J$86,0,1))*INDEX('How This Works &amp; Sources'!$B$82:$J$86,0,1+2))),IF($AN23="KS",IF($AU23="Married",SUMPRODUCT(($AZ23&gt;INDEX('How This Works &amp; Sources'!$B$103:$J$109,0,4))*($AZ23-INDEX('How This Works &amp; Sources'!$B$103:$J$109,0,4))*INDEX('How This Works &amp; Sources'!$B$103:$J$109,0,4+2)),SUMPRODUCT(($AZ23&gt;INDEX('How This Works &amp; Sources'!$B$103:$J$109,0,1))*($AZ23-INDEX('How This Works &amp; Sources'!$B$103:$J$109,0,1))*INDEX('How This Works &amp; Sources'!$B$103:$J$109,0,1+2))),IF($AN23="MN",IF($AU23="Married",SUMPRODUCT(($AZ23&gt;INDEX('How This Works &amp; Sources'!$B$114:$J$120,0,7))*($AZ23-INDEX('How This Works &amp; Sources'!$B$114:$J$120,0,7))*INDEX('How This Works &amp; Sources'!$B$114:$J$120,0,7+2)),SUMPRODUCT(($AZ23&gt;INDEX('How This Works &amp; Sources'!$B$114:$J$120,0,4))*($AZ23-INDEX('How This Works &amp; Sources'!$B$114:$J$120,0,4))*INDEX('How This Works &amp; Sources'!$B$114:$J$120,0,4+2))),IF($AN23="NE",MAX(IF($AU23="Married",SUMPRODUCT(($AZ23&gt;INDEX('How This Works &amp; Sources'!$B$144:$J$150,0,7))*($AZ23-INDEX('How This Works &amp; Sources'!$B$144:$J$150,0,7))*INDEX('How This Works &amp; Sources'!$B$144:$J$150,0,7+2)),SUMPRODUCT(($AZ23&gt;INDEX('How This Works &amp; Sources'!$B$144:$J$150,0,4))*($AZ23-INDEX('How This Works &amp; Sources'!$B$144:$J$150,0,4))*INDEX('How This Works &amp; Sources'!$B$144:$J$150,0,4+2))),0.015*$AZ23),IF($AN23="OH",IF($B23&gt;=DATE(2026,8,1),SUMPRODUCT(($AZ23&gt;INDEX('How This Works &amp; Sources'!$B$203:$J$206,0,1))*($AZ23-INDEX('How This Works &amp; Sources'!$B$203:$J$206,0,1))*INDEX('How This Works &amp; Sources'!$B$203:$J$206,0,1+2)),SUMPRODUCT(($AZ23&gt;INDEX('How This Works &amp; Sources'!$B$184:$J$198,0,7))*($AZ23-INDEX('How This Works &amp; Sources'!$B$184:$J$198,0,7))*INDEX('How This Works &amp; Sources'!$B$184:$J$198,0,7+2))),IF($AN23="OK",IF($AU23="Married",SUMPRODUCT(($AZ23&gt;INDEX('How This Works &amp; Sources'!$B$203:$J$206,0,7))*($AZ23-INDEX('How This Works &amp; Sources'!$B$203:$J$206,0,7))*INDEX('How This Works &amp; Sources'!$B$203:$J$206,0,7+2)),SUMPRODUCT(($AZ23&gt;INDEX('How This Works &amp; Sources'!$B$203:$J$206,0,4))*($AZ23-INDEX('How This Works &amp; Sources'!$B$203:$J$206,0,4))*INDEX('How This Works &amp; Sources'!$B$203:$J$206,0,4+2))),IF($AN23="RI",SUMPRODUCT(($AZ23&gt;INDEX('How This Works &amp; Sources'!$B$211:$J$214,0,7))*($AZ23-INDEX('How This Works &amp; Sources'!$B$211:$J$214,0,7))*INDEX('How This Works &amp; Sources'!$B$211:$J$214,0,7+2)),IF($AN23="VT",IF($AU23="Married",SUMPRODUCT(($AZ23&gt;INDEX('How This Works &amp; Sources'!$B$228:$J$232,0,1))*($AZ23-INDEX('How This Works &amp; Sources'!$B$228:$J$232,0,1))*INDEX('How This Works &amp; Sources'!$B$228:$J$232,0,1+2)),SUMPRODUCT(($AZ23&gt;INDEX('How This Works &amp; Sources'!$B$219:$J$223,0,7))*($AZ23-INDEX('How This Works &amp; Sources'!$B$219:$J$223,0,7))*INDEX('How This Works &amp; Sources'!$B$219:$J$223,0,7+2))),IF($AN23="WV",IF($AU23="Married",SUMPRODUCT(($AZ23&gt;INDEX('How This Works &amp; Sources'!$B$237:$J$241,0,7))*($AZ23-INDEX('How This Works &amp; Sources'!$B$237:$J$241,0,7))*INDEX('How This Works &amp; Sources'!$B$237:$J$241,0,7+2)),SUMPRODUCT(($AZ23&gt;INDEX('How This Works &amp; Sources'!$B$228:$J$232,0,7))*($AZ23-INDEX('How This Works &amp; Sources'!$B$228:$J$232,0,7))*INDEX('How This Works &amp; Sources'!$B$228:$J$232,0,7+2))),""))))))))))</f>
      </c>
      <c r="BY23" s="7">
        <f>IF($B23="","",IF($AN23="AR",SUMPRODUCT(($AZ23&gt;INDEX('How This Works &amp; Sources'!$B$82:$J$86,0,7))*($AZ23-INDEX('How This Works &amp; Sources'!$B$82:$J$86,0,7))*INDEX('How This Works &amp; Sources'!$B$82:$J$86,0,7+2)),IF($AN23="DE",SUMPRODUCT(($AZ23&gt;INDEX('How This Works &amp; Sources'!$B$91:$J$98,0,1))*($AZ23-INDEX('How This Works &amp; Sources'!$B$91:$J$98,0,1))*INDEX('How This Works &amp; Sources'!$B$91:$J$98,0,1+2)),IF($AN23="HI",IF($AU23="Married",SUMPRODUCT(($AZ23&gt;INDEX('How This Works &amp; Sources'!$B$91:$J$98,0,7))*($AZ23-INDEX('How This Works &amp; Sources'!$B$91:$J$98,0,7))*INDEX('How This Works &amp; Sources'!$B$91:$J$98,0,7+2)),SUMPRODUCT(($AZ23&gt;INDEX('How This Works &amp; Sources'!$B$91:$J$98,0,4))*($AZ23-INDEX('How This Works &amp; Sources'!$B$91:$J$98,0,4))*INDEX('How This Works &amp; Sources'!$B$91:$J$98,0,4+2))),IF($AN23="SC",SUMPRODUCT(($AZ23&gt;INDEX('How This Works &amp; Sources'!$B$219:$J$223,0,1))*($AZ23-INDEX('How This Works &amp; Sources'!$B$219:$J$223,0,1))*INDEX('How This Works &amp; Sources'!$B$219:$J$223,0,1+2)),IF($AN23="VA",SUMPRODUCT(($AZ23&gt;INDEX('How This Works &amp; Sources'!$B$219:$J$223,0,4))*($AZ23-INDEX('How This Works &amp; Sources'!$B$219:$J$223,0,4))*INDEX('How This Works &amp; Sources'!$B$219:$J$223,0,4+2)),IF($AN23="WI",SUMPRODUCT(($AZ23&gt;INDEX('How This Works &amp; Sources'!$B$228:$J$232,0,4))*($AZ23-INDEX('How This Works &amp; Sources'!$B$228:$J$232,0,4))*INDEX('How This Works &amp; Sources'!$B$228:$J$232,0,4+2)),"")))))))</f>
      </c>
      <c r="BZ23" s="24">
        <f>IF($B23="","",IF($AN23="NJ",IF('Your Pay &amp; Benefits'!$C$77="B",SUMPRODUCT(($AZ23&gt;=INDEX('How This Works &amp; Sources'!$B$155:$J$162,0,4))*INDEX('How This Works &amp; Sources'!$B$155:$J$162,0,4+2)),IF('Your Pay &amp; Benefits'!$C$77="C",SUMPRODUCT(($AZ23&gt;=INDEX('How This Works &amp; Sources'!$B$155:$J$162,0,7))*INDEX('How This Works &amp; Sources'!$B$155:$J$162,0,7+2)),IF('Your Pay &amp; Benefits'!$C$77="D",SUMPRODUCT(($AZ23&gt;=INDEX('How This Works &amp; Sources'!$B$167:$J$179,0,1))*INDEX('How This Works &amp; Sources'!$B$167:$J$179,0,1+2)),IF('Your Pay &amp; Benefits'!$C$77="E",SUMPRODUCT(($AZ23&gt;=INDEX('How This Works &amp; Sources'!$B$167:$J$179,0,4))*INDEX('How This Works &amp; Sources'!$B$167:$J$179,0,4+2)),SUMPRODUCT(($AZ23&gt;=INDEX('How This Works &amp; Sources'!$B$155:$J$162,0,1))*INDEX('How This Works &amp; Sources'!$B$155:$J$162,0,1+2)))))),IF($AN23="OR",IF(OR($AU23="Married",AND($AU23="Single",$AS23&gt;=3)),SUMPRODUCT((MAX(0,$AY23-MIN(($P23-'How This Works &amp; Sources'!$C$10*$D23)*'Your Pay &amp; Benefits'!$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Sources'!$B$211:$J$214,0,4))*INDEX('How This Works &amp; Sources'!$B$211:$J$214,0,4+2)),SUMPRODUCT((MAX(0,$AY23-MIN(($P23-'How This Works &amp; Sources'!$C$10*$D23)*'Your Pay &amp; Benefits'!$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Sources'!$B$211:$J$214,0,1))*INDEX('How This Works &amp; Sources'!$B$211:$J$214,0,1+2)))*IF(($P23-'How This Works &amp; Sources'!$C$10*$D23)*'Your Pay &amp; Benefits'!$C$8&gt;=IF(OR($AU23="Married",AND($AU23="Single",$AS23&gt;=3)),IF($AY23&lt;250000,8750,IF($AY23&lt;260000,7000,IF($AY23&lt;270000,5250,IF($AY23&lt;280000,3500,IF($AY23&lt;290000,1750,0))))),IF($AY23&lt;125000,8750,IF($AY23&lt;130000,7000,IF($AY23&lt;135000,5250,IF($AY23&lt;140000,3500,IF($AY23&lt;145000,1750,0)))))),1,1-IF('Your Pay &amp; Benefits'!$C$13,SUMPRODUCT(($AH23&gt;=INDEX('How This Works &amp; Sources'!$B$29:$J$36,0,IF('Your Pay &amp; Benefits'!$C$12="MFJ",1,IF('Your Pay &amp; Benefits'!$C$12="HoH",7,4))))*INDEX('How This Works &amp; Sources'!$B$29:$J$36,0,IF('Your Pay &amp; Benefits'!$C$12="MFJ",1,IF('Your Pay &amp; Benefits'!$C$12="HoH",7,4))+2)),SUMPRODUCT(($AH23&gt;=INDEX('How This Works &amp; Sources'!$B$19:$J$26,0,IF('Your Pay &amp; Benefits'!$C$12="MFJ",1,IF('Your Pay &amp; Benefits'!$C$12="HoH",7,4))))*INDEX('How This Works &amp; Sources'!$B$19:$J$26,0,IF('Your Pay &amp; Benefits'!$C$12="MFJ",1,IF('Your Pay &amp; Benefits'!$C$12="HoH",7,4))+2)))),IF($AN23="MI",IF($AY23&gt;5900*$AS23,0.0425,0),""))))</f>
      </c>
      <c r="CA23" s="24">
        <f>IF($B23="","",IF($AN23="AL",IF(OR($AU23="Married",$AU23="Head of household"),SUMPRODUCT(($AZ23&gt;=INDEX('How This Works &amp; Sources'!$B$82:$J$86,0,4))*INDEX('How This Works &amp; Sources'!$B$82:$J$86,0,4+2)),SUMPRODUCT(($AZ23&gt;=INDEX('How This Works &amp; Sources'!$B$82:$J$86,0,1))*INDEX('How This Works &amp; Sources'!$B$82:$J$86,0,1+2)))*(1-IF('Your Pay &amp; Benefits'!$C$13,SUMPRODUCT(($AH23&gt;=INDEX('How This Works &amp; Sources'!$B$29:$J$36,0,IF('Your Pay &amp; Benefits'!$C$12="MFJ",1,IF('Your Pay &amp; Benefits'!$C$12="HoH",7,4))))*INDEX('How This Works &amp; Sources'!$B$29:$J$36,0,IF('Your Pay &amp; Benefits'!$C$12="MFJ",1,IF('Your Pay &amp; Benefits'!$C$12="HoH",7,4))+2)),SUMPRODUCT(($AH23&gt;=INDEX('How This Works &amp; Sources'!$B$19:$J$26,0,IF('Your Pay &amp; Benefits'!$C$12="MFJ",1,IF('Your Pay &amp; Benefits'!$C$12="HoH",7,4))))*INDEX('How This Works &amp; Sources'!$B$19:$J$26,0,IF('Your Pay &amp; Benefits'!$C$12="MFJ",1,IF('Your Pay &amp; Benefits'!$C$12="HoH",7,4))+2)))),IF($AN23="KS",IF($AU23="Married",SUMPRODUCT(($AZ23&gt;=INDEX('How This Works &amp; Sources'!$B$103:$J$109,0,4))*INDEX('How This Works &amp; Sources'!$B$103:$J$109,0,4+2)),SUMPRODUCT(($AZ23&gt;=INDEX('How This Works &amp; Sources'!$B$103:$J$109,0,1))*INDEX('How This Works &amp; Sources'!$B$103:$J$109,0,1+2))),IF($AN23="MD",IF(OR($AU23="Married",$AU23="Head of household"),SUMPRODUCT(($AZ23&gt;=INDEX('How This Works &amp; Sources'!$B$114:$J$120,0,1))*INDEX('How This Works &amp; Sources'!$B$114:$J$120,0,1+2)),SUMPRODUCT(($AZ23&gt;=INDEX('How This Works &amp; Sources'!$B$103:$J$109,0,7))*INDEX('How This Works &amp; Sources'!$B$103:$J$109,0,7+2)))+'Your Pay &amp; Benefits'!$C$74,IF($AN23="MT",IF($AU23="Head of household",SUMPRODUCT(($AZ23&gt;=INDEX('How This Works &amp; Sources'!$B$137:$J$139,0,1))*INDEX('How This Works &amp; Sources'!$B$137:$J$139,0,1+2)),IF($AU23="Married",SUMPRODUCT(($AZ23&gt;=INDEX('How This Works &amp; Sources'!$B$125:$J$132,0,7))*INDEX('How This Works &amp; Sources'!$B$125:$J$132,0,7+2)),SUMPRODUCT(($AZ23&gt;=INDEX('How This Works &amp; Sources'!$B$125:$J$132,0,4))*INDEX('How This Works &amp; Sources'!$B$125:$J$132,0,4+2)))),IF($AN23="ND",IF($AU23="Head of household",SUMPRODUCT(($AZ23&gt;=INDEX('How This Works &amp; Sources'!$B$144:$J$150,0,1))*INDEX('How This Works &amp; Sources'!$B$144:$J$150,0,1+2)),IF($AU23="Married",SUMPRODUCT(($AZ23&gt;=INDEX('How This Works &amp; Sources'!$B$137:$J$139,0,7))*INDEX('How This Works &amp; Sources'!$B$137:$J$139,0,7+2)),SUMPRODUCT(($AZ23&gt;=INDEX('How This Works &amp; Sources'!$B$137:$J$139,0,4))*INDEX('How This Works &amp; Sources'!$B$137:$J$139,0,4+2)))),IF($AN23="NY",IF($AU23="Married",IF($AZ23&gt;=2155350,IF($AZ23&gt;25000000,0.117,IF($AZ23&gt;5000000,0.111,0.1045)),SUMPRODUCT(($AZ23&gt;=INDEX('How This Works &amp; Sources'!$B$184:$J$198,0,1))*INDEX('How This Works &amp; Sources'!$B$184:$J$198,0,1+2))),IF($AZ23&gt;=1077550,IF($AZ23&gt;25000000,0.117,IF($AZ23&gt;5000000,0.111,0.1045)),SUMPRODUCT(($AZ23&gt;=INDEX('How This Works &amp; Sources'!$B$167:$J$179,0,7))*INDEX('How This Works &amp; Sources'!$B$167:$J$179,0,7+2)))),"")))))))</f>
      </c>
      <c r="CB23" s="24">
        <f>IF($B23="","",IF($AN23="CA",SUMPRODUCT(($AJ23&gt;=INDEX('How This Works &amp; Sources'!$B$39:$J$48,0,IF($AU23="Married",4,IF($AU23="Head of household",7,1))))*INDEX('How This Works &amp; Sources'!$B$39:$J$48,0,IF($AU23="Married",4,IF($AU23="Head of household",7,1))+2)),IF($AN23="HI",IF($AU23="Married",SUMPRODUCT(($AZ23&gt;=INDEX('How This Works &amp; Sources'!$B$91:$J$98,0,7))*INDEX('How This Works &amp; Sources'!$B$91:$J$98,0,7+2)),SUMPRODUCT(($AZ23&gt;=INDEX('How This Works &amp; Sources'!$B$91:$J$98,0,4))*INDEX('How This Works &amp; Sources'!$B$91:$J$98,0,4+2))),IF($AN23="MN",IF($AU23="Married",SUMPRODUCT(($AZ23&gt;=INDEX('How This Works &amp; Sources'!$B$114:$J$120,0,7))*INDEX('How This Works &amp; Sources'!$B$114:$J$120,0,7+2)),SUMPRODUCT(($AZ23&gt;=INDEX('How This Works &amp; Sources'!$B$114:$J$120,0,4))*INDEX('How This Works &amp; Sources'!$B$114:$J$120,0,4+2))),IF($AN23="MO",SUMPRODUCT(($AZ23&gt;=INDEX('How This Works &amp; Sources'!$B$125:$J$132,0,1))*INDEX('How This Works &amp; Sources'!$B$125:$J$132,0,1+2)),IF($AN23="NE",MAX(IF($AU23="Married",SUMPRODUCT(($AZ23&gt;=INDEX('How This Works &amp; Sources'!$B$144:$J$150,0,7))*INDEX('How This Works &amp; Sources'!$B$144:$J$150,0,7+2)),SUMPRODUCT(($AZ23&gt;=INDEX('How This Works &amp; Sources'!$B$144:$J$150,0,4))*INDEX('How This Works &amp; Sources'!$B$144:$J$150,0,4+2))),0.015),IF($AN23="OH",IF($B23&gt;=DATE(2026,8,1),SUMPRODUCT(($AZ23&gt;=INDEX('How This Works &amp; Sources'!$B$203:$J$206,0,1))*INDEX('How This Works &amp; Sources'!$B$203:$J$206,0,1+2)),SUMPRODUCT(($AZ23&gt;=INDEX('How This Works &amp; Sources'!$B$184:$J$198,0,7))*INDEX('How This Works &amp; Sources'!$B$184:$J$198,0,7+2))),IF($AN23="OK",IF($AU23="Married",SUMPRODUCT(($AZ23&gt;=INDEX('How This Works &amp; Sources'!$B$203:$J$206,0,7))*INDEX('How This Works &amp; Sources'!$B$203:$J$206,0,7+2)),SUMPRODUCT(($AZ23&gt;=INDEX('How This Works &amp; Sources'!$B$203:$J$206,0,4))*INDEX('How This Works &amp; Sources'!$B$203:$J$206,0,4+2))),IF($AN23="RI",SUMPRODUCT(($AZ23&gt;=INDEX('How This Works &amp; Sources'!$B$211:$J$214,0,7))*INDEX('How This Works &amp; Sources'!$B$211:$J$214,0,7+2)),IF($AN23="SC",SUMPRODUCT(($AZ23&gt;=INDEX('How This Works &amp; Sources'!$B$219:$J$223,0,1))*INDEX('How This Works &amp; Sources'!$B$219:$J$223,0,1+2)),IF($AN23="VT",IF($AU23="Married",SUMPRODUCT(($AZ23&gt;=INDEX('How This Works &amp; Sources'!$B$228:$J$232,0,1))*INDEX('How This Works &amp; Sources'!$B$228:$J$232,0,1+2)),SUMPRODUCT(($AZ23&gt;=INDEX('How This Works &amp; Sources'!$B$219:$J$223,0,7))*INDEX('How This Works &amp; Sources'!$B$219:$J$223,0,7+2))),IF($AN23="WV",IF($AU23="Married",SUMPRODUCT(($AZ23&gt;=INDEX('How This Works &amp; Sources'!$B$237:$J$241,0,7))*INDEX('How This Works &amp; Sources'!$B$237:$J$241,0,7+2)),SUMPRODUCT(($AZ23&gt;=INDEX('How This Works &amp; Sources'!$B$228:$J$232,0,7))*INDEX('How This Works &amp; Sources'!$B$228:$J$232,0,7+2))),IF($AN23="IN",(0.0295+'Your Pay &amp; Benefits'!$C$76),"")))))))))))))</f>
      </c>
      <c r="CC23" s="24">
        <f>IF($B23="","",IF($AN23="AR",SUMPRODUCT(($AZ23&gt;=INDEX('How This Works &amp; Sources'!$B$82:$J$86,0,7))*INDEX('How This Works &amp; Sources'!$B$82:$J$86,0,7+2)),IF($AN23="DE",SUMPRODUCT(($AZ23&gt;=INDEX('How This Works &amp; Sources'!$B$91:$J$98,0,1))*INDEX('How This Works &amp; Sources'!$B$91:$J$98,0,1+2)),IF($AN23="VA",SUMPRODUCT(($AZ23&gt;=INDEX('How This Works &amp; Sources'!$B$219:$J$223,0,4))*INDEX('How This Works &amp; Sources'!$B$219:$J$223,0,4+2)),IF($AN23="WI",SUMPRODUCT(($AZ23&gt;=INDEX('How This Works &amp; Sources'!$B$228:$J$232,0,4))*INDEX('How This Works &amp; Sources'!$B$228:$J$232,0,4+2)),IF($AN23="AZ",'Your Pay &amp; Benefits'!$C$82,IF($AN23="CO",IF($AY23&gt;IF($AU23="Married",10000,5000),0.044,0),IF($AN23="IA",IF($AY23&gt;IF($AU23="Head of household",19500,IF($AU23="Married",26000,13000)),0.038,0),IF($AN23="ID",IF($AY23&gt;IF($AU23="Married",32000,16094),0.053,0),IF($AN23="IL",IF($AY23&gt;(2925*$AS23+1000*$AT23),0.0495,0),IF($AN23="KY",IF($AI23&gt;3360,0.035,0),IF($AN23="LA",0.0309,IF($AN23="MA",IF(MAX(0,$AY23-MIN(($BD22+$Q23+$R23+$S23),2000)-IF($AS23=0,0,IF($AS23=1,4400,1000*$AS23+3400)))&gt;=1107750,0.09,0.05),IF($AN23="MS",IF($AI23-IF($AU23="Head of household",3400,IF($AU23="Married",4600,2300))-'Your Pay &amp; Benefits'!$C$85&gt;10000,0.04,0),IF($AN23="PA",0.0307,"")))))))))))))))</f>
      </c>
      <c r="CD23" s="21">
        <f>IF(YEAR(IF('Your Pay &amp; Benefits'!$C$7="Weekly",'Your Pay &amp; Benefits'!$C$9+7*(($BE22+1)-1),IF('Your Pay &amp; Benefits'!$C$7="Biweekly",'Your Pay &amp; Benefits'!$C$9+14*(($BE22+1)-1),IF('Your Pay &amp; Benefits'!$C$7="Semimonthly",DATE(YEAR('Your Pay &amp; Benefits'!$C$9),MONTH('Your Pay &amp; Benefits'!$C$9)+INT((($BE22+1)-1)/2),MIN(DAY('Your Pay &amp; Benefits'!$C$9),DAY(EOMONTH(DATE(YEAR('Your Pay &amp; Benefits'!$C$9),MONTH('Your Pay &amp; Benefits'!$C$9)+INT((($BE22+1)-1)/2),1),0))))+IF(MOD(($BE22+1)-1,2)=1,15,0),EDATE('Your Pay &amp; Benefits'!$C$9,($BE22+1)-1)))))&lt;&gt;'Your Pay &amp; Benefits'!$C$10,"",IF('Your Pay &amp; Benefits'!$C$7="Weekly",'Your Pay &amp; Benefits'!$C$9+7*(($BE22+1)-1),IF('Your Pay &amp; Benefits'!$C$7="Biweekly",'Your Pay &amp; Benefits'!$C$9+14*(($BE22+1)-1),IF('Your Pay &amp; Benefits'!$C$7="Semimonthly",DATE(YEAR('Your Pay &amp; Benefits'!$C$9),MONTH('Your Pay &amp; Benefits'!$C$9)+INT((($BE22+1)-1)/2),MIN(DAY('Your Pay &amp; Benefits'!$C$9),DAY(EOMONTH(DATE(YEAR('Your Pay &amp; Benefits'!$C$9),MONTH('Your Pay &amp; Benefits'!$C$9)+INT((($BE22+1)-1)/2),1),0))))+IF(MOD(($BE22+1)-1,2)=1,15,0),EDATE('Your Pay &amp; Benefits'!$C$9,($BE22+1)-1)))))</f>
      </c>
      <c r="CE23" s="21">
        <f>IF(MIN(IF(AND('Your Pay &amp; Benefits'!$C$58&gt;MAX($B$6:$B22),'Your Pay &amp; Benefits'!$C$58&gt;=DATE('Your Pay &amp; Benefits'!$C$10,1,1),'Your Pay &amp; Benefits'!$C$58&lt;=DATE('Your Pay &amp; Benefits'!$C$10,12,31)),'Your Pay &amp; Benefits'!$C$58,999999),IF(AND('Your Pay &amp; Benefits'!$C$59&gt;MAX($B$6:$B22),'Your Pay &amp; Benefits'!$C$59&gt;=DATE('Your Pay &amp; Benefits'!$C$10,1,1),'Your Pay &amp; Benefits'!$C$59&lt;=DATE('Your Pay &amp; Benefits'!$C$10,12,31)),'Your Pay &amp; Benefits'!$C$59,999999),IF(AND('Your Pay &amp; Benefits'!$C$60&gt;MAX($B$6:$B22),'Your Pay &amp; Benefits'!$C$60&gt;=DATE('Your Pay &amp; Benefits'!$C$10,1,1),'Your Pay &amp; Benefits'!$C$60&lt;=DATE('Your Pay &amp; Benefits'!$C$10,12,31)),'Your Pay &amp; Benefits'!$C$60,999999),IF(AND('Your Pay &amp; Benefits'!$C$61&gt;MAX($B$6:$B22),'Your Pay &amp; Benefits'!$C$61&gt;=DATE('Your Pay &amp; Benefits'!$C$10,1,1),'Your Pay &amp; Benefits'!$C$61&lt;=DATE('Your Pay &amp; Benefits'!$C$10,12,31)),'Your Pay &amp; Benefits'!$C$61,999999),IF(AND('Your Pay &amp; Benefits'!$C$62&gt;MAX($B$6:$B22),'Your Pay &amp; Benefits'!$C$62&gt;=DATE('Your Pay &amp; Benefits'!$C$10,1,1),'Your Pay &amp; Benefits'!$C$62&lt;=DATE('Your Pay &amp; Benefits'!$C$10,12,31)),'Your Pay &amp; Benefits'!$C$62,999999),IF(AND('Your Pay &amp; Benefits'!$C$63&gt;MAX($B$6:$B22),'Your Pay &amp; Benefits'!$C$63&gt;=DATE('Your Pay &amp; Benefits'!$C$10,1,1),'Your Pay &amp; Benefits'!$C$63&lt;=DATE('Your Pay &amp; Benefits'!$C$10,12,31)),'Your Pay &amp; Benefits'!$C$63,999999),IF(AND('Your Pay &amp; Benefits'!$C$64&gt;MAX($B$6:$B22),'Your Pay &amp; Benefits'!$C$64&gt;=DATE('Your Pay &amp; Benefits'!$C$10,1,1),'Your Pay &amp; Benefits'!$C$64&lt;=DATE('Your Pay &amp; Benefits'!$C$10,12,31)),'Your Pay &amp; Benefits'!$C$64,999999),IF(AND('Your Pay &amp; Benefits'!$C$65&gt;MAX($B$6:$B22),'Your Pay &amp; Benefits'!$C$65&gt;=DATE('Your Pay &amp; Benefits'!$C$10,1,1),'Your Pay &amp; Benefits'!$C$65&lt;=DATE('Your Pay &amp; Benefits'!$C$10,12,31)),'Your Pay &amp; Benefits'!$C$65,999999),IF(AND('Your Pay &amp; Benefits'!$C$66&gt;MAX($B$6:$B22),'Your Pay &amp; Benefits'!$C$66&gt;=DATE('Your Pay &amp; Benefits'!$C$10,1,1),'Your Pay &amp; Benefits'!$C$66&lt;=DATE('Your Pay &amp; Benefits'!$C$10,12,31)),'Your Pay &amp; Benefits'!$C$66,999999),IF(AND('Your Pay &amp; Benefits'!$C$67&gt;MAX($B$6:$B22),'Your Pay &amp; Benefits'!$C$67&gt;=DATE('Your Pay &amp; Benefits'!$C$10,1,1),'Your Pay &amp; Benefits'!$C$67&lt;=DATE('Your Pay &amp; Benefits'!$C$10,12,31)),'Your Pay &amp; Benefits'!$C$67,999999))=999999,"",MIN(IF(AND('Your Pay &amp; Benefits'!$C$58&gt;MAX($B$6:$B22),'Your Pay &amp; Benefits'!$C$58&gt;=DATE('Your Pay &amp; Benefits'!$C$10,1,1),'Your Pay &amp; Benefits'!$C$58&lt;=DATE('Your Pay &amp; Benefits'!$C$10,12,31)),'Your Pay &amp; Benefits'!$C$58,999999),IF(AND('Your Pay &amp; Benefits'!$C$59&gt;MAX($B$6:$B22),'Your Pay &amp; Benefits'!$C$59&gt;=DATE('Your Pay &amp; Benefits'!$C$10,1,1),'Your Pay &amp; Benefits'!$C$59&lt;=DATE('Your Pay &amp; Benefits'!$C$10,12,31)),'Your Pay &amp; Benefits'!$C$59,999999),IF(AND('Your Pay &amp; Benefits'!$C$60&gt;MAX($B$6:$B22),'Your Pay &amp; Benefits'!$C$60&gt;=DATE('Your Pay &amp; Benefits'!$C$10,1,1),'Your Pay &amp; Benefits'!$C$60&lt;=DATE('Your Pay &amp; Benefits'!$C$10,12,31)),'Your Pay &amp; Benefits'!$C$60,999999),IF(AND('Your Pay &amp; Benefits'!$C$61&gt;MAX($B$6:$B22),'Your Pay &amp; Benefits'!$C$61&gt;=DATE('Your Pay &amp; Benefits'!$C$10,1,1),'Your Pay &amp; Benefits'!$C$61&lt;=DATE('Your Pay &amp; Benefits'!$C$10,12,31)),'Your Pay &amp; Benefits'!$C$61,999999),IF(AND('Your Pay &amp; Benefits'!$C$62&gt;MAX($B$6:$B22),'Your Pay &amp; Benefits'!$C$62&gt;=DATE('Your Pay &amp; Benefits'!$C$10,1,1),'Your Pay &amp; Benefits'!$C$62&lt;=DATE('Your Pay &amp; Benefits'!$C$10,12,31)),'Your Pay &amp; Benefits'!$C$62,999999),IF(AND('Your Pay &amp; Benefits'!$C$63&gt;MAX($B$6:$B22),'Your Pay &amp; Benefits'!$C$63&gt;=DATE('Your Pay &amp; Benefits'!$C$10,1,1),'Your Pay &amp; Benefits'!$C$63&lt;=DATE('Your Pay &amp; Benefits'!$C$10,12,31)),'Your Pay &amp; Benefits'!$C$63,999999),IF(AND('Your Pay &amp; Benefits'!$C$64&gt;MAX($B$6:$B22),'Your Pay &amp; Benefits'!$C$64&gt;=DATE('Your Pay &amp; Benefits'!$C$10,1,1),'Your Pay &amp; Benefits'!$C$64&lt;=DATE('Your Pay &amp; Benefits'!$C$10,12,31)),'Your Pay &amp; Benefits'!$C$64,999999),IF(AND('Your Pay &amp; Benefits'!$C$65&gt;MAX($B$6:$B22),'Your Pay &amp; Benefits'!$C$65&gt;=DATE('Your Pay &amp; Benefits'!$C$10,1,1),'Your Pay &amp; Benefits'!$C$65&lt;=DATE('Your Pay &amp; Benefits'!$C$10,12,31)),'Your Pay &amp; Benefits'!$C$65,999999),IF(AND('Your Pay &amp; Benefits'!$C$66&gt;MAX($B$6:$B22),'Your Pay &amp; Benefits'!$C$66&gt;=DATE('Your Pay &amp; Benefits'!$C$10,1,1),'Your Pay &amp; Benefits'!$C$66&lt;=DATE('Your Pay &amp; Benefits'!$C$10,12,31)),'Your Pay &amp; Benefits'!$C$66,999999),IF(AND('Your Pay &amp; Benefits'!$C$67&gt;MAX($B$6:$B22),'Your Pay &amp; Benefits'!$C$67&gt;=DATE('Your Pay &amp; Benefits'!$C$10,1,1),'Your Pay &amp; Benefits'!$C$67&lt;=DATE('Your Pay &amp; Benefits'!$C$10,12,31)),'Your Pay &amp; Benefits'!$C$67,999999)))</f>
      </c>
      <c r="CF23">
        <f>IF($B23="","",IF($D23=0,$Y23,""))</f>
      </c>
    </row>
    <row r="24">
      <c r="A24" t="n">
        <v>19</v>
      </c>
      <c r="B24" s="21">
        <f>IF(AND($CD24="",$CE24=""),"",IF($CE24="",$CD24,IF($CD24="",$CE24,MIN($CD24,$CE24))))</f>
      </c>
      <c r="C24" s="7">
        <f>IF($B24="","",IF($BF24=0,0,IF('Your Pay &amp; Benefits'!$C$4="Annual salary",ROUND($AK24/IF(AND('Your Pay &amp; Benefits'!$C$88="Actual paydays",MONTH('Your Pay &amp; Benefits'!$C$9)=1),MAX(1,MAX($BE$6:$BE$68)),'Your Pay &amp; Benefits'!$C$8),2),$AK24)))</f>
      </c>
      <c r="D24" s="7">
        <f>IF($B24="","",SUMIF('Your Pay &amp; Benefits'!$C$58:$C$67,$B24,'Your Pay &amp; Benefits'!$D$58:$D$67))</f>
      </c>
      <c r="E24" s="7">
        <f>IF($B24="","",ROUND(MAX(0,MIN(IF($AL24="Percent",$AM24*($C24+$D24),$AM24),MAX(0,'Your Pay &amp; Benefits'!$C$34-$AC23))),2))</f>
      </c>
      <c r="F24" s="7">
        <f>IF($B24="","",ROUND(MAX(0,MIN(IF('Your Pay &amp; Benefits'!$C$32="Percent",'Your Pay &amp; Benefits'!$D$32*($C24+$D24),'Your Pay &amp; Benefits'!$D$32),MAX(0,'Your Pay &amp; Benefits'!$C$34-$AC23-$E24))),2))</f>
      </c>
      <c r="G24" s="7">
        <f>IF($B24="","",IF($BF24=0,0,ROUND(MAX(0,MIN($BL24,'Your Pay &amp; Benefits'!$C$37-'Your Pay &amp; Benefits'!$C$54-$BI23)),2)))</f>
      </c>
      <c r="H24" s="7">
        <f>IF($B24="","",IF(OR($BF24=0,$BQ24=1),0,ROUND(MAX(0,MIN(IF($BS24=1,ROUND(MAX(0,MIN($BJ24,'How This Works &amp; Sources'!$C$13)-$BG23)/MAX(1,MAX($BE$6:$BE$68)-($BE23)),2),ROUND(MIN($BJ24,'How This Works &amp; Sources'!$C$13)/'Your Pay &amp; Benefits'!$C$8,2)),MIN($BJ24,'How This Works &amp; Sources'!$C$13)-$BG23)),2)))</f>
      </c>
      <c r="I24" s="7">
        <f>IF($B24="","",IF(OR($BF24=0,$BR24=1),0,ROUND(MAX(0,MIN(IF($BT24=1,ROUND(MAX(0,MIN($BK24,IF('Your Pay &amp; Benefits'!$C$12="MFJ",'How This Works &amp; Sources'!$C$14,'How This Works &amp; Sources'!$C$15))-$BH23)/MAX(1,MAX($BE$6:$BE$68)-($BE23)),2),ROUND(MIN($BK24,IF('Your Pay &amp; Benefits'!$C$12="MFJ",'How This Works &amp; Sources'!$C$14,'How This Works &amp; Sources'!$C$15))/'Your Pay &amp; Benefits'!$C$8,2)),MIN($BK24,IF('Your Pay &amp; Benefits'!$C$12="MFJ",'How This Works &amp; Sources'!$C$14,'How This Works &amp; Sources'!$C$15))-$BH23)),2)))</f>
      </c>
      <c r="J24" s="7">
        <f>IF($B24="","",IF($BF24=0,0,$BM24))</f>
      </c>
      <c r="K24" s="7">
        <f>IF($B24="","",IF($BF24=0,0,$BN24+$BO24))</f>
      </c>
      <c r="L24" s="7">
        <f>IF($B24="","",IF($BF24=0,0,'Your Pay &amp; Benefits'!$D$46))</f>
      </c>
      <c r="M24" s="7">
        <f>IF($B24="","",$C24+$D24+$L24-$E24-$G24-$H24-$I24-$J24-$K24)</f>
      </c>
      <c r="N24" s="7">
        <f>IF($B24="","",$C24+$D24+$L24-$G24-$H24-$I24-$J24-$K24)</f>
      </c>
      <c r="O24" s="7">
        <f>IF($B24="","",$C24+$D24+$L24-$E24-$H24-$I24-$J24-$K24-IF(OR($AN24="CA",$AN24="NJ"),0,$G24))</f>
      </c>
      <c r="P24" s="7">
        <f>IF($B24="","",IF('Your Pay &amp; Benefits'!$C$18,0,ROUND(MAX(0,IF('Your Pay &amp; Benefits'!$C$13,SUMPRODUCT(($AH24&gt;INDEX('How This Works &amp; Sources'!$B$29:$J$36,0,IF('Your Pay &amp; Benefits'!$C$12="MFJ",1,IF('Your Pay &amp; Benefits'!$C$12="HoH",7,4))))*($AH24-INDEX('How This Works &amp; Sources'!$B$29:$J$36,0,IF('Your Pay &amp; Benefits'!$C$12="MFJ",1,IF('Your Pay &amp; Benefits'!$C$12="HoH",7,4))))*INDEX('How This Works &amp; Sources'!$B$29:$J$36,0,IF('Your Pay &amp; Benefits'!$C$12="MFJ",1,IF('Your Pay &amp; Benefits'!$C$12="HoH",7,4))+2)),SUMPRODUCT(($AH24&gt;INDEX('How This Works &amp; Sources'!$B$19:$J$26,0,IF('Your Pay &amp; Benefits'!$C$12="MFJ",1,IF('Your Pay &amp; Benefits'!$C$12="HoH",7,4))))*($AH24-INDEX('How This Works &amp; Sources'!$B$19:$J$26,0,IF('Your Pay &amp; Benefits'!$C$12="MFJ",1,IF('Your Pay &amp; Benefits'!$C$12="HoH",7,4))))*INDEX('How This Works &amp; Sources'!$B$19:$J$26,0,IF('Your Pay &amp; Benefits'!$C$12="MFJ",1,IF('Your Pay &amp; Benefits'!$C$12="HoH",7,4))+2)))/'Your Pay &amp; Benefits'!$C$8-$AO24/'Your Pay &amp; Benefits'!$C$8)+$AR24+IF('Your Pay &amp; Benefits'!$C$89="Aggregate",MAX(0,IF('Your Pay &amp; Benefits'!$C$13,SUMPRODUCT((($AH24+$D24)&gt;INDEX('How This Works &amp; Sources'!$B$29:$J$36,0,IF('Your Pay &amp; Benefits'!$C$12="MFJ",1,IF('Your Pay &amp; Benefits'!$C$12="HoH",7,4))))*(($AH24+$D24)-INDEX('How This Works &amp; Sources'!$B$29:$J$36,0,IF('Your Pay &amp; Benefits'!$C$12="MFJ",1,IF('Your Pay &amp; Benefits'!$C$12="HoH",7,4))))*INDEX('How This Works &amp; Sources'!$B$29:$J$36,0,IF('Your Pay &amp; Benefits'!$C$12="MFJ",1,IF('Your Pay &amp; Benefits'!$C$12="HoH",7,4))+2)),SUMPRODUCT((($AH24+$D24)&gt;INDEX('How This Works &amp; Sources'!$B$19:$J$26,0,IF('Your Pay &amp; Benefits'!$C$12="MFJ",1,IF('Your Pay &amp; Benefits'!$C$12="HoH",7,4))))*(($AH24+$D24)-INDEX('How This Works &amp; Sources'!$B$19:$J$26,0,IF('Your Pay &amp; Benefits'!$C$12="MFJ",1,IF('Your Pay &amp; Benefits'!$C$12="HoH",7,4))))*INDEX('How This Works &amp; Sources'!$B$19:$J$26,0,IF('Your Pay &amp; Benefits'!$C$12="MFJ",1,IF('Your Pay &amp; Benefits'!$C$12="HoH",7,4))+2)))-IF('Your Pay &amp; Benefits'!$C$13,SUMPRODUCT(($AH24&gt;INDEX('How This Works &amp; Sources'!$B$29:$J$36,0,IF('Your Pay &amp; Benefits'!$C$12="MFJ",1,IF('Your Pay &amp; Benefits'!$C$12="HoH",7,4))))*($AH24-INDEX('How This Works &amp; Sources'!$B$29:$J$36,0,IF('Your Pay &amp; Benefits'!$C$12="MFJ",1,IF('Your Pay &amp; Benefits'!$C$12="HoH",7,4))))*INDEX('How This Works &amp; Sources'!$B$29:$J$36,0,IF('Your Pay &amp; Benefits'!$C$12="MFJ",1,IF('Your Pay &amp; Benefits'!$C$12="HoH",7,4))+2)),SUMPRODUCT(($AH24&gt;INDEX('How This Works &amp; Sources'!$B$19:$J$26,0,IF('Your Pay &amp; Benefits'!$C$12="MFJ",1,IF('Your Pay &amp; Benefits'!$C$12="HoH",7,4))))*($AH24-INDEX('How This Works &amp; Sources'!$B$19:$J$26,0,IF('Your Pay &amp; Benefits'!$C$12="MFJ",1,IF('Your Pay &amp; Benefits'!$C$12="HoH",7,4))))*INDEX('How This Works &amp; Sources'!$B$19:$J$26,0,IF('Your Pay &amp; Benefits'!$C$12="MFJ",1,IF('Your Pay &amp; Benefits'!$C$12="HoH",7,4))+2)))),'How This Works &amp; Sources'!$C$10*$D24),2)))</f>
      </c>
      <c r="Q24" s="7">
        <f>IF($B24="","",ROUND('How This Works &amp; Sources'!$C$4*MIN($N24,MAX(0,'How This Works &amp; Sources'!$C$3-($AX24+$AB23-$AW24))),2))</f>
      </c>
      <c r="R24" s="7">
        <f>IF($B24="","",ROUND('How This Works &amp; Sources'!$C$5*$N24,2))</f>
      </c>
      <c r="S24" s="7">
        <f>IF($B24="","",ROUND('How This Works &amp; Sources'!$C$6*MAX(0,MIN($N24,$AG23+$N24-'How This Works &amp; Sources'!$C$7)),2))</f>
      </c>
      <c r="T24" s="7">
        <f>IF($B24="","",IF('Your Pay &amp; Benefits'!$C$26,0,IF($AN24="CA",ROUND(IF($AI24&lt;=IF(($AS24+$AT24)&gt;=2,VLOOKUP($AN24,StateTables!$A$6:$AB$56,10,FALSE),VLOOKUP($AN24,StateTables!$A$6:$AB$56,9,FALSE)),0,MAX(0,SUMPRODUCT(($AJ24&gt;INDEX('How This Works &amp; Sources'!$B$39:$J$48,0,IF($AU24="Married",4,IF($AU24="Head of household",7,1))))*($AJ24-INDEX('How This Works &amp; Sources'!$B$39:$J$48,0,IF($AU24="Married",4,IF($AU24="Head of household",7,1))))*INDEX('How This Works &amp; Sources'!$B$39:$J$48,0,IF($AU24="Married",4,IF($AU24="Head of household",7,1))+2))-VLOOKUP($AN24,StateTables!$A$6:$AB$56,11,FALSE)*$AS24)/'Your Pay &amp; Benefits'!$C$8)+'Your Pay &amp; Benefits'!$C$25+VLOOKUP($AN24,StateTables!$A$6:$AB$56,13,FALSE)*$D24,2),IF(VLOOKUP($AN24,StateTables!$A$6:$AB$56,4,FALSE)="None",0,IF(ISNUMBER(SEARCH("MANUAL",VLOOKUP($AN24,StateTables!$A$6:$AB$56,5,FALSE))),'Your Pay &amp; Benefits'!$C$28,ROUND(MAX(0,$BA24+$BB24)/'Your Pay &amp; Benefits'!$C$8+'Your Pay &amp; Benefits'!$C$25+$BC24,2))))))</f>
      </c>
      <c r="U24" s="7">
        <f>IF($B24="","",IF(VLOOKUP($AN24,StateTables!$A$6:$AB$56,24,FALSE)="flatq",IF(OR(MONTH($B24)=1,MONTH($B24)=4,MONTH($B24)=7,MONTH($B24)=10),VLOOKUP($AN24,StateTables!$A$6:$AB$56,25,FALSE),0),IF(VLOOKUP($AN24,StateTables!$A$6:$AB$56,24,FALSE)="dbl",MIN(ROUND(0.005*$N24,2),ROUND(0.6*52/'Your Pay &amp; Benefits'!$C$8,2)),IF(OR(VLOOKUP($AN24,StateTables!$A$6:$AB$56,15,FALSE)="",VLOOKUP($AN24,StateTables!$A$6:$AB$56,15,FALSE)=0),0,ROUND(VLOOKUP($AN24,StateTables!$A$6:$AB$56,15,FALSE)*IF(OR(VLOOKUP($AN24,StateTables!$A$6:$AB$56,16,FALSE)="",VLOOKUP($AN24,StateTables!$A$6:$AB$56,16,FALSE)=0),$N24,MIN($N24,MAX(0,VLOOKUP($AN24,StateTables!$A$6:$AB$56,16,FALSE)-($AX24+$AB23-$AW24)))),2))))+IF(VLOOKUP($AN24,StateTables!$A$6:$AB$56,27,FALSE)="flatq",IF(OR(MONTH($B24)=1,MONTH($B24)=4,MONTH($B24)=7,MONTH($B24)=10),VLOOKUP($AN24,StateTables!$A$6:$AB$56,28,FALSE),0),IF(VLOOKUP($AN24,StateTables!$A$6:$AB$56,27,FALSE)="dbl",MIN(ROUND(0.005*$N24,2),ROUND(0.6*52/'Your Pay &amp; Benefits'!$C$8,2)),IF(OR(VLOOKUP($AN24,StateTables!$A$6:$AB$56,18,FALSE)="",VLOOKUP($AN24,StateTables!$A$6:$AB$56,18,FALSE)=0),0,ROUND(VLOOKUP($AN24,StateTables!$A$6:$AB$56,18,FALSE)*IF(OR(VLOOKUP($AN24,StateTables!$A$6:$AB$56,19,FALSE)="",VLOOKUP($AN24,StateTables!$A$6:$AB$56,19,FALSE)=0),$N24,MIN($N24,MAX(0,VLOOKUP($AN24,StateTables!$A$6:$AB$56,19,FALSE)-($AX24+$AB23-$AW24)))),2)))))</f>
      </c>
      <c r="V24" s="7">
        <f>IF($B24="","",IF($AN24="NY",IF('Your Pay &amp; Benefits'!$C$78,ROUND(SUMPRODUCT((MAX(0,($O24-$D24)*'Your Pay &amp; Benefits'!$C$8-(IF($AU24="Married",5500,5000)+1000*$AS24))&gt;INDEX('How This Works &amp; Sources'!$B$184:$J$198,0,4))*(MAX(0,($O24-$D24)*'Your Pay &amp; Benefits'!$C$8-(IF($AU24="Married",5500,5000)+1000*$AS24))-INDEX('How This Works &amp; Sources'!$B$184:$J$198,0,4))*INDEX('How This Works &amp; Sources'!$B$184:$J$198,0,4+2))/'Your Pay &amp; Benefits'!$C$8+0.0425*$D24,2),0)+IF('Your Pay &amp; Benefits'!$C$79="Resident",ROUND(0.1675*$T24,2),IF('Your Pay &amp; Benefits'!$C$79="Nonresident",ROUND(0.005*MAX(0,($O24-$D24)-(IF($AU24="Married",7950,7400)+1000*$AS24)/'Your Pay &amp; Benefits'!$C$8),2),0)),IF($AN24="PA",IF('Your Pay &amp; Benefits'!$C$80="None",'Your Pay &amp; Benefits'!$C$27+ROUND('Your Pay &amp; Benefits'!$C$81*($C24+$D24),2),ROUND(IF('Your Pay &amp; Benefits'!$C$80="Resident",IF($B24&lt;DATE(2026,7,1),0.0374,0.03735),IF($B24&lt;DATE(2026,7,1),0.0343,0.03425))*($C24+$D24),2)),IF($BF24=0,ROUND('Your Pay &amp; Benefits'!$C$81*($C24+$D24),2),'Your Pay &amp; Benefits'!$C$27+ROUND('Your Pay &amp; Benefits'!$C$81*($C24+$D24),2)))))</f>
      </c>
      <c r="W24" s="7">
        <f>IF($B24="","",IF($BF24=0,0,$BP24))</f>
      </c>
      <c r="X24" s="7">
        <f>IF($B24="","",SUM($E24:$K24)+$P24+$Q24+$R24+$S24+$T24+$U24+$V24+$W24)</f>
      </c>
      <c r="Y24" s="22">
        <f>IF($B24="","",$C24+$D24-$X24)</f>
      </c>
      <c r="Z24" s="7">
        <f>IF($B24="","",$Z23+$C24+$D24)</f>
      </c>
      <c r="AA24" s="7">
        <f>IF($B24="","",$AA23+$Y24)</f>
      </c>
      <c r="AB24" s="7">
        <f>IF($B24="","",$AB23+MIN($N24,MAX(0,'How This Works &amp; Sources'!$C$3-($AX24+$AB23-$AW24))))</f>
      </c>
      <c r="AC24" s="7">
        <f>IF($B24="","",$AC23+$E24+$F24)</f>
      </c>
      <c r="AD24" s="3">
        <f>IF($B24="","",IF(AND($AB23&lt;'How This Works &amp; Sources'!$C$3,$AB24&gt;='How This Works &amp; Sources'!$C$3),"★ Social Security maxed on this check — from the next check your net rises by about $"&amp;TEXT(ROUND('How This Works &amp; Sources'!$C$4*$N24,2),"#,##0.00")&amp;". ","")&amp;IF(AND($AC23&lt;'Your Pay &amp; Benefits'!$C$34,$AC24&gt;='Your Pay &amp; Benefits'!$C$34),"★ 401(k) reaches the $"&amp;TEXT('Your Pay &amp; Benefits'!$C$34,"#,##0")&amp;" cap on this check — deferrals stop and net pay rises. ","")&amp;IF(AND($AG23&lt;'How This Works &amp; Sources'!$C$7,$AG24&gt;='How This Works &amp; Sources'!$C$7),"★ Wages pass $200,000 — the 0.9% Additional Medicare Tax starts here. ","")&amp;IF(AND($BJ24&gt;0,$H24&gt;0,$BG23&lt;MIN($BJ24,'How This Works &amp; Sources'!$C$13),$BG23+$H24&gt;=MIN($BJ24,'How This Works &amp; Sources'!$C$13)),"★ Health FSA election is now fully deferred for the year. ",""))</f>
      </c>
      <c r="AE24" s="41" t="n"/>
      <c r="AF24" s="7">
        <f>IF(OR($B24="",$AE24=""),"",$AE24-$Y24)</f>
      </c>
      <c r="AG24" s="7">
        <f>IF($B24="","",$AG23+$N24)</f>
      </c>
      <c r="AH24" s="7">
        <f>IF($B24="","",MAX(0,($M24-$D24)*'Your Pay &amp; Benefits'!$C$8+$AP24-$AQ24-IF('Your Pay &amp; Benefits'!$C$13,0,IF('Your Pay &amp; Benefits'!$C$12="MFJ",'How This Works &amp; Sources'!$C$8,'How This Works &amp; Sources'!$C$9))))</f>
      </c>
      <c r="AI24" s="7">
        <f>IF($B24="","",$O24*'Your Pay &amp; Benefits'!$C$8)</f>
      </c>
      <c r="AJ24" s="7">
        <f>IF($B24="","",MAX(0,$AI24-VLOOKUP($AN24,StateTables!$A$6:$AB$56,12,FALSE)*$AT24-IF(($AS24+$AT24)&gt;=2,VLOOKUP($AN24,StateTables!$A$6:$AB$56,8,FALSE),VLOOKUP($AN24,StateTables!$A$6:$AB$56,7,FALSE))))</f>
      </c>
      <c r="AK24" s="7">
        <f>IF($B24="","",IFERROR(LOOKUP(2,1/(('Changes &amp; Events'!$C$6:$C$17="Salary change")*('Changes &amp; Events'!$B$6:$B$17&lt;=$B24)*('Changes &amp; Events'!$B$6:$B$17&lt;&gt;"")),'Changes &amp; Events'!$D$6:$D$17),IF('Your Pay &amp; Benefits'!$C$4="Annual salary",'Your Pay &amp; Benefits'!$C$5,'Your Pay &amp; Benefits'!$C$6)))</f>
      </c>
      <c r="AL24">
        <f>IF($B24="","",IFERROR(LOOKUP(2,1/(('Changes &amp; Events'!$C$6:$C$17="401(k) change")*('Changes &amp; Events'!$B$6:$B$17&lt;=$B24)*('Changes &amp; Events'!$B$6:$B$17&lt;&gt;"")),'Changes &amp; Events'!$D$6:$D$17),'Your Pay &amp; Benefits'!$C$30))</f>
      </c>
      <c r="AM24" s="7">
        <f>IF($B24="","",IFERROR(LOOKUP(2,1/(('Changes &amp; Events'!$C$6:$C$17="401(k) change")*('Changes &amp; Events'!$B$6:$B$17&lt;=$B24)*('Changes &amp; Events'!$B$6:$B$17&lt;&gt;"")),'Changes &amp; Events'!$E$6:$E$17),'Your Pay &amp; Benefits'!$D$31))</f>
      </c>
      <c r="AN24">
        <f>IF($B24="","",IFERROR(LOOKUP(2,1/(('Changes &amp; Events'!$C$6:$C$17="State move")*('Changes &amp; Events'!$B$6:$B$17&lt;=$B24)*('Changes &amp; Events'!$B$6:$B$17&lt;&gt;"")),'Changes &amp; Events'!$D$6:$D$17),'Your Pay &amp; Benefits'!$C$21))</f>
      </c>
      <c r="AO24" s="7">
        <f>IF($B24="","",IFERROR(LOOKUP(2,1/(('Changes &amp; Events'!$C$6:$C$17="W-4 change")*('Changes &amp; Events'!$B$6:$B$17&lt;=$B24)*('Changes &amp; Events'!$B$6:$B$17&lt;&gt;"")),'Changes &amp; Events'!$D$6:$D$17),'Your Pay &amp; Benefits'!$C$14))</f>
      </c>
      <c r="AP24" s="7">
        <f>IF($B24="","",IFERROR(LOOKUP(2,1/(('Changes &amp; Events'!$C$6:$C$17="W-4 change")*('Changes &amp; Events'!$B$6:$B$17&lt;=$B24)*('Changes &amp; Events'!$B$6:$B$17&lt;&gt;"")),'Changes &amp; Events'!$E$6:$E$17),'Your Pay &amp; Benefits'!$C$15))</f>
      </c>
      <c r="AQ24" s="7">
        <f>IF($B24="","",IFERROR(LOOKUP(2,1/(('Changes &amp; Events'!$C$6:$C$17="W-4 change")*('Changes &amp; Events'!$B$6:$B$17&lt;=$B24)*('Changes &amp; Events'!$B$6:$B$17&lt;&gt;"")),'Changes &amp; Events'!$F$6:$F$17),'Your Pay &amp; Benefits'!$C$16))</f>
      </c>
      <c r="AR24" s="7">
        <f>IF($B24="","",IFERROR(LOOKUP(2,1/(('Changes &amp; Events'!$C$6:$C$17="W-4 change")*('Changes &amp; Events'!$B$6:$B$17&lt;=$B24)*('Changes &amp; Events'!$B$6:$B$17&lt;&gt;"")),'Changes &amp; Events'!$G$6:$G$17),'Your Pay &amp; Benefits'!$C$17))</f>
      </c>
      <c r="AS24" s="6">
        <f>IF($B24="","",IFERROR(LOOKUP(2,1/((('Changes &amp; Events'!$C$6:$C$17="State move")+('Changes &amp; Events'!$C$6:$C$17="State cert change"))*('Changes &amp; Events'!$B$6:$B$17&lt;=$B24)*('Changes &amp; Events'!$B$6:$B$17&lt;&gt;"")),'Changes &amp; Events'!$F$6:$F$17),'Your Pay &amp; Benefits'!$C$23))</f>
      </c>
      <c r="AT24" s="6">
        <f>IF($B24="","",IFERROR(LOOKUP(2,1/((('Changes &amp; Events'!$C$6:$C$17="State move")+('Changes &amp; Events'!$C$6:$C$17="State cert change"))*('Changes &amp; Events'!$B$6:$B$17&lt;=$B24)*('Changes &amp; Events'!$B$6:$B$17&lt;&gt;"")),'Changes &amp; Events'!$G$6:$G$17),'Your Pay &amp; Benefits'!$C$24))</f>
      </c>
      <c r="AU24">
        <f>IF($B24="","",IFERROR(LOOKUP(2,1/(('Changes &amp; Events'!$C$6:$C$17="State move")*('Changes &amp; Events'!$B$6:$B$17&lt;=$B24)*('Changes &amp; Events'!$B$6:$B$17&lt;&gt;"")),'Changes &amp; Events'!$E$6:$E$17),'Your Pay &amp; Benefits'!$C$22))</f>
      </c>
      <c r="AV24" s="6">
        <f>IF($B24="","",1+COUNTIFS('Changes &amp; Events'!$C$6:$C$17,"Employer change",'Changes &amp; Events'!$B$6:$B$17,"&lt;="&amp;$B24,'Changes &amp; Events'!$B$6:$B$17,"&lt;&gt;"))</f>
      </c>
      <c r="AW24" s="7">
        <f>IF($B24="","",IF($AV24=1,'Your Pay &amp; Benefits'!$C$49,IF(IFERROR(MATCH(IFERROR(LOOKUP(2,1/(('Changes &amp; Events'!$C$6:$C$17="Employer change")*('Changes &amp; Events'!$B$6:$B$17&lt;=$B24)*('Changes &amp; Events'!$B$6:$B$17&lt;&gt;"")),'Changes &amp; Events'!$B$6:$B$17),""),$B$6:$B$68,1),1)&lt;=1,'Your Pay &amp; Benefits'!$C$49,INDEX($AB$6:$AB$68,MATCH(IFERROR(LOOKUP(2,1/(('Changes &amp; Events'!$C$6:$C$17="Employer change")*('Changes &amp; Events'!$B$6:$B$17&lt;=$B24)*('Changes &amp; Events'!$B$6:$B$17&lt;&gt;"")),'Changes &amp; Events'!$B$6:$B$17),""),$B$6:$B$68,1)-1))))</f>
      </c>
      <c r="AX24" s="7">
        <f>IF($B24="","",IF($AV24=1,'Your Pay &amp; Benefits'!$C$49,IFERROR(LOOKUP(2,1/(('Changes &amp; Events'!$C$6:$C$17="Employer change")*('Changes &amp; Events'!$B$6:$B$17&lt;=$B24)*('Changes &amp; Events'!$B$6:$B$17&lt;&gt;"")),'Changes &amp; Events'!$D$6:$D$17),0)))</f>
      </c>
      <c r="AY24" s="7">
        <f>IF($B24="","",($O24-$D24)*'Your Pay &amp; Benefits'!$C$8)</f>
      </c>
      <c r="AZ24" s="7">
        <f>IF($B24="","",IF($AN24="AL",MAX(0,$AY24-IF($AU24="Married",IF($AY24&lt;=25999,8500,MAX(5000,8500-175*CEILING(($AY24-25999)/500,1))),IF($AU24="Head of household",IF($AY24&lt;=25999,5200,MAX(2500,5200-135*CEILING(($AY24-25999)/500,1))),IF($AY24&lt;=25999,3000,MAX(2500,3000-25*CEILING(($AY24-25999)/500,1)))))-($P24-'How This Works &amp; Sources'!$C$10*$D24)*'Your Pay &amp; Benefits'!$C$8-IF(OR($AU24="Married",$AU24="Head of household"),3000,1500)-$AT24*IF($AY24&lt;=50000,1000,IF($AY24&lt;=100000,500,300))),IF($AN24="AR",IF(MAX(0,$AY24-2470)&lt;97701,INT(MAX(0,$AY24-2470)/100)*100+50,MAX(0,$AY24-2470)),IF($AN24="DE",MAX(0,$AI24-3250),IF($AN24="HI",MAX(0,$AI24-1144*$AS24-4350),IF($AN24="KS",MAX(0,$AI24-(9160*IF($AU24="Married",2,1)+2320*$AT24+IF($AU24="Head of household",2320,0))),IF($AN24="MD",MAX(0,$AI24-3400-3200*$AS24),IF($AN24="MN",MAX(0,$AY24-5300*$AS24),IF($AN24="MO",MAX(0,$AI24-IF($AU24="Head of household",24150,IF($AU24="Married",IF('Your Pay &amp; Benefits'!$C$83,16100,32200),16100))),IF($AN24="MT",$AY24,IF($AN24="ND",($C24+$L24)*'Your Pay &amp; Benefits'!$C$8,IF($AN24="NE",MAX(0,$AY24-2440*$AS24),IF($AN24="NJ",MAX(0,$AY24-1000*$AS24),IF($AN24="NY",MAX(0,$AY24-(IF($AU24="Married",7950,7400)+1000*$AS24)),IF($AN24="OH",MAX(0,$AY24-650*$AS24),IF($AN24="OK",MAX(0,$AY24-1000*$AS24),IF($AN24="RI",MAX(0,$AI24-1000*$AS24),IF($AN24="SC",MAX(0,$AI24-5000*$AS24-IF($AS24=0,0,MIN(0.1*$AI24,7500))),IF($AN24="VA",MAX(0,$AI24-IF($AU24="Married",17500,8750)-930*$AS24-800*$AT24),IF($AN24="VT",MAX(0,$AI24-5400*$AS24),IF($AN24="WI",MAX(0,$AI24-MAX(0,IF($AU24="Married",9461-0.2*MAX(0,$AI24-25727),6702-0.12*MAX(0,$AI24-17780)))-400*$AS24),IF($AN24="WV",MAX(0,$AI24-2000*$AS24),$AI24))))))))))))))))))))))</f>
      </c>
      <c r="BA24" s="7">
        <f>IF($B24="","",IF($BW24&lt;&gt;"",$BW24,IF($BX24&lt;&gt;"",$BX24,IF($BY24&lt;&gt;"",$BY24,0))))</f>
      </c>
      <c r="BB24" s="7">
        <f>IF($B24="","",IF($AN24="AR",-29*$AS24,IF($AN24="DE",-110*$AS24,IF($AN24="MD",$AZ24*'Your Pay &amp; Benefits'!$C$74,IF($AN24="AZ",'Your Pay &amp; Benefits'!$C$82*($M24-$D24)*'Your Pay &amp; Benefits'!$C$8,IF($AN24="CO",0.044*MAX(0,$AY24-IF($AU24="Married",10000,5000)),IF($AN24="IA",MAX(0,0.038*MAX(0,$AY24-IF($AU24="Head of household",19500,IF($AU24="Married",26000,13000)))-40*$AS24),IF($AN24="ID",0.053*MAX(0,$AY24-IF($AU24="Married",32000,16094)),IF($AN24="IL",0.0495*MAX(0,$AY24-(2925*$AS24+1000*$AT24)),IF($AN24="IN",(0.0295+'Your Pay &amp; Benefits'!$C$76)*MAX(0,$AY24-(1000*$AS24+1500*$AT24+3000*'Your Pay &amp; Benefits'!$C$86)),IF($AN24="KY",0.035*MAX(0,$AI24-3360),IF($AN24="LA",IF('Your Pay &amp; Benefits'!$C$84="0",0.0309*$AI24,0.0309*MAX(0,$AI24-IF('Your Pay &amp; Benefits'!$C$84="2",25750,12875))),IF($AN24="MA",0.05*MIN(MAX(0,$AY24-MIN(($BD23+$Q24+$R24+$S24),2000)-IF($AS24=0,0,IF($AS24=1,4400,1000*$AS24+3400))),1107750)+0.09*MAX(0,MAX(0,$AY24-MIN(($BD23+$Q24+$R24+$S24),2000)-IF($AS24=0,0,IF($AS24=1,4400,1000*$AS24+3400)))-1107750)-IF($AU24="Head of household",120,0)-110*'Your Pay &amp; Benefits'!$C$75,IF($AN24="MI",0.0425*MAX(0,$AY24-5900*$AS24),IF($AN24="MS",0.04*MAX(0,$AI24-IF($AU24="Head of household",3400,IF($AU24="Married",4600,2300))-'Your Pay &amp; Benefits'!$C$85-10000),IF($AN24="OR",IF(OR($AU24="Married",AND($AU24="Single",$AS24&gt;=3)),SUMPRODUCT((MAX(0,$AY24-MIN(($P24-'How This Works &amp; Sources'!$C$10*$D24)*'Your Pay &amp; Benefits'!$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Sources'!$B$211:$J$214,0,4))*(MAX(0,$AY24-MIN(($P24-'How This Works &amp; Sources'!$C$10*$D24)*'Your Pay &amp; Benefits'!$C$8,IF(OR($AU24="Married",AND($AU24="Single",$AS24&gt;=3)),IF($AY24&lt;250000,8750,IF($AY24&lt;260000,7000,IF($AY24&lt;270000,5250,IF($AY24&lt;280000,3500,IF($AY24&lt;290000,1750,0))))),IF($AY24&lt;125000,8750,IF($AY24&lt;130000,7000,IF($AY24&lt;135000,5250,IF($AY24&lt;140000,3500,IF($AY24&lt;145000,1750,0)))))))-IF(OR($AU24="Married",AND($AU24="Single",$AS24&gt;=3)),5820,2910))-INDEX('How This Works &amp; Sources'!$B$211:$J$214,0,4))*INDEX('How This Works &amp; Sources'!$B$211:$J$214,0,4+2)),SUMPRODUCT((MAX(0,$AY24-MIN(($P24-'How This Works &amp; Sources'!$C$10*$D24)*'Your Pay &amp; Benefits'!$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Sources'!$B$211:$J$214,0,1))*(MAX(0,$AY24-MIN(($P24-'How This Works &amp; Sources'!$C$10*$D24)*'Your Pay &amp; Benefits'!$C$8,IF(OR($AU24="Married",AND($AU24="Single",$AS24&gt;=3)),IF($AY24&lt;250000,8750,IF($AY24&lt;260000,7000,IF($AY24&lt;270000,5250,IF($AY24&lt;280000,3500,IF($AY24&lt;290000,1750,0))))),IF($AY24&lt;125000,8750,IF($AY24&lt;130000,7000,IF($AY24&lt;135000,5250,IF($AY24&lt;140000,3500,IF($AY24&lt;145000,1750,0)))))))-IF(OR($AU24="Married",AND($AU24="Single",$AS24&gt;=3)),5820,2910))-INDEX('How This Works &amp; Sources'!$B$211:$J$214,0,1))*INDEX('How This Works &amp; Sources'!$B$211:$J$214,0,1+2)))+263-263*IF(IF($AU24="Married",$AY24&gt;200000,$AY24&gt;100000),0,$AS24),IF($AN24="PA",0.0307*(($O24+$E24+$G24)*'Your Pay &amp; Benefits'!$C$8),IF($AN24="NY",IF($AU24="Married",IF($AZ24&gt;=2155350,0,IF($AZ24&gt;=1077550,0.48,IF($AZ24&gt;=373200,1.21,IF($AZ24&gt;=323200,0.21,IF($AZ24&gt;=211550,-0.19,IF($AZ24&gt;=157650,-2.8,IF($AZ24&gt;=107650,-0.8,IF($AZ24&gt;=96800,0.05,IF($AZ24&gt;=80650,-0.1,IF($AZ24&gt;=13900,0.4,IF($AZ24&gt;=11700,-0.3,IF($AZ24&gt;=8500,0.5,0)))))))))))),IF($AZ24&gt;=1077550,0,IF($AZ24&gt;=265400,4.29,IF($AZ24&gt;=215400,2.29,IF($AZ24&gt;=157650,2.29,IF($AZ24&gt;=107650,0.29,IF($AZ24&gt;=96800,0.05,IF($AZ24&gt;=80650,-0.1,IF($AZ24&gt;=13900,0.4,IF($AZ24&gt;=11700,-0.3,IF($AZ24&gt;=8500,0.5,0))))))))))),0))))))))))))))))))</f>
      </c>
      <c r="BC24" s="7">
        <f>IF($B24="","",IF($AN24="AL",0.05*$D24,IF($AN24="AR",0.039*$D24,IF($AN24="ID",0.053*$D24,IF($AN24="IN",(0.0295+'Your Pay &amp; Benefits'!$C$76)*$D24,IF($AN24="KS",0.05*$D24,IF($AN24="MA",0.09*MIN($D24,MAX(0,MAX(0,$AY24-MIN(($BD23+$Q24+$R24+$S24),2000)-IF($AS24=0,0,IF($AS24=1,4400,1000*$AS24+3400)))+$D24-1107750))+0.05*($D24-MIN($D24,MAX(0,MAX(0,$AY24-MIN(($BD23+$Q24+$R24+$S24),2000)-IF($AS24=0,0,IF($AS24=1,4400,1000*$AS24+3400)))+$D24-1107750))),IF($AN24="MD",(0.065+'Your Pay &amp; Benefits'!$C$74)*$D24,IF($AN24="MI",0.0425*$D24,IF($AN24="MN",0.0625*$D24,IF($AN24="MO",0.047*$D24,IF($AN24="MT",0.05*$D24,IF($AN24="ND",0.015*$D24,IF($AN24="NE",0.035*$D24,IF($AN24="NJ",IF('Your Pay &amp; Benefits'!$C$77="B",SUMPRODUCT(($D24*'Your Pay &amp; Benefits'!$C$8&gt;INDEX('How This Works &amp; Sources'!$B$155:$J$162,0,4))*($D24*'Your Pay &amp; Benefits'!$C$8-INDEX('How This Works &amp; Sources'!$B$155:$J$162,0,4))*INDEX('How This Works &amp; Sources'!$B$155:$J$162,0,4+2)),IF('Your Pay &amp; Benefits'!$C$77="C",SUMPRODUCT(($D24*'Your Pay &amp; Benefits'!$C$8&gt;INDEX('How This Works &amp; Sources'!$B$155:$J$162,0,7))*($D24*'Your Pay &amp; Benefits'!$C$8-INDEX('How This Works &amp; Sources'!$B$155:$J$162,0,7))*INDEX('How This Works &amp; Sources'!$B$155:$J$162,0,7+2)),IF('Your Pay &amp; Benefits'!$C$77="D",SUMPRODUCT(($D24*'Your Pay &amp; Benefits'!$C$8&gt;INDEX('How This Works &amp; Sources'!$B$167:$J$179,0,1))*($D24*'Your Pay &amp; Benefits'!$C$8-INDEX('How This Works &amp; Sources'!$B$167:$J$179,0,1))*INDEX('How This Works &amp; Sources'!$B$167:$J$179,0,1+2)),IF('Your Pay &amp; Benefits'!$C$77="E",SUMPRODUCT(($D24*'Your Pay &amp; Benefits'!$C$8&gt;INDEX('How This Works &amp; Sources'!$B$167:$J$179,0,4))*($D24*'Your Pay &amp; Benefits'!$C$8-INDEX('How This Works &amp; Sources'!$B$167:$J$179,0,4))*INDEX('How This Works &amp; Sources'!$B$167:$J$179,0,4+2)),SUMPRODUCT(($D24*'Your Pay &amp; Benefits'!$C$8&gt;INDEX('How This Works &amp; Sources'!$B$155:$J$162,0,1))*($D24*'Your Pay &amp; Benefits'!$C$8-INDEX('How This Works &amp; Sources'!$B$155:$J$162,0,1))*INDEX('How This Works &amp; Sources'!$B$155:$J$162,0,1+2))))))/'Your Pay &amp; Benefits'!$C$8,IF($AN24="NY",0.117*$D24,IF($AN24="OH",0.0275*$D24,IF($AN24="OK",0.045*$D24,IF($AN24="OR",0.08*$D24,IF($AN24="WI",IF($AY24&lt;12760,0.0354,IF($AY24&lt;25520,0.0465,IF($AY24&lt;280950,0.053,0.0765)))*$D24,0))))))))))))))))))))</f>
      </c>
      <c r="BD24" s="7">
        <f>IF($B24="","",$BD23+$Q24+$R24+$S24)</f>
      </c>
      <c r="BE24" s="6">
        <f>IF($B24="",$BE23,$BE23+$BF24)</f>
      </c>
      <c r="BF24" s="6">
        <f>IF($B24="","",IF(AND(IF(YEAR(IF('Your Pay &amp; Benefits'!$C$7="Weekly",'Your Pay &amp; Benefits'!$C$9+7*(($BE23+1)-1),IF('Your Pay &amp; Benefits'!$C$7="Biweekly",'Your Pay &amp; Benefits'!$C$9+14*(($BE23+1)-1),IF('Your Pay &amp; Benefits'!$C$7="Semimonthly",DATE(YEAR('Your Pay &amp; Benefits'!$C$9),MONTH('Your Pay &amp; Benefits'!$C$9)+INT((($BE23+1)-1)/2),MIN(DAY('Your Pay &amp; Benefits'!$C$9),DAY(EOMONTH(DATE(YEAR('Your Pay &amp; Benefits'!$C$9),MONTH('Your Pay &amp; Benefits'!$C$9)+INT((($BE23+1)-1)/2),1),0))))+IF(MOD(($BE23+1)-1,2)=1,15,0),EDATE('Your Pay &amp; Benefits'!$C$9,($BE23+1)-1)))))&lt;&gt;'Your Pay &amp; Benefits'!$C$10,"",IF('Your Pay &amp; Benefits'!$C$7="Weekly",'Your Pay &amp; Benefits'!$C$9+7*(($BE23+1)-1),IF('Your Pay &amp; Benefits'!$C$7="Biweekly",'Your Pay &amp; Benefits'!$C$9+14*(($BE23+1)-1),IF('Your Pay &amp; Benefits'!$C$7="Semimonthly",DATE(YEAR('Your Pay &amp; Benefits'!$C$9),MONTH('Your Pay &amp; Benefits'!$C$9)+INT((($BE23+1)-1)/2),MIN(DAY('Your Pay &amp; Benefits'!$C$9),DAY(EOMONTH(DATE(YEAR('Your Pay &amp; Benefits'!$C$9),MONTH('Your Pay &amp; Benefits'!$C$9)+INT((($BE23+1)-1)/2),1),0))))+IF(MOD(($BE23+1)-1,2)=1,15,0),EDATE('Your Pay &amp; Benefits'!$C$9,($BE23+1)-1)))))&lt;&gt;"",$B24=IF(YEAR(IF('Your Pay &amp; Benefits'!$C$7="Weekly",'Your Pay &amp; Benefits'!$C$9+7*(($BE23+1)-1),IF('Your Pay &amp; Benefits'!$C$7="Biweekly",'Your Pay &amp; Benefits'!$C$9+14*(($BE23+1)-1),IF('Your Pay &amp; Benefits'!$C$7="Semimonthly",DATE(YEAR('Your Pay &amp; Benefits'!$C$9),MONTH('Your Pay &amp; Benefits'!$C$9)+INT((($BE23+1)-1)/2),MIN(DAY('Your Pay &amp; Benefits'!$C$9),DAY(EOMONTH(DATE(YEAR('Your Pay &amp; Benefits'!$C$9),MONTH('Your Pay &amp; Benefits'!$C$9)+INT((($BE23+1)-1)/2),1),0))))+IF(MOD(($BE23+1)-1,2)=1,15,0),EDATE('Your Pay &amp; Benefits'!$C$9,($BE23+1)-1)))))&lt;&gt;'Your Pay &amp; Benefits'!$C$10,"",IF('Your Pay &amp; Benefits'!$C$7="Weekly",'Your Pay &amp; Benefits'!$C$9+7*(($BE23+1)-1),IF('Your Pay &amp; Benefits'!$C$7="Biweekly",'Your Pay &amp; Benefits'!$C$9+14*(($BE23+1)-1),IF('Your Pay &amp; Benefits'!$C$7="Semimonthly",DATE(YEAR('Your Pay &amp; Benefits'!$C$9),MONTH('Your Pay &amp; Benefits'!$C$9)+INT((($BE23+1)-1)/2),MIN(DAY('Your Pay &amp; Benefits'!$C$9),DAY(EOMONTH(DATE(YEAR('Your Pay &amp; Benefits'!$C$9),MONTH('Your Pay &amp; Benefits'!$C$9)+INT((($BE23+1)-1)/2),1),0))))+IF(MOD(($BE23+1)-1,2)=1,15,0),EDATE('Your Pay &amp; Benefits'!$C$9,($BE23+1)-1)))))),1,0))</f>
      </c>
      <c r="BG24" s="7">
        <f>IF($B24="","",$BG23+$H24)</f>
      </c>
      <c r="BH24" s="7">
        <f>IF($B24="","",$BH23+$I24)</f>
      </c>
      <c r="BI24" s="7">
        <f>IF($B24="","",$BI23+$G24)</f>
      </c>
      <c r="BJ24" s="7">
        <f>IF($B24="","",IFERROR(LOOKUP(2,1/(((('Changes &amp; Events'!$C$6:$C$17="Deduction start"))*('Changes &amp; Events'!$D$6:$D$17="Health FSA"))*('Changes &amp; Events'!$B$6:$B$17&lt;=$B24)*('Changes &amp; Events'!$B$6:$B$17&lt;&gt;"")),'Changes &amp; Events'!$E$6:$E$17),'Your Pay &amp; Benefits'!$D$38))</f>
      </c>
      <c r="BK24" s="7">
        <f>IF($B24="","",IFERROR(LOOKUP(2,1/(((('Changes &amp; Events'!$C$6:$C$17="Deduction start"))*('Changes &amp; Events'!$D$6:$D$17="Dependent-care FSA"))*('Changes &amp; Events'!$B$6:$B$17&lt;=$B24)*('Changes &amp; Events'!$B$6:$B$17&lt;&gt;"")),'Changes &amp; Events'!$E$6:$E$17),'Your Pay &amp; Benefits'!$D$39))</f>
      </c>
      <c r="BL24" s="7">
        <f>IF($B24="","",IFERROR(LOOKUP(2,1/(((('Changes &amp; Events'!$C$6:$C$17="Deduction start")+('Changes &amp; Events'!$C$6:$C$17="Deduction stop"))*('Changes &amp; Events'!$D$6:$D$17="HSA"))*('Changes &amp; Events'!$B$6:$B$17&lt;=$B24)*('Changes &amp; Events'!$B$6:$B$17&lt;&gt;"")),'Changes &amp; Events'!$I$6:$I$17),'Your Pay &amp; Benefits'!$D$35))</f>
      </c>
      <c r="BM24" s="7">
        <f>IF($B24="","",IFERROR(LOOKUP(2,1/(((('Changes &amp; Events'!$C$6:$C$17="Deduction start")+('Changes &amp; Events'!$C$6:$C$17="Deduction stop"))*('Changes &amp; Events'!$D$6:$D$17="Premiums"))*('Changes &amp; Events'!$B$6:$B$17&lt;=$B24)*('Changes &amp; Events'!$B$6:$B$17&lt;&gt;"")),'Changes &amp; Events'!$I$6:$I$17),'Your Pay &amp; Benefits'!$D$40+'Your Pay &amp; Benefits'!$D$41+'Your Pay &amp; Benefits'!$D$42))</f>
      </c>
      <c r="BN24" s="7">
        <f>IF($B24="","",IFERROR(LOOKUP(2,1/(((('Changes &amp; Events'!$C$6:$C$17="Deduction start")+('Changes &amp; Events'!$C$6:$C$17="Deduction stop"))*('Changes &amp; Events'!$D$6:$D$17="Commuter"))*('Changes &amp; Events'!$B$6:$B$17&lt;=$B24)*('Changes &amp; Events'!$B$6:$B$17&lt;&gt;"")),'Changes &amp; Events'!$I$6:$I$17),'Your Pay &amp; Benefits'!$D$43))</f>
      </c>
      <c r="BO24" s="7">
        <f>IF($B24="","",IFERROR(LOOKUP(2,1/(((('Changes &amp; Events'!$C$6:$C$17="Deduction start")+('Changes &amp; Events'!$C$6:$C$17="Deduction stop"))*('Changes &amp; Events'!$D$6:$D$17="Other pre-tax"))*('Changes &amp; Events'!$B$6:$B$17&lt;=$B24)*('Changes &amp; Events'!$B$6:$B$17&lt;&gt;"")),'Changes &amp; Events'!$I$6:$I$17),'Your Pay &amp; Benefits'!$D$44))</f>
      </c>
      <c r="BP24" s="7">
        <f>IF($B24="","",IFERROR(LOOKUP(2,1/(((('Changes &amp; Events'!$C$6:$C$17="Deduction start")+('Changes &amp; Events'!$C$6:$C$17="Deduction stop"))*('Changes &amp; Events'!$D$6:$D$17="Other post-tax"))*('Changes &amp; Events'!$B$6:$B$17&lt;=$B24)*('Changes &amp; Events'!$B$6:$B$17&lt;&gt;"")),'Changes &amp; Events'!$I$6:$I$17),'Your Pay &amp; Benefits'!$D$45))</f>
      </c>
      <c r="BQ24" s="6">
        <f>IF($B24="","",IFERROR(LOOKUP(2,1/(((('Changes &amp; Events'!$C$6:$C$17="Deduction start")+('Changes &amp; Events'!$C$6:$C$17="Deduction stop"))*('Changes &amp; Events'!$D$6:$D$17="Health FSA"))*('Changes &amp; Events'!$B$6:$B$17&lt;=$B24)*('Changes &amp; Events'!$B$6:$B$17&lt;&gt;"")),'Changes &amp; Events'!$J$6:$J$17),0))</f>
      </c>
      <c r="BR24" s="6">
        <f>IF($B24="","",IFERROR(LOOKUP(2,1/(((('Changes &amp; Events'!$C$6:$C$17="Deduction start")+('Changes &amp; Events'!$C$6:$C$17="Deduction stop"))*('Changes &amp; Events'!$D$6:$D$17="Dependent-care FSA"))*('Changes &amp; Events'!$B$6:$B$17&lt;=$B24)*('Changes &amp; Events'!$B$6:$B$17&lt;&gt;"")),'Changes &amp; Events'!$J$6:$J$17),0))</f>
      </c>
      <c r="BS24" s="6">
        <f>IF($B24="","",IF(SUMPRODUCT(('Changes &amp; Events'!$C$6:$C$17="Deduction start")*('Changes &amp; Events'!$B$6:$B$17&lt;=$B24)*('Changes &amp; Events'!$B$6:$B$17&lt;&gt;"")*('Changes &amp; Events'!$D$6:$D$17="Health FSA"))&gt;0,1,0))</f>
      </c>
      <c r="BT24" s="6">
        <f>IF($B24="","",IF(SUMPRODUCT(('Changes &amp; Events'!$C$6:$C$17="Deduction start")*('Changes &amp; Events'!$B$6:$B$17&lt;=$B24)*('Changes &amp; Events'!$B$6:$B$17&lt;&gt;"")*('Changes &amp; Events'!$D$6:$D$17="Dependent-care FSA"))&gt;0,1,0))</f>
      </c>
      <c r="BU24" s="24">
        <f>IF($B24="","",IF('Your Pay &amp; Benefits'!$C$13,SUMPRODUCT(($AH24&gt;=INDEX('How This Works &amp; Sources'!$B$29:$J$36,0,IF('Your Pay &amp; Benefits'!$C$12="MFJ",1,IF('Your Pay &amp; Benefits'!$C$12="HoH",7,4))))*INDEX('How This Works &amp; Sources'!$B$29:$J$36,0,IF('Your Pay &amp; Benefits'!$C$12="MFJ",1,IF('Your Pay &amp; Benefits'!$C$12="HoH",7,4))+2)),SUMPRODUCT(($AH24&gt;=INDEX('How This Works &amp; Sources'!$B$19:$J$26,0,IF('Your Pay &amp; Benefits'!$C$12="MFJ",1,IF('Your Pay &amp; Benefits'!$C$12="HoH",7,4))))*INDEX('How This Works &amp; Sources'!$B$19:$J$26,0,IF('Your Pay &amp; Benefits'!$C$12="MFJ",1,IF('Your Pay &amp; Benefits'!$C$12="HoH",7,4))+2))))</f>
      </c>
      <c r="BV24" s="24">
        <f>IF($B24="","",IF($BZ24&lt;&gt;"",$BZ24,IF($CA24&lt;&gt;"",$CA24,IF($CB24&lt;&gt;"",$CB24,IF($CC24&lt;&gt;"",$CC24,0)))))</f>
      </c>
      <c r="BW24" s="7">
        <f>IF($B24="","",IF($AN24="MD",IF(OR($AU24="Married",$AU24="Head of household"),SUMPRODUCT(($AZ24&gt;INDEX('How This Works &amp; Sources'!$B$114:$J$120,0,1))*($AZ24-INDEX('How This Works &amp; Sources'!$B$114:$J$120,0,1))*INDEX('How This Works &amp; Sources'!$B$114:$J$120,0,1+2)),SUMPRODUCT(($AZ24&gt;INDEX('How This Works &amp; Sources'!$B$103:$J$109,0,7))*($AZ24-INDEX('How This Works &amp; Sources'!$B$103:$J$109,0,7))*INDEX('How This Works &amp; Sources'!$B$103:$J$109,0,7+2))),IF($AN24="MO",SUMPRODUCT(($AZ24&gt;INDEX('How This Works &amp; Sources'!$B$125:$J$132,0,1))*($AZ24-INDEX('How This Works &amp; Sources'!$B$125:$J$132,0,1))*INDEX('How This Works &amp; Sources'!$B$125:$J$132,0,1+2)),IF($AN24="MT",IF($AU24="Head of household",SUMPRODUCT(($AZ24&gt;INDEX('How This Works &amp; Sources'!$B$137:$J$139,0,1))*($AZ24-INDEX('How This Works &amp; Sources'!$B$137:$J$139,0,1))*INDEX('How This Works &amp; Sources'!$B$137:$J$139,0,1+2)),IF($AU24="Married",SUMPRODUCT(($AZ24&gt;INDEX('How This Works &amp; Sources'!$B$125:$J$132,0,7))*($AZ24-INDEX('How This Works &amp; Sources'!$B$125:$J$132,0,7))*INDEX('How This Works &amp; Sources'!$B$125:$J$132,0,7+2)),SUMPRODUCT(($AZ24&gt;INDEX('How This Works &amp; Sources'!$B$125:$J$132,0,4))*($AZ24-INDEX('How This Works &amp; Sources'!$B$125:$J$132,0,4))*INDEX('How This Works &amp; Sources'!$B$125:$J$132,0,4+2)))),IF($AN24="ND",IF($AU24="Head of household",SUMPRODUCT(($AZ24&gt;INDEX('How This Works &amp; Sources'!$B$144:$J$150,0,1))*($AZ24-INDEX('How This Works &amp; Sources'!$B$144:$J$150,0,1))*INDEX('How This Works &amp; Sources'!$B$144:$J$150,0,1+2)),IF($AU24="Married",SUMPRODUCT(($AZ24&gt;INDEX('How This Works &amp; Sources'!$B$137:$J$139,0,7))*($AZ24-INDEX('How This Works &amp; Sources'!$B$137:$J$139,0,7))*INDEX('How This Works &amp; Sources'!$B$137:$J$139,0,7+2)),SUMPRODUCT(($AZ24&gt;INDEX('How This Works &amp; Sources'!$B$137:$J$139,0,4))*($AZ24-INDEX('How This Works &amp; Sources'!$B$137:$J$139,0,4))*INDEX('How This Works &amp; Sources'!$B$137:$J$139,0,4+2)))),IF($AN24="NJ",IF('Your Pay &amp; Benefits'!$C$77="B",SUMPRODUCT(($AZ24&gt;INDEX('How This Works &amp; Sources'!$B$155:$J$162,0,4))*($AZ24-INDEX('How This Works &amp; Sources'!$B$155:$J$162,0,4))*INDEX('How This Works &amp; Sources'!$B$155:$J$162,0,4+2)),IF('Your Pay &amp; Benefits'!$C$77="C",SUMPRODUCT(($AZ24&gt;INDEX('How This Works &amp; Sources'!$B$155:$J$162,0,7))*($AZ24-INDEX('How This Works &amp; Sources'!$B$155:$J$162,0,7))*INDEX('How This Works &amp; Sources'!$B$155:$J$162,0,7+2)),IF('Your Pay &amp; Benefits'!$C$77="D",SUMPRODUCT(($AZ24&gt;INDEX('How This Works &amp; Sources'!$B$167:$J$179,0,1))*($AZ24-INDEX('How This Works &amp; Sources'!$B$167:$J$179,0,1))*INDEX('How This Works &amp; Sources'!$B$167:$J$179,0,1+2)),IF('Your Pay &amp; Benefits'!$C$77="E",SUMPRODUCT(($AZ24&gt;INDEX('How This Works &amp; Sources'!$B$167:$J$179,0,4))*($AZ24-INDEX('How This Works &amp; Sources'!$B$167:$J$179,0,4))*INDEX('How This Works &amp; Sources'!$B$167:$J$179,0,4+2)),SUMPRODUCT(($AZ24&gt;INDEX('How This Works &amp; Sources'!$B$155:$J$162,0,1))*($AZ24-INDEX('How This Works &amp; Sources'!$B$155:$J$162,0,1))*INDEX('How This Works &amp; Sources'!$B$155:$J$162,0,1+2)))))),IF($AN24="NY",IF($AU24="Married",IF($AZ24&gt;=2155350,$AZ24*IF($AZ24&gt;25000000,0.117,IF($AZ24&gt;5000000,0.111,0.1045)),SUMPRODUCT(($AZ24&gt;INDEX('How This Works &amp; Sources'!$B$184:$J$198,0,1))*($AZ24-INDEX('How This Works &amp; Sources'!$B$184:$J$198,0,1))*INDEX('How This Works &amp; Sources'!$B$184:$J$198,0,1+2))),IF($AZ24&gt;=1077550,$AZ24*IF($AZ24&gt;25000000,0.117,IF($AZ24&gt;5000000,0.111,0.1045)),SUMPRODUCT(($AZ24&gt;INDEX('How This Works &amp; Sources'!$B$167:$J$179,0,7))*($AZ24-INDEX('How This Works &amp; Sources'!$B$167:$J$179,0,7))*INDEX('How This Works &amp; Sources'!$B$167:$J$179,0,7+2)))),"")))))))</f>
      </c>
      <c r="BX24" s="7">
        <f>IF($B24="","",IF($AN24="AL",IF(OR($AU24="Married",$AU24="Head of household"),SUMPRODUCT(($AZ24&gt;INDEX('How This Works &amp; Sources'!$B$82:$J$86,0,4))*($AZ24-INDEX('How This Works &amp; Sources'!$B$82:$J$86,0,4))*INDEX('How This Works &amp; Sources'!$B$82:$J$86,0,4+2)),SUMPRODUCT(($AZ24&gt;INDEX('How This Works &amp; Sources'!$B$82:$J$86,0,1))*($AZ24-INDEX('How This Works &amp; Sources'!$B$82:$J$86,0,1))*INDEX('How This Works &amp; Sources'!$B$82:$J$86,0,1+2))),IF($AN24="KS",IF($AU24="Married",SUMPRODUCT(($AZ24&gt;INDEX('How This Works &amp; Sources'!$B$103:$J$109,0,4))*($AZ24-INDEX('How This Works &amp; Sources'!$B$103:$J$109,0,4))*INDEX('How This Works &amp; Sources'!$B$103:$J$109,0,4+2)),SUMPRODUCT(($AZ24&gt;INDEX('How This Works &amp; Sources'!$B$103:$J$109,0,1))*($AZ24-INDEX('How This Works &amp; Sources'!$B$103:$J$109,0,1))*INDEX('How This Works &amp; Sources'!$B$103:$J$109,0,1+2))),IF($AN24="MN",IF($AU24="Married",SUMPRODUCT(($AZ24&gt;INDEX('How This Works &amp; Sources'!$B$114:$J$120,0,7))*($AZ24-INDEX('How This Works &amp; Sources'!$B$114:$J$120,0,7))*INDEX('How This Works &amp; Sources'!$B$114:$J$120,0,7+2)),SUMPRODUCT(($AZ24&gt;INDEX('How This Works &amp; Sources'!$B$114:$J$120,0,4))*($AZ24-INDEX('How This Works &amp; Sources'!$B$114:$J$120,0,4))*INDEX('How This Works &amp; Sources'!$B$114:$J$120,0,4+2))),IF($AN24="NE",MAX(IF($AU24="Married",SUMPRODUCT(($AZ24&gt;INDEX('How This Works &amp; Sources'!$B$144:$J$150,0,7))*($AZ24-INDEX('How This Works &amp; Sources'!$B$144:$J$150,0,7))*INDEX('How This Works &amp; Sources'!$B$144:$J$150,0,7+2)),SUMPRODUCT(($AZ24&gt;INDEX('How This Works &amp; Sources'!$B$144:$J$150,0,4))*($AZ24-INDEX('How This Works &amp; Sources'!$B$144:$J$150,0,4))*INDEX('How This Works &amp; Sources'!$B$144:$J$150,0,4+2))),0.015*$AZ24),IF($AN24="OH",IF($B24&gt;=DATE(2026,8,1),SUMPRODUCT(($AZ24&gt;INDEX('How This Works &amp; Sources'!$B$203:$J$206,0,1))*($AZ24-INDEX('How This Works &amp; Sources'!$B$203:$J$206,0,1))*INDEX('How This Works &amp; Sources'!$B$203:$J$206,0,1+2)),SUMPRODUCT(($AZ24&gt;INDEX('How This Works &amp; Sources'!$B$184:$J$198,0,7))*($AZ24-INDEX('How This Works &amp; Sources'!$B$184:$J$198,0,7))*INDEX('How This Works &amp; Sources'!$B$184:$J$198,0,7+2))),IF($AN24="OK",IF($AU24="Married",SUMPRODUCT(($AZ24&gt;INDEX('How This Works &amp; Sources'!$B$203:$J$206,0,7))*($AZ24-INDEX('How This Works &amp; Sources'!$B$203:$J$206,0,7))*INDEX('How This Works &amp; Sources'!$B$203:$J$206,0,7+2)),SUMPRODUCT(($AZ24&gt;INDEX('How This Works &amp; Sources'!$B$203:$J$206,0,4))*($AZ24-INDEX('How This Works &amp; Sources'!$B$203:$J$206,0,4))*INDEX('How This Works &amp; Sources'!$B$203:$J$206,0,4+2))),IF($AN24="RI",SUMPRODUCT(($AZ24&gt;INDEX('How This Works &amp; Sources'!$B$211:$J$214,0,7))*($AZ24-INDEX('How This Works &amp; Sources'!$B$211:$J$214,0,7))*INDEX('How This Works &amp; Sources'!$B$211:$J$214,0,7+2)),IF($AN24="VT",IF($AU24="Married",SUMPRODUCT(($AZ24&gt;INDEX('How This Works &amp; Sources'!$B$228:$J$232,0,1))*($AZ24-INDEX('How This Works &amp; Sources'!$B$228:$J$232,0,1))*INDEX('How This Works &amp; Sources'!$B$228:$J$232,0,1+2)),SUMPRODUCT(($AZ24&gt;INDEX('How This Works &amp; Sources'!$B$219:$J$223,0,7))*($AZ24-INDEX('How This Works &amp; Sources'!$B$219:$J$223,0,7))*INDEX('How This Works &amp; Sources'!$B$219:$J$223,0,7+2))),IF($AN24="WV",IF($AU24="Married",SUMPRODUCT(($AZ24&gt;INDEX('How This Works &amp; Sources'!$B$237:$J$241,0,7))*($AZ24-INDEX('How This Works &amp; Sources'!$B$237:$J$241,0,7))*INDEX('How This Works &amp; Sources'!$B$237:$J$241,0,7+2)),SUMPRODUCT(($AZ24&gt;INDEX('How This Works &amp; Sources'!$B$228:$J$232,0,7))*($AZ24-INDEX('How This Works &amp; Sources'!$B$228:$J$232,0,7))*INDEX('How This Works &amp; Sources'!$B$228:$J$232,0,7+2))),""))))))))))</f>
      </c>
      <c r="BY24" s="7">
        <f>IF($B24="","",IF($AN24="AR",SUMPRODUCT(($AZ24&gt;INDEX('How This Works &amp; Sources'!$B$82:$J$86,0,7))*($AZ24-INDEX('How This Works &amp; Sources'!$B$82:$J$86,0,7))*INDEX('How This Works &amp; Sources'!$B$82:$J$86,0,7+2)),IF($AN24="DE",SUMPRODUCT(($AZ24&gt;INDEX('How This Works &amp; Sources'!$B$91:$J$98,0,1))*($AZ24-INDEX('How This Works &amp; Sources'!$B$91:$J$98,0,1))*INDEX('How This Works &amp; Sources'!$B$91:$J$98,0,1+2)),IF($AN24="HI",IF($AU24="Married",SUMPRODUCT(($AZ24&gt;INDEX('How This Works &amp; Sources'!$B$91:$J$98,0,7))*($AZ24-INDEX('How This Works &amp; Sources'!$B$91:$J$98,0,7))*INDEX('How This Works &amp; Sources'!$B$91:$J$98,0,7+2)),SUMPRODUCT(($AZ24&gt;INDEX('How This Works &amp; Sources'!$B$91:$J$98,0,4))*($AZ24-INDEX('How This Works &amp; Sources'!$B$91:$J$98,0,4))*INDEX('How This Works &amp; Sources'!$B$91:$J$98,0,4+2))),IF($AN24="SC",SUMPRODUCT(($AZ24&gt;INDEX('How This Works &amp; Sources'!$B$219:$J$223,0,1))*($AZ24-INDEX('How This Works &amp; Sources'!$B$219:$J$223,0,1))*INDEX('How This Works &amp; Sources'!$B$219:$J$223,0,1+2)),IF($AN24="VA",SUMPRODUCT(($AZ24&gt;INDEX('How This Works &amp; Sources'!$B$219:$J$223,0,4))*($AZ24-INDEX('How This Works &amp; Sources'!$B$219:$J$223,0,4))*INDEX('How This Works &amp; Sources'!$B$219:$J$223,0,4+2)),IF($AN24="WI",SUMPRODUCT(($AZ24&gt;INDEX('How This Works &amp; Sources'!$B$228:$J$232,0,4))*($AZ24-INDEX('How This Works &amp; Sources'!$B$228:$J$232,0,4))*INDEX('How This Works &amp; Sources'!$B$228:$J$232,0,4+2)),"")))))))</f>
      </c>
      <c r="BZ24" s="24">
        <f>IF($B24="","",IF($AN24="NJ",IF('Your Pay &amp; Benefits'!$C$77="B",SUMPRODUCT(($AZ24&gt;=INDEX('How This Works &amp; Sources'!$B$155:$J$162,0,4))*INDEX('How This Works &amp; Sources'!$B$155:$J$162,0,4+2)),IF('Your Pay &amp; Benefits'!$C$77="C",SUMPRODUCT(($AZ24&gt;=INDEX('How This Works &amp; Sources'!$B$155:$J$162,0,7))*INDEX('How This Works &amp; Sources'!$B$155:$J$162,0,7+2)),IF('Your Pay &amp; Benefits'!$C$77="D",SUMPRODUCT(($AZ24&gt;=INDEX('How This Works &amp; Sources'!$B$167:$J$179,0,1))*INDEX('How This Works &amp; Sources'!$B$167:$J$179,0,1+2)),IF('Your Pay &amp; Benefits'!$C$77="E",SUMPRODUCT(($AZ24&gt;=INDEX('How This Works &amp; Sources'!$B$167:$J$179,0,4))*INDEX('How This Works &amp; Sources'!$B$167:$J$179,0,4+2)),SUMPRODUCT(($AZ24&gt;=INDEX('How This Works &amp; Sources'!$B$155:$J$162,0,1))*INDEX('How This Works &amp; Sources'!$B$155:$J$162,0,1+2)))))),IF($AN24="OR",IF(OR($AU24="Married",AND($AU24="Single",$AS24&gt;=3)),SUMPRODUCT((MAX(0,$AY24-MIN(($P24-'How This Works &amp; Sources'!$C$10*$D24)*'Your Pay &amp; Benefits'!$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Sources'!$B$211:$J$214,0,4))*INDEX('How This Works &amp; Sources'!$B$211:$J$214,0,4+2)),SUMPRODUCT((MAX(0,$AY24-MIN(($P24-'How This Works &amp; Sources'!$C$10*$D24)*'Your Pay &amp; Benefits'!$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Sources'!$B$211:$J$214,0,1))*INDEX('How This Works &amp; Sources'!$B$211:$J$214,0,1+2)))*IF(($P24-'How This Works &amp; Sources'!$C$10*$D24)*'Your Pay &amp; Benefits'!$C$8&gt;=IF(OR($AU24="Married",AND($AU24="Single",$AS24&gt;=3)),IF($AY24&lt;250000,8750,IF($AY24&lt;260000,7000,IF($AY24&lt;270000,5250,IF($AY24&lt;280000,3500,IF($AY24&lt;290000,1750,0))))),IF($AY24&lt;125000,8750,IF($AY24&lt;130000,7000,IF($AY24&lt;135000,5250,IF($AY24&lt;140000,3500,IF($AY24&lt;145000,1750,0)))))),1,1-IF('Your Pay &amp; Benefits'!$C$13,SUMPRODUCT(($AH24&gt;=INDEX('How This Works &amp; Sources'!$B$29:$J$36,0,IF('Your Pay &amp; Benefits'!$C$12="MFJ",1,IF('Your Pay &amp; Benefits'!$C$12="HoH",7,4))))*INDEX('How This Works &amp; Sources'!$B$29:$J$36,0,IF('Your Pay &amp; Benefits'!$C$12="MFJ",1,IF('Your Pay &amp; Benefits'!$C$12="HoH",7,4))+2)),SUMPRODUCT(($AH24&gt;=INDEX('How This Works &amp; Sources'!$B$19:$J$26,0,IF('Your Pay &amp; Benefits'!$C$12="MFJ",1,IF('Your Pay &amp; Benefits'!$C$12="HoH",7,4))))*INDEX('How This Works &amp; Sources'!$B$19:$J$26,0,IF('Your Pay &amp; Benefits'!$C$12="MFJ",1,IF('Your Pay &amp; Benefits'!$C$12="HoH",7,4))+2)))),IF($AN24="MI",IF($AY24&gt;5900*$AS24,0.0425,0),""))))</f>
      </c>
      <c r="CA24" s="24">
        <f>IF($B24="","",IF($AN24="AL",IF(OR($AU24="Married",$AU24="Head of household"),SUMPRODUCT(($AZ24&gt;=INDEX('How This Works &amp; Sources'!$B$82:$J$86,0,4))*INDEX('How This Works &amp; Sources'!$B$82:$J$86,0,4+2)),SUMPRODUCT(($AZ24&gt;=INDEX('How This Works &amp; Sources'!$B$82:$J$86,0,1))*INDEX('How This Works &amp; Sources'!$B$82:$J$86,0,1+2)))*(1-IF('Your Pay &amp; Benefits'!$C$13,SUMPRODUCT(($AH24&gt;=INDEX('How This Works &amp; Sources'!$B$29:$J$36,0,IF('Your Pay &amp; Benefits'!$C$12="MFJ",1,IF('Your Pay &amp; Benefits'!$C$12="HoH",7,4))))*INDEX('How This Works &amp; Sources'!$B$29:$J$36,0,IF('Your Pay &amp; Benefits'!$C$12="MFJ",1,IF('Your Pay &amp; Benefits'!$C$12="HoH",7,4))+2)),SUMPRODUCT(($AH24&gt;=INDEX('How This Works &amp; Sources'!$B$19:$J$26,0,IF('Your Pay &amp; Benefits'!$C$12="MFJ",1,IF('Your Pay &amp; Benefits'!$C$12="HoH",7,4))))*INDEX('How This Works &amp; Sources'!$B$19:$J$26,0,IF('Your Pay &amp; Benefits'!$C$12="MFJ",1,IF('Your Pay &amp; Benefits'!$C$12="HoH",7,4))+2)))),IF($AN24="KS",IF($AU24="Married",SUMPRODUCT(($AZ24&gt;=INDEX('How This Works &amp; Sources'!$B$103:$J$109,0,4))*INDEX('How This Works &amp; Sources'!$B$103:$J$109,0,4+2)),SUMPRODUCT(($AZ24&gt;=INDEX('How This Works &amp; Sources'!$B$103:$J$109,0,1))*INDEX('How This Works &amp; Sources'!$B$103:$J$109,0,1+2))),IF($AN24="MD",IF(OR($AU24="Married",$AU24="Head of household"),SUMPRODUCT(($AZ24&gt;=INDEX('How This Works &amp; Sources'!$B$114:$J$120,0,1))*INDEX('How This Works &amp; Sources'!$B$114:$J$120,0,1+2)),SUMPRODUCT(($AZ24&gt;=INDEX('How This Works &amp; Sources'!$B$103:$J$109,0,7))*INDEX('How This Works &amp; Sources'!$B$103:$J$109,0,7+2)))+'Your Pay &amp; Benefits'!$C$74,IF($AN24="MT",IF($AU24="Head of household",SUMPRODUCT(($AZ24&gt;=INDEX('How This Works &amp; Sources'!$B$137:$J$139,0,1))*INDEX('How This Works &amp; Sources'!$B$137:$J$139,0,1+2)),IF($AU24="Married",SUMPRODUCT(($AZ24&gt;=INDEX('How This Works &amp; Sources'!$B$125:$J$132,0,7))*INDEX('How This Works &amp; Sources'!$B$125:$J$132,0,7+2)),SUMPRODUCT(($AZ24&gt;=INDEX('How This Works &amp; Sources'!$B$125:$J$132,0,4))*INDEX('How This Works &amp; Sources'!$B$125:$J$132,0,4+2)))),IF($AN24="ND",IF($AU24="Head of household",SUMPRODUCT(($AZ24&gt;=INDEX('How This Works &amp; Sources'!$B$144:$J$150,0,1))*INDEX('How This Works &amp; Sources'!$B$144:$J$150,0,1+2)),IF($AU24="Married",SUMPRODUCT(($AZ24&gt;=INDEX('How This Works &amp; Sources'!$B$137:$J$139,0,7))*INDEX('How This Works &amp; Sources'!$B$137:$J$139,0,7+2)),SUMPRODUCT(($AZ24&gt;=INDEX('How This Works &amp; Sources'!$B$137:$J$139,0,4))*INDEX('How This Works &amp; Sources'!$B$137:$J$139,0,4+2)))),IF($AN24="NY",IF($AU24="Married",IF($AZ24&gt;=2155350,IF($AZ24&gt;25000000,0.117,IF($AZ24&gt;5000000,0.111,0.1045)),SUMPRODUCT(($AZ24&gt;=INDEX('How This Works &amp; Sources'!$B$184:$J$198,0,1))*INDEX('How This Works &amp; Sources'!$B$184:$J$198,0,1+2))),IF($AZ24&gt;=1077550,IF($AZ24&gt;25000000,0.117,IF($AZ24&gt;5000000,0.111,0.1045)),SUMPRODUCT(($AZ24&gt;=INDEX('How This Works &amp; Sources'!$B$167:$J$179,0,7))*INDEX('How This Works &amp; Sources'!$B$167:$J$179,0,7+2)))),"")))))))</f>
      </c>
      <c r="CB24" s="24">
        <f>IF($B24="","",IF($AN24="CA",SUMPRODUCT(($AJ24&gt;=INDEX('How This Works &amp; Sources'!$B$39:$J$48,0,IF($AU24="Married",4,IF($AU24="Head of household",7,1))))*INDEX('How This Works &amp; Sources'!$B$39:$J$48,0,IF($AU24="Married",4,IF($AU24="Head of household",7,1))+2)),IF($AN24="HI",IF($AU24="Married",SUMPRODUCT(($AZ24&gt;=INDEX('How This Works &amp; Sources'!$B$91:$J$98,0,7))*INDEX('How This Works &amp; Sources'!$B$91:$J$98,0,7+2)),SUMPRODUCT(($AZ24&gt;=INDEX('How This Works &amp; Sources'!$B$91:$J$98,0,4))*INDEX('How This Works &amp; Sources'!$B$91:$J$98,0,4+2))),IF($AN24="MN",IF($AU24="Married",SUMPRODUCT(($AZ24&gt;=INDEX('How This Works &amp; Sources'!$B$114:$J$120,0,7))*INDEX('How This Works &amp; Sources'!$B$114:$J$120,0,7+2)),SUMPRODUCT(($AZ24&gt;=INDEX('How This Works &amp; Sources'!$B$114:$J$120,0,4))*INDEX('How This Works &amp; Sources'!$B$114:$J$120,0,4+2))),IF($AN24="MO",SUMPRODUCT(($AZ24&gt;=INDEX('How This Works &amp; Sources'!$B$125:$J$132,0,1))*INDEX('How This Works &amp; Sources'!$B$125:$J$132,0,1+2)),IF($AN24="NE",MAX(IF($AU24="Married",SUMPRODUCT(($AZ24&gt;=INDEX('How This Works &amp; Sources'!$B$144:$J$150,0,7))*INDEX('How This Works &amp; Sources'!$B$144:$J$150,0,7+2)),SUMPRODUCT(($AZ24&gt;=INDEX('How This Works &amp; Sources'!$B$144:$J$150,0,4))*INDEX('How This Works &amp; Sources'!$B$144:$J$150,0,4+2))),0.015),IF($AN24="OH",IF($B24&gt;=DATE(2026,8,1),SUMPRODUCT(($AZ24&gt;=INDEX('How This Works &amp; Sources'!$B$203:$J$206,0,1))*INDEX('How This Works &amp; Sources'!$B$203:$J$206,0,1+2)),SUMPRODUCT(($AZ24&gt;=INDEX('How This Works &amp; Sources'!$B$184:$J$198,0,7))*INDEX('How This Works &amp; Sources'!$B$184:$J$198,0,7+2))),IF($AN24="OK",IF($AU24="Married",SUMPRODUCT(($AZ24&gt;=INDEX('How This Works &amp; Sources'!$B$203:$J$206,0,7))*INDEX('How This Works &amp; Sources'!$B$203:$J$206,0,7+2)),SUMPRODUCT(($AZ24&gt;=INDEX('How This Works &amp; Sources'!$B$203:$J$206,0,4))*INDEX('How This Works &amp; Sources'!$B$203:$J$206,0,4+2))),IF($AN24="RI",SUMPRODUCT(($AZ24&gt;=INDEX('How This Works &amp; Sources'!$B$211:$J$214,0,7))*INDEX('How This Works &amp; Sources'!$B$211:$J$214,0,7+2)),IF($AN24="SC",SUMPRODUCT(($AZ24&gt;=INDEX('How This Works &amp; Sources'!$B$219:$J$223,0,1))*INDEX('How This Works &amp; Sources'!$B$219:$J$223,0,1+2)),IF($AN24="VT",IF($AU24="Married",SUMPRODUCT(($AZ24&gt;=INDEX('How This Works &amp; Sources'!$B$228:$J$232,0,1))*INDEX('How This Works &amp; Sources'!$B$228:$J$232,0,1+2)),SUMPRODUCT(($AZ24&gt;=INDEX('How This Works &amp; Sources'!$B$219:$J$223,0,7))*INDEX('How This Works &amp; Sources'!$B$219:$J$223,0,7+2))),IF($AN24="WV",IF($AU24="Married",SUMPRODUCT(($AZ24&gt;=INDEX('How This Works &amp; Sources'!$B$237:$J$241,0,7))*INDEX('How This Works &amp; Sources'!$B$237:$J$241,0,7+2)),SUMPRODUCT(($AZ24&gt;=INDEX('How This Works &amp; Sources'!$B$228:$J$232,0,7))*INDEX('How This Works &amp; Sources'!$B$228:$J$232,0,7+2))),IF($AN24="IN",(0.0295+'Your Pay &amp; Benefits'!$C$76),"")))))))))))))</f>
      </c>
      <c r="CC24" s="24">
        <f>IF($B24="","",IF($AN24="AR",SUMPRODUCT(($AZ24&gt;=INDEX('How This Works &amp; Sources'!$B$82:$J$86,0,7))*INDEX('How This Works &amp; Sources'!$B$82:$J$86,0,7+2)),IF($AN24="DE",SUMPRODUCT(($AZ24&gt;=INDEX('How This Works &amp; Sources'!$B$91:$J$98,0,1))*INDEX('How This Works &amp; Sources'!$B$91:$J$98,0,1+2)),IF($AN24="VA",SUMPRODUCT(($AZ24&gt;=INDEX('How This Works &amp; Sources'!$B$219:$J$223,0,4))*INDEX('How This Works &amp; Sources'!$B$219:$J$223,0,4+2)),IF($AN24="WI",SUMPRODUCT(($AZ24&gt;=INDEX('How This Works &amp; Sources'!$B$228:$J$232,0,4))*INDEX('How This Works &amp; Sources'!$B$228:$J$232,0,4+2)),IF($AN24="AZ",'Your Pay &amp; Benefits'!$C$82,IF($AN24="CO",IF($AY24&gt;IF($AU24="Married",10000,5000),0.044,0),IF($AN24="IA",IF($AY24&gt;IF($AU24="Head of household",19500,IF($AU24="Married",26000,13000)),0.038,0),IF($AN24="ID",IF($AY24&gt;IF($AU24="Married",32000,16094),0.053,0),IF($AN24="IL",IF($AY24&gt;(2925*$AS24+1000*$AT24),0.0495,0),IF($AN24="KY",IF($AI24&gt;3360,0.035,0),IF($AN24="LA",0.0309,IF($AN24="MA",IF(MAX(0,$AY24-MIN(($BD23+$Q24+$R24+$S24),2000)-IF($AS24=0,0,IF($AS24=1,4400,1000*$AS24+3400)))&gt;=1107750,0.09,0.05),IF($AN24="MS",IF($AI24-IF($AU24="Head of household",3400,IF($AU24="Married",4600,2300))-'Your Pay &amp; Benefits'!$C$85&gt;10000,0.04,0),IF($AN24="PA",0.0307,"")))))))))))))))</f>
      </c>
      <c r="CD24" s="21">
        <f>IF(YEAR(IF('Your Pay &amp; Benefits'!$C$7="Weekly",'Your Pay &amp; Benefits'!$C$9+7*(($BE23+1)-1),IF('Your Pay &amp; Benefits'!$C$7="Biweekly",'Your Pay &amp; Benefits'!$C$9+14*(($BE23+1)-1),IF('Your Pay &amp; Benefits'!$C$7="Semimonthly",DATE(YEAR('Your Pay &amp; Benefits'!$C$9),MONTH('Your Pay &amp; Benefits'!$C$9)+INT((($BE23+1)-1)/2),MIN(DAY('Your Pay &amp; Benefits'!$C$9),DAY(EOMONTH(DATE(YEAR('Your Pay &amp; Benefits'!$C$9),MONTH('Your Pay &amp; Benefits'!$C$9)+INT((($BE23+1)-1)/2),1),0))))+IF(MOD(($BE23+1)-1,2)=1,15,0),EDATE('Your Pay &amp; Benefits'!$C$9,($BE23+1)-1)))))&lt;&gt;'Your Pay &amp; Benefits'!$C$10,"",IF('Your Pay &amp; Benefits'!$C$7="Weekly",'Your Pay &amp; Benefits'!$C$9+7*(($BE23+1)-1),IF('Your Pay &amp; Benefits'!$C$7="Biweekly",'Your Pay &amp; Benefits'!$C$9+14*(($BE23+1)-1),IF('Your Pay &amp; Benefits'!$C$7="Semimonthly",DATE(YEAR('Your Pay &amp; Benefits'!$C$9),MONTH('Your Pay &amp; Benefits'!$C$9)+INT((($BE23+1)-1)/2),MIN(DAY('Your Pay &amp; Benefits'!$C$9),DAY(EOMONTH(DATE(YEAR('Your Pay &amp; Benefits'!$C$9),MONTH('Your Pay &amp; Benefits'!$C$9)+INT((($BE23+1)-1)/2),1),0))))+IF(MOD(($BE23+1)-1,2)=1,15,0),EDATE('Your Pay &amp; Benefits'!$C$9,($BE23+1)-1)))))</f>
      </c>
      <c r="CE24" s="21">
        <f>IF(MIN(IF(AND('Your Pay &amp; Benefits'!$C$58&gt;MAX($B$6:$B23),'Your Pay &amp; Benefits'!$C$58&gt;=DATE('Your Pay &amp; Benefits'!$C$10,1,1),'Your Pay &amp; Benefits'!$C$58&lt;=DATE('Your Pay &amp; Benefits'!$C$10,12,31)),'Your Pay &amp; Benefits'!$C$58,999999),IF(AND('Your Pay &amp; Benefits'!$C$59&gt;MAX($B$6:$B23),'Your Pay &amp; Benefits'!$C$59&gt;=DATE('Your Pay &amp; Benefits'!$C$10,1,1),'Your Pay &amp; Benefits'!$C$59&lt;=DATE('Your Pay &amp; Benefits'!$C$10,12,31)),'Your Pay &amp; Benefits'!$C$59,999999),IF(AND('Your Pay &amp; Benefits'!$C$60&gt;MAX($B$6:$B23),'Your Pay &amp; Benefits'!$C$60&gt;=DATE('Your Pay &amp; Benefits'!$C$10,1,1),'Your Pay &amp; Benefits'!$C$60&lt;=DATE('Your Pay &amp; Benefits'!$C$10,12,31)),'Your Pay &amp; Benefits'!$C$60,999999),IF(AND('Your Pay &amp; Benefits'!$C$61&gt;MAX($B$6:$B23),'Your Pay &amp; Benefits'!$C$61&gt;=DATE('Your Pay &amp; Benefits'!$C$10,1,1),'Your Pay &amp; Benefits'!$C$61&lt;=DATE('Your Pay &amp; Benefits'!$C$10,12,31)),'Your Pay &amp; Benefits'!$C$61,999999),IF(AND('Your Pay &amp; Benefits'!$C$62&gt;MAX($B$6:$B23),'Your Pay &amp; Benefits'!$C$62&gt;=DATE('Your Pay &amp; Benefits'!$C$10,1,1),'Your Pay &amp; Benefits'!$C$62&lt;=DATE('Your Pay &amp; Benefits'!$C$10,12,31)),'Your Pay &amp; Benefits'!$C$62,999999),IF(AND('Your Pay &amp; Benefits'!$C$63&gt;MAX($B$6:$B23),'Your Pay &amp; Benefits'!$C$63&gt;=DATE('Your Pay &amp; Benefits'!$C$10,1,1),'Your Pay &amp; Benefits'!$C$63&lt;=DATE('Your Pay &amp; Benefits'!$C$10,12,31)),'Your Pay &amp; Benefits'!$C$63,999999),IF(AND('Your Pay &amp; Benefits'!$C$64&gt;MAX($B$6:$B23),'Your Pay &amp; Benefits'!$C$64&gt;=DATE('Your Pay &amp; Benefits'!$C$10,1,1),'Your Pay &amp; Benefits'!$C$64&lt;=DATE('Your Pay &amp; Benefits'!$C$10,12,31)),'Your Pay &amp; Benefits'!$C$64,999999),IF(AND('Your Pay &amp; Benefits'!$C$65&gt;MAX($B$6:$B23),'Your Pay &amp; Benefits'!$C$65&gt;=DATE('Your Pay &amp; Benefits'!$C$10,1,1),'Your Pay &amp; Benefits'!$C$65&lt;=DATE('Your Pay &amp; Benefits'!$C$10,12,31)),'Your Pay &amp; Benefits'!$C$65,999999),IF(AND('Your Pay &amp; Benefits'!$C$66&gt;MAX($B$6:$B23),'Your Pay &amp; Benefits'!$C$66&gt;=DATE('Your Pay &amp; Benefits'!$C$10,1,1),'Your Pay &amp; Benefits'!$C$66&lt;=DATE('Your Pay &amp; Benefits'!$C$10,12,31)),'Your Pay &amp; Benefits'!$C$66,999999),IF(AND('Your Pay &amp; Benefits'!$C$67&gt;MAX($B$6:$B23),'Your Pay &amp; Benefits'!$C$67&gt;=DATE('Your Pay &amp; Benefits'!$C$10,1,1),'Your Pay &amp; Benefits'!$C$67&lt;=DATE('Your Pay &amp; Benefits'!$C$10,12,31)),'Your Pay &amp; Benefits'!$C$67,999999))=999999,"",MIN(IF(AND('Your Pay &amp; Benefits'!$C$58&gt;MAX($B$6:$B23),'Your Pay &amp; Benefits'!$C$58&gt;=DATE('Your Pay &amp; Benefits'!$C$10,1,1),'Your Pay &amp; Benefits'!$C$58&lt;=DATE('Your Pay &amp; Benefits'!$C$10,12,31)),'Your Pay &amp; Benefits'!$C$58,999999),IF(AND('Your Pay &amp; Benefits'!$C$59&gt;MAX($B$6:$B23),'Your Pay &amp; Benefits'!$C$59&gt;=DATE('Your Pay &amp; Benefits'!$C$10,1,1),'Your Pay &amp; Benefits'!$C$59&lt;=DATE('Your Pay &amp; Benefits'!$C$10,12,31)),'Your Pay &amp; Benefits'!$C$59,999999),IF(AND('Your Pay &amp; Benefits'!$C$60&gt;MAX($B$6:$B23),'Your Pay &amp; Benefits'!$C$60&gt;=DATE('Your Pay &amp; Benefits'!$C$10,1,1),'Your Pay &amp; Benefits'!$C$60&lt;=DATE('Your Pay &amp; Benefits'!$C$10,12,31)),'Your Pay &amp; Benefits'!$C$60,999999),IF(AND('Your Pay &amp; Benefits'!$C$61&gt;MAX($B$6:$B23),'Your Pay &amp; Benefits'!$C$61&gt;=DATE('Your Pay &amp; Benefits'!$C$10,1,1),'Your Pay &amp; Benefits'!$C$61&lt;=DATE('Your Pay &amp; Benefits'!$C$10,12,31)),'Your Pay &amp; Benefits'!$C$61,999999),IF(AND('Your Pay &amp; Benefits'!$C$62&gt;MAX($B$6:$B23),'Your Pay &amp; Benefits'!$C$62&gt;=DATE('Your Pay &amp; Benefits'!$C$10,1,1),'Your Pay &amp; Benefits'!$C$62&lt;=DATE('Your Pay &amp; Benefits'!$C$10,12,31)),'Your Pay &amp; Benefits'!$C$62,999999),IF(AND('Your Pay &amp; Benefits'!$C$63&gt;MAX($B$6:$B23),'Your Pay &amp; Benefits'!$C$63&gt;=DATE('Your Pay &amp; Benefits'!$C$10,1,1),'Your Pay &amp; Benefits'!$C$63&lt;=DATE('Your Pay &amp; Benefits'!$C$10,12,31)),'Your Pay &amp; Benefits'!$C$63,999999),IF(AND('Your Pay &amp; Benefits'!$C$64&gt;MAX($B$6:$B23),'Your Pay &amp; Benefits'!$C$64&gt;=DATE('Your Pay &amp; Benefits'!$C$10,1,1),'Your Pay &amp; Benefits'!$C$64&lt;=DATE('Your Pay &amp; Benefits'!$C$10,12,31)),'Your Pay &amp; Benefits'!$C$64,999999),IF(AND('Your Pay &amp; Benefits'!$C$65&gt;MAX($B$6:$B23),'Your Pay &amp; Benefits'!$C$65&gt;=DATE('Your Pay &amp; Benefits'!$C$10,1,1),'Your Pay &amp; Benefits'!$C$65&lt;=DATE('Your Pay &amp; Benefits'!$C$10,12,31)),'Your Pay &amp; Benefits'!$C$65,999999),IF(AND('Your Pay &amp; Benefits'!$C$66&gt;MAX($B$6:$B23),'Your Pay &amp; Benefits'!$C$66&gt;=DATE('Your Pay &amp; Benefits'!$C$10,1,1),'Your Pay &amp; Benefits'!$C$66&lt;=DATE('Your Pay &amp; Benefits'!$C$10,12,31)),'Your Pay &amp; Benefits'!$C$66,999999),IF(AND('Your Pay &amp; Benefits'!$C$67&gt;MAX($B$6:$B23),'Your Pay &amp; Benefits'!$C$67&gt;=DATE('Your Pay &amp; Benefits'!$C$10,1,1),'Your Pay &amp; Benefits'!$C$67&lt;=DATE('Your Pay &amp; Benefits'!$C$10,12,31)),'Your Pay &amp; Benefits'!$C$67,999999)))</f>
      </c>
      <c r="CF24">
        <f>IF($B24="","",IF($D24=0,$Y24,""))</f>
      </c>
    </row>
    <row r="25">
      <c r="A25" t="n">
        <v>20</v>
      </c>
      <c r="B25" s="21">
        <f>IF(AND($CD25="",$CE25=""),"",IF($CE25="",$CD25,IF($CD25="",$CE25,MIN($CD25,$CE25))))</f>
      </c>
      <c r="C25" s="7">
        <f>IF($B25="","",IF($BF25=0,0,IF('Your Pay &amp; Benefits'!$C$4="Annual salary",ROUND($AK25/IF(AND('Your Pay &amp; Benefits'!$C$88="Actual paydays",MONTH('Your Pay &amp; Benefits'!$C$9)=1),MAX(1,MAX($BE$6:$BE$68)),'Your Pay &amp; Benefits'!$C$8),2),$AK25)))</f>
      </c>
      <c r="D25" s="7">
        <f>IF($B25="","",SUMIF('Your Pay &amp; Benefits'!$C$58:$C$67,$B25,'Your Pay &amp; Benefits'!$D$58:$D$67))</f>
      </c>
      <c r="E25" s="7">
        <f>IF($B25="","",ROUND(MAX(0,MIN(IF($AL25="Percent",$AM25*($C25+$D25),$AM25),MAX(0,'Your Pay &amp; Benefits'!$C$34-$AC24))),2))</f>
      </c>
      <c r="F25" s="7">
        <f>IF($B25="","",ROUND(MAX(0,MIN(IF('Your Pay &amp; Benefits'!$C$32="Percent",'Your Pay &amp; Benefits'!$D$32*($C25+$D25),'Your Pay &amp; Benefits'!$D$32),MAX(0,'Your Pay &amp; Benefits'!$C$34-$AC24-$E25))),2))</f>
      </c>
      <c r="G25" s="7">
        <f>IF($B25="","",IF($BF25=0,0,ROUND(MAX(0,MIN($BL25,'Your Pay &amp; Benefits'!$C$37-'Your Pay &amp; Benefits'!$C$54-$BI24)),2)))</f>
      </c>
      <c r="H25" s="7">
        <f>IF($B25="","",IF(OR($BF25=0,$BQ25=1),0,ROUND(MAX(0,MIN(IF($BS25=1,ROUND(MAX(0,MIN($BJ25,'How This Works &amp; Sources'!$C$13)-$BG24)/MAX(1,MAX($BE$6:$BE$68)-($BE24)),2),ROUND(MIN($BJ25,'How This Works &amp; Sources'!$C$13)/'Your Pay &amp; Benefits'!$C$8,2)),MIN($BJ25,'How This Works &amp; Sources'!$C$13)-$BG24)),2)))</f>
      </c>
      <c r="I25" s="7">
        <f>IF($B25="","",IF(OR($BF25=0,$BR25=1),0,ROUND(MAX(0,MIN(IF($BT25=1,ROUND(MAX(0,MIN($BK25,IF('Your Pay &amp; Benefits'!$C$12="MFJ",'How This Works &amp; Sources'!$C$14,'How This Works &amp; Sources'!$C$15))-$BH24)/MAX(1,MAX($BE$6:$BE$68)-($BE24)),2),ROUND(MIN($BK25,IF('Your Pay &amp; Benefits'!$C$12="MFJ",'How This Works &amp; Sources'!$C$14,'How This Works &amp; Sources'!$C$15))/'Your Pay &amp; Benefits'!$C$8,2)),MIN($BK25,IF('Your Pay &amp; Benefits'!$C$12="MFJ",'How This Works &amp; Sources'!$C$14,'How This Works &amp; Sources'!$C$15))-$BH24)),2)))</f>
      </c>
      <c r="J25" s="7">
        <f>IF($B25="","",IF($BF25=0,0,$BM25))</f>
      </c>
      <c r="K25" s="7">
        <f>IF($B25="","",IF($BF25=0,0,$BN25+$BO25))</f>
      </c>
      <c r="L25" s="7">
        <f>IF($B25="","",IF($BF25=0,0,'Your Pay &amp; Benefits'!$D$46))</f>
      </c>
      <c r="M25" s="7">
        <f>IF($B25="","",$C25+$D25+$L25-$E25-$G25-$H25-$I25-$J25-$K25)</f>
      </c>
      <c r="N25" s="7">
        <f>IF($B25="","",$C25+$D25+$L25-$G25-$H25-$I25-$J25-$K25)</f>
      </c>
      <c r="O25" s="7">
        <f>IF($B25="","",$C25+$D25+$L25-$E25-$H25-$I25-$J25-$K25-IF(OR($AN25="CA",$AN25="NJ"),0,$G25))</f>
      </c>
      <c r="P25" s="7">
        <f>IF($B25="","",IF('Your Pay &amp; Benefits'!$C$18,0,ROUND(MAX(0,IF('Your Pay &amp; Benefits'!$C$13,SUMPRODUCT(($AH25&gt;INDEX('How This Works &amp; Sources'!$B$29:$J$36,0,IF('Your Pay &amp; Benefits'!$C$12="MFJ",1,IF('Your Pay &amp; Benefits'!$C$12="HoH",7,4))))*($AH25-INDEX('How This Works &amp; Sources'!$B$29:$J$36,0,IF('Your Pay &amp; Benefits'!$C$12="MFJ",1,IF('Your Pay &amp; Benefits'!$C$12="HoH",7,4))))*INDEX('How This Works &amp; Sources'!$B$29:$J$36,0,IF('Your Pay &amp; Benefits'!$C$12="MFJ",1,IF('Your Pay &amp; Benefits'!$C$12="HoH",7,4))+2)),SUMPRODUCT(($AH25&gt;INDEX('How This Works &amp; Sources'!$B$19:$J$26,0,IF('Your Pay &amp; Benefits'!$C$12="MFJ",1,IF('Your Pay &amp; Benefits'!$C$12="HoH",7,4))))*($AH25-INDEX('How This Works &amp; Sources'!$B$19:$J$26,0,IF('Your Pay &amp; Benefits'!$C$12="MFJ",1,IF('Your Pay &amp; Benefits'!$C$12="HoH",7,4))))*INDEX('How This Works &amp; Sources'!$B$19:$J$26,0,IF('Your Pay &amp; Benefits'!$C$12="MFJ",1,IF('Your Pay &amp; Benefits'!$C$12="HoH",7,4))+2)))/'Your Pay &amp; Benefits'!$C$8-$AO25/'Your Pay &amp; Benefits'!$C$8)+$AR25+IF('Your Pay &amp; Benefits'!$C$89="Aggregate",MAX(0,IF('Your Pay &amp; Benefits'!$C$13,SUMPRODUCT((($AH25+$D25)&gt;INDEX('How This Works &amp; Sources'!$B$29:$J$36,0,IF('Your Pay &amp; Benefits'!$C$12="MFJ",1,IF('Your Pay &amp; Benefits'!$C$12="HoH",7,4))))*(($AH25+$D25)-INDEX('How This Works &amp; Sources'!$B$29:$J$36,0,IF('Your Pay &amp; Benefits'!$C$12="MFJ",1,IF('Your Pay &amp; Benefits'!$C$12="HoH",7,4))))*INDEX('How This Works &amp; Sources'!$B$29:$J$36,0,IF('Your Pay &amp; Benefits'!$C$12="MFJ",1,IF('Your Pay &amp; Benefits'!$C$12="HoH",7,4))+2)),SUMPRODUCT((($AH25+$D25)&gt;INDEX('How This Works &amp; Sources'!$B$19:$J$26,0,IF('Your Pay &amp; Benefits'!$C$12="MFJ",1,IF('Your Pay &amp; Benefits'!$C$12="HoH",7,4))))*(($AH25+$D25)-INDEX('How This Works &amp; Sources'!$B$19:$J$26,0,IF('Your Pay &amp; Benefits'!$C$12="MFJ",1,IF('Your Pay &amp; Benefits'!$C$12="HoH",7,4))))*INDEX('How This Works &amp; Sources'!$B$19:$J$26,0,IF('Your Pay &amp; Benefits'!$C$12="MFJ",1,IF('Your Pay &amp; Benefits'!$C$12="HoH",7,4))+2)))-IF('Your Pay &amp; Benefits'!$C$13,SUMPRODUCT(($AH25&gt;INDEX('How This Works &amp; Sources'!$B$29:$J$36,0,IF('Your Pay &amp; Benefits'!$C$12="MFJ",1,IF('Your Pay &amp; Benefits'!$C$12="HoH",7,4))))*($AH25-INDEX('How This Works &amp; Sources'!$B$29:$J$36,0,IF('Your Pay &amp; Benefits'!$C$12="MFJ",1,IF('Your Pay &amp; Benefits'!$C$12="HoH",7,4))))*INDEX('How This Works &amp; Sources'!$B$29:$J$36,0,IF('Your Pay &amp; Benefits'!$C$12="MFJ",1,IF('Your Pay &amp; Benefits'!$C$12="HoH",7,4))+2)),SUMPRODUCT(($AH25&gt;INDEX('How This Works &amp; Sources'!$B$19:$J$26,0,IF('Your Pay &amp; Benefits'!$C$12="MFJ",1,IF('Your Pay &amp; Benefits'!$C$12="HoH",7,4))))*($AH25-INDEX('How This Works &amp; Sources'!$B$19:$J$26,0,IF('Your Pay &amp; Benefits'!$C$12="MFJ",1,IF('Your Pay &amp; Benefits'!$C$12="HoH",7,4))))*INDEX('How This Works &amp; Sources'!$B$19:$J$26,0,IF('Your Pay &amp; Benefits'!$C$12="MFJ",1,IF('Your Pay &amp; Benefits'!$C$12="HoH",7,4))+2)))),'How This Works &amp; Sources'!$C$10*$D25),2)))</f>
      </c>
      <c r="Q25" s="7">
        <f>IF($B25="","",ROUND('How This Works &amp; Sources'!$C$4*MIN($N25,MAX(0,'How This Works &amp; Sources'!$C$3-($AX25+$AB24-$AW25))),2))</f>
      </c>
      <c r="R25" s="7">
        <f>IF($B25="","",ROUND('How This Works &amp; Sources'!$C$5*$N25,2))</f>
      </c>
      <c r="S25" s="7">
        <f>IF($B25="","",ROUND('How This Works &amp; Sources'!$C$6*MAX(0,MIN($N25,$AG24+$N25-'How This Works &amp; Sources'!$C$7)),2))</f>
      </c>
      <c r="T25" s="7">
        <f>IF($B25="","",IF('Your Pay &amp; Benefits'!$C$26,0,IF($AN25="CA",ROUND(IF($AI25&lt;=IF(($AS25+$AT25)&gt;=2,VLOOKUP($AN25,StateTables!$A$6:$AB$56,10,FALSE),VLOOKUP($AN25,StateTables!$A$6:$AB$56,9,FALSE)),0,MAX(0,SUMPRODUCT(($AJ25&gt;INDEX('How This Works &amp; Sources'!$B$39:$J$48,0,IF($AU25="Married",4,IF($AU25="Head of household",7,1))))*($AJ25-INDEX('How This Works &amp; Sources'!$B$39:$J$48,0,IF($AU25="Married",4,IF($AU25="Head of household",7,1))))*INDEX('How This Works &amp; Sources'!$B$39:$J$48,0,IF($AU25="Married",4,IF($AU25="Head of household",7,1))+2))-VLOOKUP($AN25,StateTables!$A$6:$AB$56,11,FALSE)*$AS25)/'Your Pay &amp; Benefits'!$C$8)+'Your Pay &amp; Benefits'!$C$25+VLOOKUP($AN25,StateTables!$A$6:$AB$56,13,FALSE)*$D25,2),IF(VLOOKUP($AN25,StateTables!$A$6:$AB$56,4,FALSE)="None",0,IF(ISNUMBER(SEARCH("MANUAL",VLOOKUP($AN25,StateTables!$A$6:$AB$56,5,FALSE))),'Your Pay &amp; Benefits'!$C$28,ROUND(MAX(0,$BA25+$BB25)/'Your Pay &amp; Benefits'!$C$8+'Your Pay &amp; Benefits'!$C$25+$BC25,2))))))</f>
      </c>
      <c r="U25" s="7">
        <f>IF($B25="","",IF(VLOOKUP($AN25,StateTables!$A$6:$AB$56,24,FALSE)="flatq",IF(OR(MONTH($B25)=1,MONTH($B25)=4,MONTH($B25)=7,MONTH($B25)=10),VLOOKUP($AN25,StateTables!$A$6:$AB$56,25,FALSE),0),IF(VLOOKUP($AN25,StateTables!$A$6:$AB$56,24,FALSE)="dbl",MIN(ROUND(0.005*$N25,2),ROUND(0.6*52/'Your Pay &amp; Benefits'!$C$8,2)),IF(OR(VLOOKUP($AN25,StateTables!$A$6:$AB$56,15,FALSE)="",VLOOKUP($AN25,StateTables!$A$6:$AB$56,15,FALSE)=0),0,ROUND(VLOOKUP($AN25,StateTables!$A$6:$AB$56,15,FALSE)*IF(OR(VLOOKUP($AN25,StateTables!$A$6:$AB$56,16,FALSE)="",VLOOKUP($AN25,StateTables!$A$6:$AB$56,16,FALSE)=0),$N25,MIN($N25,MAX(0,VLOOKUP($AN25,StateTables!$A$6:$AB$56,16,FALSE)-($AX25+$AB24-$AW25)))),2))))+IF(VLOOKUP($AN25,StateTables!$A$6:$AB$56,27,FALSE)="flatq",IF(OR(MONTH($B25)=1,MONTH($B25)=4,MONTH($B25)=7,MONTH($B25)=10),VLOOKUP($AN25,StateTables!$A$6:$AB$56,28,FALSE),0),IF(VLOOKUP($AN25,StateTables!$A$6:$AB$56,27,FALSE)="dbl",MIN(ROUND(0.005*$N25,2),ROUND(0.6*52/'Your Pay &amp; Benefits'!$C$8,2)),IF(OR(VLOOKUP($AN25,StateTables!$A$6:$AB$56,18,FALSE)="",VLOOKUP($AN25,StateTables!$A$6:$AB$56,18,FALSE)=0),0,ROUND(VLOOKUP($AN25,StateTables!$A$6:$AB$56,18,FALSE)*IF(OR(VLOOKUP($AN25,StateTables!$A$6:$AB$56,19,FALSE)="",VLOOKUP($AN25,StateTables!$A$6:$AB$56,19,FALSE)=0),$N25,MIN($N25,MAX(0,VLOOKUP($AN25,StateTables!$A$6:$AB$56,19,FALSE)-($AX25+$AB24-$AW25)))),2)))))</f>
      </c>
      <c r="V25" s="7">
        <f>IF($B25="","",IF($AN25="NY",IF('Your Pay &amp; Benefits'!$C$78,ROUND(SUMPRODUCT((MAX(0,($O25-$D25)*'Your Pay &amp; Benefits'!$C$8-(IF($AU25="Married",5500,5000)+1000*$AS25))&gt;INDEX('How This Works &amp; Sources'!$B$184:$J$198,0,4))*(MAX(0,($O25-$D25)*'Your Pay &amp; Benefits'!$C$8-(IF($AU25="Married",5500,5000)+1000*$AS25))-INDEX('How This Works &amp; Sources'!$B$184:$J$198,0,4))*INDEX('How This Works &amp; Sources'!$B$184:$J$198,0,4+2))/'Your Pay &amp; Benefits'!$C$8+0.0425*$D25,2),0)+IF('Your Pay &amp; Benefits'!$C$79="Resident",ROUND(0.1675*$T25,2),IF('Your Pay &amp; Benefits'!$C$79="Nonresident",ROUND(0.005*MAX(0,($O25-$D25)-(IF($AU25="Married",7950,7400)+1000*$AS25)/'Your Pay &amp; Benefits'!$C$8),2),0)),IF($AN25="PA",IF('Your Pay &amp; Benefits'!$C$80="None",'Your Pay &amp; Benefits'!$C$27+ROUND('Your Pay &amp; Benefits'!$C$81*($C25+$D25),2),ROUND(IF('Your Pay &amp; Benefits'!$C$80="Resident",IF($B25&lt;DATE(2026,7,1),0.0374,0.03735),IF($B25&lt;DATE(2026,7,1),0.0343,0.03425))*($C25+$D25),2)),IF($BF25=0,ROUND('Your Pay &amp; Benefits'!$C$81*($C25+$D25),2),'Your Pay &amp; Benefits'!$C$27+ROUND('Your Pay &amp; Benefits'!$C$81*($C25+$D25),2)))))</f>
      </c>
      <c r="W25" s="7">
        <f>IF($B25="","",IF($BF25=0,0,$BP25))</f>
      </c>
      <c r="X25" s="7">
        <f>IF($B25="","",SUM($E25:$K25)+$P25+$Q25+$R25+$S25+$T25+$U25+$V25+$W25)</f>
      </c>
      <c r="Y25" s="22">
        <f>IF($B25="","",$C25+$D25-$X25)</f>
      </c>
      <c r="Z25" s="7">
        <f>IF($B25="","",$Z24+$C25+$D25)</f>
      </c>
      <c r="AA25" s="7">
        <f>IF($B25="","",$AA24+$Y25)</f>
      </c>
      <c r="AB25" s="7">
        <f>IF($B25="","",$AB24+MIN($N25,MAX(0,'How This Works &amp; Sources'!$C$3-($AX25+$AB24-$AW25))))</f>
      </c>
      <c r="AC25" s="7">
        <f>IF($B25="","",$AC24+$E25+$F25)</f>
      </c>
      <c r="AD25" s="3">
        <f>IF($B25="","",IF(AND($AB24&lt;'How This Works &amp; Sources'!$C$3,$AB25&gt;='How This Works &amp; Sources'!$C$3),"★ Social Security maxed on this check — from the next check your net rises by about $"&amp;TEXT(ROUND('How This Works &amp; Sources'!$C$4*$N25,2),"#,##0.00")&amp;". ","")&amp;IF(AND($AC24&lt;'Your Pay &amp; Benefits'!$C$34,$AC25&gt;='Your Pay &amp; Benefits'!$C$34),"★ 401(k) reaches the $"&amp;TEXT('Your Pay &amp; Benefits'!$C$34,"#,##0")&amp;" cap on this check — deferrals stop and net pay rises. ","")&amp;IF(AND($AG24&lt;'How This Works &amp; Sources'!$C$7,$AG25&gt;='How This Works &amp; Sources'!$C$7),"★ Wages pass $200,000 — the 0.9% Additional Medicare Tax starts here. ","")&amp;IF(AND($BJ25&gt;0,$H25&gt;0,$BG24&lt;MIN($BJ25,'How This Works &amp; Sources'!$C$13),$BG24+$H25&gt;=MIN($BJ25,'How This Works &amp; Sources'!$C$13)),"★ Health FSA election is now fully deferred for the year. ",""))</f>
      </c>
      <c r="AE25" s="41" t="n"/>
      <c r="AF25" s="7">
        <f>IF(OR($B25="",$AE25=""),"",$AE25-$Y25)</f>
      </c>
      <c r="AG25" s="7">
        <f>IF($B25="","",$AG24+$N25)</f>
      </c>
      <c r="AH25" s="7">
        <f>IF($B25="","",MAX(0,($M25-$D25)*'Your Pay &amp; Benefits'!$C$8+$AP25-$AQ25-IF('Your Pay &amp; Benefits'!$C$13,0,IF('Your Pay &amp; Benefits'!$C$12="MFJ",'How This Works &amp; Sources'!$C$8,'How This Works &amp; Sources'!$C$9))))</f>
      </c>
      <c r="AI25" s="7">
        <f>IF($B25="","",$O25*'Your Pay &amp; Benefits'!$C$8)</f>
      </c>
      <c r="AJ25" s="7">
        <f>IF($B25="","",MAX(0,$AI25-VLOOKUP($AN25,StateTables!$A$6:$AB$56,12,FALSE)*$AT25-IF(($AS25+$AT25)&gt;=2,VLOOKUP($AN25,StateTables!$A$6:$AB$56,8,FALSE),VLOOKUP($AN25,StateTables!$A$6:$AB$56,7,FALSE))))</f>
      </c>
      <c r="AK25" s="7">
        <f>IF($B25="","",IFERROR(LOOKUP(2,1/(('Changes &amp; Events'!$C$6:$C$17="Salary change")*('Changes &amp; Events'!$B$6:$B$17&lt;=$B25)*('Changes &amp; Events'!$B$6:$B$17&lt;&gt;"")),'Changes &amp; Events'!$D$6:$D$17),IF('Your Pay &amp; Benefits'!$C$4="Annual salary",'Your Pay &amp; Benefits'!$C$5,'Your Pay &amp; Benefits'!$C$6)))</f>
      </c>
      <c r="AL25">
        <f>IF($B25="","",IFERROR(LOOKUP(2,1/(('Changes &amp; Events'!$C$6:$C$17="401(k) change")*('Changes &amp; Events'!$B$6:$B$17&lt;=$B25)*('Changes &amp; Events'!$B$6:$B$17&lt;&gt;"")),'Changes &amp; Events'!$D$6:$D$17),'Your Pay &amp; Benefits'!$C$30))</f>
      </c>
      <c r="AM25" s="7">
        <f>IF($B25="","",IFERROR(LOOKUP(2,1/(('Changes &amp; Events'!$C$6:$C$17="401(k) change")*('Changes &amp; Events'!$B$6:$B$17&lt;=$B25)*('Changes &amp; Events'!$B$6:$B$17&lt;&gt;"")),'Changes &amp; Events'!$E$6:$E$17),'Your Pay &amp; Benefits'!$D$31))</f>
      </c>
      <c r="AN25">
        <f>IF($B25="","",IFERROR(LOOKUP(2,1/(('Changes &amp; Events'!$C$6:$C$17="State move")*('Changes &amp; Events'!$B$6:$B$17&lt;=$B25)*('Changes &amp; Events'!$B$6:$B$17&lt;&gt;"")),'Changes &amp; Events'!$D$6:$D$17),'Your Pay &amp; Benefits'!$C$21))</f>
      </c>
      <c r="AO25" s="7">
        <f>IF($B25="","",IFERROR(LOOKUP(2,1/(('Changes &amp; Events'!$C$6:$C$17="W-4 change")*('Changes &amp; Events'!$B$6:$B$17&lt;=$B25)*('Changes &amp; Events'!$B$6:$B$17&lt;&gt;"")),'Changes &amp; Events'!$D$6:$D$17),'Your Pay &amp; Benefits'!$C$14))</f>
      </c>
      <c r="AP25" s="7">
        <f>IF($B25="","",IFERROR(LOOKUP(2,1/(('Changes &amp; Events'!$C$6:$C$17="W-4 change")*('Changes &amp; Events'!$B$6:$B$17&lt;=$B25)*('Changes &amp; Events'!$B$6:$B$17&lt;&gt;"")),'Changes &amp; Events'!$E$6:$E$17),'Your Pay &amp; Benefits'!$C$15))</f>
      </c>
      <c r="AQ25" s="7">
        <f>IF($B25="","",IFERROR(LOOKUP(2,1/(('Changes &amp; Events'!$C$6:$C$17="W-4 change")*('Changes &amp; Events'!$B$6:$B$17&lt;=$B25)*('Changes &amp; Events'!$B$6:$B$17&lt;&gt;"")),'Changes &amp; Events'!$F$6:$F$17),'Your Pay &amp; Benefits'!$C$16))</f>
      </c>
      <c r="AR25" s="7">
        <f>IF($B25="","",IFERROR(LOOKUP(2,1/(('Changes &amp; Events'!$C$6:$C$17="W-4 change")*('Changes &amp; Events'!$B$6:$B$17&lt;=$B25)*('Changes &amp; Events'!$B$6:$B$17&lt;&gt;"")),'Changes &amp; Events'!$G$6:$G$17),'Your Pay &amp; Benefits'!$C$17))</f>
      </c>
      <c r="AS25" s="6">
        <f>IF($B25="","",IFERROR(LOOKUP(2,1/((('Changes &amp; Events'!$C$6:$C$17="State move")+('Changes &amp; Events'!$C$6:$C$17="State cert change"))*('Changes &amp; Events'!$B$6:$B$17&lt;=$B25)*('Changes &amp; Events'!$B$6:$B$17&lt;&gt;"")),'Changes &amp; Events'!$F$6:$F$17),'Your Pay &amp; Benefits'!$C$23))</f>
      </c>
      <c r="AT25" s="6">
        <f>IF($B25="","",IFERROR(LOOKUP(2,1/((('Changes &amp; Events'!$C$6:$C$17="State move")+('Changes &amp; Events'!$C$6:$C$17="State cert change"))*('Changes &amp; Events'!$B$6:$B$17&lt;=$B25)*('Changes &amp; Events'!$B$6:$B$17&lt;&gt;"")),'Changes &amp; Events'!$G$6:$G$17),'Your Pay &amp; Benefits'!$C$24))</f>
      </c>
      <c r="AU25">
        <f>IF($B25="","",IFERROR(LOOKUP(2,1/(('Changes &amp; Events'!$C$6:$C$17="State move")*('Changes &amp; Events'!$B$6:$B$17&lt;=$B25)*('Changes &amp; Events'!$B$6:$B$17&lt;&gt;"")),'Changes &amp; Events'!$E$6:$E$17),'Your Pay &amp; Benefits'!$C$22))</f>
      </c>
      <c r="AV25" s="6">
        <f>IF($B25="","",1+COUNTIFS('Changes &amp; Events'!$C$6:$C$17,"Employer change",'Changes &amp; Events'!$B$6:$B$17,"&lt;="&amp;$B25,'Changes &amp; Events'!$B$6:$B$17,"&lt;&gt;"))</f>
      </c>
      <c r="AW25" s="7">
        <f>IF($B25="","",IF($AV25=1,'Your Pay &amp; Benefits'!$C$49,IF(IFERROR(MATCH(IFERROR(LOOKUP(2,1/(('Changes &amp; Events'!$C$6:$C$17="Employer change")*('Changes &amp; Events'!$B$6:$B$17&lt;=$B25)*('Changes &amp; Events'!$B$6:$B$17&lt;&gt;"")),'Changes &amp; Events'!$B$6:$B$17),""),$B$6:$B$68,1),1)&lt;=1,'Your Pay &amp; Benefits'!$C$49,INDEX($AB$6:$AB$68,MATCH(IFERROR(LOOKUP(2,1/(('Changes &amp; Events'!$C$6:$C$17="Employer change")*('Changes &amp; Events'!$B$6:$B$17&lt;=$B25)*('Changes &amp; Events'!$B$6:$B$17&lt;&gt;"")),'Changes &amp; Events'!$B$6:$B$17),""),$B$6:$B$68,1)-1))))</f>
      </c>
      <c r="AX25" s="7">
        <f>IF($B25="","",IF($AV25=1,'Your Pay &amp; Benefits'!$C$49,IFERROR(LOOKUP(2,1/(('Changes &amp; Events'!$C$6:$C$17="Employer change")*('Changes &amp; Events'!$B$6:$B$17&lt;=$B25)*('Changes &amp; Events'!$B$6:$B$17&lt;&gt;"")),'Changes &amp; Events'!$D$6:$D$17),0)))</f>
      </c>
      <c r="AY25" s="7">
        <f>IF($B25="","",($O25-$D25)*'Your Pay &amp; Benefits'!$C$8)</f>
      </c>
      <c r="AZ25" s="7">
        <f>IF($B25="","",IF($AN25="AL",MAX(0,$AY25-IF($AU25="Married",IF($AY25&lt;=25999,8500,MAX(5000,8500-175*CEILING(($AY25-25999)/500,1))),IF($AU25="Head of household",IF($AY25&lt;=25999,5200,MAX(2500,5200-135*CEILING(($AY25-25999)/500,1))),IF($AY25&lt;=25999,3000,MAX(2500,3000-25*CEILING(($AY25-25999)/500,1)))))-($P25-'How This Works &amp; Sources'!$C$10*$D25)*'Your Pay &amp; Benefits'!$C$8-IF(OR($AU25="Married",$AU25="Head of household"),3000,1500)-$AT25*IF($AY25&lt;=50000,1000,IF($AY25&lt;=100000,500,300))),IF($AN25="AR",IF(MAX(0,$AY25-2470)&lt;97701,INT(MAX(0,$AY25-2470)/100)*100+50,MAX(0,$AY25-2470)),IF($AN25="DE",MAX(0,$AI25-3250),IF($AN25="HI",MAX(0,$AI25-1144*$AS25-4350),IF($AN25="KS",MAX(0,$AI25-(9160*IF($AU25="Married",2,1)+2320*$AT25+IF($AU25="Head of household",2320,0))),IF($AN25="MD",MAX(0,$AI25-3400-3200*$AS25),IF($AN25="MN",MAX(0,$AY25-5300*$AS25),IF($AN25="MO",MAX(0,$AI25-IF($AU25="Head of household",24150,IF($AU25="Married",IF('Your Pay &amp; Benefits'!$C$83,16100,32200),16100))),IF($AN25="MT",$AY25,IF($AN25="ND",($C25+$L25)*'Your Pay &amp; Benefits'!$C$8,IF($AN25="NE",MAX(0,$AY25-2440*$AS25),IF($AN25="NJ",MAX(0,$AY25-1000*$AS25),IF($AN25="NY",MAX(0,$AY25-(IF($AU25="Married",7950,7400)+1000*$AS25)),IF($AN25="OH",MAX(0,$AY25-650*$AS25),IF($AN25="OK",MAX(0,$AY25-1000*$AS25),IF($AN25="RI",MAX(0,$AI25-1000*$AS25),IF($AN25="SC",MAX(0,$AI25-5000*$AS25-IF($AS25=0,0,MIN(0.1*$AI25,7500))),IF($AN25="VA",MAX(0,$AI25-IF($AU25="Married",17500,8750)-930*$AS25-800*$AT25),IF($AN25="VT",MAX(0,$AI25-5400*$AS25),IF($AN25="WI",MAX(0,$AI25-MAX(0,IF($AU25="Married",9461-0.2*MAX(0,$AI25-25727),6702-0.12*MAX(0,$AI25-17780)))-400*$AS25),IF($AN25="WV",MAX(0,$AI25-2000*$AS25),$AI25))))))))))))))))))))))</f>
      </c>
      <c r="BA25" s="7">
        <f>IF($B25="","",IF($BW25&lt;&gt;"",$BW25,IF($BX25&lt;&gt;"",$BX25,IF($BY25&lt;&gt;"",$BY25,0))))</f>
      </c>
      <c r="BB25" s="7">
        <f>IF($B25="","",IF($AN25="AR",-29*$AS25,IF($AN25="DE",-110*$AS25,IF($AN25="MD",$AZ25*'Your Pay &amp; Benefits'!$C$74,IF($AN25="AZ",'Your Pay &amp; Benefits'!$C$82*($M25-$D25)*'Your Pay &amp; Benefits'!$C$8,IF($AN25="CO",0.044*MAX(0,$AY25-IF($AU25="Married",10000,5000)),IF($AN25="IA",MAX(0,0.038*MAX(0,$AY25-IF($AU25="Head of household",19500,IF($AU25="Married",26000,13000)))-40*$AS25),IF($AN25="ID",0.053*MAX(0,$AY25-IF($AU25="Married",32000,16094)),IF($AN25="IL",0.0495*MAX(0,$AY25-(2925*$AS25+1000*$AT25)),IF($AN25="IN",(0.0295+'Your Pay &amp; Benefits'!$C$76)*MAX(0,$AY25-(1000*$AS25+1500*$AT25+3000*'Your Pay &amp; Benefits'!$C$86)),IF($AN25="KY",0.035*MAX(0,$AI25-3360),IF($AN25="LA",IF('Your Pay &amp; Benefits'!$C$84="0",0.0309*$AI25,0.0309*MAX(0,$AI25-IF('Your Pay &amp; Benefits'!$C$84="2",25750,12875))),IF($AN25="MA",0.05*MIN(MAX(0,$AY25-MIN(($BD24+$Q25+$R25+$S25),2000)-IF($AS25=0,0,IF($AS25=1,4400,1000*$AS25+3400))),1107750)+0.09*MAX(0,MAX(0,$AY25-MIN(($BD24+$Q25+$R25+$S25),2000)-IF($AS25=0,0,IF($AS25=1,4400,1000*$AS25+3400)))-1107750)-IF($AU25="Head of household",120,0)-110*'Your Pay &amp; Benefits'!$C$75,IF($AN25="MI",0.0425*MAX(0,$AY25-5900*$AS25),IF($AN25="MS",0.04*MAX(0,$AI25-IF($AU25="Head of household",3400,IF($AU25="Married",4600,2300))-'Your Pay &amp; Benefits'!$C$85-10000),IF($AN25="OR",IF(OR($AU25="Married",AND($AU25="Single",$AS25&gt;=3)),SUMPRODUCT((MAX(0,$AY25-MIN(($P25-'How This Works &amp; Sources'!$C$10*$D25)*'Your Pay &amp; Benefits'!$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Sources'!$B$211:$J$214,0,4))*(MAX(0,$AY25-MIN(($P25-'How This Works &amp; Sources'!$C$10*$D25)*'Your Pay &amp; Benefits'!$C$8,IF(OR($AU25="Married",AND($AU25="Single",$AS25&gt;=3)),IF($AY25&lt;250000,8750,IF($AY25&lt;260000,7000,IF($AY25&lt;270000,5250,IF($AY25&lt;280000,3500,IF($AY25&lt;290000,1750,0))))),IF($AY25&lt;125000,8750,IF($AY25&lt;130000,7000,IF($AY25&lt;135000,5250,IF($AY25&lt;140000,3500,IF($AY25&lt;145000,1750,0)))))))-IF(OR($AU25="Married",AND($AU25="Single",$AS25&gt;=3)),5820,2910))-INDEX('How This Works &amp; Sources'!$B$211:$J$214,0,4))*INDEX('How This Works &amp; Sources'!$B$211:$J$214,0,4+2)),SUMPRODUCT((MAX(0,$AY25-MIN(($P25-'How This Works &amp; Sources'!$C$10*$D25)*'Your Pay &amp; Benefits'!$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Sources'!$B$211:$J$214,0,1))*(MAX(0,$AY25-MIN(($P25-'How This Works &amp; Sources'!$C$10*$D25)*'Your Pay &amp; Benefits'!$C$8,IF(OR($AU25="Married",AND($AU25="Single",$AS25&gt;=3)),IF($AY25&lt;250000,8750,IF($AY25&lt;260000,7000,IF($AY25&lt;270000,5250,IF($AY25&lt;280000,3500,IF($AY25&lt;290000,1750,0))))),IF($AY25&lt;125000,8750,IF($AY25&lt;130000,7000,IF($AY25&lt;135000,5250,IF($AY25&lt;140000,3500,IF($AY25&lt;145000,1750,0)))))))-IF(OR($AU25="Married",AND($AU25="Single",$AS25&gt;=3)),5820,2910))-INDEX('How This Works &amp; Sources'!$B$211:$J$214,0,1))*INDEX('How This Works &amp; Sources'!$B$211:$J$214,0,1+2)))+263-263*IF(IF($AU25="Married",$AY25&gt;200000,$AY25&gt;100000),0,$AS25),IF($AN25="PA",0.0307*(($O25+$E25+$G25)*'Your Pay &amp; Benefits'!$C$8),IF($AN25="NY",IF($AU25="Married",IF($AZ25&gt;=2155350,0,IF($AZ25&gt;=1077550,0.48,IF($AZ25&gt;=373200,1.21,IF($AZ25&gt;=323200,0.21,IF($AZ25&gt;=211550,-0.19,IF($AZ25&gt;=157650,-2.8,IF($AZ25&gt;=107650,-0.8,IF($AZ25&gt;=96800,0.05,IF($AZ25&gt;=80650,-0.1,IF($AZ25&gt;=13900,0.4,IF($AZ25&gt;=11700,-0.3,IF($AZ25&gt;=8500,0.5,0)))))))))))),IF($AZ25&gt;=1077550,0,IF($AZ25&gt;=265400,4.29,IF($AZ25&gt;=215400,2.29,IF($AZ25&gt;=157650,2.29,IF($AZ25&gt;=107650,0.29,IF($AZ25&gt;=96800,0.05,IF($AZ25&gt;=80650,-0.1,IF($AZ25&gt;=13900,0.4,IF($AZ25&gt;=11700,-0.3,IF($AZ25&gt;=8500,0.5,0))))))))))),0))))))))))))))))))</f>
      </c>
      <c r="BC25" s="7">
        <f>IF($B25="","",IF($AN25="AL",0.05*$D25,IF($AN25="AR",0.039*$D25,IF($AN25="ID",0.053*$D25,IF($AN25="IN",(0.0295+'Your Pay &amp; Benefits'!$C$76)*$D25,IF($AN25="KS",0.05*$D25,IF($AN25="MA",0.09*MIN($D25,MAX(0,MAX(0,$AY25-MIN(($BD24+$Q25+$R25+$S25),2000)-IF($AS25=0,0,IF($AS25=1,4400,1000*$AS25+3400)))+$D25-1107750))+0.05*($D25-MIN($D25,MAX(0,MAX(0,$AY25-MIN(($BD24+$Q25+$R25+$S25),2000)-IF($AS25=0,0,IF($AS25=1,4400,1000*$AS25+3400)))+$D25-1107750))),IF($AN25="MD",(0.065+'Your Pay &amp; Benefits'!$C$74)*$D25,IF($AN25="MI",0.0425*$D25,IF($AN25="MN",0.0625*$D25,IF($AN25="MO",0.047*$D25,IF($AN25="MT",0.05*$D25,IF($AN25="ND",0.015*$D25,IF($AN25="NE",0.035*$D25,IF($AN25="NJ",IF('Your Pay &amp; Benefits'!$C$77="B",SUMPRODUCT(($D25*'Your Pay &amp; Benefits'!$C$8&gt;INDEX('How This Works &amp; Sources'!$B$155:$J$162,0,4))*($D25*'Your Pay &amp; Benefits'!$C$8-INDEX('How This Works &amp; Sources'!$B$155:$J$162,0,4))*INDEX('How This Works &amp; Sources'!$B$155:$J$162,0,4+2)),IF('Your Pay &amp; Benefits'!$C$77="C",SUMPRODUCT(($D25*'Your Pay &amp; Benefits'!$C$8&gt;INDEX('How This Works &amp; Sources'!$B$155:$J$162,0,7))*($D25*'Your Pay &amp; Benefits'!$C$8-INDEX('How This Works &amp; Sources'!$B$155:$J$162,0,7))*INDEX('How This Works &amp; Sources'!$B$155:$J$162,0,7+2)),IF('Your Pay &amp; Benefits'!$C$77="D",SUMPRODUCT(($D25*'Your Pay &amp; Benefits'!$C$8&gt;INDEX('How This Works &amp; Sources'!$B$167:$J$179,0,1))*($D25*'Your Pay &amp; Benefits'!$C$8-INDEX('How This Works &amp; Sources'!$B$167:$J$179,0,1))*INDEX('How This Works &amp; Sources'!$B$167:$J$179,0,1+2)),IF('Your Pay &amp; Benefits'!$C$77="E",SUMPRODUCT(($D25*'Your Pay &amp; Benefits'!$C$8&gt;INDEX('How This Works &amp; Sources'!$B$167:$J$179,0,4))*($D25*'Your Pay &amp; Benefits'!$C$8-INDEX('How This Works &amp; Sources'!$B$167:$J$179,0,4))*INDEX('How This Works &amp; Sources'!$B$167:$J$179,0,4+2)),SUMPRODUCT(($D25*'Your Pay &amp; Benefits'!$C$8&gt;INDEX('How This Works &amp; Sources'!$B$155:$J$162,0,1))*($D25*'Your Pay &amp; Benefits'!$C$8-INDEX('How This Works &amp; Sources'!$B$155:$J$162,0,1))*INDEX('How This Works &amp; Sources'!$B$155:$J$162,0,1+2))))))/'Your Pay &amp; Benefits'!$C$8,IF($AN25="NY",0.117*$D25,IF($AN25="OH",0.0275*$D25,IF($AN25="OK",0.045*$D25,IF($AN25="OR",0.08*$D25,IF($AN25="WI",IF($AY25&lt;12760,0.0354,IF($AY25&lt;25520,0.0465,IF($AY25&lt;280950,0.053,0.0765)))*$D25,0))))))))))))))))))))</f>
      </c>
      <c r="BD25" s="7">
        <f>IF($B25="","",$BD24+$Q25+$R25+$S25)</f>
      </c>
      <c r="BE25" s="6">
        <f>IF($B25="",$BE24,$BE24+$BF25)</f>
      </c>
      <c r="BF25" s="6">
        <f>IF($B25="","",IF(AND(IF(YEAR(IF('Your Pay &amp; Benefits'!$C$7="Weekly",'Your Pay &amp; Benefits'!$C$9+7*(($BE24+1)-1),IF('Your Pay &amp; Benefits'!$C$7="Biweekly",'Your Pay &amp; Benefits'!$C$9+14*(($BE24+1)-1),IF('Your Pay &amp; Benefits'!$C$7="Semimonthly",DATE(YEAR('Your Pay &amp; Benefits'!$C$9),MONTH('Your Pay &amp; Benefits'!$C$9)+INT((($BE24+1)-1)/2),MIN(DAY('Your Pay &amp; Benefits'!$C$9),DAY(EOMONTH(DATE(YEAR('Your Pay &amp; Benefits'!$C$9),MONTH('Your Pay &amp; Benefits'!$C$9)+INT((($BE24+1)-1)/2),1),0))))+IF(MOD(($BE24+1)-1,2)=1,15,0),EDATE('Your Pay &amp; Benefits'!$C$9,($BE24+1)-1)))))&lt;&gt;'Your Pay &amp; Benefits'!$C$10,"",IF('Your Pay &amp; Benefits'!$C$7="Weekly",'Your Pay &amp; Benefits'!$C$9+7*(($BE24+1)-1),IF('Your Pay &amp; Benefits'!$C$7="Biweekly",'Your Pay &amp; Benefits'!$C$9+14*(($BE24+1)-1),IF('Your Pay &amp; Benefits'!$C$7="Semimonthly",DATE(YEAR('Your Pay &amp; Benefits'!$C$9),MONTH('Your Pay &amp; Benefits'!$C$9)+INT((($BE24+1)-1)/2),MIN(DAY('Your Pay &amp; Benefits'!$C$9),DAY(EOMONTH(DATE(YEAR('Your Pay &amp; Benefits'!$C$9),MONTH('Your Pay &amp; Benefits'!$C$9)+INT((($BE24+1)-1)/2),1),0))))+IF(MOD(($BE24+1)-1,2)=1,15,0),EDATE('Your Pay &amp; Benefits'!$C$9,($BE24+1)-1)))))&lt;&gt;"",$B25=IF(YEAR(IF('Your Pay &amp; Benefits'!$C$7="Weekly",'Your Pay &amp; Benefits'!$C$9+7*(($BE24+1)-1),IF('Your Pay &amp; Benefits'!$C$7="Biweekly",'Your Pay &amp; Benefits'!$C$9+14*(($BE24+1)-1),IF('Your Pay &amp; Benefits'!$C$7="Semimonthly",DATE(YEAR('Your Pay &amp; Benefits'!$C$9),MONTH('Your Pay &amp; Benefits'!$C$9)+INT((($BE24+1)-1)/2),MIN(DAY('Your Pay &amp; Benefits'!$C$9),DAY(EOMONTH(DATE(YEAR('Your Pay &amp; Benefits'!$C$9),MONTH('Your Pay &amp; Benefits'!$C$9)+INT((($BE24+1)-1)/2),1),0))))+IF(MOD(($BE24+1)-1,2)=1,15,0),EDATE('Your Pay &amp; Benefits'!$C$9,($BE24+1)-1)))))&lt;&gt;'Your Pay &amp; Benefits'!$C$10,"",IF('Your Pay &amp; Benefits'!$C$7="Weekly",'Your Pay &amp; Benefits'!$C$9+7*(($BE24+1)-1),IF('Your Pay &amp; Benefits'!$C$7="Biweekly",'Your Pay &amp; Benefits'!$C$9+14*(($BE24+1)-1),IF('Your Pay &amp; Benefits'!$C$7="Semimonthly",DATE(YEAR('Your Pay &amp; Benefits'!$C$9),MONTH('Your Pay &amp; Benefits'!$C$9)+INT((($BE24+1)-1)/2),MIN(DAY('Your Pay &amp; Benefits'!$C$9),DAY(EOMONTH(DATE(YEAR('Your Pay &amp; Benefits'!$C$9),MONTH('Your Pay &amp; Benefits'!$C$9)+INT((($BE24+1)-1)/2),1),0))))+IF(MOD(($BE24+1)-1,2)=1,15,0),EDATE('Your Pay &amp; Benefits'!$C$9,($BE24+1)-1)))))),1,0))</f>
      </c>
      <c r="BG25" s="7">
        <f>IF($B25="","",$BG24+$H25)</f>
      </c>
      <c r="BH25" s="7">
        <f>IF($B25="","",$BH24+$I25)</f>
      </c>
      <c r="BI25" s="7">
        <f>IF($B25="","",$BI24+$G25)</f>
      </c>
      <c r="BJ25" s="7">
        <f>IF($B25="","",IFERROR(LOOKUP(2,1/(((('Changes &amp; Events'!$C$6:$C$17="Deduction start"))*('Changes &amp; Events'!$D$6:$D$17="Health FSA"))*('Changes &amp; Events'!$B$6:$B$17&lt;=$B25)*('Changes &amp; Events'!$B$6:$B$17&lt;&gt;"")),'Changes &amp; Events'!$E$6:$E$17),'Your Pay &amp; Benefits'!$D$38))</f>
      </c>
      <c r="BK25" s="7">
        <f>IF($B25="","",IFERROR(LOOKUP(2,1/(((('Changes &amp; Events'!$C$6:$C$17="Deduction start"))*('Changes &amp; Events'!$D$6:$D$17="Dependent-care FSA"))*('Changes &amp; Events'!$B$6:$B$17&lt;=$B25)*('Changes &amp; Events'!$B$6:$B$17&lt;&gt;"")),'Changes &amp; Events'!$E$6:$E$17),'Your Pay &amp; Benefits'!$D$39))</f>
      </c>
      <c r="BL25" s="7">
        <f>IF($B25="","",IFERROR(LOOKUP(2,1/(((('Changes &amp; Events'!$C$6:$C$17="Deduction start")+('Changes &amp; Events'!$C$6:$C$17="Deduction stop"))*('Changes &amp; Events'!$D$6:$D$17="HSA"))*('Changes &amp; Events'!$B$6:$B$17&lt;=$B25)*('Changes &amp; Events'!$B$6:$B$17&lt;&gt;"")),'Changes &amp; Events'!$I$6:$I$17),'Your Pay &amp; Benefits'!$D$35))</f>
      </c>
      <c r="BM25" s="7">
        <f>IF($B25="","",IFERROR(LOOKUP(2,1/(((('Changes &amp; Events'!$C$6:$C$17="Deduction start")+('Changes &amp; Events'!$C$6:$C$17="Deduction stop"))*('Changes &amp; Events'!$D$6:$D$17="Premiums"))*('Changes &amp; Events'!$B$6:$B$17&lt;=$B25)*('Changes &amp; Events'!$B$6:$B$17&lt;&gt;"")),'Changes &amp; Events'!$I$6:$I$17),'Your Pay &amp; Benefits'!$D$40+'Your Pay &amp; Benefits'!$D$41+'Your Pay &amp; Benefits'!$D$42))</f>
      </c>
      <c r="BN25" s="7">
        <f>IF($B25="","",IFERROR(LOOKUP(2,1/(((('Changes &amp; Events'!$C$6:$C$17="Deduction start")+('Changes &amp; Events'!$C$6:$C$17="Deduction stop"))*('Changes &amp; Events'!$D$6:$D$17="Commuter"))*('Changes &amp; Events'!$B$6:$B$17&lt;=$B25)*('Changes &amp; Events'!$B$6:$B$17&lt;&gt;"")),'Changes &amp; Events'!$I$6:$I$17),'Your Pay &amp; Benefits'!$D$43))</f>
      </c>
      <c r="BO25" s="7">
        <f>IF($B25="","",IFERROR(LOOKUP(2,1/(((('Changes &amp; Events'!$C$6:$C$17="Deduction start")+('Changes &amp; Events'!$C$6:$C$17="Deduction stop"))*('Changes &amp; Events'!$D$6:$D$17="Other pre-tax"))*('Changes &amp; Events'!$B$6:$B$17&lt;=$B25)*('Changes &amp; Events'!$B$6:$B$17&lt;&gt;"")),'Changes &amp; Events'!$I$6:$I$17),'Your Pay &amp; Benefits'!$D$44))</f>
      </c>
      <c r="BP25" s="7">
        <f>IF($B25="","",IFERROR(LOOKUP(2,1/(((('Changes &amp; Events'!$C$6:$C$17="Deduction start")+('Changes &amp; Events'!$C$6:$C$17="Deduction stop"))*('Changes &amp; Events'!$D$6:$D$17="Other post-tax"))*('Changes &amp; Events'!$B$6:$B$17&lt;=$B25)*('Changes &amp; Events'!$B$6:$B$17&lt;&gt;"")),'Changes &amp; Events'!$I$6:$I$17),'Your Pay &amp; Benefits'!$D$45))</f>
      </c>
      <c r="BQ25" s="6">
        <f>IF($B25="","",IFERROR(LOOKUP(2,1/(((('Changes &amp; Events'!$C$6:$C$17="Deduction start")+('Changes &amp; Events'!$C$6:$C$17="Deduction stop"))*('Changes &amp; Events'!$D$6:$D$17="Health FSA"))*('Changes &amp; Events'!$B$6:$B$17&lt;=$B25)*('Changes &amp; Events'!$B$6:$B$17&lt;&gt;"")),'Changes &amp; Events'!$J$6:$J$17),0))</f>
      </c>
      <c r="BR25" s="6">
        <f>IF($B25="","",IFERROR(LOOKUP(2,1/(((('Changes &amp; Events'!$C$6:$C$17="Deduction start")+('Changes &amp; Events'!$C$6:$C$17="Deduction stop"))*('Changes &amp; Events'!$D$6:$D$17="Dependent-care FSA"))*('Changes &amp; Events'!$B$6:$B$17&lt;=$B25)*('Changes &amp; Events'!$B$6:$B$17&lt;&gt;"")),'Changes &amp; Events'!$J$6:$J$17),0))</f>
      </c>
      <c r="BS25" s="6">
        <f>IF($B25="","",IF(SUMPRODUCT(('Changes &amp; Events'!$C$6:$C$17="Deduction start")*('Changes &amp; Events'!$B$6:$B$17&lt;=$B25)*('Changes &amp; Events'!$B$6:$B$17&lt;&gt;"")*('Changes &amp; Events'!$D$6:$D$17="Health FSA"))&gt;0,1,0))</f>
      </c>
      <c r="BT25" s="6">
        <f>IF($B25="","",IF(SUMPRODUCT(('Changes &amp; Events'!$C$6:$C$17="Deduction start")*('Changes &amp; Events'!$B$6:$B$17&lt;=$B25)*('Changes &amp; Events'!$B$6:$B$17&lt;&gt;"")*('Changes &amp; Events'!$D$6:$D$17="Dependent-care FSA"))&gt;0,1,0))</f>
      </c>
      <c r="BU25" s="24">
        <f>IF($B25="","",IF('Your Pay &amp; Benefits'!$C$13,SUMPRODUCT(($AH25&gt;=INDEX('How This Works &amp; Sources'!$B$29:$J$36,0,IF('Your Pay &amp; Benefits'!$C$12="MFJ",1,IF('Your Pay &amp; Benefits'!$C$12="HoH",7,4))))*INDEX('How This Works &amp; Sources'!$B$29:$J$36,0,IF('Your Pay &amp; Benefits'!$C$12="MFJ",1,IF('Your Pay &amp; Benefits'!$C$12="HoH",7,4))+2)),SUMPRODUCT(($AH25&gt;=INDEX('How This Works &amp; Sources'!$B$19:$J$26,0,IF('Your Pay &amp; Benefits'!$C$12="MFJ",1,IF('Your Pay &amp; Benefits'!$C$12="HoH",7,4))))*INDEX('How This Works &amp; Sources'!$B$19:$J$26,0,IF('Your Pay &amp; Benefits'!$C$12="MFJ",1,IF('Your Pay &amp; Benefits'!$C$12="HoH",7,4))+2))))</f>
      </c>
      <c r="BV25" s="24">
        <f>IF($B25="","",IF($BZ25&lt;&gt;"",$BZ25,IF($CA25&lt;&gt;"",$CA25,IF($CB25&lt;&gt;"",$CB25,IF($CC25&lt;&gt;"",$CC25,0)))))</f>
      </c>
      <c r="BW25" s="7">
        <f>IF($B25="","",IF($AN25="MD",IF(OR($AU25="Married",$AU25="Head of household"),SUMPRODUCT(($AZ25&gt;INDEX('How This Works &amp; Sources'!$B$114:$J$120,0,1))*($AZ25-INDEX('How This Works &amp; Sources'!$B$114:$J$120,0,1))*INDEX('How This Works &amp; Sources'!$B$114:$J$120,0,1+2)),SUMPRODUCT(($AZ25&gt;INDEX('How This Works &amp; Sources'!$B$103:$J$109,0,7))*($AZ25-INDEX('How This Works &amp; Sources'!$B$103:$J$109,0,7))*INDEX('How This Works &amp; Sources'!$B$103:$J$109,0,7+2))),IF($AN25="MO",SUMPRODUCT(($AZ25&gt;INDEX('How This Works &amp; Sources'!$B$125:$J$132,0,1))*($AZ25-INDEX('How This Works &amp; Sources'!$B$125:$J$132,0,1))*INDEX('How This Works &amp; Sources'!$B$125:$J$132,0,1+2)),IF($AN25="MT",IF($AU25="Head of household",SUMPRODUCT(($AZ25&gt;INDEX('How This Works &amp; Sources'!$B$137:$J$139,0,1))*($AZ25-INDEX('How This Works &amp; Sources'!$B$137:$J$139,0,1))*INDEX('How This Works &amp; Sources'!$B$137:$J$139,0,1+2)),IF($AU25="Married",SUMPRODUCT(($AZ25&gt;INDEX('How This Works &amp; Sources'!$B$125:$J$132,0,7))*($AZ25-INDEX('How This Works &amp; Sources'!$B$125:$J$132,0,7))*INDEX('How This Works &amp; Sources'!$B$125:$J$132,0,7+2)),SUMPRODUCT(($AZ25&gt;INDEX('How This Works &amp; Sources'!$B$125:$J$132,0,4))*($AZ25-INDEX('How This Works &amp; Sources'!$B$125:$J$132,0,4))*INDEX('How This Works &amp; Sources'!$B$125:$J$132,0,4+2)))),IF($AN25="ND",IF($AU25="Head of household",SUMPRODUCT(($AZ25&gt;INDEX('How This Works &amp; Sources'!$B$144:$J$150,0,1))*($AZ25-INDEX('How This Works &amp; Sources'!$B$144:$J$150,0,1))*INDEX('How This Works &amp; Sources'!$B$144:$J$150,0,1+2)),IF($AU25="Married",SUMPRODUCT(($AZ25&gt;INDEX('How This Works &amp; Sources'!$B$137:$J$139,0,7))*($AZ25-INDEX('How This Works &amp; Sources'!$B$137:$J$139,0,7))*INDEX('How This Works &amp; Sources'!$B$137:$J$139,0,7+2)),SUMPRODUCT(($AZ25&gt;INDEX('How This Works &amp; Sources'!$B$137:$J$139,0,4))*($AZ25-INDEX('How This Works &amp; Sources'!$B$137:$J$139,0,4))*INDEX('How This Works &amp; Sources'!$B$137:$J$139,0,4+2)))),IF($AN25="NJ",IF('Your Pay &amp; Benefits'!$C$77="B",SUMPRODUCT(($AZ25&gt;INDEX('How This Works &amp; Sources'!$B$155:$J$162,0,4))*($AZ25-INDEX('How This Works &amp; Sources'!$B$155:$J$162,0,4))*INDEX('How This Works &amp; Sources'!$B$155:$J$162,0,4+2)),IF('Your Pay &amp; Benefits'!$C$77="C",SUMPRODUCT(($AZ25&gt;INDEX('How This Works &amp; Sources'!$B$155:$J$162,0,7))*($AZ25-INDEX('How This Works &amp; Sources'!$B$155:$J$162,0,7))*INDEX('How This Works &amp; Sources'!$B$155:$J$162,0,7+2)),IF('Your Pay &amp; Benefits'!$C$77="D",SUMPRODUCT(($AZ25&gt;INDEX('How This Works &amp; Sources'!$B$167:$J$179,0,1))*($AZ25-INDEX('How This Works &amp; Sources'!$B$167:$J$179,0,1))*INDEX('How This Works &amp; Sources'!$B$167:$J$179,0,1+2)),IF('Your Pay &amp; Benefits'!$C$77="E",SUMPRODUCT(($AZ25&gt;INDEX('How This Works &amp; Sources'!$B$167:$J$179,0,4))*($AZ25-INDEX('How This Works &amp; Sources'!$B$167:$J$179,0,4))*INDEX('How This Works &amp; Sources'!$B$167:$J$179,0,4+2)),SUMPRODUCT(($AZ25&gt;INDEX('How This Works &amp; Sources'!$B$155:$J$162,0,1))*($AZ25-INDEX('How This Works &amp; Sources'!$B$155:$J$162,0,1))*INDEX('How This Works &amp; Sources'!$B$155:$J$162,0,1+2)))))),IF($AN25="NY",IF($AU25="Married",IF($AZ25&gt;=2155350,$AZ25*IF($AZ25&gt;25000000,0.117,IF($AZ25&gt;5000000,0.111,0.1045)),SUMPRODUCT(($AZ25&gt;INDEX('How This Works &amp; Sources'!$B$184:$J$198,0,1))*($AZ25-INDEX('How This Works &amp; Sources'!$B$184:$J$198,0,1))*INDEX('How This Works &amp; Sources'!$B$184:$J$198,0,1+2))),IF($AZ25&gt;=1077550,$AZ25*IF($AZ25&gt;25000000,0.117,IF($AZ25&gt;5000000,0.111,0.1045)),SUMPRODUCT(($AZ25&gt;INDEX('How This Works &amp; Sources'!$B$167:$J$179,0,7))*($AZ25-INDEX('How This Works &amp; Sources'!$B$167:$J$179,0,7))*INDEX('How This Works &amp; Sources'!$B$167:$J$179,0,7+2)))),"")))))))</f>
      </c>
      <c r="BX25" s="7">
        <f>IF($B25="","",IF($AN25="AL",IF(OR($AU25="Married",$AU25="Head of household"),SUMPRODUCT(($AZ25&gt;INDEX('How This Works &amp; Sources'!$B$82:$J$86,0,4))*($AZ25-INDEX('How This Works &amp; Sources'!$B$82:$J$86,0,4))*INDEX('How This Works &amp; Sources'!$B$82:$J$86,0,4+2)),SUMPRODUCT(($AZ25&gt;INDEX('How This Works &amp; Sources'!$B$82:$J$86,0,1))*($AZ25-INDEX('How This Works &amp; Sources'!$B$82:$J$86,0,1))*INDEX('How This Works &amp; Sources'!$B$82:$J$86,0,1+2))),IF($AN25="KS",IF($AU25="Married",SUMPRODUCT(($AZ25&gt;INDEX('How This Works &amp; Sources'!$B$103:$J$109,0,4))*($AZ25-INDEX('How This Works &amp; Sources'!$B$103:$J$109,0,4))*INDEX('How This Works &amp; Sources'!$B$103:$J$109,0,4+2)),SUMPRODUCT(($AZ25&gt;INDEX('How This Works &amp; Sources'!$B$103:$J$109,0,1))*($AZ25-INDEX('How This Works &amp; Sources'!$B$103:$J$109,0,1))*INDEX('How This Works &amp; Sources'!$B$103:$J$109,0,1+2))),IF($AN25="MN",IF($AU25="Married",SUMPRODUCT(($AZ25&gt;INDEX('How This Works &amp; Sources'!$B$114:$J$120,0,7))*($AZ25-INDEX('How This Works &amp; Sources'!$B$114:$J$120,0,7))*INDEX('How This Works &amp; Sources'!$B$114:$J$120,0,7+2)),SUMPRODUCT(($AZ25&gt;INDEX('How This Works &amp; Sources'!$B$114:$J$120,0,4))*($AZ25-INDEX('How This Works &amp; Sources'!$B$114:$J$120,0,4))*INDEX('How This Works &amp; Sources'!$B$114:$J$120,0,4+2))),IF($AN25="NE",MAX(IF($AU25="Married",SUMPRODUCT(($AZ25&gt;INDEX('How This Works &amp; Sources'!$B$144:$J$150,0,7))*($AZ25-INDEX('How This Works &amp; Sources'!$B$144:$J$150,0,7))*INDEX('How This Works &amp; Sources'!$B$144:$J$150,0,7+2)),SUMPRODUCT(($AZ25&gt;INDEX('How This Works &amp; Sources'!$B$144:$J$150,0,4))*($AZ25-INDEX('How This Works &amp; Sources'!$B$144:$J$150,0,4))*INDEX('How This Works &amp; Sources'!$B$144:$J$150,0,4+2))),0.015*$AZ25),IF($AN25="OH",IF($B25&gt;=DATE(2026,8,1),SUMPRODUCT(($AZ25&gt;INDEX('How This Works &amp; Sources'!$B$203:$J$206,0,1))*($AZ25-INDEX('How This Works &amp; Sources'!$B$203:$J$206,0,1))*INDEX('How This Works &amp; Sources'!$B$203:$J$206,0,1+2)),SUMPRODUCT(($AZ25&gt;INDEX('How This Works &amp; Sources'!$B$184:$J$198,0,7))*($AZ25-INDEX('How This Works &amp; Sources'!$B$184:$J$198,0,7))*INDEX('How This Works &amp; Sources'!$B$184:$J$198,0,7+2))),IF($AN25="OK",IF($AU25="Married",SUMPRODUCT(($AZ25&gt;INDEX('How This Works &amp; Sources'!$B$203:$J$206,0,7))*($AZ25-INDEX('How This Works &amp; Sources'!$B$203:$J$206,0,7))*INDEX('How This Works &amp; Sources'!$B$203:$J$206,0,7+2)),SUMPRODUCT(($AZ25&gt;INDEX('How This Works &amp; Sources'!$B$203:$J$206,0,4))*($AZ25-INDEX('How This Works &amp; Sources'!$B$203:$J$206,0,4))*INDEX('How This Works &amp; Sources'!$B$203:$J$206,0,4+2))),IF($AN25="RI",SUMPRODUCT(($AZ25&gt;INDEX('How This Works &amp; Sources'!$B$211:$J$214,0,7))*($AZ25-INDEX('How This Works &amp; Sources'!$B$211:$J$214,0,7))*INDEX('How This Works &amp; Sources'!$B$211:$J$214,0,7+2)),IF($AN25="VT",IF($AU25="Married",SUMPRODUCT(($AZ25&gt;INDEX('How This Works &amp; Sources'!$B$228:$J$232,0,1))*($AZ25-INDEX('How This Works &amp; Sources'!$B$228:$J$232,0,1))*INDEX('How This Works &amp; Sources'!$B$228:$J$232,0,1+2)),SUMPRODUCT(($AZ25&gt;INDEX('How This Works &amp; Sources'!$B$219:$J$223,0,7))*($AZ25-INDEX('How This Works &amp; Sources'!$B$219:$J$223,0,7))*INDEX('How This Works &amp; Sources'!$B$219:$J$223,0,7+2))),IF($AN25="WV",IF($AU25="Married",SUMPRODUCT(($AZ25&gt;INDEX('How This Works &amp; Sources'!$B$237:$J$241,0,7))*($AZ25-INDEX('How This Works &amp; Sources'!$B$237:$J$241,0,7))*INDEX('How This Works &amp; Sources'!$B$237:$J$241,0,7+2)),SUMPRODUCT(($AZ25&gt;INDEX('How This Works &amp; Sources'!$B$228:$J$232,0,7))*($AZ25-INDEX('How This Works &amp; Sources'!$B$228:$J$232,0,7))*INDEX('How This Works &amp; Sources'!$B$228:$J$232,0,7+2))),""))))))))))</f>
      </c>
      <c r="BY25" s="7">
        <f>IF($B25="","",IF($AN25="AR",SUMPRODUCT(($AZ25&gt;INDEX('How This Works &amp; Sources'!$B$82:$J$86,0,7))*($AZ25-INDEX('How This Works &amp; Sources'!$B$82:$J$86,0,7))*INDEX('How This Works &amp; Sources'!$B$82:$J$86,0,7+2)),IF($AN25="DE",SUMPRODUCT(($AZ25&gt;INDEX('How This Works &amp; Sources'!$B$91:$J$98,0,1))*($AZ25-INDEX('How This Works &amp; Sources'!$B$91:$J$98,0,1))*INDEX('How This Works &amp; Sources'!$B$91:$J$98,0,1+2)),IF($AN25="HI",IF($AU25="Married",SUMPRODUCT(($AZ25&gt;INDEX('How This Works &amp; Sources'!$B$91:$J$98,0,7))*($AZ25-INDEX('How This Works &amp; Sources'!$B$91:$J$98,0,7))*INDEX('How This Works &amp; Sources'!$B$91:$J$98,0,7+2)),SUMPRODUCT(($AZ25&gt;INDEX('How This Works &amp; Sources'!$B$91:$J$98,0,4))*($AZ25-INDEX('How This Works &amp; Sources'!$B$91:$J$98,0,4))*INDEX('How This Works &amp; Sources'!$B$91:$J$98,0,4+2))),IF($AN25="SC",SUMPRODUCT(($AZ25&gt;INDEX('How This Works &amp; Sources'!$B$219:$J$223,0,1))*($AZ25-INDEX('How This Works &amp; Sources'!$B$219:$J$223,0,1))*INDEX('How This Works &amp; Sources'!$B$219:$J$223,0,1+2)),IF($AN25="VA",SUMPRODUCT(($AZ25&gt;INDEX('How This Works &amp; Sources'!$B$219:$J$223,0,4))*($AZ25-INDEX('How This Works &amp; Sources'!$B$219:$J$223,0,4))*INDEX('How This Works &amp; Sources'!$B$219:$J$223,0,4+2)),IF($AN25="WI",SUMPRODUCT(($AZ25&gt;INDEX('How This Works &amp; Sources'!$B$228:$J$232,0,4))*($AZ25-INDEX('How This Works &amp; Sources'!$B$228:$J$232,0,4))*INDEX('How This Works &amp; Sources'!$B$228:$J$232,0,4+2)),"")))))))</f>
      </c>
      <c r="BZ25" s="24">
        <f>IF($B25="","",IF($AN25="NJ",IF('Your Pay &amp; Benefits'!$C$77="B",SUMPRODUCT(($AZ25&gt;=INDEX('How This Works &amp; Sources'!$B$155:$J$162,0,4))*INDEX('How This Works &amp; Sources'!$B$155:$J$162,0,4+2)),IF('Your Pay &amp; Benefits'!$C$77="C",SUMPRODUCT(($AZ25&gt;=INDEX('How This Works &amp; Sources'!$B$155:$J$162,0,7))*INDEX('How This Works &amp; Sources'!$B$155:$J$162,0,7+2)),IF('Your Pay &amp; Benefits'!$C$77="D",SUMPRODUCT(($AZ25&gt;=INDEX('How This Works &amp; Sources'!$B$167:$J$179,0,1))*INDEX('How This Works &amp; Sources'!$B$167:$J$179,0,1+2)),IF('Your Pay &amp; Benefits'!$C$77="E",SUMPRODUCT(($AZ25&gt;=INDEX('How This Works &amp; Sources'!$B$167:$J$179,0,4))*INDEX('How This Works &amp; Sources'!$B$167:$J$179,0,4+2)),SUMPRODUCT(($AZ25&gt;=INDEX('How This Works &amp; Sources'!$B$155:$J$162,0,1))*INDEX('How This Works &amp; Sources'!$B$155:$J$162,0,1+2)))))),IF($AN25="OR",IF(OR($AU25="Married",AND($AU25="Single",$AS25&gt;=3)),SUMPRODUCT((MAX(0,$AY25-MIN(($P25-'How This Works &amp; Sources'!$C$10*$D25)*'Your Pay &amp; Benefits'!$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Sources'!$B$211:$J$214,0,4))*INDEX('How This Works &amp; Sources'!$B$211:$J$214,0,4+2)),SUMPRODUCT((MAX(0,$AY25-MIN(($P25-'How This Works &amp; Sources'!$C$10*$D25)*'Your Pay &amp; Benefits'!$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Sources'!$B$211:$J$214,0,1))*INDEX('How This Works &amp; Sources'!$B$211:$J$214,0,1+2)))*IF(($P25-'How This Works &amp; Sources'!$C$10*$D25)*'Your Pay &amp; Benefits'!$C$8&gt;=IF(OR($AU25="Married",AND($AU25="Single",$AS25&gt;=3)),IF($AY25&lt;250000,8750,IF($AY25&lt;260000,7000,IF($AY25&lt;270000,5250,IF($AY25&lt;280000,3500,IF($AY25&lt;290000,1750,0))))),IF($AY25&lt;125000,8750,IF($AY25&lt;130000,7000,IF($AY25&lt;135000,5250,IF($AY25&lt;140000,3500,IF($AY25&lt;145000,1750,0)))))),1,1-IF('Your Pay &amp; Benefits'!$C$13,SUMPRODUCT(($AH25&gt;=INDEX('How This Works &amp; Sources'!$B$29:$J$36,0,IF('Your Pay &amp; Benefits'!$C$12="MFJ",1,IF('Your Pay &amp; Benefits'!$C$12="HoH",7,4))))*INDEX('How This Works &amp; Sources'!$B$29:$J$36,0,IF('Your Pay &amp; Benefits'!$C$12="MFJ",1,IF('Your Pay &amp; Benefits'!$C$12="HoH",7,4))+2)),SUMPRODUCT(($AH25&gt;=INDEX('How This Works &amp; Sources'!$B$19:$J$26,0,IF('Your Pay &amp; Benefits'!$C$12="MFJ",1,IF('Your Pay &amp; Benefits'!$C$12="HoH",7,4))))*INDEX('How This Works &amp; Sources'!$B$19:$J$26,0,IF('Your Pay &amp; Benefits'!$C$12="MFJ",1,IF('Your Pay &amp; Benefits'!$C$12="HoH",7,4))+2)))),IF($AN25="MI",IF($AY25&gt;5900*$AS25,0.0425,0),""))))</f>
      </c>
      <c r="CA25" s="24">
        <f>IF($B25="","",IF($AN25="AL",IF(OR($AU25="Married",$AU25="Head of household"),SUMPRODUCT(($AZ25&gt;=INDEX('How This Works &amp; Sources'!$B$82:$J$86,0,4))*INDEX('How This Works &amp; Sources'!$B$82:$J$86,0,4+2)),SUMPRODUCT(($AZ25&gt;=INDEX('How This Works &amp; Sources'!$B$82:$J$86,0,1))*INDEX('How This Works &amp; Sources'!$B$82:$J$86,0,1+2)))*(1-IF('Your Pay &amp; Benefits'!$C$13,SUMPRODUCT(($AH25&gt;=INDEX('How This Works &amp; Sources'!$B$29:$J$36,0,IF('Your Pay &amp; Benefits'!$C$12="MFJ",1,IF('Your Pay &amp; Benefits'!$C$12="HoH",7,4))))*INDEX('How This Works &amp; Sources'!$B$29:$J$36,0,IF('Your Pay &amp; Benefits'!$C$12="MFJ",1,IF('Your Pay &amp; Benefits'!$C$12="HoH",7,4))+2)),SUMPRODUCT(($AH25&gt;=INDEX('How This Works &amp; Sources'!$B$19:$J$26,0,IF('Your Pay &amp; Benefits'!$C$12="MFJ",1,IF('Your Pay &amp; Benefits'!$C$12="HoH",7,4))))*INDEX('How This Works &amp; Sources'!$B$19:$J$26,0,IF('Your Pay &amp; Benefits'!$C$12="MFJ",1,IF('Your Pay &amp; Benefits'!$C$12="HoH",7,4))+2)))),IF($AN25="KS",IF($AU25="Married",SUMPRODUCT(($AZ25&gt;=INDEX('How This Works &amp; Sources'!$B$103:$J$109,0,4))*INDEX('How This Works &amp; Sources'!$B$103:$J$109,0,4+2)),SUMPRODUCT(($AZ25&gt;=INDEX('How This Works &amp; Sources'!$B$103:$J$109,0,1))*INDEX('How This Works &amp; Sources'!$B$103:$J$109,0,1+2))),IF($AN25="MD",IF(OR($AU25="Married",$AU25="Head of household"),SUMPRODUCT(($AZ25&gt;=INDEX('How This Works &amp; Sources'!$B$114:$J$120,0,1))*INDEX('How This Works &amp; Sources'!$B$114:$J$120,0,1+2)),SUMPRODUCT(($AZ25&gt;=INDEX('How This Works &amp; Sources'!$B$103:$J$109,0,7))*INDEX('How This Works &amp; Sources'!$B$103:$J$109,0,7+2)))+'Your Pay &amp; Benefits'!$C$74,IF($AN25="MT",IF($AU25="Head of household",SUMPRODUCT(($AZ25&gt;=INDEX('How This Works &amp; Sources'!$B$137:$J$139,0,1))*INDEX('How This Works &amp; Sources'!$B$137:$J$139,0,1+2)),IF($AU25="Married",SUMPRODUCT(($AZ25&gt;=INDEX('How This Works &amp; Sources'!$B$125:$J$132,0,7))*INDEX('How This Works &amp; Sources'!$B$125:$J$132,0,7+2)),SUMPRODUCT(($AZ25&gt;=INDEX('How This Works &amp; Sources'!$B$125:$J$132,0,4))*INDEX('How This Works &amp; Sources'!$B$125:$J$132,0,4+2)))),IF($AN25="ND",IF($AU25="Head of household",SUMPRODUCT(($AZ25&gt;=INDEX('How This Works &amp; Sources'!$B$144:$J$150,0,1))*INDEX('How This Works &amp; Sources'!$B$144:$J$150,0,1+2)),IF($AU25="Married",SUMPRODUCT(($AZ25&gt;=INDEX('How This Works &amp; Sources'!$B$137:$J$139,0,7))*INDEX('How This Works &amp; Sources'!$B$137:$J$139,0,7+2)),SUMPRODUCT(($AZ25&gt;=INDEX('How This Works &amp; Sources'!$B$137:$J$139,0,4))*INDEX('How This Works &amp; Sources'!$B$137:$J$139,0,4+2)))),IF($AN25="NY",IF($AU25="Married",IF($AZ25&gt;=2155350,IF($AZ25&gt;25000000,0.117,IF($AZ25&gt;5000000,0.111,0.1045)),SUMPRODUCT(($AZ25&gt;=INDEX('How This Works &amp; Sources'!$B$184:$J$198,0,1))*INDEX('How This Works &amp; Sources'!$B$184:$J$198,0,1+2))),IF($AZ25&gt;=1077550,IF($AZ25&gt;25000000,0.117,IF($AZ25&gt;5000000,0.111,0.1045)),SUMPRODUCT(($AZ25&gt;=INDEX('How This Works &amp; Sources'!$B$167:$J$179,0,7))*INDEX('How This Works &amp; Sources'!$B$167:$J$179,0,7+2)))),"")))))))</f>
      </c>
      <c r="CB25" s="24">
        <f>IF($B25="","",IF($AN25="CA",SUMPRODUCT(($AJ25&gt;=INDEX('How This Works &amp; Sources'!$B$39:$J$48,0,IF($AU25="Married",4,IF($AU25="Head of household",7,1))))*INDEX('How This Works &amp; Sources'!$B$39:$J$48,0,IF($AU25="Married",4,IF($AU25="Head of household",7,1))+2)),IF($AN25="HI",IF($AU25="Married",SUMPRODUCT(($AZ25&gt;=INDEX('How This Works &amp; Sources'!$B$91:$J$98,0,7))*INDEX('How This Works &amp; Sources'!$B$91:$J$98,0,7+2)),SUMPRODUCT(($AZ25&gt;=INDEX('How This Works &amp; Sources'!$B$91:$J$98,0,4))*INDEX('How This Works &amp; Sources'!$B$91:$J$98,0,4+2))),IF($AN25="MN",IF($AU25="Married",SUMPRODUCT(($AZ25&gt;=INDEX('How This Works &amp; Sources'!$B$114:$J$120,0,7))*INDEX('How This Works &amp; Sources'!$B$114:$J$120,0,7+2)),SUMPRODUCT(($AZ25&gt;=INDEX('How This Works &amp; Sources'!$B$114:$J$120,0,4))*INDEX('How This Works &amp; Sources'!$B$114:$J$120,0,4+2))),IF($AN25="MO",SUMPRODUCT(($AZ25&gt;=INDEX('How This Works &amp; Sources'!$B$125:$J$132,0,1))*INDEX('How This Works &amp; Sources'!$B$125:$J$132,0,1+2)),IF($AN25="NE",MAX(IF($AU25="Married",SUMPRODUCT(($AZ25&gt;=INDEX('How This Works &amp; Sources'!$B$144:$J$150,0,7))*INDEX('How This Works &amp; Sources'!$B$144:$J$150,0,7+2)),SUMPRODUCT(($AZ25&gt;=INDEX('How This Works &amp; Sources'!$B$144:$J$150,0,4))*INDEX('How This Works &amp; Sources'!$B$144:$J$150,0,4+2))),0.015),IF($AN25="OH",IF($B25&gt;=DATE(2026,8,1),SUMPRODUCT(($AZ25&gt;=INDEX('How This Works &amp; Sources'!$B$203:$J$206,0,1))*INDEX('How This Works &amp; Sources'!$B$203:$J$206,0,1+2)),SUMPRODUCT(($AZ25&gt;=INDEX('How This Works &amp; Sources'!$B$184:$J$198,0,7))*INDEX('How This Works &amp; Sources'!$B$184:$J$198,0,7+2))),IF($AN25="OK",IF($AU25="Married",SUMPRODUCT(($AZ25&gt;=INDEX('How This Works &amp; Sources'!$B$203:$J$206,0,7))*INDEX('How This Works &amp; Sources'!$B$203:$J$206,0,7+2)),SUMPRODUCT(($AZ25&gt;=INDEX('How This Works &amp; Sources'!$B$203:$J$206,0,4))*INDEX('How This Works &amp; Sources'!$B$203:$J$206,0,4+2))),IF($AN25="RI",SUMPRODUCT(($AZ25&gt;=INDEX('How This Works &amp; Sources'!$B$211:$J$214,0,7))*INDEX('How This Works &amp; Sources'!$B$211:$J$214,0,7+2)),IF($AN25="SC",SUMPRODUCT(($AZ25&gt;=INDEX('How This Works &amp; Sources'!$B$219:$J$223,0,1))*INDEX('How This Works &amp; Sources'!$B$219:$J$223,0,1+2)),IF($AN25="VT",IF($AU25="Married",SUMPRODUCT(($AZ25&gt;=INDEX('How This Works &amp; Sources'!$B$228:$J$232,0,1))*INDEX('How This Works &amp; Sources'!$B$228:$J$232,0,1+2)),SUMPRODUCT(($AZ25&gt;=INDEX('How This Works &amp; Sources'!$B$219:$J$223,0,7))*INDEX('How This Works &amp; Sources'!$B$219:$J$223,0,7+2))),IF($AN25="WV",IF($AU25="Married",SUMPRODUCT(($AZ25&gt;=INDEX('How This Works &amp; Sources'!$B$237:$J$241,0,7))*INDEX('How This Works &amp; Sources'!$B$237:$J$241,0,7+2)),SUMPRODUCT(($AZ25&gt;=INDEX('How This Works &amp; Sources'!$B$228:$J$232,0,7))*INDEX('How This Works &amp; Sources'!$B$228:$J$232,0,7+2))),IF($AN25="IN",(0.0295+'Your Pay &amp; Benefits'!$C$76),"")))))))))))))</f>
      </c>
      <c r="CC25" s="24">
        <f>IF($B25="","",IF($AN25="AR",SUMPRODUCT(($AZ25&gt;=INDEX('How This Works &amp; Sources'!$B$82:$J$86,0,7))*INDEX('How This Works &amp; Sources'!$B$82:$J$86,0,7+2)),IF($AN25="DE",SUMPRODUCT(($AZ25&gt;=INDEX('How This Works &amp; Sources'!$B$91:$J$98,0,1))*INDEX('How This Works &amp; Sources'!$B$91:$J$98,0,1+2)),IF($AN25="VA",SUMPRODUCT(($AZ25&gt;=INDEX('How This Works &amp; Sources'!$B$219:$J$223,0,4))*INDEX('How This Works &amp; Sources'!$B$219:$J$223,0,4+2)),IF($AN25="WI",SUMPRODUCT(($AZ25&gt;=INDEX('How This Works &amp; Sources'!$B$228:$J$232,0,4))*INDEX('How This Works &amp; Sources'!$B$228:$J$232,0,4+2)),IF($AN25="AZ",'Your Pay &amp; Benefits'!$C$82,IF($AN25="CO",IF($AY25&gt;IF($AU25="Married",10000,5000),0.044,0),IF($AN25="IA",IF($AY25&gt;IF($AU25="Head of household",19500,IF($AU25="Married",26000,13000)),0.038,0),IF($AN25="ID",IF($AY25&gt;IF($AU25="Married",32000,16094),0.053,0),IF($AN25="IL",IF($AY25&gt;(2925*$AS25+1000*$AT25),0.0495,0),IF($AN25="KY",IF($AI25&gt;3360,0.035,0),IF($AN25="LA",0.0309,IF($AN25="MA",IF(MAX(0,$AY25-MIN(($BD24+$Q25+$R25+$S25),2000)-IF($AS25=0,0,IF($AS25=1,4400,1000*$AS25+3400)))&gt;=1107750,0.09,0.05),IF($AN25="MS",IF($AI25-IF($AU25="Head of household",3400,IF($AU25="Married",4600,2300))-'Your Pay &amp; Benefits'!$C$85&gt;10000,0.04,0),IF($AN25="PA",0.0307,"")))))))))))))))</f>
      </c>
      <c r="CD25" s="21">
        <f>IF(YEAR(IF('Your Pay &amp; Benefits'!$C$7="Weekly",'Your Pay &amp; Benefits'!$C$9+7*(($BE24+1)-1),IF('Your Pay &amp; Benefits'!$C$7="Biweekly",'Your Pay &amp; Benefits'!$C$9+14*(($BE24+1)-1),IF('Your Pay &amp; Benefits'!$C$7="Semimonthly",DATE(YEAR('Your Pay &amp; Benefits'!$C$9),MONTH('Your Pay &amp; Benefits'!$C$9)+INT((($BE24+1)-1)/2),MIN(DAY('Your Pay &amp; Benefits'!$C$9),DAY(EOMONTH(DATE(YEAR('Your Pay &amp; Benefits'!$C$9),MONTH('Your Pay &amp; Benefits'!$C$9)+INT((($BE24+1)-1)/2),1),0))))+IF(MOD(($BE24+1)-1,2)=1,15,0),EDATE('Your Pay &amp; Benefits'!$C$9,($BE24+1)-1)))))&lt;&gt;'Your Pay &amp; Benefits'!$C$10,"",IF('Your Pay &amp; Benefits'!$C$7="Weekly",'Your Pay &amp; Benefits'!$C$9+7*(($BE24+1)-1),IF('Your Pay &amp; Benefits'!$C$7="Biweekly",'Your Pay &amp; Benefits'!$C$9+14*(($BE24+1)-1),IF('Your Pay &amp; Benefits'!$C$7="Semimonthly",DATE(YEAR('Your Pay &amp; Benefits'!$C$9),MONTH('Your Pay &amp; Benefits'!$C$9)+INT((($BE24+1)-1)/2),MIN(DAY('Your Pay &amp; Benefits'!$C$9),DAY(EOMONTH(DATE(YEAR('Your Pay &amp; Benefits'!$C$9),MONTH('Your Pay &amp; Benefits'!$C$9)+INT((($BE24+1)-1)/2),1),0))))+IF(MOD(($BE24+1)-1,2)=1,15,0),EDATE('Your Pay &amp; Benefits'!$C$9,($BE24+1)-1)))))</f>
      </c>
      <c r="CE25" s="21">
        <f>IF(MIN(IF(AND('Your Pay &amp; Benefits'!$C$58&gt;MAX($B$6:$B24),'Your Pay &amp; Benefits'!$C$58&gt;=DATE('Your Pay &amp; Benefits'!$C$10,1,1),'Your Pay &amp; Benefits'!$C$58&lt;=DATE('Your Pay &amp; Benefits'!$C$10,12,31)),'Your Pay &amp; Benefits'!$C$58,999999),IF(AND('Your Pay &amp; Benefits'!$C$59&gt;MAX($B$6:$B24),'Your Pay &amp; Benefits'!$C$59&gt;=DATE('Your Pay &amp; Benefits'!$C$10,1,1),'Your Pay &amp; Benefits'!$C$59&lt;=DATE('Your Pay &amp; Benefits'!$C$10,12,31)),'Your Pay &amp; Benefits'!$C$59,999999),IF(AND('Your Pay &amp; Benefits'!$C$60&gt;MAX($B$6:$B24),'Your Pay &amp; Benefits'!$C$60&gt;=DATE('Your Pay &amp; Benefits'!$C$10,1,1),'Your Pay &amp; Benefits'!$C$60&lt;=DATE('Your Pay &amp; Benefits'!$C$10,12,31)),'Your Pay &amp; Benefits'!$C$60,999999),IF(AND('Your Pay &amp; Benefits'!$C$61&gt;MAX($B$6:$B24),'Your Pay &amp; Benefits'!$C$61&gt;=DATE('Your Pay &amp; Benefits'!$C$10,1,1),'Your Pay &amp; Benefits'!$C$61&lt;=DATE('Your Pay &amp; Benefits'!$C$10,12,31)),'Your Pay &amp; Benefits'!$C$61,999999),IF(AND('Your Pay &amp; Benefits'!$C$62&gt;MAX($B$6:$B24),'Your Pay &amp; Benefits'!$C$62&gt;=DATE('Your Pay &amp; Benefits'!$C$10,1,1),'Your Pay &amp; Benefits'!$C$62&lt;=DATE('Your Pay &amp; Benefits'!$C$10,12,31)),'Your Pay &amp; Benefits'!$C$62,999999),IF(AND('Your Pay &amp; Benefits'!$C$63&gt;MAX($B$6:$B24),'Your Pay &amp; Benefits'!$C$63&gt;=DATE('Your Pay &amp; Benefits'!$C$10,1,1),'Your Pay &amp; Benefits'!$C$63&lt;=DATE('Your Pay &amp; Benefits'!$C$10,12,31)),'Your Pay &amp; Benefits'!$C$63,999999),IF(AND('Your Pay &amp; Benefits'!$C$64&gt;MAX($B$6:$B24),'Your Pay &amp; Benefits'!$C$64&gt;=DATE('Your Pay &amp; Benefits'!$C$10,1,1),'Your Pay &amp; Benefits'!$C$64&lt;=DATE('Your Pay &amp; Benefits'!$C$10,12,31)),'Your Pay &amp; Benefits'!$C$64,999999),IF(AND('Your Pay &amp; Benefits'!$C$65&gt;MAX($B$6:$B24),'Your Pay &amp; Benefits'!$C$65&gt;=DATE('Your Pay &amp; Benefits'!$C$10,1,1),'Your Pay &amp; Benefits'!$C$65&lt;=DATE('Your Pay &amp; Benefits'!$C$10,12,31)),'Your Pay &amp; Benefits'!$C$65,999999),IF(AND('Your Pay &amp; Benefits'!$C$66&gt;MAX($B$6:$B24),'Your Pay &amp; Benefits'!$C$66&gt;=DATE('Your Pay &amp; Benefits'!$C$10,1,1),'Your Pay &amp; Benefits'!$C$66&lt;=DATE('Your Pay &amp; Benefits'!$C$10,12,31)),'Your Pay &amp; Benefits'!$C$66,999999),IF(AND('Your Pay &amp; Benefits'!$C$67&gt;MAX($B$6:$B24),'Your Pay &amp; Benefits'!$C$67&gt;=DATE('Your Pay &amp; Benefits'!$C$10,1,1),'Your Pay &amp; Benefits'!$C$67&lt;=DATE('Your Pay &amp; Benefits'!$C$10,12,31)),'Your Pay &amp; Benefits'!$C$67,999999))=999999,"",MIN(IF(AND('Your Pay &amp; Benefits'!$C$58&gt;MAX($B$6:$B24),'Your Pay &amp; Benefits'!$C$58&gt;=DATE('Your Pay &amp; Benefits'!$C$10,1,1),'Your Pay &amp; Benefits'!$C$58&lt;=DATE('Your Pay &amp; Benefits'!$C$10,12,31)),'Your Pay &amp; Benefits'!$C$58,999999),IF(AND('Your Pay &amp; Benefits'!$C$59&gt;MAX($B$6:$B24),'Your Pay &amp; Benefits'!$C$59&gt;=DATE('Your Pay &amp; Benefits'!$C$10,1,1),'Your Pay &amp; Benefits'!$C$59&lt;=DATE('Your Pay &amp; Benefits'!$C$10,12,31)),'Your Pay &amp; Benefits'!$C$59,999999),IF(AND('Your Pay &amp; Benefits'!$C$60&gt;MAX($B$6:$B24),'Your Pay &amp; Benefits'!$C$60&gt;=DATE('Your Pay &amp; Benefits'!$C$10,1,1),'Your Pay &amp; Benefits'!$C$60&lt;=DATE('Your Pay &amp; Benefits'!$C$10,12,31)),'Your Pay &amp; Benefits'!$C$60,999999),IF(AND('Your Pay &amp; Benefits'!$C$61&gt;MAX($B$6:$B24),'Your Pay &amp; Benefits'!$C$61&gt;=DATE('Your Pay &amp; Benefits'!$C$10,1,1),'Your Pay &amp; Benefits'!$C$61&lt;=DATE('Your Pay &amp; Benefits'!$C$10,12,31)),'Your Pay &amp; Benefits'!$C$61,999999),IF(AND('Your Pay &amp; Benefits'!$C$62&gt;MAX($B$6:$B24),'Your Pay &amp; Benefits'!$C$62&gt;=DATE('Your Pay &amp; Benefits'!$C$10,1,1),'Your Pay &amp; Benefits'!$C$62&lt;=DATE('Your Pay &amp; Benefits'!$C$10,12,31)),'Your Pay &amp; Benefits'!$C$62,999999),IF(AND('Your Pay &amp; Benefits'!$C$63&gt;MAX($B$6:$B24),'Your Pay &amp; Benefits'!$C$63&gt;=DATE('Your Pay &amp; Benefits'!$C$10,1,1),'Your Pay &amp; Benefits'!$C$63&lt;=DATE('Your Pay &amp; Benefits'!$C$10,12,31)),'Your Pay &amp; Benefits'!$C$63,999999),IF(AND('Your Pay &amp; Benefits'!$C$64&gt;MAX($B$6:$B24),'Your Pay &amp; Benefits'!$C$64&gt;=DATE('Your Pay &amp; Benefits'!$C$10,1,1),'Your Pay &amp; Benefits'!$C$64&lt;=DATE('Your Pay &amp; Benefits'!$C$10,12,31)),'Your Pay &amp; Benefits'!$C$64,999999),IF(AND('Your Pay &amp; Benefits'!$C$65&gt;MAX($B$6:$B24),'Your Pay &amp; Benefits'!$C$65&gt;=DATE('Your Pay &amp; Benefits'!$C$10,1,1),'Your Pay &amp; Benefits'!$C$65&lt;=DATE('Your Pay &amp; Benefits'!$C$10,12,31)),'Your Pay &amp; Benefits'!$C$65,999999),IF(AND('Your Pay &amp; Benefits'!$C$66&gt;MAX($B$6:$B24),'Your Pay &amp; Benefits'!$C$66&gt;=DATE('Your Pay &amp; Benefits'!$C$10,1,1),'Your Pay &amp; Benefits'!$C$66&lt;=DATE('Your Pay &amp; Benefits'!$C$10,12,31)),'Your Pay &amp; Benefits'!$C$66,999999),IF(AND('Your Pay &amp; Benefits'!$C$67&gt;MAX($B$6:$B24),'Your Pay &amp; Benefits'!$C$67&gt;=DATE('Your Pay &amp; Benefits'!$C$10,1,1),'Your Pay &amp; Benefits'!$C$67&lt;=DATE('Your Pay &amp; Benefits'!$C$10,12,31)),'Your Pay &amp; Benefits'!$C$67,999999)))</f>
      </c>
      <c r="CF25">
        <f>IF($B25="","",IF($D25=0,$Y25,""))</f>
      </c>
    </row>
    <row r="26">
      <c r="A26" t="n">
        <v>21</v>
      </c>
      <c r="B26" s="21">
        <f>IF(AND($CD26="",$CE26=""),"",IF($CE26="",$CD26,IF($CD26="",$CE26,MIN($CD26,$CE26))))</f>
      </c>
      <c r="C26" s="7">
        <f>IF($B26="","",IF($BF26=0,0,IF('Your Pay &amp; Benefits'!$C$4="Annual salary",ROUND($AK26/IF(AND('Your Pay &amp; Benefits'!$C$88="Actual paydays",MONTH('Your Pay &amp; Benefits'!$C$9)=1),MAX(1,MAX($BE$6:$BE$68)),'Your Pay &amp; Benefits'!$C$8),2),$AK26)))</f>
      </c>
      <c r="D26" s="7">
        <f>IF($B26="","",SUMIF('Your Pay &amp; Benefits'!$C$58:$C$67,$B26,'Your Pay &amp; Benefits'!$D$58:$D$67))</f>
      </c>
      <c r="E26" s="7">
        <f>IF($B26="","",ROUND(MAX(0,MIN(IF($AL26="Percent",$AM26*($C26+$D26),$AM26),MAX(0,'Your Pay &amp; Benefits'!$C$34-$AC25))),2))</f>
      </c>
      <c r="F26" s="7">
        <f>IF($B26="","",ROUND(MAX(0,MIN(IF('Your Pay &amp; Benefits'!$C$32="Percent",'Your Pay &amp; Benefits'!$D$32*($C26+$D26),'Your Pay &amp; Benefits'!$D$32),MAX(0,'Your Pay &amp; Benefits'!$C$34-$AC25-$E26))),2))</f>
      </c>
      <c r="G26" s="7">
        <f>IF($B26="","",IF($BF26=0,0,ROUND(MAX(0,MIN($BL26,'Your Pay &amp; Benefits'!$C$37-'Your Pay &amp; Benefits'!$C$54-$BI25)),2)))</f>
      </c>
      <c r="H26" s="7">
        <f>IF($B26="","",IF(OR($BF26=0,$BQ26=1),0,ROUND(MAX(0,MIN(IF($BS26=1,ROUND(MAX(0,MIN($BJ26,'How This Works &amp; Sources'!$C$13)-$BG25)/MAX(1,MAX($BE$6:$BE$68)-($BE25)),2),ROUND(MIN($BJ26,'How This Works &amp; Sources'!$C$13)/'Your Pay &amp; Benefits'!$C$8,2)),MIN($BJ26,'How This Works &amp; Sources'!$C$13)-$BG25)),2)))</f>
      </c>
      <c r="I26" s="7">
        <f>IF($B26="","",IF(OR($BF26=0,$BR26=1),0,ROUND(MAX(0,MIN(IF($BT26=1,ROUND(MAX(0,MIN($BK26,IF('Your Pay &amp; Benefits'!$C$12="MFJ",'How This Works &amp; Sources'!$C$14,'How This Works &amp; Sources'!$C$15))-$BH25)/MAX(1,MAX($BE$6:$BE$68)-($BE25)),2),ROUND(MIN($BK26,IF('Your Pay &amp; Benefits'!$C$12="MFJ",'How This Works &amp; Sources'!$C$14,'How This Works &amp; Sources'!$C$15))/'Your Pay &amp; Benefits'!$C$8,2)),MIN($BK26,IF('Your Pay &amp; Benefits'!$C$12="MFJ",'How This Works &amp; Sources'!$C$14,'How This Works &amp; Sources'!$C$15))-$BH25)),2)))</f>
      </c>
      <c r="J26" s="7">
        <f>IF($B26="","",IF($BF26=0,0,$BM26))</f>
      </c>
      <c r="K26" s="7">
        <f>IF($B26="","",IF($BF26=0,0,$BN26+$BO26))</f>
      </c>
      <c r="L26" s="7">
        <f>IF($B26="","",IF($BF26=0,0,'Your Pay &amp; Benefits'!$D$46))</f>
      </c>
      <c r="M26" s="7">
        <f>IF($B26="","",$C26+$D26+$L26-$E26-$G26-$H26-$I26-$J26-$K26)</f>
      </c>
      <c r="N26" s="7">
        <f>IF($B26="","",$C26+$D26+$L26-$G26-$H26-$I26-$J26-$K26)</f>
      </c>
      <c r="O26" s="7">
        <f>IF($B26="","",$C26+$D26+$L26-$E26-$H26-$I26-$J26-$K26-IF(OR($AN26="CA",$AN26="NJ"),0,$G26))</f>
      </c>
      <c r="P26" s="7">
        <f>IF($B26="","",IF('Your Pay &amp; Benefits'!$C$18,0,ROUND(MAX(0,IF('Your Pay &amp; Benefits'!$C$13,SUMPRODUCT(($AH26&gt;INDEX('How This Works &amp; Sources'!$B$29:$J$36,0,IF('Your Pay &amp; Benefits'!$C$12="MFJ",1,IF('Your Pay &amp; Benefits'!$C$12="HoH",7,4))))*($AH26-INDEX('How This Works &amp; Sources'!$B$29:$J$36,0,IF('Your Pay &amp; Benefits'!$C$12="MFJ",1,IF('Your Pay &amp; Benefits'!$C$12="HoH",7,4))))*INDEX('How This Works &amp; Sources'!$B$29:$J$36,0,IF('Your Pay &amp; Benefits'!$C$12="MFJ",1,IF('Your Pay &amp; Benefits'!$C$12="HoH",7,4))+2)),SUMPRODUCT(($AH26&gt;INDEX('How This Works &amp; Sources'!$B$19:$J$26,0,IF('Your Pay &amp; Benefits'!$C$12="MFJ",1,IF('Your Pay &amp; Benefits'!$C$12="HoH",7,4))))*($AH26-INDEX('How This Works &amp; Sources'!$B$19:$J$26,0,IF('Your Pay &amp; Benefits'!$C$12="MFJ",1,IF('Your Pay &amp; Benefits'!$C$12="HoH",7,4))))*INDEX('How This Works &amp; Sources'!$B$19:$J$26,0,IF('Your Pay &amp; Benefits'!$C$12="MFJ",1,IF('Your Pay &amp; Benefits'!$C$12="HoH",7,4))+2)))/'Your Pay &amp; Benefits'!$C$8-$AO26/'Your Pay &amp; Benefits'!$C$8)+$AR26+IF('Your Pay &amp; Benefits'!$C$89="Aggregate",MAX(0,IF('Your Pay &amp; Benefits'!$C$13,SUMPRODUCT((($AH26+$D26)&gt;INDEX('How This Works &amp; Sources'!$B$29:$J$36,0,IF('Your Pay &amp; Benefits'!$C$12="MFJ",1,IF('Your Pay &amp; Benefits'!$C$12="HoH",7,4))))*(($AH26+$D26)-INDEX('How This Works &amp; Sources'!$B$29:$J$36,0,IF('Your Pay &amp; Benefits'!$C$12="MFJ",1,IF('Your Pay &amp; Benefits'!$C$12="HoH",7,4))))*INDEX('How This Works &amp; Sources'!$B$29:$J$36,0,IF('Your Pay &amp; Benefits'!$C$12="MFJ",1,IF('Your Pay &amp; Benefits'!$C$12="HoH",7,4))+2)),SUMPRODUCT((($AH26+$D26)&gt;INDEX('How This Works &amp; Sources'!$B$19:$J$26,0,IF('Your Pay &amp; Benefits'!$C$12="MFJ",1,IF('Your Pay &amp; Benefits'!$C$12="HoH",7,4))))*(($AH26+$D26)-INDEX('How This Works &amp; Sources'!$B$19:$J$26,0,IF('Your Pay &amp; Benefits'!$C$12="MFJ",1,IF('Your Pay &amp; Benefits'!$C$12="HoH",7,4))))*INDEX('How This Works &amp; Sources'!$B$19:$J$26,0,IF('Your Pay &amp; Benefits'!$C$12="MFJ",1,IF('Your Pay &amp; Benefits'!$C$12="HoH",7,4))+2)))-IF('Your Pay &amp; Benefits'!$C$13,SUMPRODUCT(($AH26&gt;INDEX('How This Works &amp; Sources'!$B$29:$J$36,0,IF('Your Pay &amp; Benefits'!$C$12="MFJ",1,IF('Your Pay &amp; Benefits'!$C$12="HoH",7,4))))*($AH26-INDEX('How This Works &amp; Sources'!$B$29:$J$36,0,IF('Your Pay &amp; Benefits'!$C$12="MFJ",1,IF('Your Pay &amp; Benefits'!$C$12="HoH",7,4))))*INDEX('How This Works &amp; Sources'!$B$29:$J$36,0,IF('Your Pay &amp; Benefits'!$C$12="MFJ",1,IF('Your Pay &amp; Benefits'!$C$12="HoH",7,4))+2)),SUMPRODUCT(($AH26&gt;INDEX('How This Works &amp; Sources'!$B$19:$J$26,0,IF('Your Pay &amp; Benefits'!$C$12="MFJ",1,IF('Your Pay &amp; Benefits'!$C$12="HoH",7,4))))*($AH26-INDEX('How This Works &amp; Sources'!$B$19:$J$26,0,IF('Your Pay &amp; Benefits'!$C$12="MFJ",1,IF('Your Pay &amp; Benefits'!$C$12="HoH",7,4))))*INDEX('How This Works &amp; Sources'!$B$19:$J$26,0,IF('Your Pay &amp; Benefits'!$C$12="MFJ",1,IF('Your Pay &amp; Benefits'!$C$12="HoH",7,4))+2)))),'How This Works &amp; Sources'!$C$10*$D26),2)))</f>
      </c>
      <c r="Q26" s="7">
        <f>IF($B26="","",ROUND('How This Works &amp; Sources'!$C$4*MIN($N26,MAX(0,'How This Works &amp; Sources'!$C$3-($AX26+$AB25-$AW26))),2))</f>
      </c>
      <c r="R26" s="7">
        <f>IF($B26="","",ROUND('How This Works &amp; Sources'!$C$5*$N26,2))</f>
      </c>
      <c r="S26" s="7">
        <f>IF($B26="","",ROUND('How This Works &amp; Sources'!$C$6*MAX(0,MIN($N26,$AG25+$N26-'How This Works &amp; Sources'!$C$7)),2))</f>
      </c>
      <c r="T26" s="7">
        <f>IF($B26="","",IF('Your Pay &amp; Benefits'!$C$26,0,IF($AN26="CA",ROUND(IF($AI26&lt;=IF(($AS26+$AT26)&gt;=2,VLOOKUP($AN26,StateTables!$A$6:$AB$56,10,FALSE),VLOOKUP($AN26,StateTables!$A$6:$AB$56,9,FALSE)),0,MAX(0,SUMPRODUCT(($AJ26&gt;INDEX('How This Works &amp; Sources'!$B$39:$J$48,0,IF($AU26="Married",4,IF($AU26="Head of household",7,1))))*($AJ26-INDEX('How This Works &amp; Sources'!$B$39:$J$48,0,IF($AU26="Married",4,IF($AU26="Head of household",7,1))))*INDEX('How This Works &amp; Sources'!$B$39:$J$48,0,IF($AU26="Married",4,IF($AU26="Head of household",7,1))+2))-VLOOKUP($AN26,StateTables!$A$6:$AB$56,11,FALSE)*$AS26)/'Your Pay &amp; Benefits'!$C$8)+'Your Pay &amp; Benefits'!$C$25+VLOOKUP($AN26,StateTables!$A$6:$AB$56,13,FALSE)*$D26,2),IF(VLOOKUP($AN26,StateTables!$A$6:$AB$56,4,FALSE)="None",0,IF(ISNUMBER(SEARCH("MANUAL",VLOOKUP($AN26,StateTables!$A$6:$AB$56,5,FALSE))),'Your Pay &amp; Benefits'!$C$28,ROUND(MAX(0,$BA26+$BB26)/'Your Pay &amp; Benefits'!$C$8+'Your Pay &amp; Benefits'!$C$25+$BC26,2))))))</f>
      </c>
      <c r="U26" s="7">
        <f>IF($B26="","",IF(VLOOKUP($AN26,StateTables!$A$6:$AB$56,24,FALSE)="flatq",IF(OR(MONTH($B26)=1,MONTH($B26)=4,MONTH($B26)=7,MONTH($B26)=10),VLOOKUP($AN26,StateTables!$A$6:$AB$56,25,FALSE),0),IF(VLOOKUP($AN26,StateTables!$A$6:$AB$56,24,FALSE)="dbl",MIN(ROUND(0.005*$N26,2),ROUND(0.6*52/'Your Pay &amp; Benefits'!$C$8,2)),IF(OR(VLOOKUP($AN26,StateTables!$A$6:$AB$56,15,FALSE)="",VLOOKUP($AN26,StateTables!$A$6:$AB$56,15,FALSE)=0),0,ROUND(VLOOKUP($AN26,StateTables!$A$6:$AB$56,15,FALSE)*IF(OR(VLOOKUP($AN26,StateTables!$A$6:$AB$56,16,FALSE)="",VLOOKUP($AN26,StateTables!$A$6:$AB$56,16,FALSE)=0),$N26,MIN($N26,MAX(0,VLOOKUP($AN26,StateTables!$A$6:$AB$56,16,FALSE)-($AX26+$AB25-$AW26)))),2))))+IF(VLOOKUP($AN26,StateTables!$A$6:$AB$56,27,FALSE)="flatq",IF(OR(MONTH($B26)=1,MONTH($B26)=4,MONTH($B26)=7,MONTH($B26)=10),VLOOKUP($AN26,StateTables!$A$6:$AB$56,28,FALSE),0),IF(VLOOKUP($AN26,StateTables!$A$6:$AB$56,27,FALSE)="dbl",MIN(ROUND(0.005*$N26,2),ROUND(0.6*52/'Your Pay &amp; Benefits'!$C$8,2)),IF(OR(VLOOKUP($AN26,StateTables!$A$6:$AB$56,18,FALSE)="",VLOOKUP($AN26,StateTables!$A$6:$AB$56,18,FALSE)=0),0,ROUND(VLOOKUP($AN26,StateTables!$A$6:$AB$56,18,FALSE)*IF(OR(VLOOKUP($AN26,StateTables!$A$6:$AB$56,19,FALSE)="",VLOOKUP($AN26,StateTables!$A$6:$AB$56,19,FALSE)=0),$N26,MIN($N26,MAX(0,VLOOKUP($AN26,StateTables!$A$6:$AB$56,19,FALSE)-($AX26+$AB25-$AW26)))),2)))))</f>
      </c>
      <c r="V26" s="7">
        <f>IF($B26="","",IF($AN26="NY",IF('Your Pay &amp; Benefits'!$C$78,ROUND(SUMPRODUCT((MAX(0,($O26-$D26)*'Your Pay &amp; Benefits'!$C$8-(IF($AU26="Married",5500,5000)+1000*$AS26))&gt;INDEX('How This Works &amp; Sources'!$B$184:$J$198,0,4))*(MAX(0,($O26-$D26)*'Your Pay &amp; Benefits'!$C$8-(IF($AU26="Married",5500,5000)+1000*$AS26))-INDEX('How This Works &amp; Sources'!$B$184:$J$198,0,4))*INDEX('How This Works &amp; Sources'!$B$184:$J$198,0,4+2))/'Your Pay &amp; Benefits'!$C$8+0.0425*$D26,2),0)+IF('Your Pay &amp; Benefits'!$C$79="Resident",ROUND(0.1675*$T26,2),IF('Your Pay &amp; Benefits'!$C$79="Nonresident",ROUND(0.005*MAX(0,($O26-$D26)-(IF($AU26="Married",7950,7400)+1000*$AS26)/'Your Pay &amp; Benefits'!$C$8),2),0)),IF($AN26="PA",IF('Your Pay &amp; Benefits'!$C$80="None",'Your Pay &amp; Benefits'!$C$27+ROUND('Your Pay &amp; Benefits'!$C$81*($C26+$D26),2),ROUND(IF('Your Pay &amp; Benefits'!$C$80="Resident",IF($B26&lt;DATE(2026,7,1),0.0374,0.03735),IF($B26&lt;DATE(2026,7,1),0.0343,0.03425))*($C26+$D26),2)),IF($BF26=0,ROUND('Your Pay &amp; Benefits'!$C$81*($C26+$D26),2),'Your Pay &amp; Benefits'!$C$27+ROUND('Your Pay &amp; Benefits'!$C$81*($C26+$D26),2)))))</f>
      </c>
      <c r="W26" s="7">
        <f>IF($B26="","",IF($BF26=0,0,$BP26))</f>
      </c>
      <c r="X26" s="7">
        <f>IF($B26="","",SUM($E26:$K26)+$P26+$Q26+$R26+$S26+$T26+$U26+$V26+$W26)</f>
      </c>
      <c r="Y26" s="22">
        <f>IF($B26="","",$C26+$D26-$X26)</f>
      </c>
      <c r="Z26" s="7">
        <f>IF($B26="","",$Z25+$C26+$D26)</f>
      </c>
      <c r="AA26" s="7">
        <f>IF($B26="","",$AA25+$Y26)</f>
      </c>
      <c r="AB26" s="7">
        <f>IF($B26="","",$AB25+MIN($N26,MAX(0,'How This Works &amp; Sources'!$C$3-($AX26+$AB25-$AW26))))</f>
      </c>
      <c r="AC26" s="7">
        <f>IF($B26="","",$AC25+$E26+$F26)</f>
      </c>
      <c r="AD26" s="3">
        <f>IF($B26="","",IF(AND($AB25&lt;'How This Works &amp; Sources'!$C$3,$AB26&gt;='How This Works &amp; Sources'!$C$3),"★ Social Security maxed on this check — from the next check your net rises by about $"&amp;TEXT(ROUND('How This Works &amp; Sources'!$C$4*$N26,2),"#,##0.00")&amp;". ","")&amp;IF(AND($AC25&lt;'Your Pay &amp; Benefits'!$C$34,$AC26&gt;='Your Pay &amp; Benefits'!$C$34),"★ 401(k) reaches the $"&amp;TEXT('Your Pay &amp; Benefits'!$C$34,"#,##0")&amp;" cap on this check — deferrals stop and net pay rises. ","")&amp;IF(AND($AG25&lt;'How This Works &amp; Sources'!$C$7,$AG26&gt;='How This Works &amp; Sources'!$C$7),"★ Wages pass $200,000 — the 0.9% Additional Medicare Tax starts here. ","")&amp;IF(AND($BJ26&gt;0,$H26&gt;0,$BG25&lt;MIN($BJ26,'How This Works &amp; Sources'!$C$13),$BG25+$H26&gt;=MIN($BJ26,'How This Works &amp; Sources'!$C$13)),"★ Health FSA election is now fully deferred for the year. ",""))</f>
      </c>
      <c r="AE26" s="41" t="n"/>
      <c r="AF26" s="7">
        <f>IF(OR($B26="",$AE26=""),"",$AE26-$Y26)</f>
      </c>
      <c r="AG26" s="7">
        <f>IF($B26="","",$AG25+$N26)</f>
      </c>
      <c r="AH26" s="7">
        <f>IF($B26="","",MAX(0,($M26-$D26)*'Your Pay &amp; Benefits'!$C$8+$AP26-$AQ26-IF('Your Pay &amp; Benefits'!$C$13,0,IF('Your Pay &amp; Benefits'!$C$12="MFJ",'How This Works &amp; Sources'!$C$8,'How This Works &amp; Sources'!$C$9))))</f>
      </c>
      <c r="AI26" s="7">
        <f>IF($B26="","",$O26*'Your Pay &amp; Benefits'!$C$8)</f>
      </c>
      <c r="AJ26" s="7">
        <f>IF($B26="","",MAX(0,$AI26-VLOOKUP($AN26,StateTables!$A$6:$AB$56,12,FALSE)*$AT26-IF(($AS26+$AT26)&gt;=2,VLOOKUP($AN26,StateTables!$A$6:$AB$56,8,FALSE),VLOOKUP($AN26,StateTables!$A$6:$AB$56,7,FALSE))))</f>
      </c>
      <c r="AK26" s="7">
        <f>IF($B26="","",IFERROR(LOOKUP(2,1/(('Changes &amp; Events'!$C$6:$C$17="Salary change")*('Changes &amp; Events'!$B$6:$B$17&lt;=$B26)*('Changes &amp; Events'!$B$6:$B$17&lt;&gt;"")),'Changes &amp; Events'!$D$6:$D$17),IF('Your Pay &amp; Benefits'!$C$4="Annual salary",'Your Pay &amp; Benefits'!$C$5,'Your Pay &amp; Benefits'!$C$6)))</f>
      </c>
      <c r="AL26">
        <f>IF($B26="","",IFERROR(LOOKUP(2,1/(('Changes &amp; Events'!$C$6:$C$17="401(k) change")*('Changes &amp; Events'!$B$6:$B$17&lt;=$B26)*('Changes &amp; Events'!$B$6:$B$17&lt;&gt;"")),'Changes &amp; Events'!$D$6:$D$17),'Your Pay &amp; Benefits'!$C$30))</f>
      </c>
      <c r="AM26" s="7">
        <f>IF($B26="","",IFERROR(LOOKUP(2,1/(('Changes &amp; Events'!$C$6:$C$17="401(k) change")*('Changes &amp; Events'!$B$6:$B$17&lt;=$B26)*('Changes &amp; Events'!$B$6:$B$17&lt;&gt;"")),'Changes &amp; Events'!$E$6:$E$17),'Your Pay &amp; Benefits'!$D$31))</f>
      </c>
      <c r="AN26">
        <f>IF($B26="","",IFERROR(LOOKUP(2,1/(('Changes &amp; Events'!$C$6:$C$17="State move")*('Changes &amp; Events'!$B$6:$B$17&lt;=$B26)*('Changes &amp; Events'!$B$6:$B$17&lt;&gt;"")),'Changes &amp; Events'!$D$6:$D$17),'Your Pay &amp; Benefits'!$C$21))</f>
      </c>
      <c r="AO26" s="7">
        <f>IF($B26="","",IFERROR(LOOKUP(2,1/(('Changes &amp; Events'!$C$6:$C$17="W-4 change")*('Changes &amp; Events'!$B$6:$B$17&lt;=$B26)*('Changes &amp; Events'!$B$6:$B$17&lt;&gt;"")),'Changes &amp; Events'!$D$6:$D$17),'Your Pay &amp; Benefits'!$C$14))</f>
      </c>
      <c r="AP26" s="7">
        <f>IF($B26="","",IFERROR(LOOKUP(2,1/(('Changes &amp; Events'!$C$6:$C$17="W-4 change")*('Changes &amp; Events'!$B$6:$B$17&lt;=$B26)*('Changes &amp; Events'!$B$6:$B$17&lt;&gt;"")),'Changes &amp; Events'!$E$6:$E$17),'Your Pay &amp; Benefits'!$C$15))</f>
      </c>
      <c r="AQ26" s="7">
        <f>IF($B26="","",IFERROR(LOOKUP(2,1/(('Changes &amp; Events'!$C$6:$C$17="W-4 change")*('Changes &amp; Events'!$B$6:$B$17&lt;=$B26)*('Changes &amp; Events'!$B$6:$B$17&lt;&gt;"")),'Changes &amp; Events'!$F$6:$F$17),'Your Pay &amp; Benefits'!$C$16))</f>
      </c>
      <c r="AR26" s="7">
        <f>IF($B26="","",IFERROR(LOOKUP(2,1/(('Changes &amp; Events'!$C$6:$C$17="W-4 change")*('Changes &amp; Events'!$B$6:$B$17&lt;=$B26)*('Changes &amp; Events'!$B$6:$B$17&lt;&gt;"")),'Changes &amp; Events'!$G$6:$G$17),'Your Pay &amp; Benefits'!$C$17))</f>
      </c>
      <c r="AS26" s="6">
        <f>IF($B26="","",IFERROR(LOOKUP(2,1/((('Changes &amp; Events'!$C$6:$C$17="State move")+('Changes &amp; Events'!$C$6:$C$17="State cert change"))*('Changes &amp; Events'!$B$6:$B$17&lt;=$B26)*('Changes &amp; Events'!$B$6:$B$17&lt;&gt;"")),'Changes &amp; Events'!$F$6:$F$17),'Your Pay &amp; Benefits'!$C$23))</f>
      </c>
      <c r="AT26" s="6">
        <f>IF($B26="","",IFERROR(LOOKUP(2,1/((('Changes &amp; Events'!$C$6:$C$17="State move")+('Changes &amp; Events'!$C$6:$C$17="State cert change"))*('Changes &amp; Events'!$B$6:$B$17&lt;=$B26)*('Changes &amp; Events'!$B$6:$B$17&lt;&gt;"")),'Changes &amp; Events'!$G$6:$G$17),'Your Pay &amp; Benefits'!$C$24))</f>
      </c>
      <c r="AU26">
        <f>IF($B26="","",IFERROR(LOOKUP(2,1/(('Changes &amp; Events'!$C$6:$C$17="State move")*('Changes &amp; Events'!$B$6:$B$17&lt;=$B26)*('Changes &amp; Events'!$B$6:$B$17&lt;&gt;"")),'Changes &amp; Events'!$E$6:$E$17),'Your Pay &amp; Benefits'!$C$22))</f>
      </c>
      <c r="AV26" s="6">
        <f>IF($B26="","",1+COUNTIFS('Changes &amp; Events'!$C$6:$C$17,"Employer change",'Changes &amp; Events'!$B$6:$B$17,"&lt;="&amp;$B26,'Changes &amp; Events'!$B$6:$B$17,"&lt;&gt;"))</f>
      </c>
      <c r="AW26" s="7">
        <f>IF($B26="","",IF($AV26=1,'Your Pay &amp; Benefits'!$C$49,IF(IFERROR(MATCH(IFERROR(LOOKUP(2,1/(('Changes &amp; Events'!$C$6:$C$17="Employer change")*('Changes &amp; Events'!$B$6:$B$17&lt;=$B26)*('Changes &amp; Events'!$B$6:$B$17&lt;&gt;"")),'Changes &amp; Events'!$B$6:$B$17),""),$B$6:$B$68,1),1)&lt;=1,'Your Pay &amp; Benefits'!$C$49,INDEX($AB$6:$AB$68,MATCH(IFERROR(LOOKUP(2,1/(('Changes &amp; Events'!$C$6:$C$17="Employer change")*('Changes &amp; Events'!$B$6:$B$17&lt;=$B26)*('Changes &amp; Events'!$B$6:$B$17&lt;&gt;"")),'Changes &amp; Events'!$B$6:$B$17),""),$B$6:$B$68,1)-1))))</f>
      </c>
      <c r="AX26" s="7">
        <f>IF($B26="","",IF($AV26=1,'Your Pay &amp; Benefits'!$C$49,IFERROR(LOOKUP(2,1/(('Changes &amp; Events'!$C$6:$C$17="Employer change")*('Changes &amp; Events'!$B$6:$B$17&lt;=$B26)*('Changes &amp; Events'!$B$6:$B$17&lt;&gt;"")),'Changes &amp; Events'!$D$6:$D$17),0)))</f>
      </c>
      <c r="AY26" s="7">
        <f>IF($B26="","",($O26-$D26)*'Your Pay &amp; Benefits'!$C$8)</f>
      </c>
      <c r="AZ26" s="7">
        <f>IF($B26="","",IF($AN26="AL",MAX(0,$AY26-IF($AU26="Married",IF($AY26&lt;=25999,8500,MAX(5000,8500-175*CEILING(($AY26-25999)/500,1))),IF($AU26="Head of household",IF($AY26&lt;=25999,5200,MAX(2500,5200-135*CEILING(($AY26-25999)/500,1))),IF($AY26&lt;=25999,3000,MAX(2500,3000-25*CEILING(($AY26-25999)/500,1)))))-($P26-'How This Works &amp; Sources'!$C$10*$D26)*'Your Pay &amp; Benefits'!$C$8-IF(OR($AU26="Married",$AU26="Head of household"),3000,1500)-$AT26*IF($AY26&lt;=50000,1000,IF($AY26&lt;=100000,500,300))),IF($AN26="AR",IF(MAX(0,$AY26-2470)&lt;97701,INT(MAX(0,$AY26-2470)/100)*100+50,MAX(0,$AY26-2470)),IF($AN26="DE",MAX(0,$AI26-3250),IF($AN26="HI",MAX(0,$AI26-1144*$AS26-4350),IF($AN26="KS",MAX(0,$AI26-(9160*IF($AU26="Married",2,1)+2320*$AT26+IF($AU26="Head of household",2320,0))),IF($AN26="MD",MAX(0,$AI26-3400-3200*$AS26),IF($AN26="MN",MAX(0,$AY26-5300*$AS26),IF($AN26="MO",MAX(0,$AI26-IF($AU26="Head of household",24150,IF($AU26="Married",IF('Your Pay &amp; Benefits'!$C$83,16100,32200),16100))),IF($AN26="MT",$AY26,IF($AN26="ND",($C26+$L26)*'Your Pay &amp; Benefits'!$C$8,IF($AN26="NE",MAX(0,$AY26-2440*$AS26),IF($AN26="NJ",MAX(0,$AY26-1000*$AS26),IF($AN26="NY",MAX(0,$AY26-(IF($AU26="Married",7950,7400)+1000*$AS26)),IF($AN26="OH",MAX(0,$AY26-650*$AS26),IF($AN26="OK",MAX(0,$AY26-1000*$AS26),IF($AN26="RI",MAX(0,$AI26-1000*$AS26),IF($AN26="SC",MAX(0,$AI26-5000*$AS26-IF($AS26=0,0,MIN(0.1*$AI26,7500))),IF($AN26="VA",MAX(0,$AI26-IF($AU26="Married",17500,8750)-930*$AS26-800*$AT26),IF($AN26="VT",MAX(0,$AI26-5400*$AS26),IF($AN26="WI",MAX(0,$AI26-MAX(0,IF($AU26="Married",9461-0.2*MAX(0,$AI26-25727),6702-0.12*MAX(0,$AI26-17780)))-400*$AS26),IF($AN26="WV",MAX(0,$AI26-2000*$AS26),$AI26))))))))))))))))))))))</f>
      </c>
      <c r="BA26" s="7">
        <f>IF($B26="","",IF($BW26&lt;&gt;"",$BW26,IF($BX26&lt;&gt;"",$BX26,IF($BY26&lt;&gt;"",$BY26,0))))</f>
      </c>
      <c r="BB26" s="7">
        <f>IF($B26="","",IF($AN26="AR",-29*$AS26,IF($AN26="DE",-110*$AS26,IF($AN26="MD",$AZ26*'Your Pay &amp; Benefits'!$C$74,IF($AN26="AZ",'Your Pay &amp; Benefits'!$C$82*($M26-$D26)*'Your Pay &amp; Benefits'!$C$8,IF($AN26="CO",0.044*MAX(0,$AY26-IF($AU26="Married",10000,5000)),IF($AN26="IA",MAX(0,0.038*MAX(0,$AY26-IF($AU26="Head of household",19500,IF($AU26="Married",26000,13000)))-40*$AS26),IF($AN26="ID",0.053*MAX(0,$AY26-IF($AU26="Married",32000,16094)),IF($AN26="IL",0.0495*MAX(0,$AY26-(2925*$AS26+1000*$AT26)),IF($AN26="IN",(0.0295+'Your Pay &amp; Benefits'!$C$76)*MAX(0,$AY26-(1000*$AS26+1500*$AT26+3000*'Your Pay &amp; Benefits'!$C$86)),IF($AN26="KY",0.035*MAX(0,$AI26-3360),IF($AN26="LA",IF('Your Pay &amp; Benefits'!$C$84="0",0.0309*$AI26,0.0309*MAX(0,$AI26-IF('Your Pay &amp; Benefits'!$C$84="2",25750,12875))),IF($AN26="MA",0.05*MIN(MAX(0,$AY26-MIN(($BD25+$Q26+$R26+$S26),2000)-IF($AS26=0,0,IF($AS26=1,4400,1000*$AS26+3400))),1107750)+0.09*MAX(0,MAX(0,$AY26-MIN(($BD25+$Q26+$R26+$S26),2000)-IF($AS26=0,0,IF($AS26=1,4400,1000*$AS26+3400)))-1107750)-IF($AU26="Head of household",120,0)-110*'Your Pay &amp; Benefits'!$C$75,IF($AN26="MI",0.0425*MAX(0,$AY26-5900*$AS26),IF($AN26="MS",0.04*MAX(0,$AI26-IF($AU26="Head of household",3400,IF($AU26="Married",4600,2300))-'Your Pay &amp; Benefits'!$C$85-10000),IF($AN26="OR",IF(OR($AU26="Married",AND($AU26="Single",$AS26&gt;=3)),SUMPRODUCT((MAX(0,$AY26-MIN(($P26-'How This Works &amp; Sources'!$C$10*$D26)*'Your Pay &amp; Benefits'!$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Sources'!$B$211:$J$214,0,4))*(MAX(0,$AY26-MIN(($P26-'How This Works &amp; Sources'!$C$10*$D26)*'Your Pay &amp; Benefits'!$C$8,IF(OR($AU26="Married",AND($AU26="Single",$AS26&gt;=3)),IF($AY26&lt;250000,8750,IF($AY26&lt;260000,7000,IF($AY26&lt;270000,5250,IF($AY26&lt;280000,3500,IF($AY26&lt;290000,1750,0))))),IF($AY26&lt;125000,8750,IF($AY26&lt;130000,7000,IF($AY26&lt;135000,5250,IF($AY26&lt;140000,3500,IF($AY26&lt;145000,1750,0)))))))-IF(OR($AU26="Married",AND($AU26="Single",$AS26&gt;=3)),5820,2910))-INDEX('How This Works &amp; Sources'!$B$211:$J$214,0,4))*INDEX('How This Works &amp; Sources'!$B$211:$J$214,0,4+2)),SUMPRODUCT((MAX(0,$AY26-MIN(($P26-'How This Works &amp; Sources'!$C$10*$D26)*'Your Pay &amp; Benefits'!$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Sources'!$B$211:$J$214,0,1))*(MAX(0,$AY26-MIN(($P26-'How This Works &amp; Sources'!$C$10*$D26)*'Your Pay &amp; Benefits'!$C$8,IF(OR($AU26="Married",AND($AU26="Single",$AS26&gt;=3)),IF($AY26&lt;250000,8750,IF($AY26&lt;260000,7000,IF($AY26&lt;270000,5250,IF($AY26&lt;280000,3500,IF($AY26&lt;290000,1750,0))))),IF($AY26&lt;125000,8750,IF($AY26&lt;130000,7000,IF($AY26&lt;135000,5250,IF($AY26&lt;140000,3500,IF($AY26&lt;145000,1750,0)))))))-IF(OR($AU26="Married",AND($AU26="Single",$AS26&gt;=3)),5820,2910))-INDEX('How This Works &amp; Sources'!$B$211:$J$214,0,1))*INDEX('How This Works &amp; Sources'!$B$211:$J$214,0,1+2)))+263-263*IF(IF($AU26="Married",$AY26&gt;200000,$AY26&gt;100000),0,$AS26),IF($AN26="PA",0.0307*(($O26+$E26+$G26)*'Your Pay &amp; Benefits'!$C$8),IF($AN26="NY",IF($AU26="Married",IF($AZ26&gt;=2155350,0,IF($AZ26&gt;=1077550,0.48,IF($AZ26&gt;=373200,1.21,IF($AZ26&gt;=323200,0.21,IF($AZ26&gt;=211550,-0.19,IF($AZ26&gt;=157650,-2.8,IF($AZ26&gt;=107650,-0.8,IF($AZ26&gt;=96800,0.05,IF($AZ26&gt;=80650,-0.1,IF($AZ26&gt;=13900,0.4,IF($AZ26&gt;=11700,-0.3,IF($AZ26&gt;=8500,0.5,0)))))))))))),IF($AZ26&gt;=1077550,0,IF($AZ26&gt;=265400,4.29,IF($AZ26&gt;=215400,2.29,IF($AZ26&gt;=157650,2.29,IF($AZ26&gt;=107650,0.29,IF($AZ26&gt;=96800,0.05,IF($AZ26&gt;=80650,-0.1,IF($AZ26&gt;=13900,0.4,IF($AZ26&gt;=11700,-0.3,IF($AZ26&gt;=8500,0.5,0))))))))))),0))))))))))))))))))</f>
      </c>
      <c r="BC26" s="7">
        <f>IF($B26="","",IF($AN26="AL",0.05*$D26,IF($AN26="AR",0.039*$D26,IF($AN26="ID",0.053*$D26,IF($AN26="IN",(0.0295+'Your Pay &amp; Benefits'!$C$76)*$D26,IF($AN26="KS",0.05*$D26,IF($AN26="MA",0.09*MIN($D26,MAX(0,MAX(0,$AY26-MIN(($BD25+$Q26+$R26+$S26),2000)-IF($AS26=0,0,IF($AS26=1,4400,1000*$AS26+3400)))+$D26-1107750))+0.05*($D26-MIN($D26,MAX(0,MAX(0,$AY26-MIN(($BD25+$Q26+$R26+$S26),2000)-IF($AS26=0,0,IF($AS26=1,4400,1000*$AS26+3400)))+$D26-1107750))),IF($AN26="MD",(0.065+'Your Pay &amp; Benefits'!$C$74)*$D26,IF($AN26="MI",0.0425*$D26,IF($AN26="MN",0.0625*$D26,IF($AN26="MO",0.047*$D26,IF($AN26="MT",0.05*$D26,IF($AN26="ND",0.015*$D26,IF($AN26="NE",0.035*$D26,IF($AN26="NJ",IF('Your Pay &amp; Benefits'!$C$77="B",SUMPRODUCT(($D26*'Your Pay &amp; Benefits'!$C$8&gt;INDEX('How This Works &amp; Sources'!$B$155:$J$162,0,4))*($D26*'Your Pay &amp; Benefits'!$C$8-INDEX('How This Works &amp; Sources'!$B$155:$J$162,0,4))*INDEX('How This Works &amp; Sources'!$B$155:$J$162,0,4+2)),IF('Your Pay &amp; Benefits'!$C$77="C",SUMPRODUCT(($D26*'Your Pay &amp; Benefits'!$C$8&gt;INDEX('How This Works &amp; Sources'!$B$155:$J$162,0,7))*($D26*'Your Pay &amp; Benefits'!$C$8-INDEX('How This Works &amp; Sources'!$B$155:$J$162,0,7))*INDEX('How This Works &amp; Sources'!$B$155:$J$162,0,7+2)),IF('Your Pay &amp; Benefits'!$C$77="D",SUMPRODUCT(($D26*'Your Pay &amp; Benefits'!$C$8&gt;INDEX('How This Works &amp; Sources'!$B$167:$J$179,0,1))*($D26*'Your Pay &amp; Benefits'!$C$8-INDEX('How This Works &amp; Sources'!$B$167:$J$179,0,1))*INDEX('How This Works &amp; Sources'!$B$167:$J$179,0,1+2)),IF('Your Pay &amp; Benefits'!$C$77="E",SUMPRODUCT(($D26*'Your Pay &amp; Benefits'!$C$8&gt;INDEX('How This Works &amp; Sources'!$B$167:$J$179,0,4))*($D26*'Your Pay &amp; Benefits'!$C$8-INDEX('How This Works &amp; Sources'!$B$167:$J$179,0,4))*INDEX('How This Works &amp; Sources'!$B$167:$J$179,0,4+2)),SUMPRODUCT(($D26*'Your Pay &amp; Benefits'!$C$8&gt;INDEX('How This Works &amp; Sources'!$B$155:$J$162,0,1))*($D26*'Your Pay &amp; Benefits'!$C$8-INDEX('How This Works &amp; Sources'!$B$155:$J$162,0,1))*INDEX('How This Works &amp; Sources'!$B$155:$J$162,0,1+2))))))/'Your Pay &amp; Benefits'!$C$8,IF($AN26="NY",0.117*$D26,IF($AN26="OH",0.0275*$D26,IF($AN26="OK",0.045*$D26,IF($AN26="OR",0.08*$D26,IF($AN26="WI",IF($AY26&lt;12760,0.0354,IF($AY26&lt;25520,0.0465,IF($AY26&lt;280950,0.053,0.0765)))*$D26,0))))))))))))))))))))</f>
      </c>
      <c r="BD26" s="7">
        <f>IF($B26="","",$BD25+$Q26+$R26+$S26)</f>
      </c>
      <c r="BE26" s="6">
        <f>IF($B26="",$BE25,$BE25+$BF26)</f>
      </c>
      <c r="BF26" s="6">
        <f>IF($B26="","",IF(AND(IF(YEAR(IF('Your Pay &amp; Benefits'!$C$7="Weekly",'Your Pay &amp; Benefits'!$C$9+7*(($BE25+1)-1),IF('Your Pay &amp; Benefits'!$C$7="Biweekly",'Your Pay &amp; Benefits'!$C$9+14*(($BE25+1)-1),IF('Your Pay &amp; Benefits'!$C$7="Semimonthly",DATE(YEAR('Your Pay &amp; Benefits'!$C$9),MONTH('Your Pay &amp; Benefits'!$C$9)+INT((($BE25+1)-1)/2),MIN(DAY('Your Pay &amp; Benefits'!$C$9),DAY(EOMONTH(DATE(YEAR('Your Pay &amp; Benefits'!$C$9),MONTH('Your Pay &amp; Benefits'!$C$9)+INT((($BE25+1)-1)/2),1),0))))+IF(MOD(($BE25+1)-1,2)=1,15,0),EDATE('Your Pay &amp; Benefits'!$C$9,($BE25+1)-1)))))&lt;&gt;'Your Pay &amp; Benefits'!$C$10,"",IF('Your Pay &amp; Benefits'!$C$7="Weekly",'Your Pay &amp; Benefits'!$C$9+7*(($BE25+1)-1),IF('Your Pay &amp; Benefits'!$C$7="Biweekly",'Your Pay &amp; Benefits'!$C$9+14*(($BE25+1)-1),IF('Your Pay &amp; Benefits'!$C$7="Semimonthly",DATE(YEAR('Your Pay &amp; Benefits'!$C$9),MONTH('Your Pay &amp; Benefits'!$C$9)+INT((($BE25+1)-1)/2),MIN(DAY('Your Pay &amp; Benefits'!$C$9),DAY(EOMONTH(DATE(YEAR('Your Pay &amp; Benefits'!$C$9),MONTH('Your Pay &amp; Benefits'!$C$9)+INT((($BE25+1)-1)/2),1),0))))+IF(MOD(($BE25+1)-1,2)=1,15,0),EDATE('Your Pay &amp; Benefits'!$C$9,($BE25+1)-1)))))&lt;&gt;"",$B26=IF(YEAR(IF('Your Pay &amp; Benefits'!$C$7="Weekly",'Your Pay &amp; Benefits'!$C$9+7*(($BE25+1)-1),IF('Your Pay &amp; Benefits'!$C$7="Biweekly",'Your Pay &amp; Benefits'!$C$9+14*(($BE25+1)-1),IF('Your Pay &amp; Benefits'!$C$7="Semimonthly",DATE(YEAR('Your Pay &amp; Benefits'!$C$9),MONTH('Your Pay &amp; Benefits'!$C$9)+INT((($BE25+1)-1)/2),MIN(DAY('Your Pay &amp; Benefits'!$C$9),DAY(EOMONTH(DATE(YEAR('Your Pay &amp; Benefits'!$C$9),MONTH('Your Pay &amp; Benefits'!$C$9)+INT((($BE25+1)-1)/2),1),0))))+IF(MOD(($BE25+1)-1,2)=1,15,0),EDATE('Your Pay &amp; Benefits'!$C$9,($BE25+1)-1)))))&lt;&gt;'Your Pay &amp; Benefits'!$C$10,"",IF('Your Pay &amp; Benefits'!$C$7="Weekly",'Your Pay &amp; Benefits'!$C$9+7*(($BE25+1)-1),IF('Your Pay &amp; Benefits'!$C$7="Biweekly",'Your Pay &amp; Benefits'!$C$9+14*(($BE25+1)-1),IF('Your Pay &amp; Benefits'!$C$7="Semimonthly",DATE(YEAR('Your Pay &amp; Benefits'!$C$9),MONTH('Your Pay &amp; Benefits'!$C$9)+INT((($BE25+1)-1)/2),MIN(DAY('Your Pay &amp; Benefits'!$C$9),DAY(EOMONTH(DATE(YEAR('Your Pay &amp; Benefits'!$C$9),MONTH('Your Pay &amp; Benefits'!$C$9)+INT((($BE25+1)-1)/2),1),0))))+IF(MOD(($BE25+1)-1,2)=1,15,0),EDATE('Your Pay &amp; Benefits'!$C$9,($BE25+1)-1)))))),1,0))</f>
      </c>
      <c r="BG26" s="7">
        <f>IF($B26="","",$BG25+$H26)</f>
      </c>
      <c r="BH26" s="7">
        <f>IF($B26="","",$BH25+$I26)</f>
      </c>
      <c r="BI26" s="7">
        <f>IF($B26="","",$BI25+$G26)</f>
      </c>
      <c r="BJ26" s="7">
        <f>IF($B26="","",IFERROR(LOOKUP(2,1/(((('Changes &amp; Events'!$C$6:$C$17="Deduction start"))*('Changes &amp; Events'!$D$6:$D$17="Health FSA"))*('Changes &amp; Events'!$B$6:$B$17&lt;=$B26)*('Changes &amp; Events'!$B$6:$B$17&lt;&gt;"")),'Changes &amp; Events'!$E$6:$E$17),'Your Pay &amp; Benefits'!$D$38))</f>
      </c>
      <c r="BK26" s="7">
        <f>IF($B26="","",IFERROR(LOOKUP(2,1/(((('Changes &amp; Events'!$C$6:$C$17="Deduction start"))*('Changes &amp; Events'!$D$6:$D$17="Dependent-care FSA"))*('Changes &amp; Events'!$B$6:$B$17&lt;=$B26)*('Changes &amp; Events'!$B$6:$B$17&lt;&gt;"")),'Changes &amp; Events'!$E$6:$E$17),'Your Pay &amp; Benefits'!$D$39))</f>
      </c>
      <c r="BL26" s="7">
        <f>IF($B26="","",IFERROR(LOOKUP(2,1/(((('Changes &amp; Events'!$C$6:$C$17="Deduction start")+('Changes &amp; Events'!$C$6:$C$17="Deduction stop"))*('Changes &amp; Events'!$D$6:$D$17="HSA"))*('Changes &amp; Events'!$B$6:$B$17&lt;=$B26)*('Changes &amp; Events'!$B$6:$B$17&lt;&gt;"")),'Changes &amp; Events'!$I$6:$I$17),'Your Pay &amp; Benefits'!$D$35))</f>
      </c>
      <c r="BM26" s="7">
        <f>IF($B26="","",IFERROR(LOOKUP(2,1/(((('Changes &amp; Events'!$C$6:$C$17="Deduction start")+('Changes &amp; Events'!$C$6:$C$17="Deduction stop"))*('Changes &amp; Events'!$D$6:$D$17="Premiums"))*('Changes &amp; Events'!$B$6:$B$17&lt;=$B26)*('Changes &amp; Events'!$B$6:$B$17&lt;&gt;"")),'Changes &amp; Events'!$I$6:$I$17),'Your Pay &amp; Benefits'!$D$40+'Your Pay &amp; Benefits'!$D$41+'Your Pay &amp; Benefits'!$D$42))</f>
      </c>
      <c r="BN26" s="7">
        <f>IF($B26="","",IFERROR(LOOKUP(2,1/(((('Changes &amp; Events'!$C$6:$C$17="Deduction start")+('Changes &amp; Events'!$C$6:$C$17="Deduction stop"))*('Changes &amp; Events'!$D$6:$D$17="Commuter"))*('Changes &amp; Events'!$B$6:$B$17&lt;=$B26)*('Changes &amp; Events'!$B$6:$B$17&lt;&gt;"")),'Changes &amp; Events'!$I$6:$I$17),'Your Pay &amp; Benefits'!$D$43))</f>
      </c>
      <c r="BO26" s="7">
        <f>IF($B26="","",IFERROR(LOOKUP(2,1/(((('Changes &amp; Events'!$C$6:$C$17="Deduction start")+('Changes &amp; Events'!$C$6:$C$17="Deduction stop"))*('Changes &amp; Events'!$D$6:$D$17="Other pre-tax"))*('Changes &amp; Events'!$B$6:$B$17&lt;=$B26)*('Changes &amp; Events'!$B$6:$B$17&lt;&gt;"")),'Changes &amp; Events'!$I$6:$I$17),'Your Pay &amp; Benefits'!$D$44))</f>
      </c>
      <c r="BP26" s="7">
        <f>IF($B26="","",IFERROR(LOOKUP(2,1/(((('Changes &amp; Events'!$C$6:$C$17="Deduction start")+('Changes &amp; Events'!$C$6:$C$17="Deduction stop"))*('Changes &amp; Events'!$D$6:$D$17="Other post-tax"))*('Changes &amp; Events'!$B$6:$B$17&lt;=$B26)*('Changes &amp; Events'!$B$6:$B$17&lt;&gt;"")),'Changes &amp; Events'!$I$6:$I$17),'Your Pay &amp; Benefits'!$D$45))</f>
      </c>
      <c r="BQ26" s="6">
        <f>IF($B26="","",IFERROR(LOOKUP(2,1/(((('Changes &amp; Events'!$C$6:$C$17="Deduction start")+('Changes &amp; Events'!$C$6:$C$17="Deduction stop"))*('Changes &amp; Events'!$D$6:$D$17="Health FSA"))*('Changes &amp; Events'!$B$6:$B$17&lt;=$B26)*('Changes &amp; Events'!$B$6:$B$17&lt;&gt;"")),'Changes &amp; Events'!$J$6:$J$17),0))</f>
      </c>
      <c r="BR26" s="6">
        <f>IF($B26="","",IFERROR(LOOKUP(2,1/(((('Changes &amp; Events'!$C$6:$C$17="Deduction start")+('Changes &amp; Events'!$C$6:$C$17="Deduction stop"))*('Changes &amp; Events'!$D$6:$D$17="Dependent-care FSA"))*('Changes &amp; Events'!$B$6:$B$17&lt;=$B26)*('Changes &amp; Events'!$B$6:$B$17&lt;&gt;"")),'Changes &amp; Events'!$J$6:$J$17),0))</f>
      </c>
      <c r="BS26" s="6">
        <f>IF($B26="","",IF(SUMPRODUCT(('Changes &amp; Events'!$C$6:$C$17="Deduction start")*('Changes &amp; Events'!$B$6:$B$17&lt;=$B26)*('Changes &amp; Events'!$B$6:$B$17&lt;&gt;"")*('Changes &amp; Events'!$D$6:$D$17="Health FSA"))&gt;0,1,0))</f>
      </c>
      <c r="BT26" s="6">
        <f>IF($B26="","",IF(SUMPRODUCT(('Changes &amp; Events'!$C$6:$C$17="Deduction start")*('Changes &amp; Events'!$B$6:$B$17&lt;=$B26)*('Changes &amp; Events'!$B$6:$B$17&lt;&gt;"")*('Changes &amp; Events'!$D$6:$D$17="Dependent-care FSA"))&gt;0,1,0))</f>
      </c>
      <c r="BU26" s="24">
        <f>IF($B26="","",IF('Your Pay &amp; Benefits'!$C$13,SUMPRODUCT(($AH26&gt;=INDEX('How This Works &amp; Sources'!$B$29:$J$36,0,IF('Your Pay &amp; Benefits'!$C$12="MFJ",1,IF('Your Pay &amp; Benefits'!$C$12="HoH",7,4))))*INDEX('How This Works &amp; Sources'!$B$29:$J$36,0,IF('Your Pay &amp; Benefits'!$C$12="MFJ",1,IF('Your Pay &amp; Benefits'!$C$12="HoH",7,4))+2)),SUMPRODUCT(($AH26&gt;=INDEX('How This Works &amp; Sources'!$B$19:$J$26,0,IF('Your Pay &amp; Benefits'!$C$12="MFJ",1,IF('Your Pay &amp; Benefits'!$C$12="HoH",7,4))))*INDEX('How This Works &amp; Sources'!$B$19:$J$26,0,IF('Your Pay &amp; Benefits'!$C$12="MFJ",1,IF('Your Pay &amp; Benefits'!$C$12="HoH",7,4))+2))))</f>
      </c>
      <c r="BV26" s="24">
        <f>IF($B26="","",IF($BZ26&lt;&gt;"",$BZ26,IF($CA26&lt;&gt;"",$CA26,IF($CB26&lt;&gt;"",$CB26,IF($CC26&lt;&gt;"",$CC26,0)))))</f>
      </c>
      <c r="BW26" s="7">
        <f>IF($B26="","",IF($AN26="MD",IF(OR($AU26="Married",$AU26="Head of household"),SUMPRODUCT(($AZ26&gt;INDEX('How This Works &amp; Sources'!$B$114:$J$120,0,1))*($AZ26-INDEX('How This Works &amp; Sources'!$B$114:$J$120,0,1))*INDEX('How This Works &amp; Sources'!$B$114:$J$120,0,1+2)),SUMPRODUCT(($AZ26&gt;INDEX('How This Works &amp; Sources'!$B$103:$J$109,0,7))*($AZ26-INDEX('How This Works &amp; Sources'!$B$103:$J$109,0,7))*INDEX('How This Works &amp; Sources'!$B$103:$J$109,0,7+2))),IF($AN26="MO",SUMPRODUCT(($AZ26&gt;INDEX('How This Works &amp; Sources'!$B$125:$J$132,0,1))*($AZ26-INDEX('How This Works &amp; Sources'!$B$125:$J$132,0,1))*INDEX('How This Works &amp; Sources'!$B$125:$J$132,0,1+2)),IF($AN26="MT",IF($AU26="Head of household",SUMPRODUCT(($AZ26&gt;INDEX('How This Works &amp; Sources'!$B$137:$J$139,0,1))*($AZ26-INDEX('How This Works &amp; Sources'!$B$137:$J$139,0,1))*INDEX('How This Works &amp; Sources'!$B$137:$J$139,0,1+2)),IF($AU26="Married",SUMPRODUCT(($AZ26&gt;INDEX('How This Works &amp; Sources'!$B$125:$J$132,0,7))*($AZ26-INDEX('How This Works &amp; Sources'!$B$125:$J$132,0,7))*INDEX('How This Works &amp; Sources'!$B$125:$J$132,0,7+2)),SUMPRODUCT(($AZ26&gt;INDEX('How This Works &amp; Sources'!$B$125:$J$132,0,4))*($AZ26-INDEX('How This Works &amp; Sources'!$B$125:$J$132,0,4))*INDEX('How This Works &amp; Sources'!$B$125:$J$132,0,4+2)))),IF($AN26="ND",IF($AU26="Head of household",SUMPRODUCT(($AZ26&gt;INDEX('How This Works &amp; Sources'!$B$144:$J$150,0,1))*($AZ26-INDEX('How This Works &amp; Sources'!$B$144:$J$150,0,1))*INDEX('How This Works &amp; Sources'!$B$144:$J$150,0,1+2)),IF($AU26="Married",SUMPRODUCT(($AZ26&gt;INDEX('How This Works &amp; Sources'!$B$137:$J$139,0,7))*($AZ26-INDEX('How This Works &amp; Sources'!$B$137:$J$139,0,7))*INDEX('How This Works &amp; Sources'!$B$137:$J$139,0,7+2)),SUMPRODUCT(($AZ26&gt;INDEX('How This Works &amp; Sources'!$B$137:$J$139,0,4))*($AZ26-INDEX('How This Works &amp; Sources'!$B$137:$J$139,0,4))*INDEX('How This Works &amp; Sources'!$B$137:$J$139,0,4+2)))),IF($AN26="NJ",IF('Your Pay &amp; Benefits'!$C$77="B",SUMPRODUCT(($AZ26&gt;INDEX('How This Works &amp; Sources'!$B$155:$J$162,0,4))*($AZ26-INDEX('How This Works &amp; Sources'!$B$155:$J$162,0,4))*INDEX('How This Works &amp; Sources'!$B$155:$J$162,0,4+2)),IF('Your Pay &amp; Benefits'!$C$77="C",SUMPRODUCT(($AZ26&gt;INDEX('How This Works &amp; Sources'!$B$155:$J$162,0,7))*($AZ26-INDEX('How This Works &amp; Sources'!$B$155:$J$162,0,7))*INDEX('How This Works &amp; Sources'!$B$155:$J$162,0,7+2)),IF('Your Pay &amp; Benefits'!$C$77="D",SUMPRODUCT(($AZ26&gt;INDEX('How This Works &amp; Sources'!$B$167:$J$179,0,1))*($AZ26-INDEX('How This Works &amp; Sources'!$B$167:$J$179,0,1))*INDEX('How This Works &amp; Sources'!$B$167:$J$179,0,1+2)),IF('Your Pay &amp; Benefits'!$C$77="E",SUMPRODUCT(($AZ26&gt;INDEX('How This Works &amp; Sources'!$B$167:$J$179,0,4))*($AZ26-INDEX('How This Works &amp; Sources'!$B$167:$J$179,0,4))*INDEX('How This Works &amp; Sources'!$B$167:$J$179,0,4+2)),SUMPRODUCT(($AZ26&gt;INDEX('How This Works &amp; Sources'!$B$155:$J$162,0,1))*($AZ26-INDEX('How This Works &amp; Sources'!$B$155:$J$162,0,1))*INDEX('How This Works &amp; Sources'!$B$155:$J$162,0,1+2)))))),IF($AN26="NY",IF($AU26="Married",IF($AZ26&gt;=2155350,$AZ26*IF($AZ26&gt;25000000,0.117,IF($AZ26&gt;5000000,0.111,0.1045)),SUMPRODUCT(($AZ26&gt;INDEX('How This Works &amp; Sources'!$B$184:$J$198,0,1))*($AZ26-INDEX('How This Works &amp; Sources'!$B$184:$J$198,0,1))*INDEX('How This Works &amp; Sources'!$B$184:$J$198,0,1+2))),IF($AZ26&gt;=1077550,$AZ26*IF($AZ26&gt;25000000,0.117,IF($AZ26&gt;5000000,0.111,0.1045)),SUMPRODUCT(($AZ26&gt;INDEX('How This Works &amp; Sources'!$B$167:$J$179,0,7))*($AZ26-INDEX('How This Works &amp; Sources'!$B$167:$J$179,0,7))*INDEX('How This Works &amp; Sources'!$B$167:$J$179,0,7+2)))),"")))))))</f>
      </c>
      <c r="BX26" s="7">
        <f>IF($B26="","",IF($AN26="AL",IF(OR($AU26="Married",$AU26="Head of household"),SUMPRODUCT(($AZ26&gt;INDEX('How This Works &amp; Sources'!$B$82:$J$86,0,4))*($AZ26-INDEX('How This Works &amp; Sources'!$B$82:$J$86,0,4))*INDEX('How This Works &amp; Sources'!$B$82:$J$86,0,4+2)),SUMPRODUCT(($AZ26&gt;INDEX('How This Works &amp; Sources'!$B$82:$J$86,0,1))*($AZ26-INDEX('How This Works &amp; Sources'!$B$82:$J$86,0,1))*INDEX('How This Works &amp; Sources'!$B$82:$J$86,0,1+2))),IF($AN26="KS",IF($AU26="Married",SUMPRODUCT(($AZ26&gt;INDEX('How This Works &amp; Sources'!$B$103:$J$109,0,4))*($AZ26-INDEX('How This Works &amp; Sources'!$B$103:$J$109,0,4))*INDEX('How This Works &amp; Sources'!$B$103:$J$109,0,4+2)),SUMPRODUCT(($AZ26&gt;INDEX('How This Works &amp; Sources'!$B$103:$J$109,0,1))*($AZ26-INDEX('How This Works &amp; Sources'!$B$103:$J$109,0,1))*INDEX('How This Works &amp; Sources'!$B$103:$J$109,0,1+2))),IF($AN26="MN",IF($AU26="Married",SUMPRODUCT(($AZ26&gt;INDEX('How This Works &amp; Sources'!$B$114:$J$120,0,7))*($AZ26-INDEX('How This Works &amp; Sources'!$B$114:$J$120,0,7))*INDEX('How This Works &amp; Sources'!$B$114:$J$120,0,7+2)),SUMPRODUCT(($AZ26&gt;INDEX('How This Works &amp; Sources'!$B$114:$J$120,0,4))*($AZ26-INDEX('How This Works &amp; Sources'!$B$114:$J$120,0,4))*INDEX('How This Works &amp; Sources'!$B$114:$J$120,0,4+2))),IF($AN26="NE",MAX(IF($AU26="Married",SUMPRODUCT(($AZ26&gt;INDEX('How This Works &amp; Sources'!$B$144:$J$150,0,7))*($AZ26-INDEX('How This Works &amp; Sources'!$B$144:$J$150,0,7))*INDEX('How This Works &amp; Sources'!$B$144:$J$150,0,7+2)),SUMPRODUCT(($AZ26&gt;INDEX('How This Works &amp; Sources'!$B$144:$J$150,0,4))*($AZ26-INDEX('How This Works &amp; Sources'!$B$144:$J$150,0,4))*INDEX('How This Works &amp; Sources'!$B$144:$J$150,0,4+2))),0.015*$AZ26),IF($AN26="OH",IF($B26&gt;=DATE(2026,8,1),SUMPRODUCT(($AZ26&gt;INDEX('How This Works &amp; Sources'!$B$203:$J$206,0,1))*($AZ26-INDEX('How This Works &amp; Sources'!$B$203:$J$206,0,1))*INDEX('How This Works &amp; Sources'!$B$203:$J$206,0,1+2)),SUMPRODUCT(($AZ26&gt;INDEX('How This Works &amp; Sources'!$B$184:$J$198,0,7))*($AZ26-INDEX('How This Works &amp; Sources'!$B$184:$J$198,0,7))*INDEX('How This Works &amp; Sources'!$B$184:$J$198,0,7+2))),IF($AN26="OK",IF($AU26="Married",SUMPRODUCT(($AZ26&gt;INDEX('How This Works &amp; Sources'!$B$203:$J$206,0,7))*($AZ26-INDEX('How This Works &amp; Sources'!$B$203:$J$206,0,7))*INDEX('How This Works &amp; Sources'!$B$203:$J$206,0,7+2)),SUMPRODUCT(($AZ26&gt;INDEX('How This Works &amp; Sources'!$B$203:$J$206,0,4))*($AZ26-INDEX('How This Works &amp; Sources'!$B$203:$J$206,0,4))*INDEX('How This Works &amp; Sources'!$B$203:$J$206,0,4+2))),IF($AN26="RI",SUMPRODUCT(($AZ26&gt;INDEX('How This Works &amp; Sources'!$B$211:$J$214,0,7))*($AZ26-INDEX('How This Works &amp; Sources'!$B$211:$J$214,0,7))*INDEX('How This Works &amp; Sources'!$B$211:$J$214,0,7+2)),IF($AN26="VT",IF($AU26="Married",SUMPRODUCT(($AZ26&gt;INDEX('How This Works &amp; Sources'!$B$228:$J$232,0,1))*($AZ26-INDEX('How This Works &amp; Sources'!$B$228:$J$232,0,1))*INDEX('How This Works &amp; Sources'!$B$228:$J$232,0,1+2)),SUMPRODUCT(($AZ26&gt;INDEX('How This Works &amp; Sources'!$B$219:$J$223,0,7))*($AZ26-INDEX('How This Works &amp; Sources'!$B$219:$J$223,0,7))*INDEX('How This Works &amp; Sources'!$B$219:$J$223,0,7+2))),IF($AN26="WV",IF($AU26="Married",SUMPRODUCT(($AZ26&gt;INDEX('How This Works &amp; Sources'!$B$237:$J$241,0,7))*($AZ26-INDEX('How This Works &amp; Sources'!$B$237:$J$241,0,7))*INDEX('How This Works &amp; Sources'!$B$237:$J$241,0,7+2)),SUMPRODUCT(($AZ26&gt;INDEX('How This Works &amp; Sources'!$B$228:$J$232,0,7))*($AZ26-INDEX('How This Works &amp; Sources'!$B$228:$J$232,0,7))*INDEX('How This Works &amp; Sources'!$B$228:$J$232,0,7+2))),""))))))))))</f>
      </c>
      <c r="BY26" s="7">
        <f>IF($B26="","",IF($AN26="AR",SUMPRODUCT(($AZ26&gt;INDEX('How This Works &amp; Sources'!$B$82:$J$86,0,7))*($AZ26-INDEX('How This Works &amp; Sources'!$B$82:$J$86,0,7))*INDEX('How This Works &amp; Sources'!$B$82:$J$86,0,7+2)),IF($AN26="DE",SUMPRODUCT(($AZ26&gt;INDEX('How This Works &amp; Sources'!$B$91:$J$98,0,1))*($AZ26-INDEX('How This Works &amp; Sources'!$B$91:$J$98,0,1))*INDEX('How This Works &amp; Sources'!$B$91:$J$98,0,1+2)),IF($AN26="HI",IF($AU26="Married",SUMPRODUCT(($AZ26&gt;INDEX('How This Works &amp; Sources'!$B$91:$J$98,0,7))*($AZ26-INDEX('How This Works &amp; Sources'!$B$91:$J$98,0,7))*INDEX('How This Works &amp; Sources'!$B$91:$J$98,0,7+2)),SUMPRODUCT(($AZ26&gt;INDEX('How This Works &amp; Sources'!$B$91:$J$98,0,4))*($AZ26-INDEX('How This Works &amp; Sources'!$B$91:$J$98,0,4))*INDEX('How This Works &amp; Sources'!$B$91:$J$98,0,4+2))),IF($AN26="SC",SUMPRODUCT(($AZ26&gt;INDEX('How This Works &amp; Sources'!$B$219:$J$223,0,1))*($AZ26-INDEX('How This Works &amp; Sources'!$B$219:$J$223,0,1))*INDEX('How This Works &amp; Sources'!$B$219:$J$223,0,1+2)),IF($AN26="VA",SUMPRODUCT(($AZ26&gt;INDEX('How This Works &amp; Sources'!$B$219:$J$223,0,4))*($AZ26-INDEX('How This Works &amp; Sources'!$B$219:$J$223,0,4))*INDEX('How This Works &amp; Sources'!$B$219:$J$223,0,4+2)),IF($AN26="WI",SUMPRODUCT(($AZ26&gt;INDEX('How This Works &amp; Sources'!$B$228:$J$232,0,4))*($AZ26-INDEX('How This Works &amp; Sources'!$B$228:$J$232,0,4))*INDEX('How This Works &amp; Sources'!$B$228:$J$232,0,4+2)),"")))))))</f>
      </c>
      <c r="BZ26" s="24">
        <f>IF($B26="","",IF($AN26="NJ",IF('Your Pay &amp; Benefits'!$C$77="B",SUMPRODUCT(($AZ26&gt;=INDEX('How This Works &amp; Sources'!$B$155:$J$162,0,4))*INDEX('How This Works &amp; Sources'!$B$155:$J$162,0,4+2)),IF('Your Pay &amp; Benefits'!$C$77="C",SUMPRODUCT(($AZ26&gt;=INDEX('How This Works &amp; Sources'!$B$155:$J$162,0,7))*INDEX('How This Works &amp; Sources'!$B$155:$J$162,0,7+2)),IF('Your Pay &amp; Benefits'!$C$77="D",SUMPRODUCT(($AZ26&gt;=INDEX('How This Works &amp; Sources'!$B$167:$J$179,0,1))*INDEX('How This Works &amp; Sources'!$B$167:$J$179,0,1+2)),IF('Your Pay &amp; Benefits'!$C$77="E",SUMPRODUCT(($AZ26&gt;=INDEX('How This Works &amp; Sources'!$B$167:$J$179,0,4))*INDEX('How This Works &amp; Sources'!$B$167:$J$179,0,4+2)),SUMPRODUCT(($AZ26&gt;=INDEX('How This Works &amp; Sources'!$B$155:$J$162,0,1))*INDEX('How This Works &amp; Sources'!$B$155:$J$162,0,1+2)))))),IF($AN26="OR",IF(OR($AU26="Married",AND($AU26="Single",$AS26&gt;=3)),SUMPRODUCT((MAX(0,$AY26-MIN(($P26-'How This Works &amp; Sources'!$C$10*$D26)*'Your Pay &amp; Benefits'!$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Sources'!$B$211:$J$214,0,4))*INDEX('How This Works &amp; Sources'!$B$211:$J$214,0,4+2)),SUMPRODUCT((MAX(0,$AY26-MIN(($P26-'How This Works &amp; Sources'!$C$10*$D26)*'Your Pay &amp; Benefits'!$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Sources'!$B$211:$J$214,0,1))*INDEX('How This Works &amp; Sources'!$B$211:$J$214,0,1+2)))*IF(($P26-'How This Works &amp; Sources'!$C$10*$D26)*'Your Pay &amp; Benefits'!$C$8&gt;=IF(OR($AU26="Married",AND($AU26="Single",$AS26&gt;=3)),IF($AY26&lt;250000,8750,IF($AY26&lt;260000,7000,IF($AY26&lt;270000,5250,IF($AY26&lt;280000,3500,IF($AY26&lt;290000,1750,0))))),IF($AY26&lt;125000,8750,IF($AY26&lt;130000,7000,IF($AY26&lt;135000,5250,IF($AY26&lt;140000,3500,IF($AY26&lt;145000,1750,0)))))),1,1-IF('Your Pay &amp; Benefits'!$C$13,SUMPRODUCT(($AH26&gt;=INDEX('How This Works &amp; Sources'!$B$29:$J$36,0,IF('Your Pay &amp; Benefits'!$C$12="MFJ",1,IF('Your Pay &amp; Benefits'!$C$12="HoH",7,4))))*INDEX('How This Works &amp; Sources'!$B$29:$J$36,0,IF('Your Pay &amp; Benefits'!$C$12="MFJ",1,IF('Your Pay &amp; Benefits'!$C$12="HoH",7,4))+2)),SUMPRODUCT(($AH26&gt;=INDEX('How This Works &amp; Sources'!$B$19:$J$26,0,IF('Your Pay &amp; Benefits'!$C$12="MFJ",1,IF('Your Pay &amp; Benefits'!$C$12="HoH",7,4))))*INDEX('How This Works &amp; Sources'!$B$19:$J$26,0,IF('Your Pay &amp; Benefits'!$C$12="MFJ",1,IF('Your Pay &amp; Benefits'!$C$12="HoH",7,4))+2)))),IF($AN26="MI",IF($AY26&gt;5900*$AS26,0.0425,0),""))))</f>
      </c>
      <c r="CA26" s="24">
        <f>IF($B26="","",IF($AN26="AL",IF(OR($AU26="Married",$AU26="Head of household"),SUMPRODUCT(($AZ26&gt;=INDEX('How This Works &amp; Sources'!$B$82:$J$86,0,4))*INDEX('How This Works &amp; Sources'!$B$82:$J$86,0,4+2)),SUMPRODUCT(($AZ26&gt;=INDEX('How This Works &amp; Sources'!$B$82:$J$86,0,1))*INDEX('How This Works &amp; Sources'!$B$82:$J$86,0,1+2)))*(1-IF('Your Pay &amp; Benefits'!$C$13,SUMPRODUCT(($AH26&gt;=INDEX('How This Works &amp; Sources'!$B$29:$J$36,0,IF('Your Pay &amp; Benefits'!$C$12="MFJ",1,IF('Your Pay &amp; Benefits'!$C$12="HoH",7,4))))*INDEX('How This Works &amp; Sources'!$B$29:$J$36,0,IF('Your Pay &amp; Benefits'!$C$12="MFJ",1,IF('Your Pay &amp; Benefits'!$C$12="HoH",7,4))+2)),SUMPRODUCT(($AH26&gt;=INDEX('How This Works &amp; Sources'!$B$19:$J$26,0,IF('Your Pay &amp; Benefits'!$C$12="MFJ",1,IF('Your Pay &amp; Benefits'!$C$12="HoH",7,4))))*INDEX('How This Works &amp; Sources'!$B$19:$J$26,0,IF('Your Pay &amp; Benefits'!$C$12="MFJ",1,IF('Your Pay &amp; Benefits'!$C$12="HoH",7,4))+2)))),IF($AN26="KS",IF($AU26="Married",SUMPRODUCT(($AZ26&gt;=INDEX('How This Works &amp; Sources'!$B$103:$J$109,0,4))*INDEX('How This Works &amp; Sources'!$B$103:$J$109,0,4+2)),SUMPRODUCT(($AZ26&gt;=INDEX('How This Works &amp; Sources'!$B$103:$J$109,0,1))*INDEX('How This Works &amp; Sources'!$B$103:$J$109,0,1+2))),IF($AN26="MD",IF(OR($AU26="Married",$AU26="Head of household"),SUMPRODUCT(($AZ26&gt;=INDEX('How This Works &amp; Sources'!$B$114:$J$120,0,1))*INDEX('How This Works &amp; Sources'!$B$114:$J$120,0,1+2)),SUMPRODUCT(($AZ26&gt;=INDEX('How This Works &amp; Sources'!$B$103:$J$109,0,7))*INDEX('How This Works &amp; Sources'!$B$103:$J$109,0,7+2)))+'Your Pay &amp; Benefits'!$C$74,IF($AN26="MT",IF($AU26="Head of household",SUMPRODUCT(($AZ26&gt;=INDEX('How This Works &amp; Sources'!$B$137:$J$139,0,1))*INDEX('How This Works &amp; Sources'!$B$137:$J$139,0,1+2)),IF($AU26="Married",SUMPRODUCT(($AZ26&gt;=INDEX('How This Works &amp; Sources'!$B$125:$J$132,0,7))*INDEX('How This Works &amp; Sources'!$B$125:$J$132,0,7+2)),SUMPRODUCT(($AZ26&gt;=INDEX('How This Works &amp; Sources'!$B$125:$J$132,0,4))*INDEX('How This Works &amp; Sources'!$B$125:$J$132,0,4+2)))),IF($AN26="ND",IF($AU26="Head of household",SUMPRODUCT(($AZ26&gt;=INDEX('How This Works &amp; Sources'!$B$144:$J$150,0,1))*INDEX('How This Works &amp; Sources'!$B$144:$J$150,0,1+2)),IF($AU26="Married",SUMPRODUCT(($AZ26&gt;=INDEX('How This Works &amp; Sources'!$B$137:$J$139,0,7))*INDEX('How This Works &amp; Sources'!$B$137:$J$139,0,7+2)),SUMPRODUCT(($AZ26&gt;=INDEX('How This Works &amp; Sources'!$B$137:$J$139,0,4))*INDEX('How This Works &amp; Sources'!$B$137:$J$139,0,4+2)))),IF($AN26="NY",IF($AU26="Married",IF($AZ26&gt;=2155350,IF($AZ26&gt;25000000,0.117,IF($AZ26&gt;5000000,0.111,0.1045)),SUMPRODUCT(($AZ26&gt;=INDEX('How This Works &amp; Sources'!$B$184:$J$198,0,1))*INDEX('How This Works &amp; Sources'!$B$184:$J$198,0,1+2))),IF($AZ26&gt;=1077550,IF($AZ26&gt;25000000,0.117,IF($AZ26&gt;5000000,0.111,0.1045)),SUMPRODUCT(($AZ26&gt;=INDEX('How This Works &amp; Sources'!$B$167:$J$179,0,7))*INDEX('How This Works &amp; Sources'!$B$167:$J$179,0,7+2)))),"")))))))</f>
      </c>
      <c r="CB26" s="24">
        <f>IF($B26="","",IF($AN26="CA",SUMPRODUCT(($AJ26&gt;=INDEX('How This Works &amp; Sources'!$B$39:$J$48,0,IF($AU26="Married",4,IF($AU26="Head of household",7,1))))*INDEX('How This Works &amp; Sources'!$B$39:$J$48,0,IF($AU26="Married",4,IF($AU26="Head of household",7,1))+2)),IF($AN26="HI",IF($AU26="Married",SUMPRODUCT(($AZ26&gt;=INDEX('How This Works &amp; Sources'!$B$91:$J$98,0,7))*INDEX('How This Works &amp; Sources'!$B$91:$J$98,0,7+2)),SUMPRODUCT(($AZ26&gt;=INDEX('How This Works &amp; Sources'!$B$91:$J$98,0,4))*INDEX('How This Works &amp; Sources'!$B$91:$J$98,0,4+2))),IF($AN26="MN",IF($AU26="Married",SUMPRODUCT(($AZ26&gt;=INDEX('How This Works &amp; Sources'!$B$114:$J$120,0,7))*INDEX('How This Works &amp; Sources'!$B$114:$J$120,0,7+2)),SUMPRODUCT(($AZ26&gt;=INDEX('How This Works &amp; Sources'!$B$114:$J$120,0,4))*INDEX('How This Works &amp; Sources'!$B$114:$J$120,0,4+2))),IF($AN26="MO",SUMPRODUCT(($AZ26&gt;=INDEX('How This Works &amp; Sources'!$B$125:$J$132,0,1))*INDEX('How This Works &amp; Sources'!$B$125:$J$132,0,1+2)),IF($AN26="NE",MAX(IF($AU26="Married",SUMPRODUCT(($AZ26&gt;=INDEX('How This Works &amp; Sources'!$B$144:$J$150,0,7))*INDEX('How This Works &amp; Sources'!$B$144:$J$150,0,7+2)),SUMPRODUCT(($AZ26&gt;=INDEX('How This Works &amp; Sources'!$B$144:$J$150,0,4))*INDEX('How This Works &amp; Sources'!$B$144:$J$150,0,4+2))),0.015),IF($AN26="OH",IF($B26&gt;=DATE(2026,8,1),SUMPRODUCT(($AZ26&gt;=INDEX('How This Works &amp; Sources'!$B$203:$J$206,0,1))*INDEX('How This Works &amp; Sources'!$B$203:$J$206,0,1+2)),SUMPRODUCT(($AZ26&gt;=INDEX('How This Works &amp; Sources'!$B$184:$J$198,0,7))*INDEX('How This Works &amp; Sources'!$B$184:$J$198,0,7+2))),IF($AN26="OK",IF($AU26="Married",SUMPRODUCT(($AZ26&gt;=INDEX('How This Works &amp; Sources'!$B$203:$J$206,0,7))*INDEX('How This Works &amp; Sources'!$B$203:$J$206,0,7+2)),SUMPRODUCT(($AZ26&gt;=INDEX('How This Works &amp; Sources'!$B$203:$J$206,0,4))*INDEX('How This Works &amp; Sources'!$B$203:$J$206,0,4+2))),IF($AN26="RI",SUMPRODUCT(($AZ26&gt;=INDEX('How This Works &amp; Sources'!$B$211:$J$214,0,7))*INDEX('How This Works &amp; Sources'!$B$211:$J$214,0,7+2)),IF($AN26="SC",SUMPRODUCT(($AZ26&gt;=INDEX('How This Works &amp; Sources'!$B$219:$J$223,0,1))*INDEX('How This Works &amp; Sources'!$B$219:$J$223,0,1+2)),IF($AN26="VT",IF($AU26="Married",SUMPRODUCT(($AZ26&gt;=INDEX('How This Works &amp; Sources'!$B$228:$J$232,0,1))*INDEX('How This Works &amp; Sources'!$B$228:$J$232,0,1+2)),SUMPRODUCT(($AZ26&gt;=INDEX('How This Works &amp; Sources'!$B$219:$J$223,0,7))*INDEX('How This Works &amp; Sources'!$B$219:$J$223,0,7+2))),IF($AN26="WV",IF($AU26="Married",SUMPRODUCT(($AZ26&gt;=INDEX('How This Works &amp; Sources'!$B$237:$J$241,0,7))*INDEX('How This Works &amp; Sources'!$B$237:$J$241,0,7+2)),SUMPRODUCT(($AZ26&gt;=INDEX('How This Works &amp; Sources'!$B$228:$J$232,0,7))*INDEX('How This Works &amp; Sources'!$B$228:$J$232,0,7+2))),IF($AN26="IN",(0.0295+'Your Pay &amp; Benefits'!$C$76),"")))))))))))))</f>
      </c>
      <c r="CC26" s="24">
        <f>IF($B26="","",IF($AN26="AR",SUMPRODUCT(($AZ26&gt;=INDEX('How This Works &amp; Sources'!$B$82:$J$86,0,7))*INDEX('How This Works &amp; Sources'!$B$82:$J$86,0,7+2)),IF($AN26="DE",SUMPRODUCT(($AZ26&gt;=INDEX('How This Works &amp; Sources'!$B$91:$J$98,0,1))*INDEX('How This Works &amp; Sources'!$B$91:$J$98,0,1+2)),IF($AN26="VA",SUMPRODUCT(($AZ26&gt;=INDEX('How This Works &amp; Sources'!$B$219:$J$223,0,4))*INDEX('How This Works &amp; Sources'!$B$219:$J$223,0,4+2)),IF($AN26="WI",SUMPRODUCT(($AZ26&gt;=INDEX('How This Works &amp; Sources'!$B$228:$J$232,0,4))*INDEX('How This Works &amp; Sources'!$B$228:$J$232,0,4+2)),IF($AN26="AZ",'Your Pay &amp; Benefits'!$C$82,IF($AN26="CO",IF($AY26&gt;IF($AU26="Married",10000,5000),0.044,0),IF($AN26="IA",IF($AY26&gt;IF($AU26="Head of household",19500,IF($AU26="Married",26000,13000)),0.038,0),IF($AN26="ID",IF($AY26&gt;IF($AU26="Married",32000,16094),0.053,0),IF($AN26="IL",IF($AY26&gt;(2925*$AS26+1000*$AT26),0.0495,0),IF($AN26="KY",IF($AI26&gt;3360,0.035,0),IF($AN26="LA",0.0309,IF($AN26="MA",IF(MAX(0,$AY26-MIN(($BD25+$Q26+$R26+$S26),2000)-IF($AS26=0,0,IF($AS26=1,4400,1000*$AS26+3400)))&gt;=1107750,0.09,0.05),IF($AN26="MS",IF($AI26-IF($AU26="Head of household",3400,IF($AU26="Married",4600,2300))-'Your Pay &amp; Benefits'!$C$85&gt;10000,0.04,0),IF($AN26="PA",0.0307,"")))))))))))))))</f>
      </c>
      <c r="CD26" s="21">
        <f>IF(YEAR(IF('Your Pay &amp; Benefits'!$C$7="Weekly",'Your Pay &amp; Benefits'!$C$9+7*(($BE25+1)-1),IF('Your Pay &amp; Benefits'!$C$7="Biweekly",'Your Pay &amp; Benefits'!$C$9+14*(($BE25+1)-1),IF('Your Pay &amp; Benefits'!$C$7="Semimonthly",DATE(YEAR('Your Pay &amp; Benefits'!$C$9),MONTH('Your Pay &amp; Benefits'!$C$9)+INT((($BE25+1)-1)/2),MIN(DAY('Your Pay &amp; Benefits'!$C$9),DAY(EOMONTH(DATE(YEAR('Your Pay &amp; Benefits'!$C$9),MONTH('Your Pay &amp; Benefits'!$C$9)+INT((($BE25+1)-1)/2),1),0))))+IF(MOD(($BE25+1)-1,2)=1,15,0),EDATE('Your Pay &amp; Benefits'!$C$9,($BE25+1)-1)))))&lt;&gt;'Your Pay &amp; Benefits'!$C$10,"",IF('Your Pay &amp; Benefits'!$C$7="Weekly",'Your Pay &amp; Benefits'!$C$9+7*(($BE25+1)-1),IF('Your Pay &amp; Benefits'!$C$7="Biweekly",'Your Pay &amp; Benefits'!$C$9+14*(($BE25+1)-1),IF('Your Pay &amp; Benefits'!$C$7="Semimonthly",DATE(YEAR('Your Pay &amp; Benefits'!$C$9),MONTH('Your Pay &amp; Benefits'!$C$9)+INT((($BE25+1)-1)/2),MIN(DAY('Your Pay &amp; Benefits'!$C$9),DAY(EOMONTH(DATE(YEAR('Your Pay &amp; Benefits'!$C$9),MONTH('Your Pay &amp; Benefits'!$C$9)+INT((($BE25+1)-1)/2),1),0))))+IF(MOD(($BE25+1)-1,2)=1,15,0),EDATE('Your Pay &amp; Benefits'!$C$9,($BE25+1)-1)))))</f>
      </c>
      <c r="CE26" s="21">
        <f>IF(MIN(IF(AND('Your Pay &amp; Benefits'!$C$58&gt;MAX($B$6:$B25),'Your Pay &amp; Benefits'!$C$58&gt;=DATE('Your Pay &amp; Benefits'!$C$10,1,1),'Your Pay &amp; Benefits'!$C$58&lt;=DATE('Your Pay &amp; Benefits'!$C$10,12,31)),'Your Pay &amp; Benefits'!$C$58,999999),IF(AND('Your Pay &amp; Benefits'!$C$59&gt;MAX($B$6:$B25),'Your Pay &amp; Benefits'!$C$59&gt;=DATE('Your Pay &amp; Benefits'!$C$10,1,1),'Your Pay &amp; Benefits'!$C$59&lt;=DATE('Your Pay &amp; Benefits'!$C$10,12,31)),'Your Pay &amp; Benefits'!$C$59,999999),IF(AND('Your Pay &amp; Benefits'!$C$60&gt;MAX($B$6:$B25),'Your Pay &amp; Benefits'!$C$60&gt;=DATE('Your Pay &amp; Benefits'!$C$10,1,1),'Your Pay &amp; Benefits'!$C$60&lt;=DATE('Your Pay &amp; Benefits'!$C$10,12,31)),'Your Pay &amp; Benefits'!$C$60,999999),IF(AND('Your Pay &amp; Benefits'!$C$61&gt;MAX($B$6:$B25),'Your Pay &amp; Benefits'!$C$61&gt;=DATE('Your Pay &amp; Benefits'!$C$10,1,1),'Your Pay &amp; Benefits'!$C$61&lt;=DATE('Your Pay &amp; Benefits'!$C$10,12,31)),'Your Pay &amp; Benefits'!$C$61,999999),IF(AND('Your Pay &amp; Benefits'!$C$62&gt;MAX($B$6:$B25),'Your Pay &amp; Benefits'!$C$62&gt;=DATE('Your Pay &amp; Benefits'!$C$10,1,1),'Your Pay &amp; Benefits'!$C$62&lt;=DATE('Your Pay &amp; Benefits'!$C$10,12,31)),'Your Pay &amp; Benefits'!$C$62,999999),IF(AND('Your Pay &amp; Benefits'!$C$63&gt;MAX($B$6:$B25),'Your Pay &amp; Benefits'!$C$63&gt;=DATE('Your Pay &amp; Benefits'!$C$10,1,1),'Your Pay &amp; Benefits'!$C$63&lt;=DATE('Your Pay &amp; Benefits'!$C$10,12,31)),'Your Pay &amp; Benefits'!$C$63,999999),IF(AND('Your Pay &amp; Benefits'!$C$64&gt;MAX($B$6:$B25),'Your Pay &amp; Benefits'!$C$64&gt;=DATE('Your Pay &amp; Benefits'!$C$10,1,1),'Your Pay &amp; Benefits'!$C$64&lt;=DATE('Your Pay &amp; Benefits'!$C$10,12,31)),'Your Pay &amp; Benefits'!$C$64,999999),IF(AND('Your Pay &amp; Benefits'!$C$65&gt;MAX($B$6:$B25),'Your Pay &amp; Benefits'!$C$65&gt;=DATE('Your Pay &amp; Benefits'!$C$10,1,1),'Your Pay &amp; Benefits'!$C$65&lt;=DATE('Your Pay &amp; Benefits'!$C$10,12,31)),'Your Pay &amp; Benefits'!$C$65,999999),IF(AND('Your Pay &amp; Benefits'!$C$66&gt;MAX($B$6:$B25),'Your Pay &amp; Benefits'!$C$66&gt;=DATE('Your Pay &amp; Benefits'!$C$10,1,1),'Your Pay &amp; Benefits'!$C$66&lt;=DATE('Your Pay &amp; Benefits'!$C$10,12,31)),'Your Pay &amp; Benefits'!$C$66,999999),IF(AND('Your Pay &amp; Benefits'!$C$67&gt;MAX($B$6:$B25),'Your Pay &amp; Benefits'!$C$67&gt;=DATE('Your Pay &amp; Benefits'!$C$10,1,1),'Your Pay &amp; Benefits'!$C$67&lt;=DATE('Your Pay &amp; Benefits'!$C$10,12,31)),'Your Pay &amp; Benefits'!$C$67,999999))=999999,"",MIN(IF(AND('Your Pay &amp; Benefits'!$C$58&gt;MAX($B$6:$B25),'Your Pay &amp; Benefits'!$C$58&gt;=DATE('Your Pay &amp; Benefits'!$C$10,1,1),'Your Pay &amp; Benefits'!$C$58&lt;=DATE('Your Pay &amp; Benefits'!$C$10,12,31)),'Your Pay &amp; Benefits'!$C$58,999999),IF(AND('Your Pay &amp; Benefits'!$C$59&gt;MAX($B$6:$B25),'Your Pay &amp; Benefits'!$C$59&gt;=DATE('Your Pay &amp; Benefits'!$C$10,1,1),'Your Pay &amp; Benefits'!$C$59&lt;=DATE('Your Pay &amp; Benefits'!$C$10,12,31)),'Your Pay &amp; Benefits'!$C$59,999999),IF(AND('Your Pay &amp; Benefits'!$C$60&gt;MAX($B$6:$B25),'Your Pay &amp; Benefits'!$C$60&gt;=DATE('Your Pay &amp; Benefits'!$C$10,1,1),'Your Pay &amp; Benefits'!$C$60&lt;=DATE('Your Pay &amp; Benefits'!$C$10,12,31)),'Your Pay &amp; Benefits'!$C$60,999999),IF(AND('Your Pay &amp; Benefits'!$C$61&gt;MAX($B$6:$B25),'Your Pay &amp; Benefits'!$C$61&gt;=DATE('Your Pay &amp; Benefits'!$C$10,1,1),'Your Pay &amp; Benefits'!$C$61&lt;=DATE('Your Pay &amp; Benefits'!$C$10,12,31)),'Your Pay &amp; Benefits'!$C$61,999999),IF(AND('Your Pay &amp; Benefits'!$C$62&gt;MAX($B$6:$B25),'Your Pay &amp; Benefits'!$C$62&gt;=DATE('Your Pay &amp; Benefits'!$C$10,1,1),'Your Pay &amp; Benefits'!$C$62&lt;=DATE('Your Pay &amp; Benefits'!$C$10,12,31)),'Your Pay &amp; Benefits'!$C$62,999999),IF(AND('Your Pay &amp; Benefits'!$C$63&gt;MAX($B$6:$B25),'Your Pay &amp; Benefits'!$C$63&gt;=DATE('Your Pay &amp; Benefits'!$C$10,1,1),'Your Pay &amp; Benefits'!$C$63&lt;=DATE('Your Pay &amp; Benefits'!$C$10,12,31)),'Your Pay &amp; Benefits'!$C$63,999999),IF(AND('Your Pay &amp; Benefits'!$C$64&gt;MAX($B$6:$B25),'Your Pay &amp; Benefits'!$C$64&gt;=DATE('Your Pay &amp; Benefits'!$C$10,1,1),'Your Pay &amp; Benefits'!$C$64&lt;=DATE('Your Pay &amp; Benefits'!$C$10,12,31)),'Your Pay &amp; Benefits'!$C$64,999999),IF(AND('Your Pay &amp; Benefits'!$C$65&gt;MAX($B$6:$B25),'Your Pay &amp; Benefits'!$C$65&gt;=DATE('Your Pay &amp; Benefits'!$C$10,1,1),'Your Pay &amp; Benefits'!$C$65&lt;=DATE('Your Pay &amp; Benefits'!$C$10,12,31)),'Your Pay &amp; Benefits'!$C$65,999999),IF(AND('Your Pay &amp; Benefits'!$C$66&gt;MAX($B$6:$B25),'Your Pay &amp; Benefits'!$C$66&gt;=DATE('Your Pay &amp; Benefits'!$C$10,1,1),'Your Pay &amp; Benefits'!$C$66&lt;=DATE('Your Pay &amp; Benefits'!$C$10,12,31)),'Your Pay &amp; Benefits'!$C$66,999999),IF(AND('Your Pay &amp; Benefits'!$C$67&gt;MAX($B$6:$B25),'Your Pay &amp; Benefits'!$C$67&gt;=DATE('Your Pay &amp; Benefits'!$C$10,1,1),'Your Pay &amp; Benefits'!$C$67&lt;=DATE('Your Pay &amp; Benefits'!$C$10,12,31)),'Your Pay &amp; Benefits'!$C$67,999999)))</f>
      </c>
      <c r="CF26">
        <f>IF($B26="","",IF($D26=0,$Y26,""))</f>
      </c>
    </row>
    <row r="27">
      <c r="A27" t="n">
        <v>22</v>
      </c>
      <c r="B27" s="21">
        <f>IF(AND($CD27="",$CE27=""),"",IF($CE27="",$CD27,IF($CD27="",$CE27,MIN($CD27,$CE27))))</f>
      </c>
      <c r="C27" s="7">
        <f>IF($B27="","",IF($BF27=0,0,IF('Your Pay &amp; Benefits'!$C$4="Annual salary",ROUND($AK27/IF(AND('Your Pay &amp; Benefits'!$C$88="Actual paydays",MONTH('Your Pay &amp; Benefits'!$C$9)=1),MAX(1,MAX($BE$6:$BE$68)),'Your Pay &amp; Benefits'!$C$8),2),$AK27)))</f>
      </c>
      <c r="D27" s="7">
        <f>IF($B27="","",SUMIF('Your Pay &amp; Benefits'!$C$58:$C$67,$B27,'Your Pay &amp; Benefits'!$D$58:$D$67))</f>
      </c>
      <c r="E27" s="7">
        <f>IF($B27="","",ROUND(MAX(0,MIN(IF($AL27="Percent",$AM27*($C27+$D27),$AM27),MAX(0,'Your Pay &amp; Benefits'!$C$34-$AC26))),2))</f>
      </c>
      <c r="F27" s="7">
        <f>IF($B27="","",ROUND(MAX(0,MIN(IF('Your Pay &amp; Benefits'!$C$32="Percent",'Your Pay &amp; Benefits'!$D$32*($C27+$D27),'Your Pay &amp; Benefits'!$D$32),MAX(0,'Your Pay &amp; Benefits'!$C$34-$AC26-$E27))),2))</f>
      </c>
      <c r="G27" s="7">
        <f>IF($B27="","",IF($BF27=0,0,ROUND(MAX(0,MIN($BL27,'Your Pay &amp; Benefits'!$C$37-'Your Pay &amp; Benefits'!$C$54-$BI26)),2)))</f>
      </c>
      <c r="H27" s="7">
        <f>IF($B27="","",IF(OR($BF27=0,$BQ27=1),0,ROUND(MAX(0,MIN(IF($BS27=1,ROUND(MAX(0,MIN($BJ27,'How This Works &amp; Sources'!$C$13)-$BG26)/MAX(1,MAX($BE$6:$BE$68)-($BE26)),2),ROUND(MIN($BJ27,'How This Works &amp; Sources'!$C$13)/'Your Pay &amp; Benefits'!$C$8,2)),MIN($BJ27,'How This Works &amp; Sources'!$C$13)-$BG26)),2)))</f>
      </c>
      <c r="I27" s="7">
        <f>IF($B27="","",IF(OR($BF27=0,$BR27=1),0,ROUND(MAX(0,MIN(IF($BT27=1,ROUND(MAX(0,MIN($BK27,IF('Your Pay &amp; Benefits'!$C$12="MFJ",'How This Works &amp; Sources'!$C$14,'How This Works &amp; Sources'!$C$15))-$BH26)/MAX(1,MAX($BE$6:$BE$68)-($BE26)),2),ROUND(MIN($BK27,IF('Your Pay &amp; Benefits'!$C$12="MFJ",'How This Works &amp; Sources'!$C$14,'How This Works &amp; Sources'!$C$15))/'Your Pay &amp; Benefits'!$C$8,2)),MIN($BK27,IF('Your Pay &amp; Benefits'!$C$12="MFJ",'How This Works &amp; Sources'!$C$14,'How This Works &amp; Sources'!$C$15))-$BH26)),2)))</f>
      </c>
      <c r="J27" s="7">
        <f>IF($B27="","",IF($BF27=0,0,$BM27))</f>
      </c>
      <c r="K27" s="7">
        <f>IF($B27="","",IF($BF27=0,0,$BN27+$BO27))</f>
      </c>
      <c r="L27" s="7">
        <f>IF($B27="","",IF($BF27=0,0,'Your Pay &amp; Benefits'!$D$46))</f>
      </c>
      <c r="M27" s="7">
        <f>IF($B27="","",$C27+$D27+$L27-$E27-$G27-$H27-$I27-$J27-$K27)</f>
      </c>
      <c r="N27" s="7">
        <f>IF($B27="","",$C27+$D27+$L27-$G27-$H27-$I27-$J27-$K27)</f>
      </c>
      <c r="O27" s="7">
        <f>IF($B27="","",$C27+$D27+$L27-$E27-$H27-$I27-$J27-$K27-IF(OR($AN27="CA",$AN27="NJ"),0,$G27))</f>
      </c>
      <c r="P27" s="7">
        <f>IF($B27="","",IF('Your Pay &amp; Benefits'!$C$18,0,ROUND(MAX(0,IF('Your Pay &amp; Benefits'!$C$13,SUMPRODUCT(($AH27&gt;INDEX('How This Works &amp; Sources'!$B$29:$J$36,0,IF('Your Pay &amp; Benefits'!$C$12="MFJ",1,IF('Your Pay &amp; Benefits'!$C$12="HoH",7,4))))*($AH27-INDEX('How This Works &amp; Sources'!$B$29:$J$36,0,IF('Your Pay &amp; Benefits'!$C$12="MFJ",1,IF('Your Pay &amp; Benefits'!$C$12="HoH",7,4))))*INDEX('How This Works &amp; Sources'!$B$29:$J$36,0,IF('Your Pay &amp; Benefits'!$C$12="MFJ",1,IF('Your Pay &amp; Benefits'!$C$12="HoH",7,4))+2)),SUMPRODUCT(($AH27&gt;INDEX('How This Works &amp; Sources'!$B$19:$J$26,0,IF('Your Pay &amp; Benefits'!$C$12="MFJ",1,IF('Your Pay &amp; Benefits'!$C$12="HoH",7,4))))*($AH27-INDEX('How This Works &amp; Sources'!$B$19:$J$26,0,IF('Your Pay &amp; Benefits'!$C$12="MFJ",1,IF('Your Pay &amp; Benefits'!$C$12="HoH",7,4))))*INDEX('How This Works &amp; Sources'!$B$19:$J$26,0,IF('Your Pay &amp; Benefits'!$C$12="MFJ",1,IF('Your Pay &amp; Benefits'!$C$12="HoH",7,4))+2)))/'Your Pay &amp; Benefits'!$C$8-$AO27/'Your Pay &amp; Benefits'!$C$8)+$AR27+IF('Your Pay &amp; Benefits'!$C$89="Aggregate",MAX(0,IF('Your Pay &amp; Benefits'!$C$13,SUMPRODUCT((($AH27+$D27)&gt;INDEX('How This Works &amp; Sources'!$B$29:$J$36,0,IF('Your Pay &amp; Benefits'!$C$12="MFJ",1,IF('Your Pay &amp; Benefits'!$C$12="HoH",7,4))))*(($AH27+$D27)-INDEX('How This Works &amp; Sources'!$B$29:$J$36,0,IF('Your Pay &amp; Benefits'!$C$12="MFJ",1,IF('Your Pay &amp; Benefits'!$C$12="HoH",7,4))))*INDEX('How This Works &amp; Sources'!$B$29:$J$36,0,IF('Your Pay &amp; Benefits'!$C$12="MFJ",1,IF('Your Pay &amp; Benefits'!$C$12="HoH",7,4))+2)),SUMPRODUCT((($AH27+$D27)&gt;INDEX('How This Works &amp; Sources'!$B$19:$J$26,0,IF('Your Pay &amp; Benefits'!$C$12="MFJ",1,IF('Your Pay &amp; Benefits'!$C$12="HoH",7,4))))*(($AH27+$D27)-INDEX('How This Works &amp; Sources'!$B$19:$J$26,0,IF('Your Pay &amp; Benefits'!$C$12="MFJ",1,IF('Your Pay &amp; Benefits'!$C$12="HoH",7,4))))*INDEX('How This Works &amp; Sources'!$B$19:$J$26,0,IF('Your Pay &amp; Benefits'!$C$12="MFJ",1,IF('Your Pay &amp; Benefits'!$C$12="HoH",7,4))+2)))-IF('Your Pay &amp; Benefits'!$C$13,SUMPRODUCT(($AH27&gt;INDEX('How This Works &amp; Sources'!$B$29:$J$36,0,IF('Your Pay &amp; Benefits'!$C$12="MFJ",1,IF('Your Pay &amp; Benefits'!$C$12="HoH",7,4))))*($AH27-INDEX('How This Works &amp; Sources'!$B$29:$J$36,0,IF('Your Pay &amp; Benefits'!$C$12="MFJ",1,IF('Your Pay &amp; Benefits'!$C$12="HoH",7,4))))*INDEX('How This Works &amp; Sources'!$B$29:$J$36,0,IF('Your Pay &amp; Benefits'!$C$12="MFJ",1,IF('Your Pay &amp; Benefits'!$C$12="HoH",7,4))+2)),SUMPRODUCT(($AH27&gt;INDEX('How This Works &amp; Sources'!$B$19:$J$26,0,IF('Your Pay &amp; Benefits'!$C$12="MFJ",1,IF('Your Pay &amp; Benefits'!$C$12="HoH",7,4))))*($AH27-INDEX('How This Works &amp; Sources'!$B$19:$J$26,0,IF('Your Pay &amp; Benefits'!$C$12="MFJ",1,IF('Your Pay &amp; Benefits'!$C$12="HoH",7,4))))*INDEX('How This Works &amp; Sources'!$B$19:$J$26,0,IF('Your Pay &amp; Benefits'!$C$12="MFJ",1,IF('Your Pay &amp; Benefits'!$C$12="HoH",7,4))+2)))),'How This Works &amp; Sources'!$C$10*$D27),2)))</f>
      </c>
      <c r="Q27" s="7">
        <f>IF($B27="","",ROUND('How This Works &amp; Sources'!$C$4*MIN($N27,MAX(0,'How This Works &amp; Sources'!$C$3-($AX27+$AB26-$AW27))),2))</f>
      </c>
      <c r="R27" s="7">
        <f>IF($B27="","",ROUND('How This Works &amp; Sources'!$C$5*$N27,2))</f>
      </c>
      <c r="S27" s="7">
        <f>IF($B27="","",ROUND('How This Works &amp; Sources'!$C$6*MAX(0,MIN($N27,$AG26+$N27-'How This Works &amp; Sources'!$C$7)),2))</f>
      </c>
      <c r="T27" s="7">
        <f>IF($B27="","",IF('Your Pay &amp; Benefits'!$C$26,0,IF($AN27="CA",ROUND(IF($AI27&lt;=IF(($AS27+$AT27)&gt;=2,VLOOKUP($AN27,StateTables!$A$6:$AB$56,10,FALSE),VLOOKUP($AN27,StateTables!$A$6:$AB$56,9,FALSE)),0,MAX(0,SUMPRODUCT(($AJ27&gt;INDEX('How This Works &amp; Sources'!$B$39:$J$48,0,IF($AU27="Married",4,IF($AU27="Head of household",7,1))))*($AJ27-INDEX('How This Works &amp; Sources'!$B$39:$J$48,0,IF($AU27="Married",4,IF($AU27="Head of household",7,1))))*INDEX('How This Works &amp; Sources'!$B$39:$J$48,0,IF($AU27="Married",4,IF($AU27="Head of household",7,1))+2))-VLOOKUP($AN27,StateTables!$A$6:$AB$56,11,FALSE)*$AS27)/'Your Pay &amp; Benefits'!$C$8)+'Your Pay &amp; Benefits'!$C$25+VLOOKUP($AN27,StateTables!$A$6:$AB$56,13,FALSE)*$D27,2),IF(VLOOKUP($AN27,StateTables!$A$6:$AB$56,4,FALSE)="None",0,IF(ISNUMBER(SEARCH("MANUAL",VLOOKUP($AN27,StateTables!$A$6:$AB$56,5,FALSE))),'Your Pay &amp; Benefits'!$C$28,ROUND(MAX(0,$BA27+$BB27)/'Your Pay &amp; Benefits'!$C$8+'Your Pay &amp; Benefits'!$C$25+$BC27,2))))))</f>
      </c>
      <c r="U27" s="7">
        <f>IF($B27="","",IF(VLOOKUP($AN27,StateTables!$A$6:$AB$56,24,FALSE)="flatq",IF(OR(MONTH($B27)=1,MONTH($B27)=4,MONTH($B27)=7,MONTH($B27)=10),VLOOKUP($AN27,StateTables!$A$6:$AB$56,25,FALSE),0),IF(VLOOKUP($AN27,StateTables!$A$6:$AB$56,24,FALSE)="dbl",MIN(ROUND(0.005*$N27,2),ROUND(0.6*52/'Your Pay &amp; Benefits'!$C$8,2)),IF(OR(VLOOKUP($AN27,StateTables!$A$6:$AB$56,15,FALSE)="",VLOOKUP($AN27,StateTables!$A$6:$AB$56,15,FALSE)=0),0,ROUND(VLOOKUP($AN27,StateTables!$A$6:$AB$56,15,FALSE)*IF(OR(VLOOKUP($AN27,StateTables!$A$6:$AB$56,16,FALSE)="",VLOOKUP($AN27,StateTables!$A$6:$AB$56,16,FALSE)=0),$N27,MIN($N27,MAX(0,VLOOKUP($AN27,StateTables!$A$6:$AB$56,16,FALSE)-($AX27+$AB26-$AW27)))),2))))+IF(VLOOKUP($AN27,StateTables!$A$6:$AB$56,27,FALSE)="flatq",IF(OR(MONTH($B27)=1,MONTH($B27)=4,MONTH($B27)=7,MONTH($B27)=10),VLOOKUP($AN27,StateTables!$A$6:$AB$56,28,FALSE),0),IF(VLOOKUP($AN27,StateTables!$A$6:$AB$56,27,FALSE)="dbl",MIN(ROUND(0.005*$N27,2),ROUND(0.6*52/'Your Pay &amp; Benefits'!$C$8,2)),IF(OR(VLOOKUP($AN27,StateTables!$A$6:$AB$56,18,FALSE)="",VLOOKUP($AN27,StateTables!$A$6:$AB$56,18,FALSE)=0),0,ROUND(VLOOKUP($AN27,StateTables!$A$6:$AB$56,18,FALSE)*IF(OR(VLOOKUP($AN27,StateTables!$A$6:$AB$56,19,FALSE)="",VLOOKUP($AN27,StateTables!$A$6:$AB$56,19,FALSE)=0),$N27,MIN($N27,MAX(0,VLOOKUP($AN27,StateTables!$A$6:$AB$56,19,FALSE)-($AX27+$AB26-$AW27)))),2)))))</f>
      </c>
      <c r="V27" s="7">
        <f>IF($B27="","",IF($AN27="NY",IF('Your Pay &amp; Benefits'!$C$78,ROUND(SUMPRODUCT((MAX(0,($O27-$D27)*'Your Pay &amp; Benefits'!$C$8-(IF($AU27="Married",5500,5000)+1000*$AS27))&gt;INDEX('How This Works &amp; Sources'!$B$184:$J$198,0,4))*(MAX(0,($O27-$D27)*'Your Pay &amp; Benefits'!$C$8-(IF($AU27="Married",5500,5000)+1000*$AS27))-INDEX('How This Works &amp; Sources'!$B$184:$J$198,0,4))*INDEX('How This Works &amp; Sources'!$B$184:$J$198,0,4+2))/'Your Pay &amp; Benefits'!$C$8+0.0425*$D27,2),0)+IF('Your Pay &amp; Benefits'!$C$79="Resident",ROUND(0.1675*$T27,2),IF('Your Pay &amp; Benefits'!$C$79="Nonresident",ROUND(0.005*MAX(0,($O27-$D27)-(IF($AU27="Married",7950,7400)+1000*$AS27)/'Your Pay &amp; Benefits'!$C$8),2),0)),IF($AN27="PA",IF('Your Pay &amp; Benefits'!$C$80="None",'Your Pay &amp; Benefits'!$C$27+ROUND('Your Pay &amp; Benefits'!$C$81*($C27+$D27),2),ROUND(IF('Your Pay &amp; Benefits'!$C$80="Resident",IF($B27&lt;DATE(2026,7,1),0.0374,0.03735),IF($B27&lt;DATE(2026,7,1),0.0343,0.03425))*($C27+$D27),2)),IF($BF27=0,ROUND('Your Pay &amp; Benefits'!$C$81*($C27+$D27),2),'Your Pay &amp; Benefits'!$C$27+ROUND('Your Pay &amp; Benefits'!$C$81*($C27+$D27),2)))))</f>
      </c>
      <c r="W27" s="7">
        <f>IF($B27="","",IF($BF27=0,0,$BP27))</f>
      </c>
      <c r="X27" s="7">
        <f>IF($B27="","",SUM($E27:$K27)+$P27+$Q27+$R27+$S27+$T27+$U27+$V27+$W27)</f>
      </c>
      <c r="Y27" s="22">
        <f>IF($B27="","",$C27+$D27-$X27)</f>
      </c>
      <c r="Z27" s="7">
        <f>IF($B27="","",$Z26+$C27+$D27)</f>
      </c>
      <c r="AA27" s="7">
        <f>IF($B27="","",$AA26+$Y27)</f>
      </c>
      <c r="AB27" s="7">
        <f>IF($B27="","",$AB26+MIN($N27,MAX(0,'How This Works &amp; Sources'!$C$3-($AX27+$AB26-$AW27))))</f>
      </c>
      <c r="AC27" s="7">
        <f>IF($B27="","",$AC26+$E27+$F27)</f>
      </c>
      <c r="AD27" s="3">
        <f>IF($B27="","",IF(AND($AB26&lt;'How This Works &amp; Sources'!$C$3,$AB27&gt;='How This Works &amp; Sources'!$C$3),"★ Social Security maxed on this check — from the next check your net rises by about $"&amp;TEXT(ROUND('How This Works &amp; Sources'!$C$4*$N27,2),"#,##0.00")&amp;". ","")&amp;IF(AND($AC26&lt;'Your Pay &amp; Benefits'!$C$34,$AC27&gt;='Your Pay &amp; Benefits'!$C$34),"★ 401(k) reaches the $"&amp;TEXT('Your Pay &amp; Benefits'!$C$34,"#,##0")&amp;" cap on this check — deferrals stop and net pay rises. ","")&amp;IF(AND($AG26&lt;'How This Works &amp; Sources'!$C$7,$AG27&gt;='How This Works &amp; Sources'!$C$7),"★ Wages pass $200,000 — the 0.9% Additional Medicare Tax starts here. ","")&amp;IF(AND($BJ27&gt;0,$H27&gt;0,$BG26&lt;MIN($BJ27,'How This Works &amp; Sources'!$C$13),$BG26+$H27&gt;=MIN($BJ27,'How This Works &amp; Sources'!$C$13)),"★ Health FSA election is now fully deferred for the year. ",""))</f>
      </c>
      <c r="AE27" s="41" t="n"/>
      <c r="AF27" s="7">
        <f>IF(OR($B27="",$AE27=""),"",$AE27-$Y27)</f>
      </c>
      <c r="AG27" s="7">
        <f>IF($B27="","",$AG26+$N27)</f>
      </c>
      <c r="AH27" s="7">
        <f>IF($B27="","",MAX(0,($M27-$D27)*'Your Pay &amp; Benefits'!$C$8+$AP27-$AQ27-IF('Your Pay &amp; Benefits'!$C$13,0,IF('Your Pay &amp; Benefits'!$C$12="MFJ",'How This Works &amp; Sources'!$C$8,'How This Works &amp; Sources'!$C$9))))</f>
      </c>
      <c r="AI27" s="7">
        <f>IF($B27="","",$O27*'Your Pay &amp; Benefits'!$C$8)</f>
      </c>
      <c r="AJ27" s="7">
        <f>IF($B27="","",MAX(0,$AI27-VLOOKUP($AN27,StateTables!$A$6:$AB$56,12,FALSE)*$AT27-IF(($AS27+$AT27)&gt;=2,VLOOKUP($AN27,StateTables!$A$6:$AB$56,8,FALSE),VLOOKUP($AN27,StateTables!$A$6:$AB$56,7,FALSE))))</f>
      </c>
      <c r="AK27" s="7">
        <f>IF($B27="","",IFERROR(LOOKUP(2,1/(('Changes &amp; Events'!$C$6:$C$17="Salary change")*('Changes &amp; Events'!$B$6:$B$17&lt;=$B27)*('Changes &amp; Events'!$B$6:$B$17&lt;&gt;"")),'Changes &amp; Events'!$D$6:$D$17),IF('Your Pay &amp; Benefits'!$C$4="Annual salary",'Your Pay &amp; Benefits'!$C$5,'Your Pay &amp; Benefits'!$C$6)))</f>
      </c>
      <c r="AL27">
        <f>IF($B27="","",IFERROR(LOOKUP(2,1/(('Changes &amp; Events'!$C$6:$C$17="401(k) change")*('Changes &amp; Events'!$B$6:$B$17&lt;=$B27)*('Changes &amp; Events'!$B$6:$B$17&lt;&gt;"")),'Changes &amp; Events'!$D$6:$D$17),'Your Pay &amp; Benefits'!$C$30))</f>
      </c>
      <c r="AM27" s="7">
        <f>IF($B27="","",IFERROR(LOOKUP(2,1/(('Changes &amp; Events'!$C$6:$C$17="401(k) change")*('Changes &amp; Events'!$B$6:$B$17&lt;=$B27)*('Changes &amp; Events'!$B$6:$B$17&lt;&gt;"")),'Changes &amp; Events'!$E$6:$E$17),'Your Pay &amp; Benefits'!$D$31))</f>
      </c>
      <c r="AN27">
        <f>IF($B27="","",IFERROR(LOOKUP(2,1/(('Changes &amp; Events'!$C$6:$C$17="State move")*('Changes &amp; Events'!$B$6:$B$17&lt;=$B27)*('Changes &amp; Events'!$B$6:$B$17&lt;&gt;"")),'Changes &amp; Events'!$D$6:$D$17),'Your Pay &amp; Benefits'!$C$21))</f>
      </c>
      <c r="AO27" s="7">
        <f>IF($B27="","",IFERROR(LOOKUP(2,1/(('Changes &amp; Events'!$C$6:$C$17="W-4 change")*('Changes &amp; Events'!$B$6:$B$17&lt;=$B27)*('Changes &amp; Events'!$B$6:$B$17&lt;&gt;"")),'Changes &amp; Events'!$D$6:$D$17),'Your Pay &amp; Benefits'!$C$14))</f>
      </c>
      <c r="AP27" s="7">
        <f>IF($B27="","",IFERROR(LOOKUP(2,1/(('Changes &amp; Events'!$C$6:$C$17="W-4 change")*('Changes &amp; Events'!$B$6:$B$17&lt;=$B27)*('Changes &amp; Events'!$B$6:$B$17&lt;&gt;"")),'Changes &amp; Events'!$E$6:$E$17),'Your Pay &amp; Benefits'!$C$15))</f>
      </c>
      <c r="AQ27" s="7">
        <f>IF($B27="","",IFERROR(LOOKUP(2,1/(('Changes &amp; Events'!$C$6:$C$17="W-4 change")*('Changes &amp; Events'!$B$6:$B$17&lt;=$B27)*('Changes &amp; Events'!$B$6:$B$17&lt;&gt;"")),'Changes &amp; Events'!$F$6:$F$17),'Your Pay &amp; Benefits'!$C$16))</f>
      </c>
      <c r="AR27" s="7">
        <f>IF($B27="","",IFERROR(LOOKUP(2,1/(('Changes &amp; Events'!$C$6:$C$17="W-4 change")*('Changes &amp; Events'!$B$6:$B$17&lt;=$B27)*('Changes &amp; Events'!$B$6:$B$17&lt;&gt;"")),'Changes &amp; Events'!$G$6:$G$17),'Your Pay &amp; Benefits'!$C$17))</f>
      </c>
      <c r="AS27" s="6">
        <f>IF($B27="","",IFERROR(LOOKUP(2,1/((('Changes &amp; Events'!$C$6:$C$17="State move")+('Changes &amp; Events'!$C$6:$C$17="State cert change"))*('Changes &amp; Events'!$B$6:$B$17&lt;=$B27)*('Changes &amp; Events'!$B$6:$B$17&lt;&gt;"")),'Changes &amp; Events'!$F$6:$F$17),'Your Pay &amp; Benefits'!$C$23))</f>
      </c>
      <c r="AT27" s="6">
        <f>IF($B27="","",IFERROR(LOOKUP(2,1/((('Changes &amp; Events'!$C$6:$C$17="State move")+('Changes &amp; Events'!$C$6:$C$17="State cert change"))*('Changes &amp; Events'!$B$6:$B$17&lt;=$B27)*('Changes &amp; Events'!$B$6:$B$17&lt;&gt;"")),'Changes &amp; Events'!$G$6:$G$17),'Your Pay &amp; Benefits'!$C$24))</f>
      </c>
      <c r="AU27">
        <f>IF($B27="","",IFERROR(LOOKUP(2,1/(('Changes &amp; Events'!$C$6:$C$17="State move")*('Changes &amp; Events'!$B$6:$B$17&lt;=$B27)*('Changes &amp; Events'!$B$6:$B$17&lt;&gt;"")),'Changes &amp; Events'!$E$6:$E$17),'Your Pay &amp; Benefits'!$C$22))</f>
      </c>
      <c r="AV27" s="6">
        <f>IF($B27="","",1+COUNTIFS('Changes &amp; Events'!$C$6:$C$17,"Employer change",'Changes &amp; Events'!$B$6:$B$17,"&lt;="&amp;$B27,'Changes &amp; Events'!$B$6:$B$17,"&lt;&gt;"))</f>
      </c>
      <c r="AW27" s="7">
        <f>IF($B27="","",IF($AV27=1,'Your Pay &amp; Benefits'!$C$49,IF(IFERROR(MATCH(IFERROR(LOOKUP(2,1/(('Changes &amp; Events'!$C$6:$C$17="Employer change")*('Changes &amp; Events'!$B$6:$B$17&lt;=$B27)*('Changes &amp; Events'!$B$6:$B$17&lt;&gt;"")),'Changes &amp; Events'!$B$6:$B$17),""),$B$6:$B$68,1),1)&lt;=1,'Your Pay &amp; Benefits'!$C$49,INDEX($AB$6:$AB$68,MATCH(IFERROR(LOOKUP(2,1/(('Changes &amp; Events'!$C$6:$C$17="Employer change")*('Changes &amp; Events'!$B$6:$B$17&lt;=$B27)*('Changes &amp; Events'!$B$6:$B$17&lt;&gt;"")),'Changes &amp; Events'!$B$6:$B$17),""),$B$6:$B$68,1)-1))))</f>
      </c>
      <c r="AX27" s="7">
        <f>IF($B27="","",IF($AV27=1,'Your Pay &amp; Benefits'!$C$49,IFERROR(LOOKUP(2,1/(('Changes &amp; Events'!$C$6:$C$17="Employer change")*('Changes &amp; Events'!$B$6:$B$17&lt;=$B27)*('Changes &amp; Events'!$B$6:$B$17&lt;&gt;"")),'Changes &amp; Events'!$D$6:$D$17),0)))</f>
      </c>
      <c r="AY27" s="7">
        <f>IF($B27="","",($O27-$D27)*'Your Pay &amp; Benefits'!$C$8)</f>
      </c>
      <c r="AZ27" s="7">
        <f>IF($B27="","",IF($AN27="AL",MAX(0,$AY27-IF($AU27="Married",IF($AY27&lt;=25999,8500,MAX(5000,8500-175*CEILING(($AY27-25999)/500,1))),IF($AU27="Head of household",IF($AY27&lt;=25999,5200,MAX(2500,5200-135*CEILING(($AY27-25999)/500,1))),IF($AY27&lt;=25999,3000,MAX(2500,3000-25*CEILING(($AY27-25999)/500,1)))))-($P27-'How This Works &amp; Sources'!$C$10*$D27)*'Your Pay &amp; Benefits'!$C$8-IF(OR($AU27="Married",$AU27="Head of household"),3000,1500)-$AT27*IF($AY27&lt;=50000,1000,IF($AY27&lt;=100000,500,300))),IF($AN27="AR",IF(MAX(0,$AY27-2470)&lt;97701,INT(MAX(0,$AY27-2470)/100)*100+50,MAX(0,$AY27-2470)),IF($AN27="DE",MAX(0,$AI27-3250),IF($AN27="HI",MAX(0,$AI27-1144*$AS27-4350),IF($AN27="KS",MAX(0,$AI27-(9160*IF($AU27="Married",2,1)+2320*$AT27+IF($AU27="Head of household",2320,0))),IF($AN27="MD",MAX(0,$AI27-3400-3200*$AS27),IF($AN27="MN",MAX(0,$AY27-5300*$AS27),IF($AN27="MO",MAX(0,$AI27-IF($AU27="Head of household",24150,IF($AU27="Married",IF('Your Pay &amp; Benefits'!$C$83,16100,32200),16100))),IF($AN27="MT",$AY27,IF($AN27="ND",($C27+$L27)*'Your Pay &amp; Benefits'!$C$8,IF($AN27="NE",MAX(0,$AY27-2440*$AS27),IF($AN27="NJ",MAX(0,$AY27-1000*$AS27),IF($AN27="NY",MAX(0,$AY27-(IF($AU27="Married",7950,7400)+1000*$AS27)),IF($AN27="OH",MAX(0,$AY27-650*$AS27),IF($AN27="OK",MAX(0,$AY27-1000*$AS27),IF($AN27="RI",MAX(0,$AI27-1000*$AS27),IF($AN27="SC",MAX(0,$AI27-5000*$AS27-IF($AS27=0,0,MIN(0.1*$AI27,7500))),IF($AN27="VA",MAX(0,$AI27-IF($AU27="Married",17500,8750)-930*$AS27-800*$AT27),IF($AN27="VT",MAX(0,$AI27-5400*$AS27),IF($AN27="WI",MAX(0,$AI27-MAX(0,IF($AU27="Married",9461-0.2*MAX(0,$AI27-25727),6702-0.12*MAX(0,$AI27-17780)))-400*$AS27),IF($AN27="WV",MAX(0,$AI27-2000*$AS27),$AI27))))))))))))))))))))))</f>
      </c>
      <c r="BA27" s="7">
        <f>IF($B27="","",IF($BW27&lt;&gt;"",$BW27,IF($BX27&lt;&gt;"",$BX27,IF($BY27&lt;&gt;"",$BY27,0))))</f>
      </c>
      <c r="BB27" s="7">
        <f>IF($B27="","",IF($AN27="AR",-29*$AS27,IF($AN27="DE",-110*$AS27,IF($AN27="MD",$AZ27*'Your Pay &amp; Benefits'!$C$74,IF($AN27="AZ",'Your Pay &amp; Benefits'!$C$82*($M27-$D27)*'Your Pay &amp; Benefits'!$C$8,IF($AN27="CO",0.044*MAX(0,$AY27-IF($AU27="Married",10000,5000)),IF($AN27="IA",MAX(0,0.038*MAX(0,$AY27-IF($AU27="Head of household",19500,IF($AU27="Married",26000,13000)))-40*$AS27),IF($AN27="ID",0.053*MAX(0,$AY27-IF($AU27="Married",32000,16094)),IF($AN27="IL",0.0495*MAX(0,$AY27-(2925*$AS27+1000*$AT27)),IF($AN27="IN",(0.0295+'Your Pay &amp; Benefits'!$C$76)*MAX(0,$AY27-(1000*$AS27+1500*$AT27+3000*'Your Pay &amp; Benefits'!$C$86)),IF($AN27="KY",0.035*MAX(0,$AI27-3360),IF($AN27="LA",IF('Your Pay &amp; Benefits'!$C$84="0",0.0309*$AI27,0.0309*MAX(0,$AI27-IF('Your Pay &amp; Benefits'!$C$84="2",25750,12875))),IF($AN27="MA",0.05*MIN(MAX(0,$AY27-MIN(($BD26+$Q27+$R27+$S27),2000)-IF($AS27=0,0,IF($AS27=1,4400,1000*$AS27+3400))),1107750)+0.09*MAX(0,MAX(0,$AY27-MIN(($BD26+$Q27+$R27+$S27),2000)-IF($AS27=0,0,IF($AS27=1,4400,1000*$AS27+3400)))-1107750)-IF($AU27="Head of household",120,0)-110*'Your Pay &amp; Benefits'!$C$75,IF($AN27="MI",0.0425*MAX(0,$AY27-5900*$AS27),IF($AN27="MS",0.04*MAX(0,$AI27-IF($AU27="Head of household",3400,IF($AU27="Married",4600,2300))-'Your Pay &amp; Benefits'!$C$85-10000),IF($AN27="OR",IF(OR($AU27="Married",AND($AU27="Single",$AS27&gt;=3)),SUMPRODUCT((MAX(0,$AY27-MIN(($P27-'How This Works &amp; Sources'!$C$10*$D27)*'Your Pay &amp; Benefits'!$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Sources'!$B$211:$J$214,0,4))*(MAX(0,$AY27-MIN(($P27-'How This Works &amp; Sources'!$C$10*$D27)*'Your Pay &amp; Benefits'!$C$8,IF(OR($AU27="Married",AND($AU27="Single",$AS27&gt;=3)),IF($AY27&lt;250000,8750,IF($AY27&lt;260000,7000,IF($AY27&lt;270000,5250,IF($AY27&lt;280000,3500,IF($AY27&lt;290000,1750,0))))),IF($AY27&lt;125000,8750,IF($AY27&lt;130000,7000,IF($AY27&lt;135000,5250,IF($AY27&lt;140000,3500,IF($AY27&lt;145000,1750,0)))))))-IF(OR($AU27="Married",AND($AU27="Single",$AS27&gt;=3)),5820,2910))-INDEX('How This Works &amp; Sources'!$B$211:$J$214,0,4))*INDEX('How This Works &amp; Sources'!$B$211:$J$214,0,4+2)),SUMPRODUCT((MAX(0,$AY27-MIN(($P27-'How This Works &amp; Sources'!$C$10*$D27)*'Your Pay &amp; Benefits'!$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Sources'!$B$211:$J$214,0,1))*(MAX(0,$AY27-MIN(($P27-'How This Works &amp; Sources'!$C$10*$D27)*'Your Pay &amp; Benefits'!$C$8,IF(OR($AU27="Married",AND($AU27="Single",$AS27&gt;=3)),IF($AY27&lt;250000,8750,IF($AY27&lt;260000,7000,IF($AY27&lt;270000,5250,IF($AY27&lt;280000,3500,IF($AY27&lt;290000,1750,0))))),IF($AY27&lt;125000,8750,IF($AY27&lt;130000,7000,IF($AY27&lt;135000,5250,IF($AY27&lt;140000,3500,IF($AY27&lt;145000,1750,0)))))))-IF(OR($AU27="Married",AND($AU27="Single",$AS27&gt;=3)),5820,2910))-INDEX('How This Works &amp; Sources'!$B$211:$J$214,0,1))*INDEX('How This Works &amp; Sources'!$B$211:$J$214,0,1+2)))+263-263*IF(IF($AU27="Married",$AY27&gt;200000,$AY27&gt;100000),0,$AS27),IF($AN27="PA",0.0307*(($O27+$E27+$G27)*'Your Pay &amp; Benefits'!$C$8),IF($AN27="NY",IF($AU27="Married",IF($AZ27&gt;=2155350,0,IF($AZ27&gt;=1077550,0.48,IF($AZ27&gt;=373200,1.21,IF($AZ27&gt;=323200,0.21,IF($AZ27&gt;=211550,-0.19,IF($AZ27&gt;=157650,-2.8,IF($AZ27&gt;=107650,-0.8,IF($AZ27&gt;=96800,0.05,IF($AZ27&gt;=80650,-0.1,IF($AZ27&gt;=13900,0.4,IF($AZ27&gt;=11700,-0.3,IF($AZ27&gt;=8500,0.5,0)))))))))))),IF($AZ27&gt;=1077550,0,IF($AZ27&gt;=265400,4.29,IF($AZ27&gt;=215400,2.29,IF($AZ27&gt;=157650,2.29,IF($AZ27&gt;=107650,0.29,IF($AZ27&gt;=96800,0.05,IF($AZ27&gt;=80650,-0.1,IF($AZ27&gt;=13900,0.4,IF($AZ27&gt;=11700,-0.3,IF($AZ27&gt;=8500,0.5,0))))))))))),0))))))))))))))))))</f>
      </c>
      <c r="BC27" s="7">
        <f>IF($B27="","",IF($AN27="AL",0.05*$D27,IF($AN27="AR",0.039*$D27,IF($AN27="ID",0.053*$D27,IF($AN27="IN",(0.0295+'Your Pay &amp; Benefits'!$C$76)*$D27,IF($AN27="KS",0.05*$D27,IF($AN27="MA",0.09*MIN($D27,MAX(0,MAX(0,$AY27-MIN(($BD26+$Q27+$R27+$S27),2000)-IF($AS27=0,0,IF($AS27=1,4400,1000*$AS27+3400)))+$D27-1107750))+0.05*($D27-MIN($D27,MAX(0,MAX(0,$AY27-MIN(($BD26+$Q27+$R27+$S27),2000)-IF($AS27=0,0,IF($AS27=1,4400,1000*$AS27+3400)))+$D27-1107750))),IF($AN27="MD",(0.065+'Your Pay &amp; Benefits'!$C$74)*$D27,IF($AN27="MI",0.0425*$D27,IF($AN27="MN",0.0625*$D27,IF($AN27="MO",0.047*$D27,IF($AN27="MT",0.05*$D27,IF($AN27="ND",0.015*$D27,IF($AN27="NE",0.035*$D27,IF($AN27="NJ",IF('Your Pay &amp; Benefits'!$C$77="B",SUMPRODUCT(($D27*'Your Pay &amp; Benefits'!$C$8&gt;INDEX('How This Works &amp; Sources'!$B$155:$J$162,0,4))*($D27*'Your Pay &amp; Benefits'!$C$8-INDEX('How This Works &amp; Sources'!$B$155:$J$162,0,4))*INDEX('How This Works &amp; Sources'!$B$155:$J$162,0,4+2)),IF('Your Pay &amp; Benefits'!$C$77="C",SUMPRODUCT(($D27*'Your Pay &amp; Benefits'!$C$8&gt;INDEX('How This Works &amp; Sources'!$B$155:$J$162,0,7))*($D27*'Your Pay &amp; Benefits'!$C$8-INDEX('How This Works &amp; Sources'!$B$155:$J$162,0,7))*INDEX('How This Works &amp; Sources'!$B$155:$J$162,0,7+2)),IF('Your Pay &amp; Benefits'!$C$77="D",SUMPRODUCT(($D27*'Your Pay &amp; Benefits'!$C$8&gt;INDEX('How This Works &amp; Sources'!$B$167:$J$179,0,1))*($D27*'Your Pay &amp; Benefits'!$C$8-INDEX('How This Works &amp; Sources'!$B$167:$J$179,0,1))*INDEX('How This Works &amp; Sources'!$B$167:$J$179,0,1+2)),IF('Your Pay &amp; Benefits'!$C$77="E",SUMPRODUCT(($D27*'Your Pay &amp; Benefits'!$C$8&gt;INDEX('How This Works &amp; Sources'!$B$167:$J$179,0,4))*($D27*'Your Pay &amp; Benefits'!$C$8-INDEX('How This Works &amp; Sources'!$B$167:$J$179,0,4))*INDEX('How This Works &amp; Sources'!$B$167:$J$179,0,4+2)),SUMPRODUCT(($D27*'Your Pay &amp; Benefits'!$C$8&gt;INDEX('How This Works &amp; Sources'!$B$155:$J$162,0,1))*($D27*'Your Pay &amp; Benefits'!$C$8-INDEX('How This Works &amp; Sources'!$B$155:$J$162,0,1))*INDEX('How This Works &amp; Sources'!$B$155:$J$162,0,1+2))))))/'Your Pay &amp; Benefits'!$C$8,IF($AN27="NY",0.117*$D27,IF($AN27="OH",0.0275*$D27,IF($AN27="OK",0.045*$D27,IF($AN27="OR",0.08*$D27,IF($AN27="WI",IF($AY27&lt;12760,0.0354,IF($AY27&lt;25520,0.0465,IF($AY27&lt;280950,0.053,0.0765)))*$D27,0))))))))))))))))))))</f>
      </c>
      <c r="BD27" s="7">
        <f>IF($B27="","",$BD26+$Q27+$R27+$S27)</f>
      </c>
      <c r="BE27" s="6">
        <f>IF($B27="",$BE26,$BE26+$BF27)</f>
      </c>
      <c r="BF27" s="6">
        <f>IF($B27="","",IF(AND(IF(YEAR(IF('Your Pay &amp; Benefits'!$C$7="Weekly",'Your Pay &amp; Benefits'!$C$9+7*(($BE26+1)-1),IF('Your Pay &amp; Benefits'!$C$7="Biweekly",'Your Pay &amp; Benefits'!$C$9+14*(($BE26+1)-1),IF('Your Pay &amp; Benefits'!$C$7="Semimonthly",DATE(YEAR('Your Pay &amp; Benefits'!$C$9),MONTH('Your Pay &amp; Benefits'!$C$9)+INT((($BE26+1)-1)/2),MIN(DAY('Your Pay &amp; Benefits'!$C$9),DAY(EOMONTH(DATE(YEAR('Your Pay &amp; Benefits'!$C$9),MONTH('Your Pay &amp; Benefits'!$C$9)+INT((($BE26+1)-1)/2),1),0))))+IF(MOD(($BE26+1)-1,2)=1,15,0),EDATE('Your Pay &amp; Benefits'!$C$9,($BE26+1)-1)))))&lt;&gt;'Your Pay &amp; Benefits'!$C$10,"",IF('Your Pay &amp; Benefits'!$C$7="Weekly",'Your Pay &amp; Benefits'!$C$9+7*(($BE26+1)-1),IF('Your Pay &amp; Benefits'!$C$7="Biweekly",'Your Pay &amp; Benefits'!$C$9+14*(($BE26+1)-1),IF('Your Pay &amp; Benefits'!$C$7="Semimonthly",DATE(YEAR('Your Pay &amp; Benefits'!$C$9),MONTH('Your Pay &amp; Benefits'!$C$9)+INT((($BE26+1)-1)/2),MIN(DAY('Your Pay &amp; Benefits'!$C$9),DAY(EOMONTH(DATE(YEAR('Your Pay &amp; Benefits'!$C$9),MONTH('Your Pay &amp; Benefits'!$C$9)+INT((($BE26+1)-1)/2),1),0))))+IF(MOD(($BE26+1)-1,2)=1,15,0),EDATE('Your Pay &amp; Benefits'!$C$9,($BE26+1)-1)))))&lt;&gt;"",$B27=IF(YEAR(IF('Your Pay &amp; Benefits'!$C$7="Weekly",'Your Pay &amp; Benefits'!$C$9+7*(($BE26+1)-1),IF('Your Pay &amp; Benefits'!$C$7="Biweekly",'Your Pay &amp; Benefits'!$C$9+14*(($BE26+1)-1),IF('Your Pay &amp; Benefits'!$C$7="Semimonthly",DATE(YEAR('Your Pay &amp; Benefits'!$C$9),MONTH('Your Pay &amp; Benefits'!$C$9)+INT((($BE26+1)-1)/2),MIN(DAY('Your Pay &amp; Benefits'!$C$9),DAY(EOMONTH(DATE(YEAR('Your Pay &amp; Benefits'!$C$9),MONTH('Your Pay &amp; Benefits'!$C$9)+INT((($BE26+1)-1)/2),1),0))))+IF(MOD(($BE26+1)-1,2)=1,15,0),EDATE('Your Pay &amp; Benefits'!$C$9,($BE26+1)-1)))))&lt;&gt;'Your Pay &amp; Benefits'!$C$10,"",IF('Your Pay &amp; Benefits'!$C$7="Weekly",'Your Pay &amp; Benefits'!$C$9+7*(($BE26+1)-1),IF('Your Pay &amp; Benefits'!$C$7="Biweekly",'Your Pay &amp; Benefits'!$C$9+14*(($BE26+1)-1),IF('Your Pay &amp; Benefits'!$C$7="Semimonthly",DATE(YEAR('Your Pay &amp; Benefits'!$C$9),MONTH('Your Pay &amp; Benefits'!$C$9)+INT((($BE26+1)-1)/2),MIN(DAY('Your Pay &amp; Benefits'!$C$9),DAY(EOMONTH(DATE(YEAR('Your Pay &amp; Benefits'!$C$9),MONTH('Your Pay &amp; Benefits'!$C$9)+INT((($BE26+1)-1)/2),1),0))))+IF(MOD(($BE26+1)-1,2)=1,15,0),EDATE('Your Pay &amp; Benefits'!$C$9,($BE26+1)-1)))))),1,0))</f>
      </c>
      <c r="BG27" s="7">
        <f>IF($B27="","",$BG26+$H27)</f>
      </c>
      <c r="BH27" s="7">
        <f>IF($B27="","",$BH26+$I27)</f>
      </c>
      <c r="BI27" s="7">
        <f>IF($B27="","",$BI26+$G27)</f>
      </c>
      <c r="BJ27" s="7">
        <f>IF($B27="","",IFERROR(LOOKUP(2,1/(((('Changes &amp; Events'!$C$6:$C$17="Deduction start"))*('Changes &amp; Events'!$D$6:$D$17="Health FSA"))*('Changes &amp; Events'!$B$6:$B$17&lt;=$B27)*('Changes &amp; Events'!$B$6:$B$17&lt;&gt;"")),'Changes &amp; Events'!$E$6:$E$17),'Your Pay &amp; Benefits'!$D$38))</f>
      </c>
      <c r="BK27" s="7">
        <f>IF($B27="","",IFERROR(LOOKUP(2,1/(((('Changes &amp; Events'!$C$6:$C$17="Deduction start"))*('Changes &amp; Events'!$D$6:$D$17="Dependent-care FSA"))*('Changes &amp; Events'!$B$6:$B$17&lt;=$B27)*('Changes &amp; Events'!$B$6:$B$17&lt;&gt;"")),'Changes &amp; Events'!$E$6:$E$17),'Your Pay &amp; Benefits'!$D$39))</f>
      </c>
      <c r="BL27" s="7">
        <f>IF($B27="","",IFERROR(LOOKUP(2,1/(((('Changes &amp; Events'!$C$6:$C$17="Deduction start")+('Changes &amp; Events'!$C$6:$C$17="Deduction stop"))*('Changes &amp; Events'!$D$6:$D$17="HSA"))*('Changes &amp; Events'!$B$6:$B$17&lt;=$B27)*('Changes &amp; Events'!$B$6:$B$17&lt;&gt;"")),'Changes &amp; Events'!$I$6:$I$17),'Your Pay &amp; Benefits'!$D$35))</f>
      </c>
      <c r="BM27" s="7">
        <f>IF($B27="","",IFERROR(LOOKUP(2,1/(((('Changes &amp; Events'!$C$6:$C$17="Deduction start")+('Changes &amp; Events'!$C$6:$C$17="Deduction stop"))*('Changes &amp; Events'!$D$6:$D$17="Premiums"))*('Changes &amp; Events'!$B$6:$B$17&lt;=$B27)*('Changes &amp; Events'!$B$6:$B$17&lt;&gt;"")),'Changes &amp; Events'!$I$6:$I$17),'Your Pay &amp; Benefits'!$D$40+'Your Pay &amp; Benefits'!$D$41+'Your Pay &amp; Benefits'!$D$42))</f>
      </c>
      <c r="BN27" s="7">
        <f>IF($B27="","",IFERROR(LOOKUP(2,1/(((('Changes &amp; Events'!$C$6:$C$17="Deduction start")+('Changes &amp; Events'!$C$6:$C$17="Deduction stop"))*('Changes &amp; Events'!$D$6:$D$17="Commuter"))*('Changes &amp; Events'!$B$6:$B$17&lt;=$B27)*('Changes &amp; Events'!$B$6:$B$17&lt;&gt;"")),'Changes &amp; Events'!$I$6:$I$17),'Your Pay &amp; Benefits'!$D$43))</f>
      </c>
      <c r="BO27" s="7">
        <f>IF($B27="","",IFERROR(LOOKUP(2,1/(((('Changes &amp; Events'!$C$6:$C$17="Deduction start")+('Changes &amp; Events'!$C$6:$C$17="Deduction stop"))*('Changes &amp; Events'!$D$6:$D$17="Other pre-tax"))*('Changes &amp; Events'!$B$6:$B$17&lt;=$B27)*('Changes &amp; Events'!$B$6:$B$17&lt;&gt;"")),'Changes &amp; Events'!$I$6:$I$17),'Your Pay &amp; Benefits'!$D$44))</f>
      </c>
      <c r="BP27" s="7">
        <f>IF($B27="","",IFERROR(LOOKUP(2,1/(((('Changes &amp; Events'!$C$6:$C$17="Deduction start")+('Changes &amp; Events'!$C$6:$C$17="Deduction stop"))*('Changes &amp; Events'!$D$6:$D$17="Other post-tax"))*('Changes &amp; Events'!$B$6:$B$17&lt;=$B27)*('Changes &amp; Events'!$B$6:$B$17&lt;&gt;"")),'Changes &amp; Events'!$I$6:$I$17),'Your Pay &amp; Benefits'!$D$45))</f>
      </c>
      <c r="BQ27" s="6">
        <f>IF($B27="","",IFERROR(LOOKUP(2,1/(((('Changes &amp; Events'!$C$6:$C$17="Deduction start")+('Changes &amp; Events'!$C$6:$C$17="Deduction stop"))*('Changes &amp; Events'!$D$6:$D$17="Health FSA"))*('Changes &amp; Events'!$B$6:$B$17&lt;=$B27)*('Changes &amp; Events'!$B$6:$B$17&lt;&gt;"")),'Changes &amp; Events'!$J$6:$J$17),0))</f>
      </c>
      <c r="BR27" s="6">
        <f>IF($B27="","",IFERROR(LOOKUP(2,1/(((('Changes &amp; Events'!$C$6:$C$17="Deduction start")+('Changes &amp; Events'!$C$6:$C$17="Deduction stop"))*('Changes &amp; Events'!$D$6:$D$17="Dependent-care FSA"))*('Changes &amp; Events'!$B$6:$B$17&lt;=$B27)*('Changes &amp; Events'!$B$6:$B$17&lt;&gt;"")),'Changes &amp; Events'!$J$6:$J$17),0))</f>
      </c>
      <c r="BS27" s="6">
        <f>IF($B27="","",IF(SUMPRODUCT(('Changes &amp; Events'!$C$6:$C$17="Deduction start")*('Changes &amp; Events'!$B$6:$B$17&lt;=$B27)*('Changes &amp; Events'!$B$6:$B$17&lt;&gt;"")*('Changes &amp; Events'!$D$6:$D$17="Health FSA"))&gt;0,1,0))</f>
      </c>
      <c r="BT27" s="6">
        <f>IF($B27="","",IF(SUMPRODUCT(('Changes &amp; Events'!$C$6:$C$17="Deduction start")*('Changes &amp; Events'!$B$6:$B$17&lt;=$B27)*('Changes &amp; Events'!$B$6:$B$17&lt;&gt;"")*('Changes &amp; Events'!$D$6:$D$17="Dependent-care FSA"))&gt;0,1,0))</f>
      </c>
      <c r="BU27" s="24">
        <f>IF($B27="","",IF('Your Pay &amp; Benefits'!$C$13,SUMPRODUCT(($AH27&gt;=INDEX('How This Works &amp; Sources'!$B$29:$J$36,0,IF('Your Pay &amp; Benefits'!$C$12="MFJ",1,IF('Your Pay &amp; Benefits'!$C$12="HoH",7,4))))*INDEX('How This Works &amp; Sources'!$B$29:$J$36,0,IF('Your Pay &amp; Benefits'!$C$12="MFJ",1,IF('Your Pay &amp; Benefits'!$C$12="HoH",7,4))+2)),SUMPRODUCT(($AH27&gt;=INDEX('How This Works &amp; Sources'!$B$19:$J$26,0,IF('Your Pay &amp; Benefits'!$C$12="MFJ",1,IF('Your Pay &amp; Benefits'!$C$12="HoH",7,4))))*INDEX('How This Works &amp; Sources'!$B$19:$J$26,0,IF('Your Pay &amp; Benefits'!$C$12="MFJ",1,IF('Your Pay &amp; Benefits'!$C$12="HoH",7,4))+2))))</f>
      </c>
      <c r="BV27" s="24">
        <f>IF($B27="","",IF($BZ27&lt;&gt;"",$BZ27,IF($CA27&lt;&gt;"",$CA27,IF($CB27&lt;&gt;"",$CB27,IF($CC27&lt;&gt;"",$CC27,0)))))</f>
      </c>
      <c r="BW27" s="7">
        <f>IF($B27="","",IF($AN27="MD",IF(OR($AU27="Married",$AU27="Head of household"),SUMPRODUCT(($AZ27&gt;INDEX('How This Works &amp; Sources'!$B$114:$J$120,0,1))*($AZ27-INDEX('How This Works &amp; Sources'!$B$114:$J$120,0,1))*INDEX('How This Works &amp; Sources'!$B$114:$J$120,0,1+2)),SUMPRODUCT(($AZ27&gt;INDEX('How This Works &amp; Sources'!$B$103:$J$109,0,7))*($AZ27-INDEX('How This Works &amp; Sources'!$B$103:$J$109,0,7))*INDEX('How This Works &amp; Sources'!$B$103:$J$109,0,7+2))),IF($AN27="MO",SUMPRODUCT(($AZ27&gt;INDEX('How This Works &amp; Sources'!$B$125:$J$132,0,1))*($AZ27-INDEX('How This Works &amp; Sources'!$B$125:$J$132,0,1))*INDEX('How This Works &amp; Sources'!$B$125:$J$132,0,1+2)),IF($AN27="MT",IF($AU27="Head of household",SUMPRODUCT(($AZ27&gt;INDEX('How This Works &amp; Sources'!$B$137:$J$139,0,1))*($AZ27-INDEX('How This Works &amp; Sources'!$B$137:$J$139,0,1))*INDEX('How This Works &amp; Sources'!$B$137:$J$139,0,1+2)),IF($AU27="Married",SUMPRODUCT(($AZ27&gt;INDEX('How This Works &amp; Sources'!$B$125:$J$132,0,7))*($AZ27-INDEX('How This Works &amp; Sources'!$B$125:$J$132,0,7))*INDEX('How This Works &amp; Sources'!$B$125:$J$132,0,7+2)),SUMPRODUCT(($AZ27&gt;INDEX('How This Works &amp; Sources'!$B$125:$J$132,0,4))*($AZ27-INDEX('How This Works &amp; Sources'!$B$125:$J$132,0,4))*INDEX('How This Works &amp; Sources'!$B$125:$J$132,0,4+2)))),IF($AN27="ND",IF($AU27="Head of household",SUMPRODUCT(($AZ27&gt;INDEX('How This Works &amp; Sources'!$B$144:$J$150,0,1))*($AZ27-INDEX('How This Works &amp; Sources'!$B$144:$J$150,0,1))*INDEX('How This Works &amp; Sources'!$B$144:$J$150,0,1+2)),IF($AU27="Married",SUMPRODUCT(($AZ27&gt;INDEX('How This Works &amp; Sources'!$B$137:$J$139,0,7))*($AZ27-INDEX('How This Works &amp; Sources'!$B$137:$J$139,0,7))*INDEX('How This Works &amp; Sources'!$B$137:$J$139,0,7+2)),SUMPRODUCT(($AZ27&gt;INDEX('How This Works &amp; Sources'!$B$137:$J$139,0,4))*($AZ27-INDEX('How This Works &amp; Sources'!$B$137:$J$139,0,4))*INDEX('How This Works &amp; Sources'!$B$137:$J$139,0,4+2)))),IF($AN27="NJ",IF('Your Pay &amp; Benefits'!$C$77="B",SUMPRODUCT(($AZ27&gt;INDEX('How This Works &amp; Sources'!$B$155:$J$162,0,4))*($AZ27-INDEX('How This Works &amp; Sources'!$B$155:$J$162,0,4))*INDEX('How This Works &amp; Sources'!$B$155:$J$162,0,4+2)),IF('Your Pay &amp; Benefits'!$C$77="C",SUMPRODUCT(($AZ27&gt;INDEX('How This Works &amp; Sources'!$B$155:$J$162,0,7))*($AZ27-INDEX('How This Works &amp; Sources'!$B$155:$J$162,0,7))*INDEX('How This Works &amp; Sources'!$B$155:$J$162,0,7+2)),IF('Your Pay &amp; Benefits'!$C$77="D",SUMPRODUCT(($AZ27&gt;INDEX('How This Works &amp; Sources'!$B$167:$J$179,0,1))*($AZ27-INDEX('How This Works &amp; Sources'!$B$167:$J$179,0,1))*INDEX('How This Works &amp; Sources'!$B$167:$J$179,0,1+2)),IF('Your Pay &amp; Benefits'!$C$77="E",SUMPRODUCT(($AZ27&gt;INDEX('How This Works &amp; Sources'!$B$167:$J$179,0,4))*($AZ27-INDEX('How This Works &amp; Sources'!$B$167:$J$179,0,4))*INDEX('How This Works &amp; Sources'!$B$167:$J$179,0,4+2)),SUMPRODUCT(($AZ27&gt;INDEX('How This Works &amp; Sources'!$B$155:$J$162,0,1))*($AZ27-INDEX('How This Works &amp; Sources'!$B$155:$J$162,0,1))*INDEX('How This Works &amp; Sources'!$B$155:$J$162,0,1+2)))))),IF($AN27="NY",IF($AU27="Married",IF($AZ27&gt;=2155350,$AZ27*IF($AZ27&gt;25000000,0.117,IF($AZ27&gt;5000000,0.111,0.1045)),SUMPRODUCT(($AZ27&gt;INDEX('How This Works &amp; Sources'!$B$184:$J$198,0,1))*($AZ27-INDEX('How This Works &amp; Sources'!$B$184:$J$198,0,1))*INDEX('How This Works &amp; Sources'!$B$184:$J$198,0,1+2))),IF($AZ27&gt;=1077550,$AZ27*IF($AZ27&gt;25000000,0.117,IF($AZ27&gt;5000000,0.111,0.1045)),SUMPRODUCT(($AZ27&gt;INDEX('How This Works &amp; Sources'!$B$167:$J$179,0,7))*($AZ27-INDEX('How This Works &amp; Sources'!$B$167:$J$179,0,7))*INDEX('How This Works &amp; Sources'!$B$167:$J$179,0,7+2)))),"")))))))</f>
      </c>
      <c r="BX27" s="7">
        <f>IF($B27="","",IF($AN27="AL",IF(OR($AU27="Married",$AU27="Head of household"),SUMPRODUCT(($AZ27&gt;INDEX('How This Works &amp; Sources'!$B$82:$J$86,0,4))*($AZ27-INDEX('How This Works &amp; Sources'!$B$82:$J$86,0,4))*INDEX('How This Works &amp; Sources'!$B$82:$J$86,0,4+2)),SUMPRODUCT(($AZ27&gt;INDEX('How This Works &amp; Sources'!$B$82:$J$86,0,1))*($AZ27-INDEX('How This Works &amp; Sources'!$B$82:$J$86,0,1))*INDEX('How This Works &amp; Sources'!$B$82:$J$86,0,1+2))),IF($AN27="KS",IF($AU27="Married",SUMPRODUCT(($AZ27&gt;INDEX('How This Works &amp; Sources'!$B$103:$J$109,0,4))*($AZ27-INDEX('How This Works &amp; Sources'!$B$103:$J$109,0,4))*INDEX('How This Works &amp; Sources'!$B$103:$J$109,0,4+2)),SUMPRODUCT(($AZ27&gt;INDEX('How This Works &amp; Sources'!$B$103:$J$109,0,1))*($AZ27-INDEX('How This Works &amp; Sources'!$B$103:$J$109,0,1))*INDEX('How This Works &amp; Sources'!$B$103:$J$109,0,1+2))),IF($AN27="MN",IF($AU27="Married",SUMPRODUCT(($AZ27&gt;INDEX('How This Works &amp; Sources'!$B$114:$J$120,0,7))*($AZ27-INDEX('How This Works &amp; Sources'!$B$114:$J$120,0,7))*INDEX('How This Works &amp; Sources'!$B$114:$J$120,0,7+2)),SUMPRODUCT(($AZ27&gt;INDEX('How This Works &amp; Sources'!$B$114:$J$120,0,4))*($AZ27-INDEX('How This Works &amp; Sources'!$B$114:$J$120,0,4))*INDEX('How This Works &amp; Sources'!$B$114:$J$120,0,4+2))),IF($AN27="NE",MAX(IF($AU27="Married",SUMPRODUCT(($AZ27&gt;INDEX('How This Works &amp; Sources'!$B$144:$J$150,0,7))*($AZ27-INDEX('How This Works &amp; Sources'!$B$144:$J$150,0,7))*INDEX('How This Works &amp; Sources'!$B$144:$J$150,0,7+2)),SUMPRODUCT(($AZ27&gt;INDEX('How This Works &amp; Sources'!$B$144:$J$150,0,4))*($AZ27-INDEX('How This Works &amp; Sources'!$B$144:$J$150,0,4))*INDEX('How This Works &amp; Sources'!$B$144:$J$150,0,4+2))),0.015*$AZ27),IF($AN27="OH",IF($B27&gt;=DATE(2026,8,1),SUMPRODUCT(($AZ27&gt;INDEX('How This Works &amp; Sources'!$B$203:$J$206,0,1))*($AZ27-INDEX('How This Works &amp; Sources'!$B$203:$J$206,0,1))*INDEX('How This Works &amp; Sources'!$B$203:$J$206,0,1+2)),SUMPRODUCT(($AZ27&gt;INDEX('How This Works &amp; Sources'!$B$184:$J$198,0,7))*($AZ27-INDEX('How This Works &amp; Sources'!$B$184:$J$198,0,7))*INDEX('How This Works &amp; Sources'!$B$184:$J$198,0,7+2))),IF($AN27="OK",IF($AU27="Married",SUMPRODUCT(($AZ27&gt;INDEX('How This Works &amp; Sources'!$B$203:$J$206,0,7))*($AZ27-INDEX('How This Works &amp; Sources'!$B$203:$J$206,0,7))*INDEX('How This Works &amp; Sources'!$B$203:$J$206,0,7+2)),SUMPRODUCT(($AZ27&gt;INDEX('How This Works &amp; Sources'!$B$203:$J$206,0,4))*($AZ27-INDEX('How This Works &amp; Sources'!$B$203:$J$206,0,4))*INDEX('How This Works &amp; Sources'!$B$203:$J$206,0,4+2))),IF($AN27="RI",SUMPRODUCT(($AZ27&gt;INDEX('How This Works &amp; Sources'!$B$211:$J$214,0,7))*($AZ27-INDEX('How This Works &amp; Sources'!$B$211:$J$214,0,7))*INDEX('How This Works &amp; Sources'!$B$211:$J$214,0,7+2)),IF($AN27="VT",IF($AU27="Married",SUMPRODUCT(($AZ27&gt;INDEX('How This Works &amp; Sources'!$B$228:$J$232,0,1))*($AZ27-INDEX('How This Works &amp; Sources'!$B$228:$J$232,0,1))*INDEX('How This Works &amp; Sources'!$B$228:$J$232,0,1+2)),SUMPRODUCT(($AZ27&gt;INDEX('How This Works &amp; Sources'!$B$219:$J$223,0,7))*($AZ27-INDEX('How This Works &amp; Sources'!$B$219:$J$223,0,7))*INDEX('How This Works &amp; Sources'!$B$219:$J$223,0,7+2))),IF($AN27="WV",IF($AU27="Married",SUMPRODUCT(($AZ27&gt;INDEX('How This Works &amp; Sources'!$B$237:$J$241,0,7))*($AZ27-INDEX('How This Works &amp; Sources'!$B$237:$J$241,0,7))*INDEX('How This Works &amp; Sources'!$B$237:$J$241,0,7+2)),SUMPRODUCT(($AZ27&gt;INDEX('How This Works &amp; Sources'!$B$228:$J$232,0,7))*($AZ27-INDEX('How This Works &amp; Sources'!$B$228:$J$232,0,7))*INDEX('How This Works &amp; Sources'!$B$228:$J$232,0,7+2))),""))))))))))</f>
      </c>
      <c r="BY27" s="7">
        <f>IF($B27="","",IF($AN27="AR",SUMPRODUCT(($AZ27&gt;INDEX('How This Works &amp; Sources'!$B$82:$J$86,0,7))*($AZ27-INDEX('How This Works &amp; Sources'!$B$82:$J$86,0,7))*INDEX('How This Works &amp; Sources'!$B$82:$J$86,0,7+2)),IF($AN27="DE",SUMPRODUCT(($AZ27&gt;INDEX('How This Works &amp; Sources'!$B$91:$J$98,0,1))*($AZ27-INDEX('How This Works &amp; Sources'!$B$91:$J$98,0,1))*INDEX('How This Works &amp; Sources'!$B$91:$J$98,0,1+2)),IF($AN27="HI",IF($AU27="Married",SUMPRODUCT(($AZ27&gt;INDEX('How This Works &amp; Sources'!$B$91:$J$98,0,7))*($AZ27-INDEX('How This Works &amp; Sources'!$B$91:$J$98,0,7))*INDEX('How This Works &amp; Sources'!$B$91:$J$98,0,7+2)),SUMPRODUCT(($AZ27&gt;INDEX('How This Works &amp; Sources'!$B$91:$J$98,0,4))*($AZ27-INDEX('How This Works &amp; Sources'!$B$91:$J$98,0,4))*INDEX('How This Works &amp; Sources'!$B$91:$J$98,0,4+2))),IF($AN27="SC",SUMPRODUCT(($AZ27&gt;INDEX('How This Works &amp; Sources'!$B$219:$J$223,0,1))*($AZ27-INDEX('How This Works &amp; Sources'!$B$219:$J$223,0,1))*INDEX('How This Works &amp; Sources'!$B$219:$J$223,0,1+2)),IF($AN27="VA",SUMPRODUCT(($AZ27&gt;INDEX('How This Works &amp; Sources'!$B$219:$J$223,0,4))*($AZ27-INDEX('How This Works &amp; Sources'!$B$219:$J$223,0,4))*INDEX('How This Works &amp; Sources'!$B$219:$J$223,0,4+2)),IF($AN27="WI",SUMPRODUCT(($AZ27&gt;INDEX('How This Works &amp; Sources'!$B$228:$J$232,0,4))*($AZ27-INDEX('How This Works &amp; Sources'!$B$228:$J$232,0,4))*INDEX('How This Works &amp; Sources'!$B$228:$J$232,0,4+2)),"")))))))</f>
      </c>
      <c r="BZ27" s="24">
        <f>IF($B27="","",IF($AN27="NJ",IF('Your Pay &amp; Benefits'!$C$77="B",SUMPRODUCT(($AZ27&gt;=INDEX('How This Works &amp; Sources'!$B$155:$J$162,0,4))*INDEX('How This Works &amp; Sources'!$B$155:$J$162,0,4+2)),IF('Your Pay &amp; Benefits'!$C$77="C",SUMPRODUCT(($AZ27&gt;=INDEX('How This Works &amp; Sources'!$B$155:$J$162,0,7))*INDEX('How This Works &amp; Sources'!$B$155:$J$162,0,7+2)),IF('Your Pay &amp; Benefits'!$C$77="D",SUMPRODUCT(($AZ27&gt;=INDEX('How This Works &amp; Sources'!$B$167:$J$179,0,1))*INDEX('How This Works &amp; Sources'!$B$167:$J$179,0,1+2)),IF('Your Pay &amp; Benefits'!$C$77="E",SUMPRODUCT(($AZ27&gt;=INDEX('How This Works &amp; Sources'!$B$167:$J$179,0,4))*INDEX('How This Works &amp; Sources'!$B$167:$J$179,0,4+2)),SUMPRODUCT(($AZ27&gt;=INDEX('How This Works &amp; Sources'!$B$155:$J$162,0,1))*INDEX('How This Works &amp; Sources'!$B$155:$J$162,0,1+2)))))),IF($AN27="OR",IF(OR($AU27="Married",AND($AU27="Single",$AS27&gt;=3)),SUMPRODUCT((MAX(0,$AY27-MIN(($P27-'How This Works &amp; Sources'!$C$10*$D27)*'Your Pay &amp; Benefits'!$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Sources'!$B$211:$J$214,0,4))*INDEX('How This Works &amp; Sources'!$B$211:$J$214,0,4+2)),SUMPRODUCT((MAX(0,$AY27-MIN(($P27-'How This Works &amp; Sources'!$C$10*$D27)*'Your Pay &amp; Benefits'!$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Sources'!$B$211:$J$214,0,1))*INDEX('How This Works &amp; Sources'!$B$211:$J$214,0,1+2)))*IF(($P27-'How This Works &amp; Sources'!$C$10*$D27)*'Your Pay &amp; Benefits'!$C$8&gt;=IF(OR($AU27="Married",AND($AU27="Single",$AS27&gt;=3)),IF($AY27&lt;250000,8750,IF($AY27&lt;260000,7000,IF($AY27&lt;270000,5250,IF($AY27&lt;280000,3500,IF($AY27&lt;290000,1750,0))))),IF($AY27&lt;125000,8750,IF($AY27&lt;130000,7000,IF($AY27&lt;135000,5250,IF($AY27&lt;140000,3500,IF($AY27&lt;145000,1750,0)))))),1,1-IF('Your Pay &amp; Benefits'!$C$13,SUMPRODUCT(($AH27&gt;=INDEX('How This Works &amp; Sources'!$B$29:$J$36,0,IF('Your Pay &amp; Benefits'!$C$12="MFJ",1,IF('Your Pay &amp; Benefits'!$C$12="HoH",7,4))))*INDEX('How This Works &amp; Sources'!$B$29:$J$36,0,IF('Your Pay &amp; Benefits'!$C$12="MFJ",1,IF('Your Pay &amp; Benefits'!$C$12="HoH",7,4))+2)),SUMPRODUCT(($AH27&gt;=INDEX('How This Works &amp; Sources'!$B$19:$J$26,0,IF('Your Pay &amp; Benefits'!$C$12="MFJ",1,IF('Your Pay &amp; Benefits'!$C$12="HoH",7,4))))*INDEX('How This Works &amp; Sources'!$B$19:$J$26,0,IF('Your Pay &amp; Benefits'!$C$12="MFJ",1,IF('Your Pay &amp; Benefits'!$C$12="HoH",7,4))+2)))),IF($AN27="MI",IF($AY27&gt;5900*$AS27,0.0425,0),""))))</f>
      </c>
      <c r="CA27" s="24">
        <f>IF($B27="","",IF($AN27="AL",IF(OR($AU27="Married",$AU27="Head of household"),SUMPRODUCT(($AZ27&gt;=INDEX('How This Works &amp; Sources'!$B$82:$J$86,0,4))*INDEX('How This Works &amp; Sources'!$B$82:$J$86,0,4+2)),SUMPRODUCT(($AZ27&gt;=INDEX('How This Works &amp; Sources'!$B$82:$J$86,0,1))*INDEX('How This Works &amp; Sources'!$B$82:$J$86,0,1+2)))*(1-IF('Your Pay &amp; Benefits'!$C$13,SUMPRODUCT(($AH27&gt;=INDEX('How This Works &amp; Sources'!$B$29:$J$36,0,IF('Your Pay &amp; Benefits'!$C$12="MFJ",1,IF('Your Pay &amp; Benefits'!$C$12="HoH",7,4))))*INDEX('How This Works &amp; Sources'!$B$29:$J$36,0,IF('Your Pay &amp; Benefits'!$C$12="MFJ",1,IF('Your Pay &amp; Benefits'!$C$12="HoH",7,4))+2)),SUMPRODUCT(($AH27&gt;=INDEX('How This Works &amp; Sources'!$B$19:$J$26,0,IF('Your Pay &amp; Benefits'!$C$12="MFJ",1,IF('Your Pay &amp; Benefits'!$C$12="HoH",7,4))))*INDEX('How This Works &amp; Sources'!$B$19:$J$26,0,IF('Your Pay &amp; Benefits'!$C$12="MFJ",1,IF('Your Pay &amp; Benefits'!$C$12="HoH",7,4))+2)))),IF($AN27="KS",IF($AU27="Married",SUMPRODUCT(($AZ27&gt;=INDEX('How This Works &amp; Sources'!$B$103:$J$109,0,4))*INDEX('How This Works &amp; Sources'!$B$103:$J$109,0,4+2)),SUMPRODUCT(($AZ27&gt;=INDEX('How This Works &amp; Sources'!$B$103:$J$109,0,1))*INDEX('How This Works &amp; Sources'!$B$103:$J$109,0,1+2))),IF($AN27="MD",IF(OR($AU27="Married",$AU27="Head of household"),SUMPRODUCT(($AZ27&gt;=INDEX('How This Works &amp; Sources'!$B$114:$J$120,0,1))*INDEX('How This Works &amp; Sources'!$B$114:$J$120,0,1+2)),SUMPRODUCT(($AZ27&gt;=INDEX('How This Works &amp; Sources'!$B$103:$J$109,0,7))*INDEX('How This Works &amp; Sources'!$B$103:$J$109,0,7+2)))+'Your Pay &amp; Benefits'!$C$74,IF($AN27="MT",IF($AU27="Head of household",SUMPRODUCT(($AZ27&gt;=INDEX('How This Works &amp; Sources'!$B$137:$J$139,0,1))*INDEX('How This Works &amp; Sources'!$B$137:$J$139,0,1+2)),IF($AU27="Married",SUMPRODUCT(($AZ27&gt;=INDEX('How This Works &amp; Sources'!$B$125:$J$132,0,7))*INDEX('How This Works &amp; Sources'!$B$125:$J$132,0,7+2)),SUMPRODUCT(($AZ27&gt;=INDEX('How This Works &amp; Sources'!$B$125:$J$132,0,4))*INDEX('How This Works &amp; Sources'!$B$125:$J$132,0,4+2)))),IF($AN27="ND",IF($AU27="Head of household",SUMPRODUCT(($AZ27&gt;=INDEX('How This Works &amp; Sources'!$B$144:$J$150,0,1))*INDEX('How This Works &amp; Sources'!$B$144:$J$150,0,1+2)),IF($AU27="Married",SUMPRODUCT(($AZ27&gt;=INDEX('How This Works &amp; Sources'!$B$137:$J$139,0,7))*INDEX('How This Works &amp; Sources'!$B$137:$J$139,0,7+2)),SUMPRODUCT(($AZ27&gt;=INDEX('How This Works &amp; Sources'!$B$137:$J$139,0,4))*INDEX('How This Works &amp; Sources'!$B$137:$J$139,0,4+2)))),IF($AN27="NY",IF($AU27="Married",IF($AZ27&gt;=2155350,IF($AZ27&gt;25000000,0.117,IF($AZ27&gt;5000000,0.111,0.1045)),SUMPRODUCT(($AZ27&gt;=INDEX('How This Works &amp; Sources'!$B$184:$J$198,0,1))*INDEX('How This Works &amp; Sources'!$B$184:$J$198,0,1+2))),IF($AZ27&gt;=1077550,IF($AZ27&gt;25000000,0.117,IF($AZ27&gt;5000000,0.111,0.1045)),SUMPRODUCT(($AZ27&gt;=INDEX('How This Works &amp; Sources'!$B$167:$J$179,0,7))*INDEX('How This Works &amp; Sources'!$B$167:$J$179,0,7+2)))),"")))))))</f>
      </c>
      <c r="CB27" s="24">
        <f>IF($B27="","",IF($AN27="CA",SUMPRODUCT(($AJ27&gt;=INDEX('How This Works &amp; Sources'!$B$39:$J$48,0,IF($AU27="Married",4,IF($AU27="Head of household",7,1))))*INDEX('How This Works &amp; Sources'!$B$39:$J$48,0,IF($AU27="Married",4,IF($AU27="Head of household",7,1))+2)),IF($AN27="HI",IF($AU27="Married",SUMPRODUCT(($AZ27&gt;=INDEX('How This Works &amp; Sources'!$B$91:$J$98,0,7))*INDEX('How This Works &amp; Sources'!$B$91:$J$98,0,7+2)),SUMPRODUCT(($AZ27&gt;=INDEX('How This Works &amp; Sources'!$B$91:$J$98,0,4))*INDEX('How This Works &amp; Sources'!$B$91:$J$98,0,4+2))),IF($AN27="MN",IF($AU27="Married",SUMPRODUCT(($AZ27&gt;=INDEX('How This Works &amp; Sources'!$B$114:$J$120,0,7))*INDEX('How This Works &amp; Sources'!$B$114:$J$120,0,7+2)),SUMPRODUCT(($AZ27&gt;=INDEX('How This Works &amp; Sources'!$B$114:$J$120,0,4))*INDEX('How This Works &amp; Sources'!$B$114:$J$120,0,4+2))),IF($AN27="MO",SUMPRODUCT(($AZ27&gt;=INDEX('How This Works &amp; Sources'!$B$125:$J$132,0,1))*INDEX('How This Works &amp; Sources'!$B$125:$J$132,0,1+2)),IF($AN27="NE",MAX(IF($AU27="Married",SUMPRODUCT(($AZ27&gt;=INDEX('How This Works &amp; Sources'!$B$144:$J$150,0,7))*INDEX('How This Works &amp; Sources'!$B$144:$J$150,0,7+2)),SUMPRODUCT(($AZ27&gt;=INDEX('How This Works &amp; Sources'!$B$144:$J$150,0,4))*INDEX('How This Works &amp; Sources'!$B$144:$J$150,0,4+2))),0.015),IF($AN27="OH",IF($B27&gt;=DATE(2026,8,1),SUMPRODUCT(($AZ27&gt;=INDEX('How This Works &amp; Sources'!$B$203:$J$206,0,1))*INDEX('How This Works &amp; Sources'!$B$203:$J$206,0,1+2)),SUMPRODUCT(($AZ27&gt;=INDEX('How This Works &amp; Sources'!$B$184:$J$198,0,7))*INDEX('How This Works &amp; Sources'!$B$184:$J$198,0,7+2))),IF($AN27="OK",IF($AU27="Married",SUMPRODUCT(($AZ27&gt;=INDEX('How This Works &amp; Sources'!$B$203:$J$206,0,7))*INDEX('How This Works &amp; Sources'!$B$203:$J$206,0,7+2)),SUMPRODUCT(($AZ27&gt;=INDEX('How This Works &amp; Sources'!$B$203:$J$206,0,4))*INDEX('How This Works &amp; Sources'!$B$203:$J$206,0,4+2))),IF($AN27="RI",SUMPRODUCT(($AZ27&gt;=INDEX('How This Works &amp; Sources'!$B$211:$J$214,0,7))*INDEX('How This Works &amp; Sources'!$B$211:$J$214,0,7+2)),IF($AN27="SC",SUMPRODUCT(($AZ27&gt;=INDEX('How This Works &amp; Sources'!$B$219:$J$223,0,1))*INDEX('How This Works &amp; Sources'!$B$219:$J$223,0,1+2)),IF($AN27="VT",IF($AU27="Married",SUMPRODUCT(($AZ27&gt;=INDEX('How This Works &amp; Sources'!$B$228:$J$232,0,1))*INDEX('How This Works &amp; Sources'!$B$228:$J$232,0,1+2)),SUMPRODUCT(($AZ27&gt;=INDEX('How This Works &amp; Sources'!$B$219:$J$223,0,7))*INDEX('How This Works &amp; Sources'!$B$219:$J$223,0,7+2))),IF($AN27="WV",IF($AU27="Married",SUMPRODUCT(($AZ27&gt;=INDEX('How This Works &amp; Sources'!$B$237:$J$241,0,7))*INDEX('How This Works &amp; Sources'!$B$237:$J$241,0,7+2)),SUMPRODUCT(($AZ27&gt;=INDEX('How This Works &amp; Sources'!$B$228:$J$232,0,7))*INDEX('How This Works &amp; Sources'!$B$228:$J$232,0,7+2))),IF($AN27="IN",(0.0295+'Your Pay &amp; Benefits'!$C$76),"")))))))))))))</f>
      </c>
      <c r="CC27" s="24">
        <f>IF($B27="","",IF($AN27="AR",SUMPRODUCT(($AZ27&gt;=INDEX('How This Works &amp; Sources'!$B$82:$J$86,0,7))*INDEX('How This Works &amp; Sources'!$B$82:$J$86,0,7+2)),IF($AN27="DE",SUMPRODUCT(($AZ27&gt;=INDEX('How This Works &amp; Sources'!$B$91:$J$98,0,1))*INDEX('How This Works &amp; Sources'!$B$91:$J$98,0,1+2)),IF($AN27="VA",SUMPRODUCT(($AZ27&gt;=INDEX('How This Works &amp; Sources'!$B$219:$J$223,0,4))*INDEX('How This Works &amp; Sources'!$B$219:$J$223,0,4+2)),IF($AN27="WI",SUMPRODUCT(($AZ27&gt;=INDEX('How This Works &amp; Sources'!$B$228:$J$232,0,4))*INDEX('How This Works &amp; Sources'!$B$228:$J$232,0,4+2)),IF($AN27="AZ",'Your Pay &amp; Benefits'!$C$82,IF($AN27="CO",IF($AY27&gt;IF($AU27="Married",10000,5000),0.044,0),IF($AN27="IA",IF($AY27&gt;IF($AU27="Head of household",19500,IF($AU27="Married",26000,13000)),0.038,0),IF($AN27="ID",IF($AY27&gt;IF($AU27="Married",32000,16094),0.053,0),IF($AN27="IL",IF($AY27&gt;(2925*$AS27+1000*$AT27),0.0495,0),IF($AN27="KY",IF($AI27&gt;3360,0.035,0),IF($AN27="LA",0.0309,IF($AN27="MA",IF(MAX(0,$AY27-MIN(($BD26+$Q27+$R27+$S27),2000)-IF($AS27=0,0,IF($AS27=1,4400,1000*$AS27+3400)))&gt;=1107750,0.09,0.05),IF($AN27="MS",IF($AI27-IF($AU27="Head of household",3400,IF($AU27="Married",4600,2300))-'Your Pay &amp; Benefits'!$C$85&gt;10000,0.04,0),IF($AN27="PA",0.0307,"")))))))))))))))</f>
      </c>
      <c r="CD27" s="21">
        <f>IF(YEAR(IF('Your Pay &amp; Benefits'!$C$7="Weekly",'Your Pay &amp; Benefits'!$C$9+7*(($BE26+1)-1),IF('Your Pay &amp; Benefits'!$C$7="Biweekly",'Your Pay &amp; Benefits'!$C$9+14*(($BE26+1)-1),IF('Your Pay &amp; Benefits'!$C$7="Semimonthly",DATE(YEAR('Your Pay &amp; Benefits'!$C$9),MONTH('Your Pay &amp; Benefits'!$C$9)+INT((($BE26+1)-1)/2),MIN(DAY('Your Pay &amp; Benefits'!$C$9),DAY(EOMONTH(DATE(YEAR('Your Pay &amp; Benefits'!$C$9),MONTH('Your Pay &amp; Benefits'!$C$9)+INT((($BE26+1)-1)/2),1),0))))+IF(MOD(($BE26+1)-1,2)=1,15,0),EDATE('Your Pay &amp; Benefits'!$C$9,($BE26+1)-1)))))&lt;&gt;'Your Pay &amp; Benefits'!$C$10,"",IF('Your Pay &amp; Benefits'!$C$7="Weekly",'Your Pay &amp; Benefits'!$C$9+7*(($BE26+1)-1),IF('Your Pay &amp; Benefits'!$C$7="Biweekly",'Your Pay &amp; Benefits'!$C$9+14*(($BE26+1)-1),IF('Your Pay &amp; Benefits'!$C$7="Semimonthly",DATE(YEAR('Your Pay &amp; Benefits'!$C$9),MONTH('Your Pay &amp; Benefits'!$C$9)+INT((($BE26+1)-1)/2),MIN(DAY('Your Pay &amp; Benefits'!$C$9),DAY(EOMONTH(DATE(YEAR('Your Pay &amp; Benefits'!$C$9),MONTH('Your Pay &amp; Benefits'!$C$9)+INT((($BE26+1)-1)/2),1),0))))+IF(MOD(($BE26+1)-1,2)=1,15,0),EDATE('Your Pay &amp; Benefits'!$C$9,($BE26+1)-1)))))</f>
      </c>
      <c r="CE27" s="21">
        <f>IF(MIN(IF(AND('Your Pay &amp; Benefits'!$C$58&gt;MAX($B$6:$B26),'Your Pay &amp; Benefits'!$C$58&gt;=DATE('Your Pay &amp; Benefits'!$C$10,1,1),'Your Pay &amp; Benefits'!$C$58&lt;=DATE('Your Pay &amp; Benefits'!$C$10,12,31)),'Your Pay &amp; Benefits'!$C$58,999999),IF(AND('Your Pay &amp; Benefits'!$C$59&gt;MAX($B$6:$B26),'Your Pay &amp; Benefits'!$C$59&gt;=DATE('Your Pay &amp; Benefits'!$C$10,1,1),'Your Pay &amp; Benefits'!$C$59&lt;=DATE('Your Pay &amp; Benefits'!$C$10,12,31)),'Your Pay &amp; Benefits'!$C$59,999999),IF(AND('Your Pay &amp; Benefits'!$C$60&gt;MAX($B$6:$B26),'Your Pay &amp; Benefits'!$C$60&gt;=DATE('Your Pay &amp; Benefits'!$C$10,1,1),'Your Pay &amp; Benefits'!$C$60&lt;=DATE('Your Pay &amp; Benefits'!$C$10,12,31)),'Your Pay &amp; Benefits'!$C$60,999999),IF(AND('Your Pay &amp; Benefits'!$C$61&gt;MAX($B$6:$B26),'Your Pay &amp; Benefits'!$C$61&gt;=DATE('Your Pay &amp; Benefits'!$C$10,1,1),'Your Pay &amp; Benefits'!$C$61&lt;=DATE('Your Pay &amp; Benefits'!$C$10,12,31)),'Your Pay &amp; Benefits'!$C$61,999999),IF(AND('Your Pay &amp; Benefits'!$C$62&gt;MAX($B$6:$B26),'Your Pay &amp; Benefits'!$C$62&gt;=DATE('Your Pay &amp; Benefits'!$C$10,1,1),'Your Pay &amp; Benefits'!$C$62&lt;=DATE('Your Pay &amp; Benefits'!$C$10,12,31)),'Your Pay &amp; Benefits'!$C$62,999999),IF(AND('Your Pay &amp; Benefits'!$C$63&gt;MAX($B$6:$B26),'Your Pay &amp; Benefits'!$C$63&gt;=DATE('Your Pay &amp; Benefits'!$C$10,1,1),'Your Pay &amp; Benefits'!$C$63&lt;=DATE('Your Pay &amp; Benefits'!$C$10,12,31)),'Your Pay &amp; Benefits'!$C$63,999999),IF(AND('Your Pay &amp; Benefits'!$C$64&gt;MAX($B$6:$B26),'Your Pay &amp; Benefits'!$C$64&gt;=DATE('Your Pay &amp; Benefits'!$C$10,1,1),'Your Pay &amp; Benefits'!$C$64&lt;=DATE('Your Pay &amp; Benefits'!$C$10,12,31)),'Your Pay &amp; Benefits'!$C$64,999999),IF(AND('Your Pay &amp; Benefits'!$C$65&gt;MAX($B$6:$B26),'Your Pay &amp; Benefits'!$C$65&gt;=DATE('Your Pay &amp; Benefits'!$C$10,1,1),'Your Pay &amp; Benefits'!$C$65&lt;=DATE('Your Pay &amp; Benefits'!$C$10,12,31)),'Your Pay &amp; Benefits'!$C$65,999999),IF(AND('Your Pay &amp; Benefits'!$C$66&gt;MAX($B$6:$B26),'Your Pay &amp; Benefits'!$C$66&gt;=DATE('Your Pay &amp; Benefits'!$C$10,1,1),'Your Pay &amp; Benefits'!$C$66&lt;=DATE('Your Pay &amp; Benefits'!$C$10,12,31)),'Your Pay &amp; Benefits'!$C$66,999999),IF(AND('Your Pay &amp; Benefits'!$C$67&gt;MAX($B$6:$B26),'Your Pay &amp; Benefits'!$C$67&gt;=DATE('Your Pay &amp; Benefits'!$C$10,1,1),'Your Pay &amp; Benefits'!$C$67&lt;=DATE('Your Pay &amp; Benefits'!$C$10,12,31)),'Your Pay &amp; Benefits'!$C$67,999999))=999999,"",MIN(IF(AND('Your Pay &amp; Benefits'!$C$58&gt;MAX($B$6:$B26),'Your Pay &amp; Benefits'!$C$58&gt;=DATE('Your Pay &amp; Benefits'!$C$10,1,1),'Your Pay &amp; Benefits'!$C$58&lt;=DATE('Your Pay &amp; Benefits'!$C$10,12,31)),'Your Pay &amp; Benefits'!$C$58,999999),IF(AND('Your Pay &amp; Benefits'!$C$59&gt;MAX($B$6:$B26),'Your Pay &amp; Benefits'!$C$59&gt;=DATE('Your Pay &amp; Benefits'!$C$10,1,1),'Your Pay &amp; Benefits'!$C$59&lt;=DATE('Your Pay &amp; Benefits'!$C$10,12,31)),'Your Pay &amp; Benefits'!$C$59,999999),IF(AND('Your Pay &amp; Benefits'!$C$60&gt;MAX($B$6:$B26),'Your Pay &amp; Benefits'!$C$60&gt;=DATE('Your Pay &amp; Benefits'!$C$10,1,1),'Your Pay &amp; Benefits'!$C$60&lt;=DATE('Your Pay &amp; Benefits'!$C$10,12,31)),'Your Pay &amp; Benefits'!$C$60,999999),IF(AND('Your Pay &amp; Benefits'!$C$61&gt;MAX($B$6:$B26),'Your Pay &amp; Benefits'!$C$61&gt;=DATE('Your Pay &amp; Benefits'!$C$10,1,1),'Your Pay &amp; Benefits'!$C$61&lt;=DATE('Your Pay &amp; Benefits'!$C$10,12,31)),'Your Pay &amp; Benefits'!$C$61,999999),IF(AND('Your Pay &amp; Benefits'!$C$62&gt;MAX($B$6:$B26),'Your Pay &amp; Benefits'!$C$62&gt;=DATE('Your Pay &amp; Benefits'!$C$10,1,1),'Your Pay &amp; Benefits'!$C$62&lt;=DATE('Your Pay &amp; Benefits'!$C$10,12,31)),'Your Pay &amp; Benefits'!$C$62,999999),IF(AND('Your Pay &amp; Benefits'!$C$63&gt;MAX($B$6:$B26),'Your Pay &amp; Benefits'!$C$63&gt;=DATE('Your Pay &amp; Benefits'!$C$10,1,1),'Your Pay &amp; Benefits'!$C$63&lt;=DATE('Your Pay &amp; Benefits'!$C$10,12,31)),'Your Pay &amp; Benefits'!$C$63,999999),IF(AND('Your Pay &amp; Benefits'!$C$64&gt;MAX($B$6:$B26),'Your Pay &amp; Benefits'!$C$64&gt;=DATE('Your Pay &amp; Benefits'!$C$10,1,1),'Your Pay &amp; Benefits'!$C$64&lt;=DATE('Your Pay &amp; Benefits'!$C$10,12,31)),'Your Pay &amp; Benefits'!$C$64,999999),IF(AND('Your Pay &amp; Benefits'!$C$65&gt;MAX($B$6:$B26),'Your Pay &amp; Benefits'!$C$65&gt;=DATE('Your Pay &amp; Benefits'!$C$10,1,1),'Your Pay &amp; Benefits'!$C$65&lt;=DATE('Your Pay &amp; Benefits'!$C$10,12,31)),'Your Pay &amp; Benefits'!$C$65,999999),IF(AND('Your Pay &amp; Benefits'!$C$66&gt;MAX($B$6:$B26),'Your Pay &amp; Benefits'!$C$66&gt;=DATE('Your Pay &amp; Benefits'!$C$10,1,1),'Your Pay &amp; Benefits'!$C$66&lt;=DATE('Your Pay &amp; Benefits'!$C$10,12,31)),'Your Pay &amp; Benefits'!$C$66,999999),IF(AND('Your Pay &amp; Benefits'!$C$67&gt;MAX($B$6:$B26),'Your Pay &amp; Benefits'!$C$67&gt;=DATE('Your Pay &amp; Benefits'!$C$10,1,1),'Your Pay &amp; Benefits'!$C$67&lt;=DATE('Your Pay &amp; Benefits'!$C$10,12,31)),'Your Pay &amp; Benefits'!$C$67,999999)))</f>
      </c>
      <c r="CF27">
        <f>IF($B27="","",IF($D27=0,$Y27,""))</f>
      </c>
    </row>
    <row r="28">
      <c r="A28" t="n">
        <v>23</v>
      </c>
      <c r="B28" s="21">
        <f>IF(AND($CD28="",$CE28=""),"",IF($CE28="",$CD28,IF($CD28="",$CE28,MIN($CD28,$CE28))))</f>
      </c>
      <c r="C28" s="7">
        <f>IF($B28="","",IF($BF28=0,0,IF('Your Pay &amp; Benefits'!$C$4="Annual salary",ROUND($AK28/IF(AND('Your Pay &amp; Benefits'!$C$88="Actual paydays",MONTH('Your Pay &amp; Benefits'!$C$9)=1),MAX(1,MAX($BE$6:$BE$68)),'Your Pay &amp; Benefits'!$C$8),2),$AK28)))</f>
      </c>
      <c r="D28" s="7">
        <f>IF($B28="","",SUMIF('Your Pay &amp; Benefits'!$C$58:$C$67,$B28,'Your Pay &amp; Benefits'!$D$58:$D$67))</f>
      </c>
      <c r="E28" s="7">
        <f>IF($B28="","",ROUND(MAX(0,MIN(IF($AL28="Percent",$AM28*($C28+$D28),$AM28),MAX(0,'Your Pay &amp; Benefits'!$C$34-$AC27))),2))</f>
      </c>
      <c r="F28" s="7">
        <f>IF($B28="","",ROUND(MAX(0,MIN(IF('Your Pay &amp; Benefits'!$C$32="Percent",'Your Pay &amp; Benefits'!$D$32*($C28+$D28),'Your Pay &amp; Benefits'!$D$32),MAX(0,'Your Pay &amp; Benefits'!$C$34-$AC27-$E28))),2))</f>
      </c>
      <c r="G28" s="7">
        <f>IF($B28="","",IF($BF28=0,0,ROUND(MAX(0,MIN($BL28,'Your Pay &amp; Benefits'!$C$37-'Your Pay &amp; Benefits'!$C$54-$BI27)),2)))</f>
      </c>
      <c r="H28" s="7">
        <f>IF($B28="","",IF(OR($BF28=0,$BQ28=1),0,ROUND(MAX(0,MIN(IF($BS28=1,ROUND(MAX(0,MIN($BJ28,'How This Works &amp; Sources'!$C$13)-$BG27)/MAX(1,MAX($BE$6:$BE$68)-($BE27)),2),ROUND(MIN($BJ28,'How This Works &amp; Sources'!$C$13)/'Your Pay &amp; Benefits'!$C$8,2)),MIN($BJ28,'How This Works &amp; Sources'!$C$13)-$BG27)),2)))</f>
      </c>
      <c r="I28" s="7">
        <f>IF($B28="","",IF(OR($BF28=0,$BR28=1),0,ROUND(MAX(0,MIN(IF($BT28=1,ROUND(MAX(0,MIN($BK28,IF('Your Pay &amp; Benefits'!$C$12="MFJ",'How This Works &amp; Sources'!$C$14,'How This Works &amp; Sources'!$C$15))-$BH27)/MAX(1,MAX($BE$6:$BE$68)-($BE27)),2),ROUND(MIN($BK28,IF('Your Pay &amp; Benefits'!$C$12="MFJ",'How This Works &amp; Sources'!$C$14,'How This Works &amp; Sources'!$C$15))/'Your Pay &amp; Benefits'!$C$8,2)),MIN($BK28,IF('Your Pay &amp; Benefits'!$C$12="MFJ",'How This Works &amp; Sources'!$C$14,'How This Works &amp; Sources'!$C$15))-$BH27)),2)))</f>
      </c>
      <c r="J28" s="7">
        <f>IF($B28="","",IF($BF28=0,0,$BM28))</f>
      </c>
      <c r="K28" s="7">
        <f>IF($B28="","",IF($BF28=0,0,$BN28+$BO28))</f>
      </c>
      <c r="L28" s="7">
        <f>IF($B28="","",IF($BF28=0,0,'Your Pay &amp; Benefits'!$D$46))</f>
      </c>
      <c r="M28" s="7">
        <f>IF($B28="","",$C28+$D28+$L28-$E28-$G28-$H28-$I28-$J28-$K28)</f>
      </c>
      <c r="N28" s="7">
        <f>IF($B28="","",$C28+$D28+$L28-$G28-$H28-$I28-$J28-$K28)</f>
      </c>
      <c r="O28" s="7">
        <f>IF($B28="","",$C28+$D28+$L28-$E28-$H28-$I28-$J28-$K28-IF(OR($AN28="CA",$AN28="NJ"),0,$G28))</f>
      </c>
      <c r="P28" s="7">
        <f>IF($B28="","",IF('Your Pay &amp; Benefits'!$C$18,0,ROUND(MAX(0,IF('Your Pay &amp; Benefits'!$C$13,SUMPRODUCT(($AH28&gt;INDEX('How This Works &amp; Sources'!$B$29:$J$36,0,IF('Your Pay &amp; Benefits'!$C$12="MFJ",1,IF('Your Pay &amp; Benefits'!$C$12="HoH",7,4))))*($AH28-INDEX('How This Works &amp; Sources'!$B$29:$J$36,0,IF('Your Pay &amp; Benefits'!$C$12="MFJ",1,IF('Your Pay &amp; Benefits'!$C$12="HoH",7,4))))*INDEX('How This Works &amp; Sources'!$B$29:$J$36,0,IF('Your Pay &amp; Benefits'!$C$12="MFJ",1,IF('Your Pay &amp; Benefits'!$C$12="HoH",7,4))+2)),SUMPRODUCT(($AH28&gt;INDEX('How This Works &amp; Sources'!$B$19:$J$26,0,IF('Your Pay &amp; Benefits'!$C$12="MFJ",1,IF('Your Pay &amp; Benefits'!$C$12="HoH",7,4))))*($AH28-INDEX('How This Works &amp; Sources'!$B$19:$J$26,0,IF('Your Pay &amp; Benefits'!$C$12="MFJ",1,IF('Your Pay &amp; Benefits'!$C$12="HoH",7,4))))*INDEX('How This Works &amp; Sources'!$B$19:$J$26,0,IF('Your Pay &amp; Benefits'!$C$12="MFJ",1,IF('Your Pay &amp; Benefits'!$C$12="HoH",7,4))+2)))/'Your Pay &amp; Benefits'!$C$8-$AO28/'Your Pay &amp; Benefits'!$C$8)+$AR28+IF('Your Pay &amp; Benefits'!$C$89="Aggregate",MAX(0,IF('Your Pay &amp; Benefits'!$C$13,SUMPRODUCT((($AH28+$D28)&gt;INDEX('How This Works &amp; Sources'!$B$29:$J$36,0,IF('Your Pay &amp; Benefits'!$C$12="MFJ",1,IF('Your Pay &amp; Benefits'!$C$12="HoH",7,4))))*(($AH28+$D28)-INDEX('How This Works &amp; Sources'!$B$29:$J$36,0,IF('Your Pay &amp; Benefits'!$C$12="MFJ",1,IF('Your Pay &amp; Benefits'!$C$12="HoH",7,4))))*INDEX('How This Works &amp; Sources'!$B$29:$J$36,0,IF('Your Pay &amp; Benefits'!$C$12="MFJ",1,IF('Your Pay &amp; Benefits'!$C$12="HoH",7,4))+2)),SUMPRODUCT((($AH28+$D28)&gt;INDEX('How This Works &amp; Sources'!$B$19:$J$26,0,IF('Your Pay &amp; Benefits'!$C$12="MFJ",1,IF('Your Pay &amp; Benefits'!$C$12="HoH",7,4))))*(($AH28+$D28)-INDEX('How This Works &amp; Sources'!$B$19:$J$26,0,IF('Your Pay &amp; Benefits'!$C$12="MFJ",1,IF('Your Pay &amp; Benefits'!$C$12="HoH",7,4))))*INDEX('How This Works &amp; Sources'!$B$19:$J$26,0,IF('Your Pay &amp; Benefits'!$C$12="MFJ",1,IF('Your Pay &amp; Benefits'!$C$12="HoH",7,4))+2)))-IF('Your Pay &amp; Benefits'!$C$13,SUMPRODUCT(($AH28&gt;INDEX('How This Works &amp; Sources'!$B$29:$J$36,0,IF('Your Pay &amp; Benefits'!$C$12="MFJ",1,IF('Your Pay &amp; Benefits'!$C$12="HoH",7,4))))*($AH28-INDEX('How This Works &amp; Sources'!$B$29:$J$36,0,IF('Your Pay &amp; Benefits'!$C$12="MFJ",1,IF('Your Pay &amp; Benefits'!$C$12="HoH",7,4))))*INDEX('How This Works &amp; Sources'!$B$29:$J$36,0,IF('Your Pay &amp; Benefits'!$C$12="MFJ",1,IF('Your Pay &amp; Benefits'!$C$12="HoH",7,4))+2)),SUMPRODUCT(($AH28&gt;INDEX('How This Works &amp; Sources'!$B$19:$J$26,0,IF('Your Pay &amp; Benefits'!$C$12="MFJ",1,IF('Your Pay &amp; Benefits'!$C$12="HoH",7,4))))*($AH28-INDEX('How This Works &amp; Sources'!$B$19:$J$26,0,IF('Your Pay &amp; Benefits'!$C$12="MFJ",1,IF('Your Pay &amp; Benefits'!$C$12="HoH",7,4))))*INDEX('How This Works &amp; Sources'!$B$19:$J$26,0,IF('Your Pay &amp; Benefits'!$C$12="MFJ",1,IF('Your Pay &amp; Benefits'!$C$12="HoH",7,4))+2)))),'How This Works &amp; Sources'!$C$10*$D28),2)))</f>
      </c>
      <c r="Q28" s="7">
        <f>IF($B28="","",ROUND('How This Works &amp; Sources'!$C$4*MIN($N28,MAX(0,'How This Works &amp; Sources'!$C$3-($AX28+$AB27-$AW28))),2))</f>
      </c>
      <c r="R28" s="7">
        <f>IF($B28="","",ROUND('How This Works &amp; Sources'!$C$5*$N28,2))</f>
      </c>
      <c r="S28" s="7">
        <f>IF($B28="","",ROUND('How This Works &amp; Sources'!$C$6*MAX(0,MIN($N28,$AG27+$N28-'How This Works &amp; Sources'!$C$7)),2))</f>
      </c>
      <c r="T28" s="7">
        <f>IF($B28="","",IF('Your Pay &amp; Benefits'!$C$26,0,IF($AN28="CA",ROUND(IF($AI28&lt;=IF(($AS28+$AT28)&gt;=2,VLOOKUP($AN28,StateTables!$A$6:$AB$56,10,FALSE),VLOOKUP($AN28,StateTables!$A$6:$AB$56,9,FALSE)),0,MAX(0,SUMPRODUCT(($AJ28&gt;INDEX('How This Works &amp; Sources'!$B$39:$J$48,0,IF($AU28="Married",4,IF($AU28="Head of household",7,1))))*($AJ28-INDEX('How This Works &amp; Sources'!$B$39:$J$48,0,IF($AU28="Married",4,IF($AU28="Head of household",7,1))))*INDEX('How This Works &amp; Sources'!$B$39:$J$48,0,IF($AU28="Married",4,IF($AU28="Head of household",7,1))+2))-VLOOKUP($AN28,StateTables!$A$6:$AB$56,11,FALSE)*$AS28)/'Your Pay &amp; Benefits'!$C$8)+'Your Pay &amp; Benefits'!$C$25+VLOOKUP($AN28,StateTables!$A$6:$AB$56,13,FALSE)*$D28,2),IF(VLOOKUP($AN28,StateTables!$A$6:$AB$56,4,FALSE)="None",0,IF(ISNUMBER(SEARCH("MANUAL",VLOOKUP($AN28,StateTables!$A$6:$AB$56,5,FALSE))),'Your Pay &amp; Benefits'!$C$28,ROUND(MAX(0,$BA28+$BB28)/'Your Pay &amp; Benefits'!$C$8+'Your Pay &amp; Benefits'!$C$25+$BC28,2))))))</f>
      </c>
      <c r="U28" s="7">
        <f>IF($B28="","",IF(VLOOKUP($AN28,StateTables!$A$6:$AB$56,24,FALSE)="flatq",IF(OR(MONTH($B28)=1,MONTH($B28)=4,MONTH($B28)=7,MONTH($B28)=10),VLOOKUP($AN28,StateTables!$A$6:$AB$56,25,FALSE),0),IF(VLOOKUP($AN28,StateTables!$A$6:$AB$56,24,FALSE)="dbl",MIN(ROUND(0.005*$N28,2),ROUND(0.6*52/'Your Pay &amp; Benefits'!$C$8,2)),IF(OR(VLOOKUP($AN28,StateTables!$A$6:$AB$56,15,FALSE)="",VLOOKUP($AN28,StateTables!$A$6:$AB$56,15,FALSE)=0),0,ROUND(VLOOKUP($AN28,StateTables!$A$6:$AB$56,15,FALSE)*IF(OR(VLOOKUP($AN28,StateTables!$A$6:$AB$56,16,FALSE)="",VLOOKUP($AN28,StateTables!$A$6:$AB$56,16,FALSE)=0),$N28,MIN($N28,MAX(0,VLOOKUP($AN28,StateTables!$A$6:$AB$56,16,FALSE)-($AX28+$AB27-$AW28)))),2))))+IF(VLOOKUP($AN28,StateTables!$A$6:$AB$56,27,FALSE)="flatq",IF(OR(MONTH($B28)=1,MONTH($B28)=4,MONTH($B28)=7,MONTH($B28)=10),VLOOKUP($AN28,StateTables!$A$6:$AB$56,28,FALSE),0),IF(VLOOKUP($AN28,StateTables!$A$6:$AB$56,27,FALSE)="dbl",MIN(ROUND(0.005*$N28,2),ROUND(0.6*52/'Your Pay &amp; Benefits'!$C$8,2)),IF(OR(VLOOKUP($AN28,StateTables!$A$6:$AB$56,18,FALSE)="",VLOOKUP($AN28,StateTables!$A$6:$AB$56,18,FALSE)=0),0,ROUND(VLOOKUP($AN28,StateTables!$A$6:$AB$56,18,FALSE)*IF(OR(VLOOKUP($AN28,StateTables!$A$6:$AB$56,19,FALSE)="",VLOOKUP($AN28,StateTables!$A$6:$AB$56,19,FALSE)=0),$N28,MIN($N28,MAX(0,VLOOKUP($AN28,StateTables!$A$6:$AB$56,19,FALSE)-($AX28+$AB27-$AW28)))),2)))))</f>
      </c>
      <c r="V28" s="7">
        <f>IF($B28="","",IF($AN28="NY",IF('Your Pay &amp; Benefits'!$C$78,ROUND(SUMPRODUCT((MAX(0,($O28-$D28)*'Your Pay &amp; Benefits'!$C$8-(IF($AU28="Married",5500,5000)+1000*$AS28))&gt;INDEX('How This Works &amp; Sources'!$B$184:$J$198,0,4))*(MAX(0,($O28-$D28)*'Your Pay &amp; Benefits'!$C$8-(IF($AU28="Married",5500,5000)+1000*$AS28))-INDEX('How This Works &amp; Sources'!$B$184:$J$198,0,4))*INDEX('How This Works &amp; Sources'!$B$184:$J$198,0,4+2))/'Your Pay &amp; Benefits'!$C$8+0.0425*$D28,2),0)+IF('Your Pay &amp; Benefits'!$C$79="Resident",ROUND(0.1675*$T28,2),IF('Your Pay &amp; Benefits'!$C$79="Nonresident",ROUND(0.005*MAX(0,($O28-$D28)-(IF($AU28="Married",7950,7400)+1000*$AS28)/'Your Pay &amp; Benefits'!$C$8),2),0)),IF($AN28="PA",IF('Your Pay &amp; Benefits'!$C$80="None",'Your Pay &amp; Benefits'!$C$27+ROUND('Your Pay &amp; Benefits'!$C$81*($C28+$D28),2),ROUND(IF('Your Pay &amp; Benefits'!$C$80="Resident",IF($B28&lt;DATE(2026,7,1),0.0374,0.03735),IF($B28&lt;DATE(2026,7,1),0.0343,0.03425))*($C28+$D28),2)),IF($BF28=0,ROUND('Your Pay &amp; Benefits'!$C$81*($C28+$D28),2),'Your Pay &amp; Benefits'!$C$27+ROUND('Your Pay &amp; Benefits'!$C$81*($C28+$D28),2)))))</f>
      </c>
      <c r="W28" s="7">
        <f>IF($B28="","",IF($BF28=0,0,$BP28))</f>
      </c>
      <c r="X28" s="7">
        <f>IF($B28="","",SUM($E28:$K28)+$P28+$Q28+$R28+$S28+$T28+$U28+$V28+$W28)</f>
      </c>
      <c r="Y28" s="22">
        <f>IF($B28="","",$C28+$D28-$X28)</f>
      </c>
      <c r="Z28" s="7">
        <f>IF($B28="","",$Z27+$C28+$D28)</f>
      </c>
      <c r="AA28" s="7">
        <f>IF($B28="","",$AA27+$Y28)</f>
      </c>
      <c r="AB28" s="7">
        <f>IF($B28="","",$AB27+MIN($N28,MAX(0,'How This Works &amp; Sources'!$C$3-($AX28+$AB27-$AW28))))</f>
      </c>
      <c r="AC28" s="7">
        <f>IF($B28="","",$AC27+$E28+$F28)</f>
      </c>
      <c r="AD28" s="3">
        <f>IF($B28="","",IF(AND($AB27&lt;'How This Works &amp; Sources'!$C$3,$AB28&gt;='How This Works &amp; Sources'!$C$3),"★ Social Security maxed on this check — from the next check your net rises by about $"&amp;TEXT(ROUND('How This Works &amp; Sources'!$C$4*$N28,2),"#,##0.00")&amp;". ","")&amp;IF(AND($AC27&lt;'Your Pay &amp; Benefits'!$C$34,$AC28&gt;='Your Pay &amp; Benefits'!$C$34),"★ 401(k) reaches the $"&amp;TEXT('Your Pay &amp; Benefits'!$C$34,"#,##0")&amp;" cap on this check — deferrals stop and net pay rises. ","")&amp;IF(AND($AG27&lt;'How This Works &amp; Sources'!$C$7,$AG28&gt;='How This Works &amp; Sources'!$C$7),"★ Wages pass $200,000 — the 0.9% Additional Medicare Tax starts here. ","")&amp;IF(AND($BJ28&gt;0,$H28&gt;0,$BG27&lt;MIN($BJ28,'How This Works &amp; Sources'!$C$13),$BG27+$H28&gt;=MIN($BJ28,'How This Works &amp; Sources'!$C$13)),"★ Health FSA election is now fully deferred for the year. ",""))</f>
      </c>
      <c r="AE28" s="41" t="n"/>
      <c r="AF28" s="7">
        <f>IF(OR($B28="",$AE28=""),"",$AE28-$Y28)</f>
      </c>
      <c r="AG28" s="7">
        <f>IF($B28="","",$AG27+$N28)</f>
      </c>
      <c r="AH28" s="7">
        <f>IF($B28="","",MAX(0,($M28-$D28)*'Your Pay &amp; Benefits'!$C$8+$AP28-$AQ28-IF('Your Pay &amp; Benefits'!$C$13,0,IF('Your Pay &amp; Benefits'!$C$12="MFJ",'How This Works &amp; Sources'!$C$8,'How This Works &amp; Sources'!$C$9))))</f>
      </c>
      <c r="AI28" s="7">
        <f>IF($B28="","",$O28*'Your Pay &amp; Benefits'!$C$8)</f>
      </c>
      <c r="AJ28" s="7">
        <f>IF($B28="","",MAX(0,$AI28-VLOOKUP($AN28,StateTables!$A$6:$AB$56,12,FALSE)*$AT28-IF(($AS28+$AT28)&gt;=2,VLOOKUP($AN28,StateTables!$A$6:$AB$56,8,FALSE),VLOOKUP($AN28,StateTables!$A$6:$AB$56,7,FALSE))))</f>
      </c>
      <c r="AK28" s="7">
        <f>IF($B28="","",IFERROR(LOOKUP(2,1/(('Changes &amp; Events'!$C$6:$C$17="Salary change")*('Changes &amp; Events'!$B$6:$B$17&lt;=$B28)*('Changes &amp; Events'!$B$6:$B$17&lt;&gt;"")),'Changes &amp; Events'!$D$6:$D$17),IF('Your Pay &amp; Benefits'!$C$4="Annual salary",'Your Pay &amp; Benefits'!$C$5,'Your Pay &amp; Benefits'!$C$6)))</f>
      </c>
      <c r="AL28">
        <f>IF($B28="","",IFERROR(LOOKUP(2,1/(('Changes &amp; Events'!$C$6:$C$17="401(k) change")*('Changes &amp; Events'!$B$6:$B$17&lt;=$B28)*('Changes &amp; Events'!$B$6:$B$17&lt;&gt;"")),'Changes &amp; Events'!$D$6:$D$17),'Your Pay &amp; Benefits'!$C$30))</f>
      </c>
      <c r="AM28" s="7">
        <f>IF($B28="","",IFERROR(LOOKUP(2,1/(('Changes &amp; Events'!$C$6:$C$17="401(k) change")*('Changes &amp; Events'!$B$6:$B$17&lt;=$B28)*('Changes &amp; Events'!$B$6:$B$17&lt;&gt;"")),'Changes &amp; Events'!$E$6:$E$17),'Your Pay &amp; Benefits'!$D$31))</f>
      </c>
      <c r="AN28">
        <f>IF($B28="","",IFERROR(LOOKUP(2,1/(('Changes &amp; Events'!$C$6:$C$17="State move")*('Changes &amp; Events'!$B$6:$B$17&lt;=$B28)*('Changes &amp; Events'!$B$6:$B$17&lt;&gt;"")),'Changes &amp; Events'!$D$6:$D$17),'Your Pay &amp; Benefits'!$C$21))</f>
      </c>
      <c r="AO28" s="7">
        <f>IF($B28="","",IFERROR(LOOKUP(2,1/(('Changes &amp; Events'!$C$6:$C$17="W-4 change")*('Changes &amp; Events'!$B$6:$B$17&lt;=$B28)*('Changes &amp; Events'!$B$6:$B$17&lt;&gt;"")),'Changes &amp; Events'!$D$6:$D$17),'Your Pay &amp; Benefits'!$C$14))</f>
      </c>
      <c r="AP28" s="7">
        <f>IF($B28="","",IFERROR(LOOKUP(2,1/(('Changes &amp; Events'!$C$6:$C$17="W-4 change")*('Changes &amp; Events'!$B$6:$B$17&lt;=$B28)*('Changes &amp; Events'!$B$6:$B$17&lt;&gt;"")),'Changes &amp; Events'!$E$6:$E$17),'Your Pay &amp; Benefits'!$C$15))</f>
      </c>
      <c r="AQ28" s="7">
        <f>IF($B28="","",IFERROR(LOOKUP(2,1/(('Changes &amp; Events'!$C$6:$C$17="W-4 change")*('Changes &amp; Events'!$B$6:$B$17&lt;=$B28)*('Changes &amp; Events'!$B$6:$B$17&lt;&gt;"")),'Changes &amp; Events'!$F$6:$F$17),'Your Pay &amp; Benefits'!$C$16))</f>
      </c>
      <c r="AR28" s="7">
        <f>IF($B28="","",IFERROR(LOOKUP(2,1/(('Changes &amp; Events'!$C$6:$C$17="W-4 change")*('Changes &amp; Events'!$B$6:$B$17&lt;=$B28)*('Changes &amp; Events'!$B$6:$B$17&lt;&gt;"")),'Changes &amp; Events'!$G$6:$G$17),'Your Pay &amp; Benefits'!$C$17))</f>
      </c>
      <c r="AS28" s="6">
        <f>IF($B28="","",IFERROR(LOOKUP(2,1/((('Changes &amp; Events'!$C$6:$C$17="State move")+('Changes &amp; Events'!$C$6:$C$17="State cert change"))*('Changes &amp; Events'!$B$6:$B$17&lt;=$B28)*('Changes &amp; Events'!$B$6:$B$17&lt;&gt;"")),'Changes &amp; Events'!$F$6:$F$17),'Your Pay &amp; Benefits'!$C$23))</f>
      </c>
      <c r="AT28" s="6">
        <f>IF($B28="","",IFERROR(LOOKUP(2,1/((('Changes &amp; Events'!$C$6:$C$17="State move")+('Changes &amp; Events'!$C$6:$C$17="State cert change"))*('Changes &amp; Events'!$B$6:$B$17&lt;=$B28)*('Changes &amp; Events'!$B$6:$B$17&lt;&gt;"")),'Changes &amp; Events'!$G$6:$G$17),'Your Pay &amp; Benefits'!$C$24))</f>
      </c>
      <c r="AU28">
        <f>IF($B28="","",IFERROR(LOOKUP(2,1/(('Changes &amp; Events'!$C$6:$C$17="State move")*('Changes &amp; Events'!$B$6:$B$17&lt;=$B28)*('Changes &amp; Events'!$B$6:$B$17&lt;&gt;"")),'Changes &amp; Events'!$E$6:$E$17),'Your Pay &amp; Benefits'!$C$22))</f>
      </c>
      <c r="AV28" s="6">
        <f>IF($B28="","",1+COUNTIFS('Changes &amp; Events'!$C$6:$C$17,"Employer change",'Changes &amp; Events'!$B$6:$B$17,"&lt;="&amp;$B28,'Changes &amp; Events'!$B$6:$B$17,"&lt;&gt;"))</f>
      </c>
      <c r="AW28" s="7">
        <f>IF($B28="","",IF($AV28=1,'Your Pay &amp; Benefits'!$C$49,IF(IFERROR(MATCH(IFERROR(LOOKUP(2,1/(('Changes &amp; Events'!$C$6:$C$17="Employer change")*('Changes &amp; Events'!$B$6:$B$17&lt;=$B28)*('Changes &amp; Events'!$B$6:$B$17&lt;&gt;"")),'Changes &amp; Events'!$B$6:$B$17),""),$B$6:$B$68,1),1)&lt;=1,'Your Pay &amp; Benefits'!$C$49,INDEX($AB$6:$AB$68,MATCH(IFERROR(LOOKUP(2,1/(('Changes &amp; Events'!$C$6:$C$17="Employer change")*('Changes &amp; Events'!$B$6:$B$17&lt;=$B28)*('Changes &amp; Events'!$B$6:$B$17&lt;&gt;"")),'Changes &amp; Events'!$B$6:$B$17),""),$B$6:$B$68,1)-1))))</f>
      </c>
      <c r="AX28" s="7">
        <f>IF($B28="","",IF($AV28=1,'Your Pay &amp; Benefits'!$C$49,IFERROR(LOOKUP(2,1/(('Changes &amp; Events'!$C$6:$C$17="Employer change")*('Changes &amp; Events'!$B$6:$B$17&lt;=$B28)*('Changes &amp; Events'!$B$6:$B$17&lt;&gt;"")),'Changes &amp; Events'!$D$6:$D$17),0)))</f>
      </c>
      <c r="AY28" s="7">
        <f>IF($B28="","",($O28-$D28)*'Your Pay &amp; Benefits'!$C$8)</f>
      </c>
      <c r="AZ28" s="7">
        <f>IF($B28="","",IF($AN28="AL",MAX(0,$AY28-IF($AU28="Married",IF($AY28&lt;=25999,8500,MAX(5000,8500-175*CEILING(($AY28-25999)/500,1))),IF($AU28="Head of household",IF($AY28&lt;=25999,5200,MAX(2500,5200-135*CEILING(($AY28-25999)/500,1))),IF($AY28&lt;=25999,3000,MAX(2500,3000-25*CEILING(($AY28-25999)/500,1)))))-($P28-'How This Works &amp; Sources'!$C$10*$D28)*'Your Pay &amp; Benefits'!$C$8-IF(OR($AU28="Married",$AU28="Head of household"),3000,1500)-$AT28*IF($AY28&lt;=50000,1000,IF($AY28&lt;=100000,500,300))),IF($AN28="AR",IF(MAX(0,$AY28-2470)&lt;97701,INT(MAX(0,$AY28-2470)/100)*100+50,MAX(0,$AY28-2470)),IF($AN28="DE",MAX(0,$AI28-3250),IF($AN28="HI",MAX(0,$AI28-1144*$AS28-4350),IF($AN28="KS",MAX(0,$AI28-(9160*IF($AU28="Married",2,1)+2320*$AT28+IF($AU28="Head of household",2320,0))),IF($AN28="MD",MAX(0,$AI28-3400-3200*$AS28),IF($AN28="MN",MAX(0,$AY28-5300*$AS28),IF($AN28="MO",MAX(0,$AI28-IF($AU28="Head of household",24150,IF($AU28="Married",IF('Your Pay &amp; Benefits'!$C$83,16100,32200),16100))),IF($AN28="MT",$AY28,IF($AN28="ND",($C28+$L28)*'Your Pay &amp; Benefits'!$C$8,IF($AN28="NE",MAX(0,$AY28-2440*$AS28),IF($AN28="NJ",MAX(0,$AY28-1000*$AS28),IF($AN28="NY",MAX(0,$AY28-(IF($AU28="Married",7950,7400)+1000*$AS28)),IF($AN28="OH",MAX(0,$AY28-650*$AS28),IF($AN28="OK",MAX(0,$AY28-1000*$AS28),IF($AN28="RI",MAX(0,$AI28-1000*$AS28),IF($AN28="SC",MAX(0,$AI28-5000*$AS28-IF($AS28=0,0,MIN(0.1*$AI28,7500))),IF($AN28="VA",MAX(0,$AI28-IF($AU28="Married",17500,8750)-930*$AS28-800*$AT28),IF($AN28="VT",MAX(0,$AI28-5400*$AS28),IF($AN28="WI",MAX(0,$AI28-MAX(0,IF($AU28="Married",9461-0.2*MAX(0,$AI28-25727),6702-0.12*MAX(0,$AI28-17780)))-400*$AS28),IF($AN28="WV",MAX(0,$AI28-2000*$AS28),$AI28))))))))))))))))))))))</f>
      </c>
      <c r="BA28" s="7">
        <f>IF($B28="","",IF($BW28&lt;&gt;"",$BW28,IF($BX28&lt;&gt;"",$BX28,IF($BY28&lt;&gt;"",$BY28,0))))</f>
      </c>
      <c r="BB28" s="7">
        <f>IF($B28="","",IF($AN28="AR",-29*$AS28,IF($AN28="DE",-110*$AS28,IF($AN28="MD",$AZ28*'Your Pay &amp; Benefits'!$C$74,IF($AN28="AZ",'Your Pay &amp; Benefits'!$C$82*($M28-$D28)*'Your Pay &amp; Benefits'!$C$8,IF($AN28="CO",0.044*MAX(0,$AY28-IF($AU28="Married",10000,5000)),IF($AN28="IA",MAX(0,0.038*MAX(0,$AY28-IF($AU28="Head of household",19500,IF($AU28="Married",26000,13000)))-40*$AS28),IF($AN28="ID",0.053*MAX(0,$AY28-IF($AU28="Married",32000,16094)),IF($AN28="IL",0.0495*MAX(0,$AY28-(2925*$AS28+1000*$AT28)),IF($AN28="IN",(0.0295+'Your Pay &amp; Benefits'!$C$76)*MAX(0,$AY28-(1000*$AS28+1500*$AT28+3000*'Your Pay &amp; Benefits'!$C$86)),IF($AN28="KY",0.035*MAX(0,$AI28-3360),IF($AN28="LA",IF('Your Pay &amp; Benefits'!$C$84="0",0.0309*$AI28,0.0309*MAX(0,$AI28-IF('Your Pay &amp; Benefits'!$C$84="2",25750,12875))),IF($AN28="MA",0.05*MIN(MAX(0,$AY28-MIN(($BD27+$Q28+$R28+$S28),2000)-IF($AS28=0,0,IF($AS28=1,4400,1000*$AS28+3400))),1107750)+0.09*MAX(0,MAX(0,$AY28-MIN(($BD27+$Q28+$R28+$S28),2000)-IF($AS28=0,0,IF($AS28=1,4400,1000*$AS28+3400)))-1107750)-IF($AU28="Head of household",120,0)-110*'Your Pay &amp; Benefits'!$C$75,IF($AN28="MI",0.0425*MAX(0,$AY28-5900*$AS28),IF($AN28="MS",0.04*MAX(0,$AI28-IF($AU28="Head of household",3400,IF($AU28="Married",4600,2300))-'Your Pay &amp; Benefits'!$C$85-10000),IF($AN28="OR",IF(OR($AU28="Married",AND($AU28="Single",$AS28&gt;=3)),SUMPRODUCT((MAX(0,$AY28-MIN(($P28-'How This Works &amp; Sources'!$C$10*$D28)*'Your Pay &amp; Benefits'!$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Sources'!$B$211:$J$214,0,4))*(MAX(0,$AY28-MIN(($P28-'How This Works &amp; Sources'!$C$10*$D28)*'Your Pay &amp; Benefits'!$C$8,IF(OR($AU28="Married",AND($AU28="Single",$AS28&gt;=3)),IF($AY28&lt;250000,8750,IF($AY28&lt;260000,7000,IF($AY28&lt;270000,5250,IF($AY28&lt;280000,3500,IF($AY28&lt;290000,1750,0))))),IF($AY28&lt;125000,8750,IF($AY28&lt;130000,7000,IF($AY28&lt;135000,5250,IF($AY28&lt;140000,3500,IF($AY28&lt;145000,1750,0)))))))-IF(OR($AU28="Married",AND($AU28="Single",$AS28&gt;=3)),5820,2910))-INDEX('How This Works &amp; Sources'!$B$211:$J$214,0,4))*INDEX('How This Works &amp; Sources'!$B$211:$J$214,0,4+2)),SUMPRODUCT((MAX(0,$AY28-MIN(($P28-'How This Works &amp; Sources'!$C$10*$D28)*'Your Pay &amp; Benefits'!$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Sources'!$B$211:$J$214,0,1))*(MAX(0,$AY28-MIN(($P28-'How This Works &amp; Sources'!$C$10*$D28)*'Your Pay &amp; Benefits'!$C$8,IF(OR($AU28="Married",AND($AU28="Single",$AS28&gt;=3)),IF($AY28&lt;250000,8750,IF($AY28&lt;260000,7000,IF($AY28&lt;270000,5250,IF($AY28&lt;280000,3500,IF($AY28&lt;290000,1750,0))))),IF($AY28&lt;125000,8750,IF($AY28&lt;130000,7000,IF($AY28&lt;135000,5250,IF($AY28&lt;140000,3500,IF($AY28&lt;145000,1750,0)))))))-IF(OR($AU28="Married",AND($AU28="Single",$AS28&gt;=3)),5820,2910))-INDEX('How This Works &amp; Sources'!$B$211:$J$214,0,1))*INDEX('How This Works &amp; Sources'!$B$211:$J$214,0,1+2)))+263-263*IF(IF($AU28="Married",$AY28&gt;200000,$AY28&gt;100000),0,$AS28),IF($AN28="PA",0.0307*(($O28+$E28+$G28)*'Your Pay &amp; Benefits'!$C$8),IF($AN28="NY",IF($AU28="Married",IF($AZ28&gt;=2155350,0,IF($AZ28&gt;=1077550,0.48,IF($AZ28&gt;=373200,1.21,IF($AZ28&gt;=323200,0.21,IF($AZ28&gt;=211550,-0.19,IF($AZ28&gt;=157650,-2.8,IF($AZ28&gt;=107650,-0.8,IF($AZ28&gt;=96800,0.05,IF($AZ28&gt;=80650,-0.1,IF($AZ28&gt;=13900,0.4,IF($AZ28&gt;=11700,-0.3,IF($AZ28&gt;=8500,0.5,0)))))))))))),IF($AZ28&gt;=1077550,0,IF($AZ28&gt;=265400,4.29,IF($AZ28&gt;=215400,2.29,IF($AZ28&gt;=157650,2.29,IF($AZ28&gt;=107650,0.29,IF($AZ28&gt;=96800,0.05,IF($AZ28&gt;=80650,-0.1,IF($AZ28&gt;=13900,0.4,IF($AZ28&gt;=11700,-0.3,IF($AZ28&gt;=8500,0.5,0))))))))))),0))))))))))))))))))</f>
      </c>
      <c r="BC28" s="7">
        <f>IF($B28="","",IF($AN28="AL",0.05*$D28,IF($AN28="AR",0.039*$D28,IF($AN28="ID",0.053*$D28,IF($AN28="IN",(0.0295+'Your Pay &amp; Benefits'!$C$76)*$D28,IF($AN28="KS",0.05*$D28,IF($AN28="MA",0.09*MIN($D28,MAX(0,MAX(0,$AY28-MIN(($BD27+$Q28+$R28+$S28),2000)-IF($AS28=0,0,IF($AS28=1,4400,1000*$AS28+3400)))+$D28-1107750))+0.05*($D28-MIN($D28,MAX(0,MAX(0,$AY28-MIN(($BD27+$Q28+$R28+$S28),2000)-IF($AS28=0,0,IF($AS28=1,4400,1000*$AS28+3400)))+$D28-1107750))),IF($AN28="MD",(0.065+'Your Pay &amp; Benefits'!$C$74)*$D28,IF($AN28="MI",0.0425*$D28,IF($AN28="MN",0.0625*$D28,IF($AN28="MO",0.047*$D28,IF($AN28="MT",0.05*$D28,IF($AN28="ND",0.015*$D28,IF($AN28="NE",0.035*$D28,IF($AN28="NJ",IF('Your Pay &amp; Benefits'!$C$77="B",SUMPRODUCT(($D28*'Your Pay &amp; Benefits'!$C$8&gt;INDEX('How This Works &amp; Sources'!$B$155:$J$162,0,4))*($D28*'Your Pay &amp; Benefits'!$C$8-INDEX('How This Works &amp; Sources'!$B$155:$J$162,0,4))*INDEX('How This Works &amp; Sources'!$B$155:$J$162,0,4+2)),IF('Your Pay &amp; Benefits'!$C$77="C",SUMPRODUCT(($D28*'Your Pay &amp; Benefits'!$C$8&gt;INDEX('How This Works &amp; Sources'!$B$155:$J$162,0,7))*($D28*'Your Pay &amp; Benefits'!$C$8-INDEX('How This Works &amp; Sources'!$B$155:$J$162,0,7))*INDEX('How This Works &amp; Sources'!$B$155:$J$162,0,7+2)),IF('Your Pay &amp; Benefits'!$C$77="D",SUMPRODUCT(($D28*'Your Pay &amp; Benefits'!$C$8&gt;INDEX('How This Works &amp; Sources'!$B$167:$J$179,0,1))*($D28*'Your Pay &amp; Benefits'!$C$8-INDEX('How This Works &amp; Sources'!$B$167:$J$179,0,1))*INDEX('How This Works &amp; Sources'!$B$167:$J$179,0,1+2)),IF('Your Pay &amp; Benefits'!$C$77="E",SUMPRODUCT(($D28*'Your Pay &amp; Benefits'!$C$8&gt;INDEX('How This Works &amp; Sources'!$B$167:$J$179,0,4))*($D28*'Your Pay &amp; Benefits'!$C$8-INDEX('How This Works &amp; Sources'!$B$167:$J$179,0,4))*INDEX('How This Works &amp; Sources'!$B$167:$J$179,0,4+2)),SUMPRODUCT(($D28*'Your Pay &amp; Benefits'!$C$8&gt;INDEX('How This Works &amp; Sources'!$B$155:$J$162,0,1))*($D28*'Your Pay &amp; Benefits'!$C$8-INDEX('How This Works &amp; Sources'!$B$155:$J$162,0,1))*INDEX('How This Works &amp; Sources'!$B$155:$J$162,0,1+2))))))/'Your Pay &amp; Benefits'!$C$8,IF($AN28="NY",0.117*$D28,IF($AN28="OH",0.0275*$D28,IF($AN28="OK",0.045*$D28,IF($AN28="OR",0.08*$D28,IF($AN28="WI",IF($AY28&lt;12760,0.0354,IF($AY28&lt;25520,0.0465,IF($AY28&lt;280950,0.053,0.0765)))*$D28,0))))))))))))))))))))</f>
      </c>
      <c r="BD28" s="7">
        <f>IF($B28="","",$BD27+$Q28+$R28+$S28)</f>
      </c>
      <c r="BE28" s="6">
        <f>IF($B28="",$BE27,$BE27+$BF28)</f>
      </c>
      <c r="BF28" s="6">
        <f>IF($B28="","",IF(AND(IF(YEAR(IF('Your Pay &amp; Benefits'!$C$7="Weekly",'Your Pay &amp; Benefits'!$C$9+7*(($BE27+1)-1),IF('Your Pay &amp; Benefits'!$C$7="Biweekly",'Your Pay &amp; Benefits'!$C$9+14*(($BE27+1)-1),IF('Your Pay &amp; Benefits'!$C$7="Semimonthly",DATE(YEAR('Your Pay &amp; Benefits'!$C$9),MONTH('Your Pay &amp; Benefits'!$C$9)+INT((($BE27+1)-1)/2),MIN(DAY('Your Pay &amp; Benefits'!$C$9),DAY(EOMONTH(DATE(YEAR('Your Pay &amp; Benefits'!$C$9),MONTH('Your Pay &amp; Benefits'!$C$9)+INT((($BE27+1)-1)/2),1),0))))+IF(MOD(($BE27+1)-1,2)=1,15,0),EDATE('Your Pay &amp; Benefits'!$C$9,($BE27+1)-1)))))&lt;&gt;'Your Pay &amp; Benefits'!$C$10,"",IF('Your Pay &amp; Benefits'!$C$7="Weekly",'Your Pay &amp; Benefits'!$C$9+7*(($BE27+1)-1),IF('Your Pay &amp; Benefits'!$C$7="Biweekly",'Your Pay &amp; Benefits'!$C$9+14*(($BE27+1)-1),IF('Your Pay &amp; Benefits'!$C$7="Semimonthly",DATE(YEAR('Your Pay &amp; Benefits'!$C$9),MONTH('Your Pay &amp; Benefits'!$C$9)+INT((($BE27+1)-1)/2),MIN(DAY('Your Pay &amp; Benefits'!$C$9),DAY(EOMONTH(DATE(YEAR('Your Pay &amp; Benefits'!$C$9),MONTH('Your Pay &amp; Benefits'!$C$9)+INT((($BE27+1)-1)/2),1),0))))+IF(MOD(($BE27+1)-1,2)=1,15,0),EDATE('Your Pay &amp; Benefits'!$C$9,($BE27+1)-1)))))&lt;&gt;"",$B28=IF(YEAR(IF('Your Pay &amp; Benefits'!$C$7="Weekly",'Your Pay &amp; Benefits'!$C$9+7*(($BE27+1)-1),IF('Your Pay &amp; Benefits'!$C$7="Biweekly",'Your Pay &amp; Benefits'!$C$9+14*(($BE27+1)-1),IF('Your Pay &amp; Benefits'!$C$7="Semimonthly",DATE(YEAR('Your Pay &amp; Benefits'!$C$9),MONTH('Your Pay &amp; Benefits'!$C$9)+INT((($BE27+1)-1)/2),MIN(DAY('Your Pay &amp; Benefits'!$C$9),DAY(EOMONTH(DATE(YEAR('Your Pay &amp; Benefits'!$C$9),MONTH('Your Pay &amp; Benefits'!$C$9)+INT((($BE27+1)-1)/2),1),0))))+IF(MOD(($BE27+1)-1,2)=1,15,0),EDATE('Your Pay &amp; Benefits'!$C$9,($BE27+1)-1)))))&lt;&gt;'Your Pay &amp; Benefits'!$C$10,"",IF('Your Pay &amp; Benefits'!$C$7="Weekly",'Your Pay &amp; Benefits'!$C$9+7*(($BE27+1)-1),IF('Your Pay &amp; Benefits'!$C$7="Biweekly",'Your Pay &amp; Benefits'!$C$9+14*(($BE27+1)-1),IF('Your Pay &amp; Benefits'!$C$7="Semimonthly",DATE(YEAR('Your Pay &amp; Benefits'!$C$9),MONTH('Your Pay &amp; Benefits'!$C$9)+INT((($BE27+1)-1)/2),MIN(DAY('Your Pay &amp; Benefits'!$C$9),DAY(EOMONTH(DATE(YEAR('Your Pay &amp; Benefits'!$C$9),MONTH('Your Pay &amp; Benefits'!$C$9)+INT((($BE27+1)-1)/2),1),0))))+IF(MOD(($BE27+1)-1,2)=1,15,0),EDATE('Your Pay &amp; Benefits'!$C$9,($BE27+1)-1)))))),1,0))</f>
      </c>
      <c r="BG28" s="7">
        <f>IF($B28="","",$BG27+$H28)</f>
      </c>
      <c r="BH28" s="7">
        <f>IF($B28="","",$BH27+$I28)</f>
      </c>
      <c r="BI28" s="7">
        <f>IF($B28="","",$BI27+$G28)</f>
      </c>
      <c r="BJ28" s="7">
        <f>IF($B28="","",IFERROR(LOOKUP(2,1/(((('Changes &amp; Events'!$C$6:$C$17="Deduction start"))*('Changes &amp; Events'!$D$6:$D$17="Health FSA"))*('Changes &amp; Events'!$B$6:$B$17&lt;=$B28)*('Changes &amp; Events'!$B$6:$B$17&lt;&gt;"")),'Changes &amp; Events'!$E$6:$E$17),'Your Pay &amp; Benefits'!$D$38))</f>
      </c>
      <c r="BK28" s="7">
        <f>IF($B28="","",IFERROR(LOOKUP(2,1/(((('Changes &amp; Events'!$C$6:$C$17="Deduction start"))*('Changes &amp; Events'!$D$6:$D$17="Dependent-care FSA"))*('Changes &amp; Events'!$B$6:$B$17&lt;=$B28)*('Changes &amp; Events'!$B$6:$B$17&lt;&gt;"")),'Changes &amp; Events'!$E$6:$E$17),'Your Pay &amp; Benefits'!$D$39))</f>
      </c>
      <c r="BL28" s="7">
        <f>IF($B28="","",IFERROR(LOOKUP(2,1/(((('Changes &amp; Events'!$C$6:$C$17="Deduction start")+('Changes &amp; Events'!$C$6:$C$17="Deduction stop"))*('Changes &amp; Events'!$D$6:$D$17="HSA"))*('Changes &amp; Events'!$B$6:$B$17&lt;=$B28)*('Changes &amp; Events'!$B$6:$B$17&lt;&gt;"")),'Changes &amp; Events'!$I$6:$I$17),'Your Pay &amp; Benefits'!$D$35))</f>
      </c>
      <c r="BM28" s="7">
        <f>IF($B28="","",IFERROR(LOOKUP(2,1/(((('Changes &amp; Events'!$C$6:$C$17="Deduction start")+('Changes &amp; Events'!$C$6:$C$17="Deduction stop"))*('Changes &amp; Events'!$D$6:$D$17="Premiums"))*('Changes &amp; Events'!$B$6:$B$17&lt;=$B28)*('Changes &amp; Events'!$B$6:$B$17&lt;&gt;"")),'Changes &amp; Events'!$I$6:$I$17),'Your Pay &amp; Benefits'!$D$40+'Your Pay &amp; Benefits'!$D$41+'Your Pay &amp; Benefits'!$D$42))</f>
      </c>
      <c r="BN28" s="7">
        <f>IF($B28="","",IFERROR(LOOKUP(2,1/(((('Changes &amp; Events'!$C$6:$C$17="Deduction start")+('Changes &amp; Events'!$C$6:$C$17="Deduction stop"))*('Changes &amp; Events'!$D$6:$D$17="Commuter"))*('Changes &amp; Events'!$B$6:$B$17&lt;=$B28)*('Changes &amp; Events'!$B$6:$B$17&lt;&gt;"")),'Changes &amp; Events'!$I$6:$I$17),'Your Pay &amp; Benefits'!$D$43))</f>
      </c>
      <c r="BO28" s="7">
        <f>IF($B28="","",IFERROR(LOOKUP(2,1/(((('Changes &amp; Events'!$C$6:$C$17="Deduction start")+('Changes &amp; Events'!$C$6:$C$17="Deduction stop"))*('Changes &amp; Events'!$D$6:$D$17="Other pre-tax"))*('Changes &amp; Events'!$B$6:$B$17&lt;=$B28)*('Changes &amp; Events'!$B$6:$B$17&lt;&gt;"")),'Changes &amp; Events'!$I$6:$I$17),'Your Pay &amp; Benefits'!$D$44))</f>
      </c>
      <c r="BP28" s="7">
        <f>IF($B28="","",IFERROR(LOOKUP(2,1/(((('Changes &amp; Events'!$C$6:$C$17="Deduction start")+('Changes &amp; Events'!$C$6:$C$17="Deduction stop"))*('Changes &amp; Events'!$D$6:$D$17="Other post-tax"))*('Changes &amp; Events'!$B$6:$B$17&lt;=$B28)*('Changes &amp; Events'!$B$6:$B$17&lt;&gt;"")),'Changes &amp; Events'!$I$6:$I$17),'Your Pay &amp; Benefits'!$D$45))</f>
      </c>
      <c r="BQ28" s="6">
        <f>IF($B28="","",IFERROR(LOOKUP(2,1/(((('Changes &amp; Events'!$C$6:$C$17="Deduction start")+('Changes &amp; Events'!$C$6:$C$17="Deduction stop"))*('Changes &amp; Events'!$D$6:$D$17="Health FSA"))*('Changes &amp; Events'!$B$6:$B$17&lt;=$B28)*('Changes &amp; Events'!$B$6:$B$17&lt;&gt;"")),'Changes &amp; Events'!$J$6:$J$17),0))</f>
      </c>
      <c r="BR28" s="6">
        <f>IF($B28="","",IFERROR(LOOKUP(2,1/(((('Changes &amp; Events'!$C$6:$C$17="Deduction start")+('Changes &amp; Events'!$C$6:$C$17="Deduction stop"))*('Changes &amp; Events'!$D$6:$D$17="Dependent-care FSA"))*('Changes &amp; Events'!$B$6:$B$17&lt;=$B28)*('Changes &amp; Events'!$B$6:$B$17&lt;&gt;"")),'Changes &amp; Events'!$J$6:$J$17),0))</f>
      </c>
      <c r="BS28" s="6">
        <f>IF($B28="","",IF(SUMPRODUCT(('Changes &amp; Events'!$C$6:$C$17="Deduction start")*('Changes &amp; Events'!$B$6:$B$17&lt;=$B28)*('Changes &amp; Events'!$B$6:$B$17&lt;&gt;"")*('Changes &amp; Events'!$D$6:$D$17="Health FSA"))&gt;0,1,0))</f>
      </c>
      <c r="BT28" s="6">
        <f>IF($B28="","",IF(SUMPRODUCT(('Changes &amp; Events'!$C$6:$C$17="Deduction start")*('Changes &amp; Events'!$B$6:$B$17&lt;=$B28)*('Changes &amp; Events'!$B$6:$B$17&lt;&gt;"")*('Changes &amp; Events'!$D$6:$D$17="Dependent-care FSA"))&gt;0,1,0))</f>
      </c>
      <c r="BU28" s="24">
        <f>IF($B28="","",IF('Your Pay &amp; Benefits'!$C$13,SUMPRODUCT(($AH28&gt;=INDEX('How This Works &amp; Sources'!$B$29:$J$36,0,IF('Your Pay &amp; Benefits'!$C$12="MFJ",1,IF('Your Pay &amp; Benefits'!$C$12="HoH",7,4))))*INDEX('How This Works &amp; Sources'!$B$29:$J$36,0,IF('Your Pay &amp; Benefits'!$C$12="MFJ",1,IF('Your Pay &amp; Benefits'!$C$12="HoH",7,4))+2)),SUMPRODUCT(($AH28&gt;=INDEX('How This Works &amp; Sources'!$B$19:$J$26,0,IF('Your Pay &amp; Benefits'!$C$12="MFJ",1,IF('Your Pay &amp; Benefits'!$C$12="HoH",7,4))))*INDEX('How This Works &amp; Sources'!$B$19:$J$26,0,IF('Your Pay &amp; Benefits'!$C$12="MFJ",1,IF('Your Pay &amp; Benefits'!$C$12="HoH",7,4))+2))))</f>
      </c>
      <c r="BV28" s="24">
        <f>IF($B28="","",IF($BZ28&lt;&gt;"",$BZ28,IF($CA28&lt;&gt;"",$CA28,IF($CB28&lt;&gt;"",$CB28,IF($CC28&lt;&gt;"",$CC28,0)))))</f>
      </c>
      <c r="BW28" s="7">
        <f>IF($B28="","",IF($AN28="MD",IF(OR($AU28="Married",$AU28="Head of household"),SUMPRODUCT(($AZ28&gt;INDEX('How This Works &amp; Sources'!$B$114:$J$120,0,1))*($AZ28-INDEX('How This Works &amp; Sources'!$B$114:$J$120,0,1))*INDEX('How This Works &amp; Sources'!$B$114:$J$120,0,1+2)),SUMPRODUCT(($AZ28&gt;INDEX('How This Works &amp; Sources'!$B$103:$J$109,0,7))*($AZ28-INDEX('How This Works &amp; Sources'!$B$103:$J$109,0,7))*INDEX('How This Works &amp; Sources'!$B$103:$J$109,0,7+2))),IF($AN28="MO",SUMPRODUCT(($AZ28&gt;INDEX('How This Works &amp; Sources'!$B$125:$J$132,0,1))*($AZ28-INDEX('How This Works &amp; Sources'!$B$125:$J$132,0,1))*INDEX('How This Works &amp; Sources'!$B$125:$J$132,0,1+2)),IF($AN28="MT",IF($AU28="Head of household",SUMPRODUCT(($AZ28&gt;INDEX('How This Works &amp; Sources'!$B$137:$J$139,0,1))*($AZ28-INDEX('How This Works &amp; Sources'!$B$137:$J$139,0,1))*INDEX('How This Works &amp; Sources'!$B$137:$J$139,0,1+2)),IF($AU28="Married",SUMPRODUCT(($AZ28&gt;INDEX('How This Works &amp; Sources'!$B$125:$J$132,0,7))*($AZ28-INDEX('How This Works &amp; Sources'!$B$125:$J$132,0,7))*INDEX('How This Works &amp; Sources'!$B$125:$J$132,0,7+2)),SUMPRODUCT(($AZ28&gt;INDEX('How This Works &amp; Sources'!$B$125:$J$132,0,4))*($AZ28-INDEX('How This Works &amp; Sources'!$B$125:$J$132,0,4))*INDEX('How This Works &amp; Sources'!$B$125:$J$132,0,4+2)))),IF($AN28="ND",IF($AU28="Head of household",SUMPRODUCT(($AZ28&gt;INDEX('How This Works &amp; Sources'!$B$144:$J$150,0,1))*($AZ28-INDEX('How This Works &amp; Sources'!$B$144:$J$150,0,1))*INDEX('How This Works &amp; Sources'!$B$144:$J$150,0,1+2)),IF($AU28="Married",SUMPRODUCT(($AZ28&gt;INDEX('How This Works &amp; Sources'!$B$137:$J$139,0,7))*($AZ28-INDEX('How This Works &amp; Sources'!$B$137:$J$139,0,7))*INDEX('How This Works &amp; Sources'!$B$137:$J$139,0,7+2)),SUMPRODUCT(($AZ28&gt;INDEX('How This Works &amp; Sources'!$B$137:$J$139,0,4))*($AZ28-INDEX('How This Works &amp; Sources'!$B$137:$J$139,0,4))*INDEX('How This Works &amp; Sources'!$B$137:$J$139,0,4+2)))),IF($AN28="NJ",IF('Your Pay &amp; Benefits'!$C$77="B",SUMPRODUCT(($AZ28&gt;INDEX('How This Works &amp; Sources'!$B$155:$J$162,0,4))*($AZ28-INDEX('How This Works &amp; Sources'!$B$155:$J$162,0,4))*INDEX('How This Works &amp; Sources'!$B$155:$J$162,0,4+2)),IF('Your Pay &amp; Benefits'!$C$77="C",SUMPRODUCT(($AZ28&gt;INDEX('How This Works &amp; Sources'!$B$155:$J$162,0,7))*($AZ28-INDEX('How This Works &amp; Sources'!$B$155:$J$162,0,7))*INDEX('How This Works &amp; Sources'!$B$155:$J$162,0,7+2)),IF('Your Pay &amp; Benefits'!$C$77="D",SUMPRODUCT(($AZ28&gt;INDEX('How This Works &amp; Sources'!$B$167:$J$179,0,1))*($AZ28-INDEX('How This Works &amp; Sources'!$B$167:$J$179,0,1))*INDEX('How This Works &amp; Sources'!$B$167:$J$179,0,1+2)),IF('Your Pay &amp; Benefits'!$C$77="E",SUMPRODUCT(($AZ28&gt;INDEX('How This Works &amp; Sources'!$B$167:$J$179,0,4))*($AZ28-INDEX('How This Works &amp; Sources'!$B$167:$J$179,0,4))*INDEX('How This Works &amp; Sources'!$B$167:$J$179,0,4+2)),SUMPRODUCT(($AZ28&gt;INDEX('How This Works &amp; Sources'!$B$155:$J$162,0,1))*($AZ28-INDEX('How This Works &amp; Sources'!$B$155:$J$162,0,1))*INDEX('How This Works &amp; Sources'!$B$155:$J$162,0,1+2)))))),IF($AN28="NY",IF($AU28="Married",IF($AZ28&gt;=2155350,$AZ28*IF($AZ28&gt;25000000,0.117,IF($AZ28&gt;5000000,0.111,0.1045)),SUMPRODUCT(($AZ28&gt;INDEX('How This Works &amp; Sources'!$B$184:$J$198,0,1))*($AZ28-INDEX('How This Works &amp; Sources'!$B$184:$J$198,0,1))*INDEX('How This Works &amp; Sources'!$B$184:$J$198,0,1+2))),IF($AZ28&gt;=1077550,$AZ28*IF($AZ28&gt;25000000,0.117,IF($AZ28&gt;5000000,0.111,0.1045)),SUMPRODUCT(($AZ28&gt;INDEX('How This Works &amp; Sources'!$B$167:$J$179,0,7))*($AZ28-INDEX('How This Works &amp; Sources'!$B$167:$J$179,0,7))*INDEX('How This Works &amp; Sources'!$B$167:$J$179,0,7+2)))),"")))))))</f>
      </c>
      <c r="BX28" s="7">
        <f>IF($B28="","",IF($AN28="AL",IF(OR($AU28="Married",$AU28="Head of household"),SUMPRODUCT(($AZ28&gt;INDEX('How This Works &amp; Sources'!$B$82:$J$86,0,4))*($AZ28-INDEX('How This Works &amp; Sources'!$B$82:$J$86,0,4))*INDEX('How This Works &amp; Sources'!$B$82:$J$86,0,4+2)),SUMPRODUCT(($AZ28&gt;INDEX('How This Works &amp; Sources'!$B$82:$J$86,0,1))*($AZ28-INDEX('How This Works &amp; Sources'!$B$82:$J$86,0,1))*INDEX('How This Works &amp; Sources'!$B$82:$J$86,0,1+2))),IF($AN28="KS",IF($AU28="Married",SUMPRODUCT(($AZ28&gt;INDEX('How This Works &amp; Sources'!$B$103:$J$109,0,4))*($AZ28-INDEX('How This Works &amp; Sources'!$B$103:$J$109,0,4))*INDEX('How This Works &amp; Sources'!$B$103:$J$109,0,4+2)),SUMPRODUCT(($AZ28&gt;INDEX('How This Works &amp; Sources'!$B$103:$J$109,0,1))*($AZ28-INDEX('How This Works &amp; Sources'!$B$103:$J$109,0,1))*INDEX('How This Works &amp; Sources'!$B$103:$J$109,0,1+2))),IF($AN28="MN",IF($AU28="Married",SUMPRODUCT(($AZ28&gt;INDEX('How This Works &amp; Sources'!$B$114:$J$120,0,7))*($AZ28-INDEX('How This Works &amp; Sources'!$B$114:$J$120,0,7))*INDEX('How This Works &amp; Sources'!$B$114:$J$120,0,7+2)),SUMPRODUCT(($AZ28&gt;INDEX('How This Works &amp; Sources'!$B$114:$J$120,0,4))*($AZ28-INDEX('How This Works &amp; Sources'!$B$114:$J$120,0,4))*INDEX('How This Works &amp; Sources'!$B$114:$J$120,0,4+2))),IF($AN28="NE",MAX(IF($AU28="Married",SUMPRODUCT(($AZ28&gt;INDEX('How This Works &amp; Sources'!$B$144:$J$150,0,7))*($AZ28-INDEX('How This Works &amp; Sources'!$B$144:$J$150,0,7))*INDEX('How This Works &amp; Sources'!$B$144:$J$150,0,7+2)),SUMPRODUCT(($AZ28&gt;INDEX('How This Works &amp; Sources'!$B$144:$J$150,0,4))*($AZ28-INDEX('How This Works &amp; Sources'!$B$144:$J$150,0,4))*INDEX('How This Works &amp; Sources'!$B$144:$J$150,0,4+2))),0.015*$AZ28),IF($AN28="OH",IF($B28&gt;=DATE(2026,8,1),SUMPRODUCT(($AZ28&gt;INDEX('How This Works &amp; Sources'!$B$203:$J$206,0,1))*($AZ28-INDEX('How This Works &amp; Sources'!$B$203:$J$206,0,1))*INDEX('How This Works &amp; Sources'!$B$203:$J$206,0,1+2)),SUMPRODUCT(($AZ28&gt;INDEX('How This Works &amp; Sources'!$B$184:$J$198,0,7))*($AZ28-INDEX('How This Works &amp; Sources'!$B$184:$J$198,0,7))*INDEX('How This Works &amp; Sources'!$B$184:$J$198,0,7+2))),IF($AN28="OK",IF($AU28="Married",SUMPRODUCT(($AZ28&gt;INDEX('How This Works &amp; Sources'!$B$203:$J$206,0,7))*($AZ28-INDEX('How This Works &amp; Sources'!$B$203:$J$206,0,7))*INDEX('How This Works &amp; Sources'!$B$203:$J$206,0,7+2)),SUMPRODUCT(($AZ28&gt;INDEX('How This Works &amp; Sources'!$B$203:$J$206,0,4))*($AZ28-INDEX('How This Works &amp; Sources'!$B$203:$J$206,0,4))*INDEX('How This Works &amp; Sources'!$B$203:$J$206,0,4+2))),IF($AN28="RI",SUMPRODUCT(($AZ28&gt;INDEX('How This Works &amp; Sources'!$B$211:$J$214,0,7))*($AZ28-INDEX('How This Works &amp; Sources'!$B$211:$J$214,0,7))*INDEX('How This Works &amp; Sources'!$B$211:$J$214,0,7+2)),IF($AN28="VT",IF($AU28="Married",SUMPRODUCT(($AZ28&gt;INDEX('How This Works &amp; Sources'!$B$228:$J$232,0,1))*($AZ28-INDEX('How This Works &amp; Sources'!$B$228:$J$232,0,1))*INDEX('How This Works &amp; Sources'!$B$228:$J$232,0,1+2)),SUMPRODUCT(($AZ28&gt;INDEX('How This Works &amp; Sources'!$B$219:$J$223,0,7))*($AZ28-INDEX('How This Works &amp; Sources'!$B$219:$J$223,0,7))*INDEX('How This Works &amp; Sources'!$B$219:$J$223,0,7+2))),IF($AN28="WV",IF($AU28="Married",SUMPRODUCT(($AZ28&gt;INDEX('How This Works &amp; Sources'!$B$237:$J$241,0,7))*($AZ28-INDEX('How This Works &amp; Sources'!$B$237:$J$241,0,7))*INDEX('How This Works &amp; Sources'!$B$237:$J$241,0,7+2)),SUMPRODUCT(($AZ28&gt;INDEX('How This Works &amp; Sources'!$B$228:$J$232,0,7))*($AZ28-INDEX('How This Works &amp; Sources'!$B$228:$J$232,0,7))*INDEX('How This Works &amp; Sources'!$B$228:$J$232,0,7+2))),""))))))))))</f>
      </c>
      <c r="BY28" s="7">
        <f>IF($B28="","",IF($AN28="AR",SUMPRODUCT(($AZ28&gt;INDEX('How This Works &amp; Sources'!$B$82:$J$86,0,7))*($AZ28-INDEX('How This Works &amp; Sources'!$B$82:$J$86,0,7))*INDEX('How This Works &amp; Sources'!$B$82:$J$86,0,7+2)),IF($AN28="DE",SUMPRODUCT(($AZ28&gt;INDEX('How This Works &amp; Sources'!$B$91:$J$98,0,1))*($AZ28-INDEX('How This Works &amp; Sources'!$B$91:$J$98,0,1))*INDEX('How This Works &amp; Sources'!$B$91:$J$98,0,1+2)),IF($AN28="HI",IF($AU28="Married",SUMPRODUCT(($AZ28&gt;INDEX('How This Works &amp; Sources'!$B$91:$J$98,0,7))*($AZ28-INDEX('How This Works &amp; Sources'!$B$91:$J$98,0,7))*INDEX('How This Works &amp; Sources'!$B$91:$J$98,0,7+2)),SUMPRODUCT(($AZ28&gt;INDEX('How This Works &amp; Sources'!$B$91:$J$98,0,4))*($AZ28-INDEX('How This Works &amp; Sources'!$B$91:$J$98,0,4))*INDEX('How This Works &amp; Sources'!$B$91:$J$98,0,4+2))),IF($AN28="SC",SUMPRODUCT(($AZ28&gt;INDEX('How This Works &amp; Sources'!$B$219:$J$223,0,1))*($AZ28-INDEX('How This Works &amp; Sources'!$B$219:$J$223,0,1))*INDEX('How This Works &amp; Sources'!$B$219:$J$223,0,1+2)),IF($AN28="VA",SUMPRODUCT(($AZ28&gt;INDEX('How This Works &amp; Sources'!$B$219:$J$223,0,4))*($AZ28-INDEX('How This Works &amp; Sources'!$B$219:$J$223,0,4))*INDEX('How This Works &amp; Sources'!$B$219:$J$223,0,4+2)),IF($AN28="WI",SUMPRODUCT(($AZ28&gt;INDEX('How This Works &amp; Sources'!$B$228:$J$232,0,4))*($AZ28-INDEX('How This Works &amp; Sources'!$B$228:$J$232,0,4))*INDEX('How This Works &amp; Sources'!$B$228:$J$232,0,4+2)),"")))))))</f>
      </c>
      <c r="BZ28" s="24">
        <f>IF($B28="","",IF($AN28="NJ",IF('Your Pay &amp; Benefits'!$C$77="B",SUMPRODUCT(($AZ28&gt;=INDEX('How This Works &amp; Sources'!$B$155:$J$162,0,4))*INDEX('How This Works &amp; Sources'!$B$155:$J$162,0,4+2)),IF('Your Pay &amp; Benefits'!$C$77="C",SUMPRODUCT(($AZ28&gt;=INDEX('How This Works &amp; Sources'!$B$155:$J$162,0,7))*INDEX('How This Works &amp; Sources'!$B$155:$J$162,0,7+2)),IF('Your Pay &amp; Benefits'!$C$77="D",SUMPRODUCT(($AZ28&gt;=INDEX('How This Works &amp; Sources'!$B$167:$J$179,0,1))*INDEX('How This Works &amp; Sources'!$B$167:$J$179,0,1+2)),IF('Your Pay &amp; Benefits'!$C$77="E",SUMPRODUCT(($AZ28&gt;=INDEX('How This Works &amp; Sources'!$B$167:$J$179,0,4))*INDEX('How This Works &amp; Sources'!$B$167:$J$179,0,4+2)),SUMPRODUCT(($AZ28&gt;=INDEX('How This Works &amp; Sources'!$B$155:$J$162,0,1))*INDEX('How This Works &amp; Sources'!$B$155:$J$162,0,1+2)))))),IF($AN28="OR",IF(OR($AU28="Married",AND($AU28="Single",$AS28&gt;=3)),SUMPRODUCT((MAX(0,$AY28-MIN(($P28-'How This Works &amp; Sources'!$C$10*$D28)*'Your Pay &amp; Benefits'!$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Sources'!$B$211:$J$214,0,4))*INDEX('How This Works &amp; Sources'!$B$211:$J$214,0,4+2)),SUMPRODUCT((MAX(0,$AY28-MIN(($P28-'How This Works &amp; Sources'!$C$10*$D28)*'Your Pay &amp; Benefits'!$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Sources'!$B$211:$J$214,0,1))*INDEX('How This Works &amp; Sources'!$B$211:$J$214,0,1+2)))*IF(($P28-'How This Works &amp; Sources'!$C$10*$D28)*'Your Pay &amp; Benefits'!$C$8&gt;=IF(OR($AU28="Married",AND($AU28="Single",$AS28&gt;=3)),IF($AY28&lt;250000,8750,IF($AY28&lt;260000,7000,IF($AY28&lt;270000,5250,IF($AY28&lt;280000,3500,IF($AY28&lt;290000,1750,0))))),IF($AY28&lt;125000,8750,IF($AY28&lt;130000,7000,IF($AY28&lt;135000,5250,IF($AY28&lt;140000,3500,IF($AY28&lt;145000,1750,0)))))),1,1-IF('Your Pay &amp; Benefits'!$C$13,SUMPRODUCT(($AH28&gt;=INDEX('How This Works &amp; Sources'!$B$29:$J$36,0,IF('Your Pay &amp; Benefits'!$C$12="MFJ",1,IF('Your Pay &amp; Benefits'!$C$12="HoH",7,4))))*INDEX('How This Works &amp; Sources'!$B$29:$J$36,0,IF('Your Pay &amp; Benefits'!$C$12="MFJ",1,IF('Your Pay &amp; Benefits'!$C$12="HoH",7,4))+2)),SUMPRODUCT(($AH28&gt;=INDEX('How This Works &amp; Sources'!$B$19:$J$26,0,IF('Your Pay &amp; Benefits'!$C$12="MFJ",1,IF('Your Pay &amp; Benefits'!$C$12="HoH",7,4))))*INDEX('How This Works &amp; Sources'!$B$19:$J$26,0,IF('Your Pay &amp; Benefits'!$C$12="MFJ",1,IF('Your Pay &amp; Benefits'!$C$12="HoH",7,4))+2)))),IF($AN28="MI",IF($AY28&gt;5900*$AS28,0.0425,0),""))))</f>
      </c>
      <c r="CA28" s="24">
        <f>IF($B28="","",IF($AN28="AL",IF(OR($AU28="Married",$AU28="Head of household"),SUMPRODUCT(($AZ28&gt;=INDEX('How This Works &amp; Sources'!$B$82:$J$86,0,4))*INDEX('How This Works &amp; Sources'!$B$82:$J$86,0,4+2)),SUMPRODUCT(($AZ28&gt;=INDEX('How This Works &amp; Sources'!$B$82:$J$86,0,1))*INDEX('How This Works &amp; Sources'!$B$82:$J$86,0,1+2)))*(1-IF('Your Pay &amp; Benefits'!$C$13,SUMPRODUCT(($AH28&gt;=INDEX('How This Works &amp; Sources'!$B$29:$J$36,0,IF('Your Pay &amp; Benefits'!$C$12="MFJ",1,IF('Your Pay &amp; Benefits'!$C$12="HoH",7,4))))*INDEX('How This Works &amp; Sources'!$B$29:$J$36,0,IF('Your Pay &amp; Benefits'!$C$12="MFJ",1,IF('Your Pay &amp; Benefits'!$C$12="HoH",7,4))+2)),SUMPRODUCT(($AH28&gt;=INDEX('How This Works &amp; Sources'!$B$19:$J$26,0,IF('Your Pay &amp; Benefits'!$C$12="MFJ",1,IF('Your Pay &amp; Benefits'!$C$12="HoH",7,4))))*INDEX('How This Works &amp; Sources'!$B$19:$J$26,0,IF('Your Pay &amp; Benefits'!$C$12="MFJ",1,IF('Your Pay &amp; Benefits'!$C$12="HoH",7,4))+2)))),IF($AN28="KS",IF($AU28="Married",SUMPRODUCT(($AZ28&gt;=INDEX('How This Works &amp; Sources'!$B$103:$J$109,0,4))*INDEX('How This Works &amp; Sources'!$B$103:$J$109,0,4+2)),SUMPRODUCT(($AZ28&gt;=INDEX('How This Works &amp; Sources'!$B$103:$J$109,0,1))*INDEX('How This Works &amp; Sources'!$B$103:$J$109,0,1+2))),IF($AN28="MD",IF(OR($AU28="Married",$AU28="Head of household"),SUMPRODUCT(($AZ28&gt;=INDEX('How This Works &amp; Sources'!$B$114:$J$120,0,1))*INDEX('How This Works &amp; Sources'!$B$114:$J$120,0,1+2)),SUMPRODUCT(($AZ28&gt;=INDEX('How This Works &amp; Sources'!$B$103:$J$109,0,7))*INDEX('How This Works &amp; Sources'!$B$103:$J$109,0,7+2)))+'Your Pay &amp; Benefits'!$C$74,IF($AN28="MT",IF($AU28="Head of household",SUMPRODUCT(($AZ28&gt;=INDEX('How This Works &amp; Sources'!$B$137:$J$139,0,1))*INDEX('How This Works &amp; Sources'!$B$137:$J$139,0,1+2)),IF($AU28="Married",SUMPRODUCT(($AZ28&gt;=INDEX('How This Works &amp; Sources'!$B$125:$J$132,0,7))*INDEX('How This Works &amp; Sources'!$B$125:$J$132,0,7+2)),SUMPRODUCT(($AZ28&gt;=INDEX('How This Works &amp; Sources'!$B$125:$J$132,0,4))*INDEX('How This Works &amp; Sources'!$B$125:$J$132,0,4+2)))),IF($AN28="ND",IF($AU28="Head of household",SUMPRODUCT(($AZ28&gt;=INDEX('How This Works &amp; Sources'!$B$144:$J$150,0,1))*INDEX('How This Works &amp; Sources'!$B$144:$J$150,0,1+2)),IF($AU28="Married",SUMPRODUCT(($AZ28&gt;=INDEX('How This Works &amp; Sources'!$B$137:$J$139,0,7))*INDEX('How This Works &amp; Sources'!$B$137:$J$139,0,7+2)),SUMPRODUCT(($AZ28&gt;=INDEX('How This Works &amp; Sources'!$B$137:$J$139,0,4))*INDEX('How This Works &amp; Sources'!$B$137:$J$139,0,4+2)))),IF($AN28="NY",IF($AU28="Married",IF($AZ28&gt;=2155350,IF($AZ28&gt;25000000,0.117,IF($AZ28&gt;5000000,0.111,0.1045)),SUMPRODUCT(($AZ28&gt;=INDEX('How This Works &amp; Sources'!$B$184:$J$198,0,1))*INDEX('How This Works &amp; Sources'!$B$184:$J$198,0,1+2))),IF($AZ28&gt;=1077550,IF($AZ28&gt;25000000,0.117,IF($AZ28&gt;5000000,0.111,0.1045)),SUMPRODUCT(($AZ28&gt;=INDEX('How This Works &amp; Sources'!$B$167:$J$179,0,7))*INDEX('How This Works &amp; Sources'!$B$167:$J$179,0,7+2)))),"")))))))</f>
      </c>
      <c r="CB28" s="24">
        <f>IF($B28="","",IF($AN28="CA",SUMPRODUCT(($AJ28&gt;=INDEX('How This Works &amp; Sources'!$B$39:$J$48,0,IF($AU28="Married",4,IF($AU28="Head of household",7,1))))*INDEX('How This Works &amp; Sources'!$B$39:$J$48,0,IF($AU28="Married",4,IF($AU28="Head of household",7,1))+2)),IF($AN28="HI",IF($AU28="Married",SUMPRODUCT(($AZ28&gt;=INDEX('How This Works &amp; Sources'!$B$91:$J$98,0,7))*INDEX('How This Works &amp; Sources'!$B$91:$J$98,0,7+2)),SUMPRODUCT(($AZ28&gt;=INDEX('How This Works &amp; Sources'!$B$91:$J$98,0,4))*INDEX('How This Works &amp; Sources'!$B$91:$J$98,0,4+2))),IF($AN28="MN",IF($AU28="Married",SUMPRODUCT(($AZ28&gt;=INDEX('How This Works &amp; Sources'!$B$114:$J$120,0,7))*INDEX('How This Works &amp; Sources'!$B$114:$J$120,0,7+2)),SUMPRODUCT(($AZ28&gt;=INDEX('How This Works &amp; Sources'!$B$114:$J$120,0,4))*INDEX('How This Works &amp; Sources'!$B$114:$J$120,0,4+2))),IF($AN28="MO",SUMPRODUCT(($AZ28&gt;=INDEX('How This Works &amp; Sources'!$B$125:$J$132,0,1))*INDEX('How This Works &amp; Sources'!$B$125:$J$132,0,1+2)),IF($AN28="NE",MAX(IF($AU28="Married",SUMPRODUCT(($AZ28&gt;=INDEX('How This Works &amp; Sources'!$B$144:$J$150,0,7))*INDEX('How This Works &amp; Sources'!$B$144:$J$150,0,7+2)),SUMPRODUCT(($AZ28&gt;=INDEX('How This Works &amp; Sources'!$B$144:$J$150,0,4))*INDEX('How This Works &amp; Sources'!$B$144:$J$150,0,4+2))),0.015),IF($AN28="OH",IF($B28&gt;=DATE(2026,8,1),SUMPRODUCT(($AZ28&gt;=INDEX('How This Works &amp; Sources'!$B$203:$J$206,0,1))*INDEX('How This Works &amp; Sources'!$B$203:$J$206,0,1+2)),SUMPRODUCT(($AZ28&gt;=INDEX('How This Works &amp; Sources'!$B$184:$J$198,0,7))*INDEX('How This Works &amp; Sources'!$B$184:$J$198,0,7+2))),IF($AN28="OK",IF($AU28="Married",SUMPRODUCT(($AZ28&gt;=INDEX('How This Works &amp; Sources'!$B$203:$J$206,0,7))*INDEX('How This Works &amp; Sources'!$B$203:$J$206,0,7+2)),SUMPRODUCT(($AZ28&gt;=INDEX('How This Works &amp; Sources'!$B$203:$J$206,0,4))*INDEX('How This Works &amp; Sources'!$B$203:$J$206,0,4+2))),IF($AN28="RI",SUMPRODUCT(($AZ28&gt;=INDEX('How This Works &amp; Sources'!$B$211:$J$214,0,7))*INDEX('How This Works &amp; Sources'!$B$211:$J$214,0,7+2)),IF($AN28="SC",SUMPRODUCT(($AZ28&gt;=INDEX('How This Works &amp; Sources'!$B$219:$J$223,0,1))*INDEX('How This Works &amp; Sources'!$B$219:$J$223,0,1+2)),IF($AN28="VT",IF($AU28="Married",SUMPRODUCT(($AZ28&gt;=INDEX('How This Works &amp; Sources'!$B$228:$J$232,0,1))*INDEX('How This Works &amp; Sources'!$B$228:$J$232,0,1+2)),SUMPRODUCT(($AZ28&gt;=INDEX('How This Works &amp; Sources'!$B$219:$J$223,0,7))*INDEX('How This Works &amp; Sources'!$B$219:$J$223,0,7+2))),IF($AN28="WV",IF($AU28="Married",SUMPRODUCT(($AZ28&gt;=INDEX('How This Works &amp; Sources'!$B$237:$J$241,0,7))*INDEX('How This Works &amp; Sources'!$B$237:$J$241,0,7+2)),SUMPRODUCT(($AZ28&gt;=INDEX('How This Works &amp; Sources'!$B$228:$J$232,0,7))*INDEX('How This Works &amp; Sources'!$B$228:$J$232,0,7+2))),IF($AN28="IN",(0.0295+'Your Pay &amp; Benefits'!$C$76),"")))))))))))))</f>
      </c>
      <c r="CC28" s="24">
        <f>IF($B28="","",IF($AN28="AR",SUMPRODUCT(($AZ28&gt;=INDEX('How This Works &amp; Sources'!$B$82:$J$86,0,7))*INDEX('How This Works &amp; Sources'!$B$82:$J$86,0,7+2)),IF($AN28="DE",SUMPRODUCT(($AZ28&gt;=INDEX('How This Works &amp; Sources'!$B$91:$J$98,0,1))*INDEX('How This Works &amp; Sources'!$B$91:$J$98,0,1+2)),IF($AN28="VA",SUMPRODUCT(($AZ28&gt;=INDEX('How This Works &amp; Sources'!$B$219:$J$223,0,4))*INDEX('How This Works &amp; Sources'!$B$219:$J$223,0,4+2)),IF($AN28="WI",SUMPRODUCT(($AZ28&gt;=INDEX('How This Works &amp; Sources'!$B$228:$J$232,0,4))*INDEX('How This Works &amp; Sources'!$B$228:$J$232,0,4+2)),IF($AN28="AZ",'Your Pay &amp; Benefits'!$C$82,IF($AN28="CO",IF($AY28&gt;IF($AU28="Married",10000,5000),0.044,0),IF($AN28="IA",IF($AY28&gt;IF($AU28="Head of household",19500,IF($AU28="Married",26000,13000)),0.038,0),IF($AN28="ID",IF($AY28&gt;IF($AU28="Married",32000,16094),0.053,0),IF($AN28="IL",IF($AY28&gt;(2925*$AS28+1000*$AT28),0.0495,0),IF($AN28="KY",IF($AI28&gt;3360,0.035,0),IF($AN28="LA",0.0309,IF($AN28="MA",IF(MAX(0,$AY28-MIN(($BD27+$Q28+$R28+$S28),2000)-IF($AS28=0,0,IF($AS28=1,4400,1000*$AS28+3400)))&gt;=1107750,0.09,0.05),IF($AN28="MS",IF($AI28-IF($AU28="Head of household",3400,IF($AU28="Married",4600,2300))-'Your Pay &amp; Benefits'!$C$85&gt;10000,0.04,0),IF($AN28="PA",0.0307,"")))))))))))))))</f>
      </c>
      <c r="CD28" s="21">
        <f>IF(YEAR(IF('Your Pay &amp; Benefits'!$C$7="Weekly",'Your Pay &amp; Benefits'!$C$9+7*(($BE27+1)-1),IF('Your Pay &amp; Benefits'!$C$7="Biweekly",'Your Pay &amp; Benefits'!$C$9+14*(($BE27+1)-1),IF('Your Pay &amp; Benefits'!$C$7="Semimonthly",DATE(YEAR('Your Pay &amp; Benefits'!$C$9),MONTH('Your Pay &amp; Benefits'!$C$9)+INT((($BE27+1)-1)/2),MIN(DAY('Your Pay &amp; Benefits'!$C$9),DAY(EOMONTH(DATE(YEAR('Your Pay &amp; Benefits'!$C$9),MONTH('Your Pay &amp; Benefits'!$C$9)+INT((($BE27+1)-1)/2),1),0))))+IF(MOD(($BE27+1)-1,2)=1,15,0),EDATE('Your Pay &amp; Benefits'!$C$9,($BE27+1)-1)))))&lt;&gt;'Your Pay &amp; Benefits'!$C$10,"",IF('Your Pay &amp; Benefits'!$C$7="Weekly",'Your Pay &amp; Benefits'!$C$9+7*(($BE27+1)-1),IF('Your Pay &amp; Benefits'!$C$7="Biweekly",'Your Pay &amp; Benefits'!$C$9+14*(($BE27+1)-1),IF('Your Pay &amp; Benefits'!$C$7="Semimonthly",DATE(YEAR('Your Pay &amp; Benefits'!$C$9),MONTH('Your Pay &amp; Benefits'!$C$9)+INT((($BE27+1)-1)/2),MIN(DAY('Your Pay &amp; Benefits'!$C$9),DAY(EOMONTH(DATE(YEAR('Your Pay &amp; Benefits'!$C$9),MONTH('Your Pay &amp; Benefits'!$C$9)+INT((($BE27+1)-1)/2),1),0))))+IF(MOD(($BE27+1)-1,2)=1,15,0),EDATE('Your Pay &amp; Benefits'!$C$9,($BE27+1)-1)))))</f>
      </c>
      <c r="CE28" s="21">
        <f>IF(MIN(IF(AND('Your Pay &amp; Benefits'!$C$58&gt;MAX($B$6:$B27),'Your Pay &amp; Benefits'!$C$58&gt;=DATE('Your Pay &amp; Benefits'!$C$10,1,1),'Your Pay &amp; Benefits'!$C$58&lt;=DATE('Your Pay &amp; Benefits'!$C$10,12,31)),'Your Pay &amp; Benefits'!$C$58,999999),IF(AND('Your Pay &amp; Benefits'!$C$59&gt;MAX($B$6:$B27),'Your Pay &amp; Benefits'!$C$59&gt;=DATE('Your Pay &amp; Benefits'!$C$10,1,1),'Your Pay &amp; Benefits'!$C$59&lt;=DATE('Your Pay &amp; Benefits'!$C$10,12,31)),'Your Pay &amp; Benefits'!$C$59,999999),IF(AND('Your Pay &amp; Benefits'!$C$60&gt;MAX($B$6:$B27),'Your Pay &amp; Benefits'!$C$60&gt;=DATE('Your Pay &amp; Benefits'!$C$10,1,1),'Your Pay &amp; Benefits'!$C$60&lt;=DATE('Your Pay &amp; Benefits'!$C$10,12,31)),'Your Pay &amp; Benefits'!$C$60,999999),IF(AND('Your Pay &amp; Benefits'!$C$61&gt;MAX($B$6:$B27),'Your Pay &amp; Benefits'!$C$61&gt;=DATE('Your Pay &amp; Benefits'!$C$10,1,1),'Your Pay &amp; Benefits'!$C$61&lt;=DATE('Your Pay &amp; Benefits'!$C$10,12,31)),'Your Pay &amp; Benefits'!$C$61,999999),IF(AND('Your Pay &amp; Benefits'!$C$62&gt;MAX($B$6:$B27),'Your Pay &amp; Benefits'!$C$62&gt;=DATE('Your Pay &amp; Benefits'!$C$10,1,1),'Your Pay &amp; Benefits'!$C$62&lt;=DATE('Your Pay &amp; Benefits'!$C$10,12,31)),'Your Pay &amp; Benefits'!$C$62,999999),IF(AND('Your Pay &amp; Benefits'!$C$63&gt;MAX($B$6:$B27),'Your Pay &amp; Benefits'!$C$63&gt;=DATE('Your Pay &amp; Benefits'!$C$10,1,1),'Your Pay &amp; Benefits'!$C$63&lt;=DATE('Your Pay &amp; Benefits'!$C$10,12,31)),'Your Pay &amp; Benefits'!$C$63,999999),IF(AND('Your Pay &amp; Benefits'!$C$64&gt;MAX($B$6:$B27),'Your Pay &amp; Benefits'!$C$64&gt;=DATE('Your Pay &amp; Benefits'!$C$10,1,1),'Your Pay &amp; Benefits'!$C$64&lt;=DATE('Your Pay &amp; Benefits'!$C$10,12,31)),'Your Pay &amp; Benefits'!$C$64,999999),IF(AND('Your Pay &amp; Benefits'!$C$65&gt;MAX($B$6:$B27),'Your Pay &amp; Benefits'!$C$65&gt;=DATE('Your Pay &amp; Benefits'!$C$10,1,1),'Your Pay &amp; Benefits'!$C$65&lt;=DATE('Your Pay &amp; Benefits'!$C$10,12,31)),'Your Pay &amp; Benefits'!$C$65,999999),IF(AND('Your Pay &amp; Benefits'!$C$66&gt;MAX($B$6:$B27),'Your Pay &amp; Benefits'!$C$66&gt;=DATE('Your Pay &amp; Benefits'!$C$10,1,1),'Your Pay &amp; Benefits'!$C$66&lt;=DATE('Your Pay &amp; Benefits'!$C$10,12,31)),'Your Pay &amp; Benefits'!$C$66,999999),IF(AND('Your Pay &amp; Benefits'!$C$67&gt;MAX($B$6:$B27),'Your Pay &amp; Benefits'!$C$67&gt;=DATE('Your Pay &amp; Benefits'!$C$10,1,1),'Your Pay &amp; Benefits'!$C$67&lt;=DATE('Your Pay &amp; Benefits'!$C$10,12,31)),'Your Pay &amp; Benefits'!$C$67,999999))=999999,"",MIN(IF(AND('Your Pay &amp; Benefits'!$C$58&gt;MAX($B$6:$B27),'Your Pay &amp; Benefits'!$C$58&gt;=DATE('Your Pay &amp; Benefits'!$C$10,1,1),'Your Pay &amp; Benefits'!$C$58&lt;=DATE('Your Pay &amp; Benefits'!$C$10,12,31)),'Your Pay &amp; Benefits'!$C$58,999999),IF(AND('Your Pay &amp; Benefits'!$C$59&gt;MAX($B$6:$B27),'Your Pay &amp; Benefits'!$C$59&gt;=DATE('Your Pay &amp; Benefits'!$C$10,1,1),'Your Pay &amp; Benefits'!$C$59&lt;=DATE('Your Pay &amp; Benefits'!$C$10,12,31)),'Your Pay &amp; Benefits'!$C$59,999999),IF(AND('Your Pay &amp; Benefits'!$C$60&gt;MAX($B$6:$B27),'Your Pay &amp; Benefits'!$C$60&gt;=DATE('Your Pay &amp; Benefits'!$C$10,1,1),'Your Pay &amp; Benefits'!$C$60&lt;=DATE('Your Pay &amp; Benefits'!$C$10,12,31)),'Your Pay &amp; Benefits'!$C$60,999999),IF(AND('Your Pay &amp; Benefits'!$C$61&gt;MAX($B$6:$B27),'Your Pay &amp; Benefits'!$C$61&gt;=DATE('Your Pay &amp; Benefits'!$C$10,1,1),'Your Pay &amp; Benefits'!$C$61&lt;=DATE('Your Pay &amp; Benefits'!$C$10,12,31)),'Your Pay &amp; Benefits'!$C$61,999999),IF(AND('Your Pay &amp; Benefits'!$C$62&gt;MAX($B$6:$B27),'Your Pay &amp; Benefits'!$C$62&gt;=DATE('Your Pay &amp; Benefits'!$C$10,1,1),'Your Pay &amp; Benefits'!$C$62&lt;=DATE('Your Pay &amp; Benefits'!$C$10,12,31)),'Your Pay &amp; Benefits'!$C$62,999999),IF(AND('Your Pay &amp; Benefits'!$C$63&gt;MAX($B$6:$B27),'Your Pay &amp; Benefits'!$C$63&gt;=DATE('Your Pay &amp; Benefits'!$C$10,1,1),'Your Pay &amp; Benefits'!$C$63&lt;=DATE('Your Pay &amp; Benefits'!$C$10,12,31)),'Your Pay &amp; Benefits'!$C$63,999999),IF(AND('Your Pay &amp; Benefits'!$C$64&gt;MAX($B$6:$B27),'Your Pay &amp; Benefits'!$C$64&gt;=DATE('Your Pay &amp; Benefits'!$C$10,1,1),'Your Pay &amp; Benefits'!$C$64&lt;=DATE('Your Pay &amp; Benefits'!$C$10,12,31)),'Your Pay &amp; Benefits'!$C$64,999999),IF(AND('Your Pay &amp; Benefits'!$C$65&gt;MAX($B$6:$B27),'Your Pay &amp; Benefits'!$C$65&gt;=DATE('Your Pay &amp; Benefits'!$C$10,1,1),'Your Pay &amp; Benefits'!$C$65&lt;=DATE('Your Pay &amp; Benefits'!$C$10,12,31)),'Your Pay &amp; Benefits'!$C$65,999999),IF(AND('Your Pay &amp; Benefits'!$C$66&gt;MAX($B$6:$B27),'Your Pay &amp; Benefits'!$C$66&gt;=DATE('Your Pay &amp; Benefits'!$C$10,1,1),'Your Pay &amp; Benefits'!$C$66&lt;=DATE('Your Pay &amp; Benefits'!$C$10,12,31)),'Your Pay &amp; Benefits'!$C$66,999999),IF(AND('Your Pay &amp; Benefits'!$C$67&gt;MAX($B$6:$B27),'Your Pay &amp; Benefits'!$C$67&gt;=DATE('Your Pay &amp; Benefits'!$C$10,1,1),'Your Pay &amp; Benefits'!$C$67&lt;=DATE('Your Pay &amp; Benefits'!$C$10,12,31)),'Your Pay &amp; Benefits'!$C$67,999999)))</f>
      </c>
      <c r="CF28">
        <f>IF($B28="","",IF($D28=0,$Y28,""))</f>
      </c>
    </row>
    <row r="29">
      <c r="A29" t="n">
        <v>24</v>
      </c>
      <c r="B29" s="21">
        <f>IF(AND($CD29="",$CE29=""),"",IF($CE29="",$CD29,IF($CD29="",$CE29,MIN($CD29,$CE29))))</f>
      </c>
      <c r="C29" s="7">
        <f>IF($B29="","",IF($BF29=0,0,IF('Your Pay &amp; Benefits'!$C$4="Annual salary",ROUND($AK29/IF(AND('Your Pay &amp; Benefits'!$C$88="Actual paydays",MONTH('Your Pay &amp; Benefits'!$C$9)=1),MAX(1,MAX($BE$6:$BE$68)),'Your Pay &amp; Benefits'!$C$8),2),$AK29)))</f>
      </c>
      <c r="D29" s="7">
        <f>IF($B29="","",SUMIF('Your Pay &amp; Benefits'!$C$58:$C$67,$B29,'Your Pay &amp; Benefits'!$D$58:$D$67))</f>
      </c>
      <c r="E29" s="7">
        <f>IF($B29="","",ROUND(MAX(0,MIN(IF($AL29="Percent",$AM29*($C29+$D29),$AM29),MAX(0,'Your Pay &amp; Benefits'!$C$34-$AC28))),2))</f>
      </c>
      <c r="F29" s="7">
        <f>IF($B29="","",ROUND(MAX(0,MIN(IF('Your Pay &amp; Benefits'!$C$32="Percent",'Your Pay &amp; Benefits'!$D$32*($C29+$D29),'Your Pay &amp; Benefits'!$D$32),MAX(0,'Your Pay &amp; Benefits'!$C$34-$AC28-$E29))),2))</f>
      </c>
      <c r="G29" s="7">
        <f>IF($B29="","",IF($BF29=0,0,ROUND(MAX(0,MIN($BL29,'Your Pay &amp; Benefits'!$C$37-'Your Pay &amp; Benefits'!$C$54-$BI28)),2)))</f>
      </c>
      <c r="H29" s="7">
        <f>IF($B29="","",IF(OR($BF29=0,$BQ29=1),0,ROUND(MAX(0,MIN(IF($BS29=1,ROUND(MAX(0,MIN($BJ29,'How This Works &amp; Sources'!$C$13)-$BG28)/MAX(1,MAX($BE$6:$BE$68)-($BE28)),2),ROUND(MIN($BJ29,'How This Works &amp; Sources'!$C$13)/'Your Pay &amp; Benefits'!$C$8,2)),MIN($BJ29,'How This Works &amp; Sources'!$C$13)-$BG28)),2)))</f>
      </c>
      <c r="I29" s="7">
        <f>IF($B29="","",IF(OR($BF29=0,$BR29=1),0,ROUND(MAX(0,MIN(IF($BT29=1,ROUND(MAX(0,MIN($BK29,IF('Your Pay &amp; Benefits'!$C$12="MFJ",'How This Works &amp; Sources'!$C$14,'How This Works &amp; Sources'!$C$15))-$BH28)/MAX(1,MAX($BE$6:$BE$68)-($BE28)),2),ROUND(MIN($BK29,IF('Your Pay &amp; Benefits'!$C$12="MFJ",'How This Works &amp; Sources'!$C$14,'How This Works &amp; Sources'!$C$15))/'Your Pay &amp; Benefits'!$C$8,2)),MIN($BK29,IF('Your Pay &amp; Benefits'!$C$12="MFJ",'How This Works &amp; Sources'!$C$14,'How This Works &amp; Sources'!$C$15))-$BH28)),2)))</f>
      </c>
      <c r="J29" s="7">
        <f>IF($B29="","",IF($BF29=0,0,$BM29))</f>
      </c>
      <c r="K29" s="7">
        <f>IF($B29="","",IF($BF29=0,0,$BN29+$BO29))</f>
      </c>
      <c r="L29" s="7">
        <f>IF($B29="","",IF($BF29=0,0,'Your Pay &amp; Benefits'!$D$46))</f>
      </c>
      <c r="M29" s="7">
        <f>IF($B29="","",$C29+$D29+$L29-$E29-$G29-$H29-$I29-$J29-$K29)</f>
      </c>
      <c r="N29" s="7">
        <f>IF($B29="","",$C29+$D29+$L29-$G29-$H29-$I29-$J29-$K29)</f>
      </c>
      <c r="O29" s="7">
        <f>IF($B29="","",$C29+$D29+$L29-$E29-$H29-$I29-$J29-$K29-IF(OR($AN29="CA",$AN29="NJ"),0,$G29))</f>
      </c>
      <c r="P29" s="7">
        <f>IF($B29="","",IF('Your Pay &amp; Benefits'!$C$18,0,ROUND(MAX(0,IF('Your Pay &amp; Benefits'!$C$13,SUMPRODUCT(($AH29&gt;INDEX('How This Works &amp; Sources'!$B$29:$J$36,0,IF('Your Pay &amp; Benefits'!$C$12="MFJ",1,IF('Your Pay &amp; Benefits'!$C$12="HoH",7,4))))*($AH29-INDEX('How This Works &amp; Sources'!$B$29:$J$36,0,IF('Your Pay &amp; Benefits'!$C$12="MFJ",1,IF('Your Pay &amp; Benefits'!$C$12="HoH",7,4))))*INDEX('How This Works &amp; Sources'!$B$29:$J$36,0,IF('Your Pay &amp; Benefits'!$C$12="MFJ",1,IF('Your Pay &amp; Benefits'!$C$12="HoH",7,4))+2)),SUMPRODUCT(($AH29&gt;INDEX('How This Works &amp; Sources'!$B$19:$J$26,0,IF('Your Pay &amp; Benefits'!$C$12="MFJ",1,IF('Your Pay &amp; Benefits'!$C$12="HoH",7,4))))*($AH29-INDEX('How This Works &amp; Sources'!$B$19:$J$26,0,IF('Your Pay &amp; Benefits'!$C$12="MFJ",1,IF('Your Pay &amp; Benefits'!$C$12="HoH",7,4))))*INDEX('How This Works &amp; Sources'!$B$19:$J$26,0,IF('Your Pay &amp; Benefits'!$C$12="MFJ",1,IF('Your Pay &amp; Benefits'!$C$12="HoH",7,4))+2)))/'Your Pay &amp; Benefits'!$C$8-$AO29/'Your Pay &amp; Benefits'!$C$8)+$AR29+IF('Your Pay &amp; Benefits'!$C$89="Aggregate",MAX(0,IF('Your Pay &amp; Benefits'!$C$13,SUMPRODUCT((($AH29+$D29)&gt;INDEX('How This Works &amp; Sources'!$B$29:$J$36,0,IF('Your Pay &amp; Benefits'!$C$12="MFJ",1,IF('Your Pay &amp; Benefits'!$C$12="HoH",7,4))))*(($AH29+$D29)-INDEX('How This Works &amp; Sources'!$B$29:$J$36,0,IF('Your Pay &amp; Benefits'!$C$12="MFJ",1,IF('Your Pay &amp; Benefits'!$C$12="HoH",7,4))))*INDEX('How This Works &amp; Sources'!$B$29:$J$36,0,IF('Your Pay &amp; Benefits'!$C$12="MFJ",1,IF('Your Pay &amp; Benefits'!$C$12="HoH",7,4))+2)),SUMPRODUCT((($AH29+$D29)&gt;INDEX('How This Works &amp; Sources'!$B$19:$J$26,0,IF('Your Pay &amp; Benefits'!$C$12="MFJ",1,IF('Your Pay &amp; Benefits'!$C$12="HoH",7,4))))*(($AH29+$D29)-INDEX('How This Works &amp; Sources'!$B$19:$J$26,0,IF('Your Pay &amp; Benefits'!$C$12="MFJ",1,IF('Your Pay &amp; Benefits'!$C$12="HoH",7,4))))*INDEX('How This Works &amp; Sources'!$B$19:$J$26,0,IF('Your Pay &amp; Benefits'!$C$12="MFJ",1,IF('Your Pay &amp; Benefits'!$C$12="HoH",7,4))+2)))-IF('Your Pay &amp; Benefits'!$C$13,SUMPRODUCT(($AH29&gt;INDEX('How This Works &amp; Sources'!$B$29:$J$36,0,IF('Your Pay &amp; Benefits'!$C$12="MFJ",1,IF('Your Pay &amp; Benefits'!$C$12="HoH",7,4))))*($AH29-INDEX('How This Works &amp; Sources'!$B$29:$J$36,0,IF('Your Pay &amp; Benefits'!$C$12="MFJ",1,IF('Your Pay &amp; Benefits'!$C$12="HoH",7,4))))*INDEX('How This Works &amp; Sources'!$B$29:$J$36,0,IF('Your Pay &amp; Benefits'!$C$12="MFJ",1,IF('Your Pay &amp; Benefits'!$C$12="HoH",7,4))+2)),SUMPRODUCT(($AH29&gt;INDEX('How This Works &amp; Sources'!$B$19:$J$26,0,IF('Your Pay &amp; Benefits'!$C$12="MFJ",1,IF('Your Pay &amp; Benefits'!$C$12="HoH",7,4))))*($AH29-INDEX('How This Works &amp; Sources'!$B$19:$J$26,0,IF('Your Pay &amp; Benefits'!$C$12="MFJ",1,IF('Your Pay &amp; Benefits'!$C$12="HoH",7,4))))*INDEX('How This Works &amp; Sources'!$B$19:$J$26,0,IF('Your Pay &amp; Benefits'!$C$12="MFJ",1,IF('Your Pay &amp; Benefits'!$C$12="HoH",7,4))+2)))),'How This Works &amp; Sources'!$C$10*$D29),2)))</f>
      </c>
      <c r="Q29" s="7">
        <f>IF($B29="","",ROUND('How This Works &amp; Sources'!$C$4*MIN($N29,MAX(0,'How This Works &amp; Sources'!$C$3-($AX29+$AB28-$AW29))),2))</f>
      </c>
      <c r="R29" s="7">
        <f>IF($B29="","",ROUND('How This Works &amp; Sources'!$C$5*$N29,2))</f>
      </c>
      <c r="S29" s="7">
        <f>IF($B29="","",ROUND('How This Works &amp; Sources'!$C$6*MAX(0,MIN($N29,$AG28+$N29-'How This Works &amp; Sources'!$C$7)),2))</f>
      </c>
      <c r="T29" s="7">
        <f>IF($B29="","",IF('Your Pay &amp; Benefits'!$C$26,0,IF($AN29="CA",ROUND(IF($AI29&lt;=IF(($AS29+$AT29)&gt;=2,VLOOKUP($AN29,StateTables!$A$6:$AB$56,10,FALSE),VLOOKUP($AN29,StateTables!$A$6:$AB$56,9,FALSE)),0,MAX(0,SUMPRODUCT(($AJ29&gt;INDEX('How This Works &amp; Sources'!$B$39:$J$48,0,IF($AU29="Married",4,IF($AU29="Head of household",7,1))))*($AJ29-INDEX('How This Works &amp; Sources'!$B$39:$J$48,0,IF($AU29="Married",4,IF($AU29="Head of household",7,1))))*INDEX('How This Works &amp; Sources'!$B$39:$J$48,0,IF($AU29="Married",4,IF($AU29="Head of household",7,1))+2))-VLOOKUP($AN29,StateTables!$A$6:$AB$56,11,FALSE)*$AS29)/'Your Pay &amp; Benefits'!$C$8)+'Your Pay &amp; Benefits'!$C$25+VLOOKUP($AN29,StateTables!$A$6:$AB$56,13,FALSE)*$D29,2),IF(VLOOKUP($AN29,StateTables!$A$6:$AB$56,4,FALSE)="None",0,IF(ISNUMBER(SEARCH("MANUAL",VLOOKUP($AN29,StateTables!$A$6:$AB$56,5,FALSE))),'Your Pay &amp; Benefits'!$C$28,ROUND(MAX(0,$BA29+$BB29)/'Your Pay &amp; Benefits'!$C$8+'Your Pay &amp; Benefits'!$C$25+$BC29,2))))))</f>
      </c>
      <c r="U29" s="7">
        <f>IF($B29="","",IF(VLOOKUP($AN29,StateTables!$A$6:$AB$56,24,FALSE)="flatq",IF(OR(MONTH($B29)=1,MONTH($B29)=4,MONTH($B29)=7,MONTH($B29)=10),VLOOKUP($AN29,StateTables!$A$6:$AB$56,25,FALSE),0),IF(VLOOKUP($AN29,StateTables!$A$6:$AB$56,24,FALSE)="dbl",MIN(ROUND(0.005*$N29,2),ROUND(0.6*52/'Your Pay &amp; Benefits'!$C$8,2)),IF(OR(VLOOKUP($AN29,StateTables!$A$6:$AB$56,15,FALSE)="",VLOOKUP($AN29,StateTables!$A$6:$AB$56,15,FALSE)=0),0,ROUND(VLOOKUP($AN29,StateTables!$A$6:$AB$56,15,FALSE)*IF(OR(VLOOKUP($AN29,StateTables!$A$6:$AB$56,16,FALSE)="",VLOOKUP($AN29,StateTables!$A$6:$AB$56,16,FALSE)=0),$N29,MIN($N29,MAX(0,VLOOKUP($AN29,StateTables!$A$6:$AB$56,16,FALSE)-($AX29+$AB28-$AW29)))),2))))+IF(VLOOKUP($AN29,StateTables!$A$6:$AB$56,27,FALSE)="flatq",IF(OR(MONTH($B29)=1,MONTH($B29)=4,MONTH($B29)=7,MONTH($B29)=10),VLOOKUP($AN29,StateTables!$A$6:$AB$56,28,FALSE),0),IF(VLOOKUP($AN29,StateTables!$A$6:$AB$56,27,FALSE)="dbl",MIN(ROUND(0.005*$N29,2),ROUND(0.6*52/'Your Pay &amp; Benefits'!$C$8,2)),IF(OR(VLOOKUP($AN29,StateTables!$A$6:$AB$56,18,FALSE)="",VLOOKUP($AN29,StateTables!$A$6:$AB$56,18,FALSE)=0),0,ROUND(VLOOKUP($AN29,StateTables!$A$6:$AB$56,18,FALSE)*IF(OR(VLOOKUP($AN29,StateTables!$A$6:$AB$56,19,FALSE)="",VLOOKUP($AN29,StateTables!$A$6:$AB$56,19,FALSE)=0),$N29,MIN($N29,MAX(0,VLOOKUP($AN29,StateTables!$A$6:$AB$56,19,FALSE)-($AX29+$AB28-$AW29)))),2)))))</f>
      </c>
      <c r="V29" s="7">
        <f>IF($B29="","",IF($AN29="NY",IF('Your Pay &amp; Benefits'!$C$78,ROUND(SUMPRODUCT((MAX(0,($O29-$D29)*'Your Pay &amp; Benefits'!$C$8-(IF($AU29="Married",5500,5000)+1000*$AS29))&gt;INDEX('How This Works &amp; Sources'!$B$184:$J$198,0,4))*(MAX(0,($O29-$D29)*'Your Pay &amp; Benefits'!$C$8-(IF($AU29="Married",5500,5000)+1000*$AS29))-INDEX('How This Works &amp; Sources'!$B$184:$J$198,0,4))*INDEX('How This Works &amp; Sources'!$B$184:$J$198,0,4+2))/'Your Pay &amp; Benefits'!$C$8+0.0425*$D29,2),0)+IF('Your Pay &amp; Benefits'!$C$79="Resident",ROUND(0.1675*$T29,2),IF('Your Pay &amp; Benefits'!$C$79="Nonresident",ROUND(0.005*MAX(0,($O29-$D29)-(IF($AU29="Married",7950,7400)+1000*$AS29)/'Your Pay &amp; Benefits'!$C$8),2),0)),IF($AN29="PA",IF('Your Pay &amp; Benefits'!$C$80="None",'Your Pay &amp; Benefits'!$C$27+ROUND('Your Pay &amp; Benefits'!$C$81*($C29+$D29),2),ROUND(IF('Your Pay &amp; Benefits'!$C$80="Resident",IF($B29&lt;DATE(2026,7,1),0.0374,0.03735),IF($B29&lt;DATE(2026,7,1),0.0343,0.03425))*($C29+$D29),2)),IF($BF29=0,ROUND('Your Pay &amp; Benefits'!$C$81*($C29+$D29),2),'Your Pay &amp; Benefits'!$C$27+ROUND('Your Pay &amp; Benefits'!$C$81*($C29+$D29),2)))))</f>
      </c>
      <c r="W29" s="7">
        <f>IF($B29="","",IF($BF29=0,0,$BP29))</f>
      </c>
      <c r="X29" s="7">
        <f>IF($B29="","",SUM($E29:$K29)+$P29+$Q29+$R29+$S29+$T29+$U29+$V29+$W29)</f>
      </c>
      <c r="Y29" s="22">
        <f>IF($B29="","",$C29+$D29-$X29)</f>
      </c>
      <c r="Z29" s="7">
        <f>IF($B29="","",$Z28+$C29+$D29)</f>
      </c>
      <c r="AA29" s="7">
        <f>IF($B29="","",$AA28+$Y29)</f>
      </c>
      <c r="AB29" s="7">
        <f>IF($B29="","",$AB28+MIN($N29,MAX(0,'How This Works &amp; Sources'!$C$3-($AX29+$AB28-$AW29))))</f>
      </c>
      <c r="AC29" s="7">
        <f>IF($B29="","",$AC28+$E29+$F29)</f>
      </c>
      <c r="AD29" s="3">
        <f>IF($B29="","",IF(AND($AB28&lt;'How This Works &amp; Sources'!$C$3,$AB29&gt;='How This Works &amp; Sources'!$C$3),"★ Social Security maxed on this check — from the next check your net rises by about $"&amp;TEXT(ROUND('How This Works &amp; Sources'!$C$4*$N29,2),"#,##0.00")&amp;". ","")&amp;IF(AND($AC28&lt;'Your Pay &amp; Benefits'!$C$34,$AC29&gt;='Your Pay &amp; Benefits'!$C$34),"★ 401(k) reaches the $"&amp;TEXT('Your Pay &amp; Benefits'!$C$34,"#,##0")&amp;" cap on this check — deferrals stop and net pay rises. ","")&amp;IF(AND($AG28&lt;'How This Works &amp; Sources'!$C$7,$AG29&gt;='How This Works &amp; Sources'!$C$7),"★ Wages pass $200,000 — the 0.9% Additional Medicare Tax starts here. ","")&amp;IF(AND($BJ29&gt;0,$H29&gt;0,$BG28&lt;MIN($BJ29,'How This Works &amp; Sources'!$C$13),$BG28+$H29&gt;=MIN($BJ29,'How This Works &amp; Sources'!$C$13)),"★ Health FSA election is now fully deferred for the year. ",""))</f>
      </c>
      <c r="AE29" s="41" t="n"/>
      <c r="AF29" s="7">
        <f>IF(OR($B29="",$AE29=""),"",$AE29-$Y29)</f>
      </c>
      <c r="AG29" s="7">
        <f>IF($B29="","",$AG28+$N29)</f>
      </c>
      <c r="AH29" s="7">
        <f>IF($B29="","",MAX(0,($M29-$D29)*'Your Pay &amp; Benefits'!$C$8+$AP29-$AQ29-IF('Your Pay &amp; Benefits'!$C$13,0,IF('Your Pay &amp; Benefits'!$C$12="MFJ",'How This Works &amp; Sources'!$C$8,'How This Works &amp; Sources'!$C$9))))</f>
      </c>
      <c r="AI29" s="7">
        <f>IF($B29="","",$O29*'Your Pay &amp; Benefits'!$C$8)</f>
      </c>
      <c r="AJ29" s="7">
        <f>IF($B29="","",MAX(0,$AI29-VLOOKUP($AN29,StateTables!$A$6:$AB$56,12,FALSE)*$AT29-IF(($AS29+$AT29)&gt;=2,VLOOKUP($AN29,StateTables!$A$6:$AB$56,8,FALSE),VLOOKUP($AN29,StateTables!$A$6:$AB$56,7,FALSE))))</f>
      </c>
      <c r="AK29" s="7">
        <f>IF($B29="","",IFERROR(LOOKUP(2,1/(('Changes &amp; Events'!$C$6:$C$17="Salary change")*('Changes &amp; Events'!$B$6:$B$17&lt;=$B29)*('Changes &amp; Events'!$B$6:$B$17&lt;&gt;"")),'Changes &amp; Events'!$D$6:$D$17),IF('Your Pay &amp; Benefits'!$C$4="Annual salary",'Your Pay &amp; Benefits'!$C$5,'Your Pay &amp; Benefits'!$C$6)))</f>
      </c>
      <c r="AL29">
        <f>IF($B29="","",IFERROR(LOOKUP(2,1/(('Changes &amp; Events'!$C$6:$C$17="401(k) change")*('Changes &amp; Events'!$B$6:$B$17&lt;=$B29)*('Changes &amp; Events'!$B$6:$B$17&lt;&gt;"")),'Changes &amp; Events'!$D$6:$D$17),'Your Pay &amp; Benefits'!$C$30))</f>
      </c>
      <c r="AM29" s="7">
        <f>IF($B29="","",IFERROR(LOOKUP(2,1/(('Changes &amp; Events'!$C$6:$C$17="401(k) change")*('Changes &amp; Events'!$B$6:$B$17&lt;=$B29)*('Changes &amp; Events'!$B$6:$B$17&lt;&gt;"")),'Changes &amp; Events'!$E$6:$E$17),'Your Pay &amp; Benefits'!$D$31))</f>
      </c>
      <c r="AN29">
        <f>IF($B29="","",IFERROR(LOOKUP(2,1/(('Changes &amp; Events'!$C$6:$C$17="State move")*('Changes &amp; Events'!$B$6:$B$17&lt;=$B29)*('Changes &amp; Events'!$B$6:$B$17&lt;&gt;"")),'Changes &amp; Events'!$D$6:$D$17),'Your Pay &amp; Benefits'!$C$21))</f>
      </c>
      <c r="AO29" s="7">
        <f>IF($B29="","",IFERROR(LOOKUP(2,1/(('Changes &amp; Events'!$C$6:$C$17="W-4 change")*('Changes &amp; Events'!$B$6:$B$17&lt;=$B29)*('Changes &amp; Events'!$B$6:$B$17&lt;&gt;"")),'Changes &amp; Events'!$D$6:$D$17),'Your Pay &amp; Benefits'!$C$14))</f>
      </c>
      <c r="AP29" s="7">
        <f>IF($B29="","",IFERROR(LOOKUP(2,1/(('Changes &amp; Events'!$C$6:$C$17="W-4 change")*('Changes &amp; Events'!$B$6:$B$17&lt;=$B29)*('Changes &amp; Events'!$B$6:$B$17&lt;&gt;"")),'Changes &amp; Events'!$E$6:$E$17),'Your Pay &amp; Benefits'!$C$15))</f>
      </c>
      <c r="AQ29" s="7">
        <f>IF($B29="","",IFERROR(LOOKUP(2,1/(('Changes &amp; Events'!$C$6:$C$17="W-4 change")*('Changes &amp; Events'!$B$6:$B$17&lt;=$B29)*('Changes &amp; Events'!$B$6:$B$17&lt;&gt;"")),'Changes &amp; Events'!$F$6:$F$17),'Your Pay &amp; Benefits'!$C$16))</f>
      </c>
      <c r="AR29" s="7">
        <f>IF($B29="","",IFERROR(LOOKUP(2,1/(('Changes &amp; Events'!$C$6:$C$17="W-4 change")*('Changes &amp; Events'!$B$6:$B$17&lt;=$B29)*('Changes &amp; Events'!$B$6:$B$17&lt;&gt;"")),'Changes &amp; Events'!$G$6:$G$17),'Your Pay &amp; Benefits'!$C$17))</f>
      </c>
      <c r="AS29" s="6">
        <f>IF($B29="","",IFERROR(LOOKUP(2,1/((('Changes &amp; Events'!$C$6:$C$17="State move")+('Changes &amp; Events'!$C$6:$C$17="State cert change"))*('Changes &amp; Events'!$B$6:$B$17&lt;=$B29)*('Changes &amp; Events'!$B$6:$B$17&lt;&gt;"")),'Changes &amp; Events'!$F$6:$F$17),'Your Pay &amp; Benefits'!$C$23))</f>
      </c>
      <c r="AT29" s="6">
        <f>IF($B29="","",IFERROR(LOOKUP(2,1/((('Changes &amp; Events'!$C$6:$C$17="State move")+('Changes &amp; Events'!$C$6:$C$17="State cert change"))*('Changes &amp; Events'!$B$6:$B$17&lt;=$B29)*('Changes &amp; Events'!$B$6:$B$17&lt;&gt;"")),'Changes &amp; Events'!$G$6:$G$17),'Your Pay &amp; Benefits'!$C$24))</f>
      </c>
      <c r="AU29">
        <f>IF($B29="","",IFERROR(LOOKUP(2,1/(('Changes &amp; Events'!$C$6:$C$17="State move")*('Changes &amp; Events'!$B$6:$B$17&lt;=$B29)*('Changes &amp; Events'!$B$6:$B$17&lt;&gt;"")),'Changes &amp; Events'!$E$6:$E$17),'Your Pay &amp; Benefits'!$C$22))</f>
      </c>
      <c r="AV29" s="6">
        <f>IF($B29="","",1+COUNTIFS('Changes &amp; Events'!$C$6:$C$17,"Employer change",'Changes &amp; Events'!$B$6:$B$17,"&lt;="&amp;$B29,'Changes &amp; Events'!$B$6:$B$17,"&lt;&gt;"))</f>
      </c>
      <c r="AW29" s="7">
        <f>IF($B29="","",IF($AV29=1,'Your Pay &amp; Benefits'!$C$49,IF(IFERROR(MATCH(IFERROR(LOOKUP(2,1/(('Changes &amp; Events'!$C$6:$C$17="Employer change")*('Changes &amp; Events'!$B$6:$B$17&lt;=$B29)*('Changes &amp; Events'!$B$6:$B$17&lt;&gt;"")),'Changes &amp; Events'!$B$6:$B$17),""),$B$6:$B$68,1),1)&lt;=1,'Your Pay &amp; Benefits'!$C$49,INDEX($AB$6:$AB$68,MATCH(IFERROR(LOOKUP(2,1/(('Changes &amp; Events'!$C$6:$C$17="Employer change")*('Changes &amp; Events'!$B$6:$B$17&lt;=$B29)*('Changes &amp; Events'!$B$6:$B$17&lt;&gt;"")),'Changes &amp; Events'!$B$6:$B$17),""),$B$6:$B$68,1)-1))))</f>
      </c>
      <c r="AX29" s="7">
        <f>IF($B29="","",IF($AV29=1,'Your Pay &amp; Benefits'!$C$49,IFERROR(LOOKUP(2,1/(('Changes &amp; Events'!$C$6:$C$17="Employer change")*('Changes &amp; Events'!$B$6:$B$17&lt;=$B29)*('Changes &amp; Events'!$B$6:$B$17&lt;&gt;"")),'Changes &amp; Events'!$D$6:$D$17),0)))</f>
      </c>
      <c r="AY29" s="7">
        <f>IF($B29="","",($O29-$D29)*'Your Pay &amp; Benefits'!$C$8)</f>
      </c>
      <c r="AZ29" s="7">
        <f>IF($B29="","",IF($AN29="AL",MAX(0,$AY29-IF($AU29="Married",IF($AY29&lt;=25999,8500,MAX(5000,8500-175*CEILING(($AY29-25999)/500,1))),IF($AU29="Head of household",IF($AY29&lt;=25999,5200,MAX(2500,5200-135*CEILING(($AY29-25999)/500,1))),IF($AY29&lt;=25999,3000,MAX(2500,3000-25*CEILING(($AY29-25999)/500,1)))))-($P29-'How This Works &amp; Sources'!$C$10*$D29)*'Your Pay &amp; Benefits'!$C$8-IF(OR($AU29="Married",$AU29="Head of household"),3000,1500)-$AT29*IF($AY29&lt;=50000,1000,IF($AY29&lt;=100000,500,300))),IF($AN29="AR",IF(MAX(0,$AY29-2470)&lt;97701,INT(MAX(0,$AY29-2470)/100)*100+50,MAX(0,$AY29-2470)),IF($AN29="DE",MAX(0,$AI29-3250),IF($AN29="HI",MAX(0,$AI29-1144*$AS29-4350),IF($AN29="KS",MAX(0,$AI29-(9160*IF($AU29="Married",2,1)+2320*$AT29+IF($AU29="Head of household",2320,0))),IF($AN29="MD",MAX(0,$AI29-3400-3200*$AS29),IF($AN29="MN",MAX(0,$AY29-5300*$AS29),IF($AN29="MO",MAX(0,$AI29-IF($AU29="Head of household",24150,IF($AU29="Married",IF('Your Pay &amp; Benefits'!$C$83,16100,32200),16100))),IF($AN29="MT",$AY29,IF($AN29="ND",($C29+$L29)*'Your Pay &amp; Benefits'!$C$8,IF($AN29="NE",MAX(0,$AY29-2440*$AS29),IF($AN29="NJ",MAX(0,$AY29-1000*$AS29),IF($AN29="NY",MAX(0,$AY29-(IF($AU29="Married",7950,7400)+1000*$AS29)),IF($AN29="OH",MAX(0,$AY29-650*$AS29),IF($AN29="OK",MAX(0,$AY29-1000*$AS29),IF($AN29="RI",MAX(0,$AI29-1000*$AS29),IF($AN29="SC",MAX(0,$AI29-5000*$AS29-IF($AS29=0,0,MIN(0.1*$AI29,7500))),IF($AN29="VA",MAX(0,$AI29-IF($AU29="Married",17500,8750)-930*$AS29-800*$AT29),IF($AN29="VT",MAX(0,$AI29-5400*$AS29),IF($AN29="WI",MAX(0,$AI29-MAX(0,IF($AU29="Married",9461-0.2*MAX(0,$AI29-25727),6702-0.12*MAX(0,$AI29-17780)))-400*$AS29),IF($AN29="WV",MAX(0,$AI29-2000*$AS29),$AI29))))))))))))))))))))))</f>
      </c>
      <c r="BA29" s="7">
        <f>IF($B29="","",IF($BW29&lt;&gt;"",$BW29,IF($BX29&lt;&gt;"",$BX29,IF($BY29&lt;&gt;"",$BY29,0))))</f>
      </c>
      <c r="BB29" s="7">
        <f>IF($B29="","",IF($AN29="AR",-29*$AS29,IF($AN29="DE",-110*$AS29,IF($AN29="MD",$AZ29*'Your Pay &amp; Benefits'!$C$74,IF($AN29="AZ",'Your Pay &amp; Benefits'!$C$82*($M29-$D29)*'Your Pay &amp; Benefits'!$C$8,IF($AN29="CO",0.044*MAX(0,$AY29-IF($AU29="Married",10000,5000)),IF($AN29="IA",MAX(0,0.038*MAX(0,$AY29-IF($AU29="Head of household",19500,IF($AU29="Married",26000,13000)))-40*$AS29),IF($AN29="ID",0.053*MAX(0,$AY29-IF($AU29="Married",32000,16094)),IF($AN29="IL",0.0495*MAX(0,$AY29-(2925*$AS29+1000*$AT29)),IF($AN29="IN",(0.0295+'Your Pay &amp; Benefits'!$C$76)*MAX(0,$AY29-(1000*$AS29+1500*$AT29+3000*'Your Pay &amp; Benefits'!$C$86)),IF($AN29="KY",0.035*MAX(0,$AI29-3360),IF($AN29="LA",IF('Your Pay &amp; Benefits'!$C$84="0",0.0309*$AI29,0.0309*MAX(0,$AI29-IF('Your Pay &amp; Benefits'!$C$84="2",25750,12875))),IF($AN29="MA",0.05*MIN(MAX(0,$AY29-MIN(($BD28+$Q29+$R29+$S29),2000)-IF($AS29=0,0,IF($AS29=1,4400,1000*$AS29+3400))),1107750)+0.09*MAX(0,MAX(0,$AY29-MIN(($BD28+$Q29+$R29+$S29),2000)-IF($AS29=0,0,IF($AS29=1,4400,1000*$AS29+3400)))-1107750)-IF($AU29="Head of household",120,0)-110*'Your Pay &amp; Benefits'!$C$75,IF($AN29="MI",0.0425*MAX(0,$AY29-5900*$AS29),IF($AN29="MS",0.04*MAX(0,$AI29-IF($AU29="Head of household",3400,IF($AU29="Married",4600,2300))-'Your Pay &amp; Benefits'!$C$85-10000),IF($AN29="OR",IF(OR($AU29="Married",AND($AU29="Single",$AS29&gt;=3)),SUMPRODUCT((MAX(0,$AY29-MIN(($P29-'How This Works &amp; Sources'!$C$10*$D29)*'Your Pay &amp; Benefits'!$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Sources'!$B$211:$J$214,0,4))*(MAX(0,$AY29-MIN(($P29-'How This Works &amp; Sources'!$C$10*$D29)*'Your Pay &amp; Benefits'!$C$8,IF(OR($AU29="Married",AND($AU29="Single",$AS29&gt;=3)),IF($AY29&lt;250000,8750,IF($AY29&lt;260000,7000,IF($AY29&lt;270000,5250,IF($AY29&lt;280000,3500,IF($AY29&lt;290000,1750,0))))),IF($AY29&lt;125000,8750,IF($AY29&lt;130000,7000,IF($AY29&lt;135000,5250,IF($AY29&lt;140000,3500,IF($AY29&lt;145000,1750,0)))))))-IF(OR($AU29="Married",AND($AU29="Single",$AS29&gt;=3)),5820,2910))-INDEX('How This Works &amp; Sources'!$B$211:$J$214,0,4))*INDEX('How This Works &amp; Sources'!$B$211:$J$214,0,4+2)),SUMPRODUCT((MAX(0,$AY29-MIN(($P29-'How This Works &amp; Sources'!$C$10*$D29)*'Your Pay &amp; Benefits'!$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Sources'!$B$211:$J$214,0,1))*(MAX(0,$AY29-MIN(($P29-'How This Works &amp; Sources'!$C$10*$D29)*'Your Pay &amp; Benefits'!$C$8,IF(OR($AU29="Married",AND($AU29="Single",$AS29&gt;=3)),IF($AY29&lt;250000,8750,IF($AY29&lt;260000,7000,IF($AY29&lt;270000,5250,IF($AY29&lt;280000,3500,IF($AY29&lt;290000,1750,0))))),IF($AY29&lt;125000,8750,IF($AY29&lt;130000,7000,IF($AY29&lt;135000,5250,IF($AY29&lt;140000,3500,IF($AY29&lt;145000,1750,0)))))))-IF(OR($AU29="Married",AND($AU29="Single",$AS29&gt;=3)),5820,2910))-INDEX('How This Works &amp; Sources'!$B$211:$J$214,0,1))*INDEX('How This Works &amp; Sources'!$B$211:$J$214,0,1+2)))+263-263*IF(IF($AU29="Married",$AY29&gt;200000,$AY29&gt;100000),0,$AS29),IF($AN29="PA",0.0307*(($O29+$E29+$G29)*'Your Pay &amp; Benefits'!$C$8),IF($AN29="NY",IF($AU29="Married",IF($AZ29&gt;=2155350,0,IF($AZ29&gt;=1077550,0.48,IF($AZ29&gt;=373200,1.21,IF($AZ29&gt;=323200,0.21,IF($AZ29&gt;=211550,-0.19,IF($AZ29&gt;=157650,-2.8,IF($AZ29&gt;=107650,-0.8,IF($AZ29&gt;=96800,0.05,IF($AZ29&gt;=80650,-0.1,IF($AZ29&gt;=13900,0.4,IF($AZ29&gt;=11700,-0.3,IF($AZ29&gt;=8500,0.5,0)))))))))))),IF($AZ29&gt;=1077550,0,IF($AZ29&gt;=265400,4.29,IF($AZ29&gt;=215400,2.29,IF($AZ29&gt;=157650,2.29,IF($AZ29&gt;=107650,0.29,IF($AZ29&gt;=96800,0.05,IF($AZ29&gt;=80650,-0.1,IF($AZ29&gt;=13900,0.4,IF($AZ29&gt;=11700,-0.3,IF($AZ29&gt;=8500,0.5,0))))))))))),0))))))))))))))))))</f>
      </c>
      <c r="BC29" s="7">
        <f>IF($B29="","",IF($AN29="AL",0.05*$D29,IF($AN29="AR",0.039*$D29,IF($AN29="ID",0.053*$D29,IF($AN29="IN",(0.0295+'Your Pay &amp; Benefits'!$C$76)*$D29,IF($AN29="KS",0.05*$D29,IF($AN29="MA",0.09*MIN($D29,MAX(0,MAX(0,$AY29-MIN(($BD28+$Q29+$R29+$S29),2000)-IF($AS29=0,0,IF($AS29=1,4400,1000*$AS29+3400)))+$D29-1107750))+0.05*($D29-MIN($D29,MAX(0,MAX(0,$AY29-MIN(($BD28+$Q29+$R29+$S29),2000)-IF($AS29=0,0,IF($AS29=1,4400,1000*$AS29+3400)))+$D29-1107750))),IF($AN29="MD",(0.065+'Your Pay &amp; Benefits'!$C$74)*$D29,IF($AN29="MI",0.0425*$D29,IF($AN29="MN",0.0625*$D29,IF($AN29="MO",0.047*$D29,IF($AN29="MT",0.05*$D29,IF($AN29="ND",0.015*$D29,IF($AN29="NE",0.035*$D29,IF($AN29="NJ",IF('Your Pay &amp; Benefits'!$C$77="B",SUMPRODUCT(($D29*'Your Pay &amp; Benefits'!$C$8&gt;INDEX('How This Works &amp; Sources'!$B$155:$J$162,0,4))*($D29*'Your Pay &amp; Benefits'!$C$8-INDEX('How This Works &amp; Sources'!$B$155:$J$162,0,4))*INDEX('How This Works &amp; Sources'!$B$155:$J$162,0,4+2)),IF('Your Pay &amp; Benefits'!$C$77="C",SUMPRODUCT(($D29*'Your Pay &amp; Benefits'!$C$8&gt;INDEX('How This Works &amp; Sources'!$B$155:$J$162,0,7))*($D29*'Your Pay &amp; Benefits'!$C$8-INDEX('How This Works &amp; Sources'!$B$155:$J$162,0,7))*INDEX('How This Works &amp; Sources'!$B$155:$J$162,0,7+2)),IF('Your Pay &amp; Benefits'!$C$77="D",SUMPRODUCT(($D29*'Your Pay &amp; Benefits'!$C$8&gt;INDEX('How This Works &amp; Sources'!$B$167:$J$179,0,1))*($D29*'Your Pay &amp; Benefits'!$C$8-INDEX('How This Works &amp; Sources'!$B$167:$J$179,0,1))*INDEX('How This Works &amp; Sources'!$B$167:$J$179,0,1+2)),IF('Your Pay &amp; Benefits'!$C$77="E",SUMPRODUCT(($D29*'Your Pay &amp; Benefits'!$C$8&gt;INDEX('How This Works &amp; Sources'!$B$167:$J$179,0,4))*($D29*'Your Pay &amp; Benefits'!$C$8-INDEX('How This Works &amp; Sources'!$B$167:$J$179,0,4))*INDEX('How This Works &amp; Sources'!$B$167:$J$179,0,4+2)),SUMPRODUCT(($D29*'Your Pay &amp; Benefits'!$C$8&gt;INDEX('How This Works &amp; Sources'!$B$155:$J$162,0,1))*($D29*'Your Pay &amp; Benefits'!$C$8-INDEX('How This Works &amp; Sources'!$B$155:$J$162,0,1))*INDEX('How This Works &amp; Sources'!$B$155:$J$162,0,1+2))))))/'Your Pay &amp; Benefits'!$C$8,IF($AN29="NY",0.117*$D29,IF($AN29="OH",0.0275*$D29,IF($AN29="OK",0.045*$D29,IF($AN29="OR",0.08*$D29,IF($AN29="WI",IF($AY29&lt;12760,0.0354,IF($AY29&lt;25520,0.0465,IF($AY29&lt;280950,0.053,0.0765)))*$D29,0))))))))))))))))))))</f>
      </c>
      <c r="BD29" s="7">
        <f>IF($B29="","",$BD28+$Q29+$R29+$S29)</f>
      </c>
      <c r="BE29" s="6">
        <f>IF($B29="",$BE28,$BE28+$BF29)</f>
      </c>
      <c r="BF29" s="6">
        <f>IF($B29="","",IF(AND(IF(YEAR(IF('Your Pay &amp; Benefits'!$C$7="Weekly",'Your Pay &amp; Benefits'!$C$9+7*(($BE28+1)-1),IF('Your Pay &amp; Benefits'!$C$7="Biweekly",'Your Pay &amp; Benefits'!$C$9+14*(($BE28+1)-1),IF('Your Pay &amp; Benefits'!$C$7="Semimonthly",DATE(YEAR('Your Pay &amp; Benefits'!$C$9),MONTH('Your Pay &amp; Benefits'!$C$9)+INT((($BE28+1)-1)/2),MIN(DAY('Your Pay &amp; Benefits'!$C$9),DAY(EOMONTH(DATE(YEAR('Your Pay &amp; Benefits'!$C$9),MONTH('Your Pay &amp; Benefits'!$C$9)+INT((($BE28+1)-1)/2),1),0))))+IF(MOD(($BE28+1)-1,2)=1,15,0),EDATE('Your Pay &amp; Benefits'!$C$9,($BE28+1)-1)))))&lt;&gt;'Your Pay &amp; Benefits'!$C$10,"",IF('Your Pay &amp; Benefits'!$C$7="Weekly",'Your Pay &amp; Benefits'!$C$9+7*(($BE28+1)-1),IF('Your Pay &amp; Benefits'!$C$7="Biweekly",'Your Pay &amp; Benefits'!$C$9+14*(($BE28+1)-1),IF('Your Pay &amp; Benefits'!$C$7="Semimonthly",DATE(YEAR('Your Pay &amp; Benefits'!$C$9),MONTH('Your Pay &amp; Benefits'!$C$9)+INT((($BE28+1)-1)/2),MIN(DAY('Your Pay &amp; Benefits'!$C$9),DAY(EOMONTH(DATE(YEAR('Your Pay &amp; Benefits'!$C$9),MONTH('Your Pay &amp; Benefits'!$C$9)+INT((($BE28+1)-1)/2),1),0))))+IF(MOD(($BE28+1)-1,2)=1,15,0),EDATE('Your Pay &amp; Benefits'!$C$9,($BE28+1)-1)))))&lt;&gt;"",$B29=IF(YEAR(IF('Your Pay &amp; Benefits'!$C$7="Weekly",'Your Pay &amp; Benefits'!$C$9+7*(($BE28+1)-1),IF('Your Pay &amp; Benefits'!$C$7="Biweekly",'Your Pay &amp; Benefits'!$C$9+14*(($BE28+1)-1),IF('Your Pay &amp; Benefits'!$C$7="Semimonthly",DATE(YEAR('Your Pay &amp; Benefits'!$C$9),MONTH('Your Pay &amp; Benefits'!$C$9)+INT((($BE28+1)-1)/2),MIN(DAY('Your Pay &amp; Benefits'!$C$9),DAY(EOMONTH(DATE(YEAR('Your Pay &amp; Benefits'!$C$9),MONTH('Your Pay &amp; Benefits'!$C$9)+INT((($BE28+1)-1)/2),1),0))))+IF(MOD(($BE28+1)-1,2)=1,15,0),EDATE('Your Pay &amp; Benefits'!$C$9,($BE28+1)-1)))))&lt;&gt;'Your Pay &amp; Benefits'!$C$10,"",IF('Your Pay &amp; Benefits'!$C$7="Weekly",'Your Pay &amp; Benefits'!$C$9+7*(($BE28+1)-1),IF('Your Pay &amp; Benefits'!$C$7="Biweekly",'Your Pay &amp; Benefits'!$C$9+14*(($BE28+1)-1),IF('Your Pay &amp; Benefits'!$C$7="Semimonthly",DATE(YEAR('Your Pay &amp; Benefits'!$C$9),MONTH('Your Pay &amp; Benefits'!$C$9)+INT((($BE28+1)-1)/2),MIN(DAY('Your Pay &amp; Benefits'!$C$9),DAY(EOMONTH(DATE(YEAR('Your Pay &amp; Benefits'!$C$9),MONTH('Your Pay &amp; Benefits'!$C$9)+INT((($BE28+1)-1)/2),1),0))))+IF(MOD(($BE28+1)-1,2)=1,15,0),EDATE('Your Pay &amp; Benefits'!$C$9,($BE28+1)-1)))))),1,0))</f>
      </c>
      <c r="BG29" s="7">
        <f>IF($B29="","",$BG28+$H29)</f>
      </c>
      <c r="BH29" s="7">
        <f>IF($B29="","",$BH28+$I29)</f>
      </c>
      <c r="BI29" s="7">
        <f>IF($B29="","",$BI28+$G29)</f>
      </c>
      <c r="BJ29" s="7">
        <f>IF($B29="","",IFERROR(LOOKUP(2,1/(((('Changes &amp; Events'!$C$6:$C$17="Deduction start"))*('Changes &amp; Events'!$D$6:$D$17="Health FSA"))*('Changes &amp; Events'!$B$6:$B$17&lt;=$B29)*('Changes &amp; Events'!$B$6:$B$17&lt;&gt;"")),'Changes &amp; Events'!$E$6:$E$17),'Your Pay &amp; Benefits'!$D$38))</f>
      </c>
      <c r="BK29" s="7">
        <f>IF($B29="","",IFERROR(LOOKUP(2,1/(((('Changes &amp; Events'!$C$6:$C$17="Deduction start"))*('Changes &amp; Events'!$D$6:$D$17="Dependent-care FSA"))*('Changes &amp; Events'!$B$6:$B$17&lt;=$B29)*('Changes &amp; Events'!$B$6:$B$17&lt;&gt;"")),'Changes &amp; Events'!$E$6:$E$17),'Your Pay &amp; Benefits'!$D$39))</f>
      </c>
      <c r="BL29" s="7">
        <f>IF($B29="","",IFERROR(LOOKUP(2,1/(((('Changes &amp; Events'!$C$6:$C$17="Deduction start")+('Changes &amp; Events'!$C$6:$C$17="Deduction stop"))*('Changes &amp; Events'!$D$6:$D$17="HSA"))*('Changes &amp; Events'!$B$6:$B$17&lt;=$B29)*('Changes &amp; Events'!$B$6:$B$17&lt;&gt;"")),'Changes &amp; Events'!$I$6:$I$17),'Your Pay &amp; Benefits'!$D$35))</f>
      </c>
      <c r="BM29" s="7">
        <f>IF($B29="","",IFERROR(LOOKUP(2,1/(((('Changes &amp; Events'!$C$6:$C$17="Deduction start")+('Changes &amp; Events'!$C$6:$C$17="Deduction stop"))*('Changes &amp; Events'!$D$6:$D$17="Premiums"))*('Changes &amp; Events'!$B$6:$B$17&lt;=$B29)*('Changes &amp; Events'!$B$6:$B$17&lt;&gt;"")),'Changes &amp; Events'!$I$6:$I$17),'Your Pay &amp; Benefits'!$D$40+'Your Pay &amp; Benefits'!$D$41+'Your Pay &amp; Benefits'!$D$42))</f>
      </c>
      <c r="BN29" s="7">
        <f>IF($B29="","",IFERROR(LOOKUP(2,1/(((('Changes &amp; Events'!$C$6:$C$17="Deduction start")+('Changes &amp; Events'!$C$6:$C$17="Deduction stop"))*('Changes &amp; Events'!$D$6:$D$17="Commuter"))*('Changes &amp; Events'!$B$6:$B$17&lt;=$B29)*('Changes &amp; Events'!$B$6:$B$17&lt;&gt;"")),'Changes &amp; Events'!$I$6:$I$17),'Your Pay &amp; Benefits'!$D$43))</f>
      </c>
      <c r="BO29" s="7">
        <f>IF($B29="","",IFERROR(LOOKUP(2,1/(((('Changes &amp; Events'!$C$6:$C$17="Deduction start")+('Changes &amp; Events'!$C$6:$C$17="Deduction stop"))*('Changes &amp; Events'!$D$6:$D$17="Other pre-tax"))*('Changes &amp; Events'!$B$6:$B$17&lt;=$B29)*('Changes &amp; Events'!$B$6:$B$17&lt;&gt;"")),'Changes &amp; Events'!$I$6:$I$17),'Your Pay &amp; Benefits'!$D$44))</f>
      </c>
      <c r="BP29" s="7">
        <f>IF($B29="","",IFERROR(LOOKUP(2,1/(((('Changes &amp; Events'!$C$6:$C$17="Deduction start")+('Changes &amp; Events'!$C$6:$C$17="Deduction stop"))*('Changes &amp; Events'!$D$6:$D$17="Other post-tax"))*('Changes &amp; Events'!$B$6:$B$17&lt;=$B29)*('Changes &amp; Events'!$B$6:$B$17&lt;&gt;"")),'Changes &amp; Events'!$I$6:$I$17),'Your Pay &amp; Benefits'!$D$45))</f>
      </c>
      <c r="BQ29" s="6">
        <f>IF($B29="","",IFERROR(LOOKUP(2,1/(((('Changes &amp; Events'!$C$6:$C$17="Deduction start")+('Changes &amp; Events'!$C$6:$C$17="Deduction stop"))*('Changes &amp; Events'!$D$6:$D$17="Health FSA"))*('Changes &amp; Events'!$B$6:$B$17&lt;=$B29)*('Changes &amp; Events'!$B$6:$B$17&lt;&gt;"")),'Changes &amp; Events'!$J$6:$J$17),0))</f>
      </c>
      <c r="BR29" s="6">
        <f>IF($B29="","",IFERROR(LOOKUP(2,1/(((('Changes &amp; Events'!$C$6:$C$17="Deduction start")+('Changes &amp; Events'!$C$6:$C$17="Deduction stop"))*('Changes &amp; Events'!$D$6:$D$17="Dependent-care FSA"))*('Changes &amp; Events'!$B$6:$B$17&lt;=$B29)*('Changes &amp; Events'!$B$6:$B$17&lt;&gt;"")),'Changes &amp; Events'!$J$6:$J$17),0))</f>
      </c>
      <c r="BS29" s="6">
        <f>IF($B29="","",IF(SUMPRODUCT(('Changes &amp; Events'!$C$6:$C$17="Deduction start")*('Changes &amp; Events'!$B$6:$B$17&lt;=$B29)*('Changes &amp; Events'!$B$6:$B$17&lt;&gt;"")*('Changes &amp; Events'!$D$6:$D$17="Health FSA"))&gt;0,1,0))</f>
      </c>
      <c r="BT29" s="6">
        <f>IF($B29="","",IF(SUMPRODUCT(('Changes &amp; Events'!$C$6:$C$17="Deduction start")*('Changes &amp; Events'!$B$6:$B$17&lt;=$B29)*('Changes &amp; Events'!$B$6:$B$17&lt;&gt;"")*('Changes &amp; Events'!$D$6:$D$17="Dependent-care FSA"))&gt;0,1,0))</f>
      </c>
      <c r="BU29" s="24">
        <f>IF($B29="","",IF('Your Pay &amp; Benefits'!$C$13,SUMPRODUCT(($AH29&gt;=INDEX('How This Works &amp; Sources'!$B$29:$J$36,0,IF('Your Pay &amp; Benefits'!$C$12="MFJ",1,IF('Your Pay &amp; Benefits'!$C$12="HoH",7,4))))*INDEX('How This Works &amp; Sources'!$B$29:$J$36,0,IF('Your Pay &amp; Benefits'!$C$12="MFJ",1,IF('Your Pay &amp; Benefits'!$C$12="HoH",7,4))+2)),SUMPRODUCT(($AH29&gt;=INDEX('How This Works &amp; Sources'!$B$19:$J$26,0,IF('Your Pay &amp; Benefits'!$C$12="MFJ",1,IF('Your Pay &amp; Benefits'!$C$12="HoH",7,4))))*INDEX('How This Works &amp; Sources'!$B$19:$J$26,0,IF('Your Pay &amp; Benefits'!$C$12="MFJ",1,IF('Your Pay &amp; Benefits'!$C$12="HoH",7,4))+2))))</f>
      </c>
      <c r="BV29" s="24">
        <f>IF($B29="","",IF($BZ29&lt;&gt;"",$BZ29,IF($CA29&lt;&gt;"",$CA29,IF($CB29&lt;&gt;"",$CB29,IF($CC29&lt;&gt;"",$CC29,0)))))</f>
      </c>
      <c r="BW29" s="7">
        <f>IF($B29="","",IF($AN29="MD",IF(OR($AU29="Married",$AU29="Head of household"),SUMPRODUCT(($AZ29&gt;INDEX('How This Works &amp; Sources'!$B$114:$J$120,0,1))*($AZ29-INDEX('How This Works &amp; Sources'!$B$114:$J$120,0,1))*INDEX('How This Works &amp; Sources'!$B$114:$J$120,0,1+2)),SUMPRODUCT(($AZ29&gt;INDEX('How This Works &amp; Sources'!$B$103:$J$109,0,7))*($AZ29-INDEX('How This Works &amp; Sources'!$B$103:$J$109,0,7))*INDEX('How This Works &amp; Sources'!$B$103:$J$109,0,7+2))),IF($AN29="MO",SUMPRODUCT(($AZ29&gt;INDEX('How This Works &amp; Sources'!$B$125:$J$132,0,1))*($AZ29-INDEX('How This Works &amp; Sources'!$B$125:$J$132,0,1))*INDEX('How This Works &amp; Sources'!$B$125:$J$132,0,1+2)),IF($AN29="MT",IF($AU29="Head of household",SUMPRODUCT(($AZ29&gt;INDEX('How This Works &amp; Sources'!$B$137:$J$139,0,1))*($AZ29-INDEX('How This Works &amp; Sources'!$B$137:$J$139,0,1))*INDEX('How This Works &amp; Sources'!$B$137:$J$139,0,1+2)),IF($AU29="Married",SUMPRODUCT(($AZ29&gt;INDEX('How This Works &amp; Sources'!$B$125:$J$132,0,7))*($AZ29-INDEX('How This Works &amp; Sources'!$B$125:$J$132,0,7))*INDEX('How This Works &amp; Sources'!$B$125:$J$132,0,7+2)),SUMPRODUCT(($AZ29&gt;INDEX('How This Works &amp; Sources'!$B$125:$J$132,0,4))*($AZ29-INDEX('How This Works &amp; Sources'!$B$125:$J$132,0,4))*INDEX('How This Works &amp; Sources'!$B$125:$J$132,0,4+2)))),IF($AN29="ND",IF($AU29="Head of household",SUMPRODUCT(($AZ29&gt;INDEX('How This Works &amp; Sources'!$B$144:$J$150,0,1))*($AZ29-INDEX('How This Works &amp; Sources'!$B$144:$J$150,0,1))*INDEX('How This Works &amp; Sources'!$B$144:$J$150,0,1+2)),IF($AU29="Married",SUMPRODUCT(($AZ29&gt;INDEX('How This Works &amp; Sources'!$B$137:$J$139,0,7))*($AZ29-INDEX('How This Works &amp; Sources'!$B$137:$J$139,0,7))*INDEX('How This Works &amp; Sources'!$B$137:$J$139,0,7+2)),SUMPRODUCT(($AZ29&gt;INDEX('How This Works &amp; Sources'!$B$137:$J$139,0,4))*($AZ29-INDEX('How This Works &amp; Sources'!$B$137:$J$139,0,4))*INDEX('How This Works &amp; Sources'!$B$137:$J$139,0,4+2)))),IF($AN29="NJ",IF('Your Pay &amp; Benefits'!$C$77="B",SUMPRODUCT(($AZ29&gt;INDEX('How This Works &amp; Sources'!$B$155:$J$162,0,4))*($AZ29-INDEX('How This Works &amp; Sources'!$B$155:$J$162,0,4))*INDEX('How This Works &amp; Sources'!$B$155:$J$162,0,4+2)),IF('Your Pay &amp; Benefits'!$C$77="C",SUMPRODUCT(($AZ29&gt;INDEX('How This Works &amp; Sources'!$B$155:$J$162,0,7))*($AZ29-INDEX('How This Works &amp; Sources'!$B$155:$J$162,0,7))*INDEX('How This Works &amp; Sources'!$B$155:$J$162,0,7+2)),IF('Your Pay &amp; Benefits'!$C$77="D",SUMPRODUCT(($AZ29&gt;INDEX('How This Works &amp; Sources'!$B$167:$J$179,0,1))*($AZ29-INDEX('How This Works &amp; Sources'!$B$167:$J$179,0,1))*INDEX('How This Works &amp; Sources'!$B$167:$J$179,0,1+2)),IF('Your Pay &amp; Benefits'!$C$77="E",SUMPRODUCT(($AZ29&gt;INDEX('How This Works &amp; Sources'!$B$167:$J$179,0,4))*($AZ29-INDEX('How This Works &amp; Sources'!$B$167:$J$179,0,4))*INDEX('How This Works &amp; Sources'!$B$167:$J$179,0,4+2)),SUMPRODUCT(($AZ29&gt;INDEX('How This Works &amp; Sources'!$B$155:$J$162,0,1))*($AZ29-INDEX('How This Works &amp; Sources'!$B$155:$J$162,0,1))*INDEX('How This Works &amp; Sources'!$B$155:$J$162,0,1+2)))))),IF($AN29="NY",IF($AU29="Married",IF($AZ29&gt;=2155350,$AZ29*IF($AZ29&gt;25000000,0.117,IF($AZ29&gt;5000000,0.111,0.1045)),SUMPRODUCT(($AZ29&gt;INDEX('How This Works &amp; Sources'!$B$184:$J$198,0,1))*($AZ29-INDEX('How This Works &amp; Sources'!$B$184:$J$198,0,1))*INDEX('How This Works &amp; Sources'!$B$184:$J$198,0,1+2))),IF($AZ29&gt;=1077550,$AZ29*IF($AZ29&gt;25000000,0.117,IF($AZ29&gt;5000000,0.111,0.1045)),SUMPRODUCT(($AZ29&gt;INDEX('How This Works &amp; Sources'!$B$167:$J$179,0,7))*($AZ29-INDEX('How This Works &amp; Sources'!$B$167:$J$179,0,7))*INDEX('How This Works &amp; Sources'!$B$167:$J$179,0,7+2)))),"")))))))</f>
      </c>
      <c r="BX29" s="7">
        <f>IF($B29="","",IF($AN29="AL",IF(OR($AU29="Married",$AU29="Head of household"),SUMPRODUCT(($AZ29&gt;INDEX('How This Works &amp; Sources'!$B$82:$J$86,0,4))*($AZ29-INDEX('How This Works &amp; Sources'!$B$82:$J$86,0,4))*INDEX('How This Works &amp; Sources'!$B$82:$J$86,0,4+2)),SUMPRODUCT(($AZ29&gt;INDEX('How This Works &amp; Sources'!$B$82:$J$86,0,1))*($AZ29-INDEX('How This Works &amp; Sources'!$B$82:$J$86,0,1))*INDEX('How This Works &amp; Sources'!$B$82:$J$86,0,1+2))),IF($AN29="KS",IF($AU29="Married",SUMPRODUCT(($AZ29&gt;INDEX('How This Works &amp; Sources'!$B$103:$J$109,0,4))*($AZ29-INDEX('How This Works &amp; Sources'!$B$103:$J$109,0,4))*INDEX('How This Works &amp; Sources'!$B$103:$J$109,0,4+2)),SUMPRODUCT(($AZ29&gt;INDEX('How This Works &amp; Sources'!$B$103:$J$109,0,1))*($AZ29-INDEX('How This Works &amp; Sources'!$B$103:$J$109,0,1))*INDEX('How This Works &amp; Sources'!$B$103:$J$109,0,1+2))),IF($AN29="MN",IF($AU29="Married",SUMPRODUCT(($AZ29&gt;INDEX('How This Works &amp; Sources'!$B$114:$J$120,0,7))*($AZ29-INDEX('How This Works &amp; Sources'!$B$114:$J$120,0,7))*INDEX('How This Works &amp; Sources'!$B$114:$J$120,0,7+2)),SUMPRODUCT(($AZ29&gt;INDEX('How This Works &amp; Sources'!$B$114:$J$120,0,4))*($AZ29-INDEX('How This Works &amp; Sources'!$B$114:$J$120,0,4))*INDEX('How This Works &amp; Sources'!$B$114:$J$120,0,4+2))),IF($AN29="NE",MAX(IF($AU29="Married",SUMPRODUCT(($AZ29&gt;INDEX('How This Works &amp; Sources'!$B$144:$J$150,0,7))*($AZ29-INDEX('How This Works &amp; Sources'!$B$144:$J$150,0,7))*INDEX('How This Works &amp; Sources'!$B$144:$J$150,0,7+2)),SUMPRODUCT(($AZ29&gt;INDEX('How This Works &amp; Sources'!$B$144:$J$150,0,4))*($AZ29-INDEX('How This Works &amp; Sources'!$B$144:$J$150,0,4))*INDEX('How This Works &amp; Sources'!$B$144:$J$150,0,4+2))),0.015*$AZ29),IF($AN29="OH",IF($B29&gt;=DATE(2026,8,1),SUMPRODUCT(($AZ29&gt;INDEX('How This Works &amp; Sources'!$B$203:$J$206,0,1))*($AZ29-INDEX('How This Works &amp; Sources'!$B$203:$J$206,0,1))*INDEX('How This Works &amp; Sources'!$B$203:$J$206,0,1+2)),SUMPRODUCT(($AZ29&gt;INDEX('How This Works &amp; Sources'!$B$184:$J$198,0,7))*($AZ29-INDEX('How This Works &amp; Sources'!$B$184:$J$198,0,7))*INDEX('How This Works &amp; Sources'!$B$184:$J$198,0,7+2))),IF($AN29="OK",IF($AU29="Married",SUMPRODUCT(($AZ29&gt;INDEX('How This Works &amp; Sources'!$B$203:$J$206,0,7))*($AZ29-INDEX('How This Works &amp; Sources'!$B$203:$J$206,0,7))*INDEX('How This Works &amp; Sources'!$B$203:$J$206,0,7+2)),SUMPRODUCT(($AZ29&gt;INDEX('How This Works &amp; Sources'!$B$203:$J$206,0,4))*($AZ29-INDEX('How This Works &amp; Sources'!$B$203:$J$206,0,4))*INDEX('How This Works &amp; Sources'!$B$203:$J$206,0,4+2))),IF($AN29="RI",SUMPRODUCT(($AZ29&gt;INDEX('How This Works &amp; Sources'!$B$211:$J$214,0,7))*($AZ29-INDEX('How This Works &amp; Sources'!$B$211:$J$214,0,7))*INDEX('How This Works &amp; Sources'!$B$211:$J$214,0,7+2)),IF($AN29="VT",IF($AU29="Married",SUMPRODUCT(($AZ29&gt;INDEX('How This Works &amp; Sources'!$B$228:$J$232,0,1))*($AZ29-INDEX('How This Works &amp; Sources'!$B$228:$J$232,0,1))*INDEX('How This Works &amp; Sources'!$B$228:$J$232,0,1+2)),SUMPRODUCT(($AZ29&gt;INDEX('How This Works &amp; Sources'!$B$219:$J$223,0,7))*($AZ29-INDEX('How This Works &amp; Sources'!$B$219:$J$223,0,7))*INDEX('How This Works &amp; Sources'!$B$219:$J$223,0,7+2))),IF($AN29="WV",IF($AU29="Married",SUMPRODUCT(($AZ29&gt;INDEX('How This Works &amp; Sources'!$B$237:$J$241,0,7))*($AZ29-INDEX('How This Works &amp; Sources'!$B$237:$J$241,0,7))*INDEX('How This Works &amp; Sources'!$B$237:$J$241,0,7+2)),SUMPRODUCT(($AZ29&gt;INDEX('How This Works &amp; Sources'!$B$228:$J$232,0,7))*($AZ29-INDEX('How This Works &amp; Sources'!$B$228:$J$232,0,7))*INDEX('How This Works &amp; Sources'!$B$228:$J$232,0,7+2))),""))))))))))</f>
      </c>
      <c r="BY29" s="7">
        <f>IF($B29="","",IF($AN29="AR",SUMPRODUCT(($AZ29&gt;INDEX('How This Works &amp; Sources'!$B$82:$J$86,0,7))*($AZ29-INDEX('How This Works &amp; Sources'!$B$82:$J$86,0,7))*INDEX('How This Works &amp; Sources'!$B$82:$J$86,0,7+2)),IF($AN29="DE",SUMPRODUCT(($AZ29&gt;INDEX('How This Works &amp; Sources'!$B$91:$J$98,0,1))*($AZ29-INDEX('How This Works &amp; Sources'!$B$91:$J$98,0,1))*INDEX('How This Works &amp; Sources'!$B$91:$J$98,0,1+2)),IF($AN29="HI",IF($AU29="Married",SUMPRODUCT(($AZ29&gt;INDEX('How This Works &amp; Sources'!$B$91:$J$98,0,7))*($AZ29-INDEX('How This Works &amp; Sources'!$B$91:$J$98,0,7))*INDEX('How This Works &amp; Sources'!$B$91:$J$98,0,7+2)),SUMPRODUCT(($AZ29&gt;INDEX('How This Works &amp; Sources'!$B$91:$J$98,0,4))*($AZ29-INDEX('How This Works &amp; Sources'!$B$91:$J$98,0,4))*INDEX('How This Works &amp; Sources'!$B$91:$J$98,0,4+2))),IF($AN29="SC",SUMPRODUCT(($AZ29&gt;INDEX('How This Works &amp; Sources'!$B$219:$J$223,0,1))*($AZ29-INDEX('How This Works &amp; Sources'!$B$219:$J$223,0,1))*INDEX('How This Works &amp; Sources'!$B$219:$J$223,0,1+2)),IF($AN29="VA",SUMPRODUCT(($AZ29&gt;INDEX('How This Works &amp; Sources'!$B$219:$J$223,0,4))*($AZ29-INDEX('How This Works &amp; Sources'!$B$219:$J$223,0,4))*INDEX('How This Works &amp; Sources'!$B$219:$J$223,0,4+2)),IF($AN29="WI",SUMPRODUCT(($AZ29&gt;INDEX('How This Works &amp; Sources'!$B$228:$J$232,0,4))*($AZ29-INDEX('How This Works &amp; Sources'!$B$228:$J$232,0,4))*INDEX('How This Works &amp; Sources'!$B$228:$J$232,0,4+2)),"")))))))</f>
      </c>
      <c r="BZ29" s="24">
        <f>IF($B29="","",IF($AN29="NJ",IF('Your Pay &amp; Benefits'!$C$77="B",SUMPRODUCT(($AZ29&gt;=INDEX('How This Works &amp; Sources'!$B$155:$J$162,0,4))*INDEX('How This Works &amp; Sources'!$B$155:$J$162,0,4+2)),IF('Your Pay &amp; Benefits'!$C$77="C",SUMPRODUCT(($AZ29&gt;=INDEX('How This Works &amp; Sources'!$B$155:$J$162,0,7))*INDEX('How This Works &amp; Sources'!$B$155:$J$162,0,7+2)),IF('Your Pay &amp; Benefits'!$C$77="D",SUMPRODUCT(($AZ29&gt;=INDEX('How This Works &amp; Sources'!$B$167:$J$179,0,1))*INDEX('How This Works &amp; Sources'!$B$167:$J$179,0,1+2)),IF('Your Pay &amp; Benefits'!$C$77="E",SUMPRODUCT(($AZ29&gt;=INDEX('How This Works &amp; Sources'!$B$167:$J$179,0,4))*INDEX('How This Works &amp; Sources'!$B$167:$J$179,0,4+2)),SUMPRODUCT(($AZ29&gt;=INDEX('How This Works &amp; Sources'!$B$155:$J$162,0,1))*INDEX('How This Works &amp; Sources'!$B$155:$J$162,0,1+2)))))),IF($AN29="OR",IF(OR($AU29="Married",AND($AU29="Single",$AS29&gt;=3)),SUMPRODUCT((MAX(0,$AY29-MIN(($P29-'How This Works &amp; Sources'!$C$10*$D29)*'Your Pay &amp; Benefits'!$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Sources'!$B$211:$J$214,0,4))*INDEX('How This Works &amp; Sources'!$B$211:$J$214,0,4+2)),SUMPRODUCT((MAX(0,$AY29-MIN(($P29-'How This Works &amp; Sources'!$C$10*$D29)*'Your Pay &amp; Benefits'!$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Sources'!$B$211:$J$214,0,1))*INDEX('How This Works &amp; Sources'!$B$211:$J$214,0,1+2)))*IF(($P29-'How This Works &amp; Sources'!$C$10*$D29)*'Your Pay &amp; Benefits'!$C$8&gt;=IF(OR($AU29="Married",AND($AU29="Single",$AS29&gt;=3)),IF($AY29&lt;250000,8750,IF($AY29&lt;260000,7000,IF($AY29&lt;270000,5250,IF($AY29&lt;280000,3500,IF($AY29&lt;290000,1750,0))))),IF($AY29&lt;125000,8750,IF($AY29&lt;130000,7000,IF($AY29&lt;135000,5250,IF($AY29&lt;140000,3500,IF($AY29&lt;145000,1750,0)))))),1,1-IF('Your Pay &amp; Benefits'!$C$13,SUMPRODUCT(($AH29&gt;=INDEX('How This Works &amp; Sources'!$B$29:$J$36,0,IF('Your Pay &amp; Benefits'!$C$12="MFJ",1,IF('Your Pay &amp; Benefits'!$C$12="HoH",7,4))))*INDEX('How This Works &amp; Sources'!$B$29:$J$36,0,IF('Your Pay &amp; Benefits'!$C$12="MFJ",1,IF('Your Pay &amp; Benefits'!$C$12="HoH",7,4))+2)),SUMPRODUCT(($AH29&gt;=INDEX('How This Works &amp; Sources'!$B$19:$J$26,0,IF('Your Pay &amp; Benefits'!$C$12="MFJ",1,IF('Your Pay &amp; Benefits'!$C$12="HoH",7,4))))*INDEX('How This Works &amp; Sources'!$B$19:$J$26,0,IF('Your Pay &amp; Benefits'!$C$12="MFJ",1,IF('Your Pay &amp; Benefits'!$C$12="HoH",7,4))+2)))),IF($AN29="MI",IF($AY29&gt;5900*$AS29,0.0425,0),""))))</f>
      </c>
      <c r="CA29" s="24">
        <f>IF($B29="","",IF($AN29="AL",IF(OR($AU29="Married",$AU29="Head of household"),SUMPRODUCT(($AZ29&gt;=INDEX('How This Works &amp; Sources'!$B$82:$J$86,0,4))*INDEX('How This Works &amp; Sources'!$B$82:$J$86,0,4+2)),SUMPRODUCT(($AZ29&gt;=INDEX('How This Works &amp; Sources'!$B$82:$J$86,0,1))*INDEX('How This Works &amp; Sources'!$B$82:$J$86,0,1+2)))*(1-IF('Your Pay &amp; Benefits'!$C$13,SUMPRODUCT(($AH29&gt;=INDEX('How This Works &amp; Sources'!$B$29:$J$36,0,IF('Your Pay &amp; Benefits'!$C$12="MFJ",1,IF('Your Pay &amp; Benefits'!$C$12="HoH",7,4))))*INDEX('How This Works &amp; Sources'!$B$29:$J$36,0,IF('Your Pay &amp; Benefits'!$C$12="MFJ",1,IF('Your Pay &amp; Benefits'!$C$12="HoH",7,4))+2)),SUMPRODUCT(($AH29&gt;=INDEX('How This Works &amp; Sources'!$B$19:$J$26,0,IF('Your Pay &amp; Benefits'!$C$12="MFJ",1,IF('Your Pay &amp; Benefits'!$C$12="HoH",7,4))))*INDEX('How This Works &amp; Sources'!$B$19:$J$26,0,IF('Your Pay &amp; Benefits'!$C$12="MFJ",1,IF('Your Pay &amp; Benefits'!$C$12="HoH",7,4))+2)))),IF($AN29="KS",IF($AU29="Married",SUMPRODUCT(($AZ29&gt;=INDEX('How This Works &amp; Sources'!$B$103:$J$109,0,4))*INDEX('How This Works &amp; Sources'!$B$103:$J$109,0,4+2)),SUMPRODUCT(($AZ29&gt;=INDEX('How This Works &amp; Sources'!$B$103:$J$109,0,1))*INDEX('How This Works &amp; Sources'!$B$103:$J$109,0,1+2))),IF($AN29="MD",IF(OR($AU29="Married",$AU29="Head of household"),SUMPRODUCT(($AZ29&gt;=INDEX('How This Works &amp; Sources'!$B$114:$J$120,0,1))*INDEX('How This Works &amp; Sources'!$B$114:$J$120,0,1+2)),SUMPRODUCT(($AZ29&gt;=INDEX('How This Works &amp; Sources'!$B$103:$J$109,0,7))*INDEX('How This Works &amp; Sources'!$B$103:$J$109,0,7+2)))+'Your Pay &amp; Benefits'!$C$74,IF($AN29="MT",IF($AU29="Head of household",SUMPRODUCT(($AZ29&gt;=INDEX('How This Works &amp; Sources'!$B$137:$J$139,0,1))*INDEX('How This Works &amp; Sources'!$B$137:$J$139,0,1+2)),IF($AU29="Married",SUMPRODUCT(($AZ29&gt;=INDEX('How This Works &amp; Sources'!$B$125:$J$132,0,7))*INDEX('How This Works &amp; Sources'!$B$125:$J$132,0,7+2)),SUMPRODUCT(($AZ29&gt;=INDEX('How This Works &amp; Sources'!$B$125:$J$132,0,4))*INDEX('How This Works &amp; Sources'!$B$125:$J$132,0,4+2)))),IF($AN29="ND",IF($AU29="Head of household",SUMPRODUCT(($AZ29&gt;=INDEX('How This Works &amp; Sources'!$B$144:$J$150,0,1))*INDEX('How This Works &amp; Sources'!$B$144:$J$150,0,1+2)),IF($AU29="Married",SUMPRODUCT(($AZ29&gt;=INDEX('How This Works &amp; Sources'!$B$137:$J$139,0,7))*INDEX('How This Works &amp; Sources'!$B$137:$J$139,0,7+2)),SUMPRODUCT(($AZ29&gt;=INDEX('How This Works &amp; Sources'!$B$137:$J$139,0,4))*INDEX('How This Works &amp; Sources'!$B$137:$J$139,0,4+2)))),IF($AN29="NY",IF($AU29="Married",IF($AZ29&gt;=2155350,IF($AZ29&gt;25000000,0.117,IF($AZ29&gt;5000000,0.111,0.1045)),SUMPRODUCT(($AZ29&gt;=INDEX('How This Works &amp; Sources'!$B$184:$J$198,0,1))*INDEX('How This Works &amp; Sources'!$B$184:$J$198,0,1+2))),IF($AZ29&gt;=1077550,IF($AZ29&gt;25000000,0.117,IF($AZ29&gt;5000000,0.111,0.1045)),SUMPRODUCT(($AZ29&gt;=INDEX('How This Works &amp; Sources'!$B$167:$J$179,0,7))*INDEX('How This Works &amp; Sources'!$B$167:$J$179,0,7+2)))),"")))))))</f>
      </c>
      <c r="CB29" s="24">
        <f>IF($B29="","",IF($AN29="CA",SUMPRODUCT(($AJ29&gt;=INDEX('How This Works &amp; Sources'!$B$39:$J$48,0,IF($AU29="Married",4,IF($AU29="Head of household",7,1))))*INDEX('How This Works &amp; Sources'!$B$39:$J$48,0,IF($AU29="Married",4,IF($AU29="Head of household",7,1))+2)),IF($AN29="HI",IF($AU29="Married",SUMPRODUCT(($AZ29&gt;=INDEX('How This Works &amp; Sources'!$B$91:$J$98,0,7))*INDEX('How This Works &amp; Sources'!$B$91:$J$98,0,7+2)),SUMPRODUCT(($AZ29&gt;=INDEX('How This Works &amp; Sources'!$B$91:$J$98,0,4))*INDEX('How This Works &amp; Sources'!$B$91:$J$98,0,4+2))),IF($AN29="MN",IF($AU29="Married",SUMPRODUCT(($AZ29&gt;=INDEX('How This Works &amp; Sources'!$B$114:$J$120,0,7))*INDEX('How This Works &amp; Sources'!$B$114:$J$120,0,7+2)),SUMPRODUCT(($AZ29&gt;=INDEX('How This Works &amp; Sources'!$B$114:$J$120,0,4))*INDEX('How This Works &amp; Sources'!$B$114:$J$120,0,4+2))),IF($AN29="MO",SUMPRODUCT(($AZ29&gt;=INDEX('How This Works &amp; Sources'!$B$125:$J$132,0,1))*INDEX('How This Works &amp; Sources'!$B$125:$J$132,0,1+2)),IF($AN29="NE",MAX(IF($AU29="Married",SUMPRODUCT(($AZ29&gt;=INDEX('How This Works &amp; Sources'!$B$144:$J$150,0,7))*INDEX('How This Works &amp; Sources'!$B$144:$J$150,0,7+2)),SUMPRODUCT(($AZ29&gt;=INDEX('How This Works &amp; Sources'!$B$144:$J$150,0,4))*INDEX('How This Works &amp; Sources'!$B$144:$J$150,0,4+2))),0.015),IF($AN29="OH",IF($B29&gt;=DATE(2026,8,1),SUMPRODUCT(($AZ29&gt;=INDEX('How This Works &amp; Sources'!$B$203:$J$206,0,1))*INDEX('How This Works &amp; Sources'!$B$203:$J$206,0,1+2)),SUMPRODUCT(($AZ29&gt;=INDEX('How This Works &amp; Sources'!$B$184:$J$198,0,7))*INDEX('How This Works &amp; Sources'!$B$184:$J$198,0,7+2))),IF($AN29="OK",IF($AU29="Married",SUMPRODUCT(($AZ29&gt;=INDEX('How This Works &amp; Sources'!$B$203:$J$206,0,7))*INDEX('How This Works &amp; Sources'!$B$203:$J$206,0,7+2)),SUMPRODUCT(($AZ29&gt;=INDEX('How This Works &amp; Sources'!$B$203:$J$206,0,4))*INDEX('How This Works &amp; Sources'!$B$203:$J$206,0,4+2))),IF($AN29="RI",SUMPRODUCT(($AZ29&gt;=INDEX('How This Works &amp; Sources'!$B$211:$J$214,0,7))*INDEX('How This Works &amp; Sources'!$B$211:$J$214,0,7+2)),IF($AN29="SC",SUMPRODUCT(($AZ29&gt;=INDEX('How This Works &amp; Sources'!$B$219:$J$223,0,1))*INDEX('How This Works &amp; Sources'!$B$219:$J$223,0,1+2)),IF($AN29="VT",IF($AU29="Married",SUMPRODUCT(($AZ29&gt;=INDEX('How This Works &amp; Sources'!$B$228:$J$232,0,1))*INDEX('How This Works &amp; Sources'!$B$228:$J$232,0,1+2)),SUMPRODUCT(($AZ29&gt;=INDEX('How This Works &amp; Sources'!$B$219:$J$223,0,7))*INDEX('How This Works &amp; Sources'!$B$219:$J$223,0,7+2))),IF($AN29="WV",IF($AU29="Married",SUMPRODUCT(($AZ29&gt;=INDEX('How This Works &amp; Sources'!$B$237:$J$241,0,7))*INDEX('How This Works &amp; Sources'!$B$237:$J$241,0,7+2)),SUMPRODUCT(($AZ29&gt;=INDEX('How This Works &amp; Sources'!$B$228:$J$232,0,7))*INDEX('How This Works &amp; Sources'!$B$228:$J$232,0,7+2))),IF($AN29="IN",(0.0295+'Your Pay &amp; Benefits'!$C$76),"")))))))))))))</f>
      </c>
      <c r="CC29" s="24">
        <f>IF($B29="","",IF($AN29="AR",SUMPRODUCT(($AZ29&gt;=INDEX('How This Works &amp; Sources'!$B$82:$J$86,0,7))*INDEX('How This Works &amp; Sources'!$B$82:$J$86,0,7+2)),IF($AN29="DE",SUMPRODUCT(($AZ29&gt;=INDEX('How This Works &amp; Sources'!$B$91:$J$98,0,1))*INDEX('How This Works &amp; Sources'!$B$91:$J$98,0,1+2)),IF($AN29="VA",SUMPRODUCT(($AZ29&gt;=INDEX('How This Works &amp; Sources'!$B$219:$J$223,0,4))*INDEX('How This Works &amp; Sources'!$B$219:$J$223,0,4+2)),IF($AN29="WI",SUMPRODUCT(($AZ29&gt;=INDEX('How This Works &amp; Sources'!$B$228:$J$232,0,4))*INDEX('How This Works &amp; Sources'!$B$228:$J$232,0,4+2)),IF($AN29="AZ",'Your Pay &amp; Benefits'!$C$82,IF($AN29="CO",IF($AY29&gt;IF($AU29="Married",10000,5000),0.044,0),IF($AN29="IA",IF($AY29&gt;IF($AU29="Head of household",19500,IF($AU29="Married",26000,13000)),0.038,0),IF($AN29="ID",IF($AY29&gt;IF($AU29="Married",32000,16094),0.053,0),IF($AN29="IL",IF($AY29&gt;(2925*$AS29+1000*$AT29),0.0495,0),IF($AN29="KY",IF($AI29&gt;3360,0.035,0),IF($AN29="LA",0.0309,IF($AN29="MA",IF(MAX(0,$AY29-MIN(($BD28+$Q29+$R29+$S29),2000)-IF($AS29=0,0,IF($AS29=1,4400,1000*$AS29+3400)))&gt;=1107750,0.09,0.05),IF($AN29="MS",IF($AI29-IF($AU29="Head of household",3400,IF($AU29="Married",4600,2300))-'Your Pay &amp; Benefits'!$C$85&gt;10000,0.04,0),IF($AN29="PA",0.0307,"")))))))))))))))</f>
      </c>
      <c r="CD29" s="21">
        <f>IF(YEAR(IF('Your Pay &amp; Benefits'!$C$7="Weekly",'Your Pay &amp; Benefits'!$C$9+7*(($BE28+1)-1),IF('Your Pay &amp; Benefits'!$C$7="Biweekly",'Your Pay &amp; Benefits'!$C$9+14*(($BE28+1)-1),IF('Your Pay &amp; Benefits'!$C$7="Semimonthly",DATE(YEAR('Your Pay &amp; Benefits'!$C$9),MONTH('Your Pay &amp; Benefits'!$C$9)+INT((($BE28+1)-1)/2),MIN(DAY('Your Pay &amp; Benefits'!$C$9),DAY(EOMONTH(DATE(YEAR('Your Pay &amp; Benefits'!$C$9),MONTH('Your Pay &amp; Benefits'!$C$9)+INT((($BE28+1)-1)/2),1),0))))+IF(MOD(($BE28+1)-1,2)=1,15,0),EDATE('Your Pay &amp; Benefits'!$C$9,($BE28+1)-1)))))&lt;&gt;'Your Pay &amp; Benefits'!$C$10,"",IF('Your Pay &amp; Benefits'!$C$7="Weekly",'Your Pay &amp; Benefits'!$C$9+7*(($BE28+1)-1),IF('Your Pay &amp; Benefits'!$C$7="Biweekly",'Your Pay &amp; Benefits'!$C$9+14*(($BE28+1)-1),IF('Your Pay &amp; Benefits'!$C$7="Semimonthly",DATE(YEAR('Your Pay &amp; Benefits'!$C$9),MONTH('Your Pay &amp; Benefits'!$C$9)+INT((($BE28+1)-1)/2),MIN(DAY('Your Pay &amp; Benefits'!$C$9),DAY(EOMONTH(DATE(YEAR('Your Pay &amp; Benefits'!$C$9),MONTH('Your Pay &amp; Benefits'!$C$9)+INT((($BE28+1)-1)/2),1),0))))+IF(MOD(($BE28+1)-1,2)=1,15,0),EDATE('Your Pay &amp; Benefits'!$C$9,($BE28+1)-1)))))</f>
      </c>
      <c r="CE29" s="21">
        <f>IF(MIN(IF(AND('Your Pay &amp; Benefits'!$C$58&gt;MAX($B$6:$B28),'Your Pay &amp; Benefits'!$C$58&gt;=DATE('Your Pay &amp; Benefits'!$C$10,1,1),'Your Pay &amp; Benefits'!$C$58&lt;=DATE('Your Pay &amp; Benefits'!$C$10,12,31)),'Your Pay &amp; Benefits'!$C$58,999999),IF(AND('Your Pay &amp; Benefits'!$C$59&gt;MAX($B$6:$B28),'Your Pay &amp; Benefits'!$C$59&gt;=DATE('Your Pay &amp; Benefits'!$C$10,1,1),'Your Pay &amp; Benefits'!$C$59&lt;=DATE('Your Pay &amp; Benefits'!$C$10,12,31)),'Your Pay &amp; Benefits'!$C$59,999999),IF(AND('Your Pay &amp; Benefits'!$C$60&gt;MAX($B$6:$B28),'Your Pay &amp; Benefits'!$C$60&gt;=DATE('Your Pay &amp; Benefits'!$C$10,1,1),'Your Pay &amp; Benefits'!$C$60&lt;=DATE('Your Pay &amp; Benefits'!$C$10,12,31)),'Your Pay &amp; Benefits'!$C$60,999999),IF(AND('Your Pay &amp; Benefits'!$C$61&gt;MAX($B$6:$B28),'Your Pay &amp; Benefits'!$C$61&gt;=DATE('Your Pay &amp; Benefits'!$C$10,1,1),'Your Pay &amp; Benefits'!$C$61&lt;=DATE('Your Pay &amp; Benefits'!$C$10,12,31)),'Your Pay &amp; Benefits'!$C$61,999999),IF(AND('Your Pay &amp; Benefits'!$C$62&gt;MAX($B$6:$B28),'Your Pay &amp; Benefits'!$C$62&gt;=DATE('Your Pay &amp; Benefits'!$C$10,1,1),'Your Pay &amp; Benefits'!$C$62&lt;=DATE('Your Pay &amp; Benefits'!$C$10,12,31)),'Your Pay &amp; Benefits'!$C$62,999999),IF(AND('Your Pay &amp; Benefits'!$C$63&gt;MAX($B$6:$B28),'Your Pay &amp; Benefits'!$C$63&gt;=DATE('Your Pay &amp; Benefits'!$C$10,1,1),'Your Pay &amp; Benefits'!$C$63&lt;=DATE('Your Pay &amp; Benefits'!$C$10,12,31)),'Your Pay &amp; Benefits'!$C$63,999999),IF(AND('Your Pay &amp; Benefits'!$C$64&gt;MAX($B$6:$B28),'Your Pay &amp; Benefits'!$C$64&gt;=DATE('Your Pay &amp; Benefits'!$C$10,1,1),'Your Pay &amp; Benefits'!$C$64&lt;=DATE('Your Pay &amp; Benefits'!$C$10,12,31)),'Your Pay &amp; Benefits'!$C$64,999999),IF(AND('Your Pay &amp; Benefits'!$C$65&gt;MAX($B$6:$B28),'Your Pay &amp; Benefits'!$C$65&gt;=DATE('Your Pay &amp; Benefits'!$C$10,1,1),'Your Pay &amp; Benefits'!$C$65&lt;=DATE('Your Pay &amp; Benefits'!$C$10,12,31)),'Your Pay &amp; Benefits'!$C$65,999999),IF(AND('Your Pay &amp; Benefits'!$C$66&gt;MAX($B$6:$B28),'Your Pay &amp; Benefits'!$C$66&gt;=DATE('Your Pay &amp; Benefits'!$C$10,1,1),'Your Pay &amp; Benefits'!$C$66&lt;=DATE('Your Pay &amp; Benefits'!$C$10,12,31)),'Your Pay &amp; Benefits'!$C$66,999999),IF(AND('Your Pay &amp; Benefits'!$C$67&gt;MAX($B$6:$B28),'Your Pay &amp; Benefits'!$C$67&gt;=DATE('Your Pay &amp; Benefits'!$C$10,1,1),'Your Pay &amp; Benefits'!$C$67&lt;=DATE('Your Pay &amp; Benefits'!$C$10,12,31)),'Your Pay &amp; Benefits'!$C$67,999999))=999999,"",MIN(IF(AND('Your Pay &amp; Benefits'!$C$58&gt;MAX($B$6:$B28),'Your Pay &amp; Benefits'!$C$58&gt;=DATE('Your Pay &amp; Benefits'!$C$10,1,1),'Your Pay &amp; Benefits'!$C$58&lt;=DATE('Your Pay &amp; Benefits'!$C$10,12,31)),'Your Pay &amp; Benefits'!$C$58,999999),IF(AND('Your Pay &amp; Benefits'!$C$59&gt;MAX($B$6:$B28),'Your Pay &amp; Benefits'!$C$59&gt;=DATE('Your Pay &amp; Benefits'!$C$10,1,1),'Your Pay &amp; Benefits'!$C$59&lt;=DATE('Your Pay &amp; Benefits'!$C$10,12,31)),'Your Pay &amp; Benefits'!$C$59,999999),IF(AND('Your Pay &amp; Benefits'!$C$60&gt;MAX($B$6:$B28),'Your Pay &amp; Benefits'!$C$60&gt;=DATE('Your Pay &amp; Benefits'!$C$10,1,1),'Your Pay &amp; Benefits'!$C$60&lt;=DATE('Your Pay &amp; Benefits'!$C$10,12,31)),'Your Pay &amp; Benefits'!$C$60,999999),IF(AND('Your Pay &amp; Benefits'!$C$61&gt;MAX($B$6:$B28),'Your Pay &amp; Benefits'!$C$61&gt;=DATE('Your Pay &amp; Benefits'!$C$10,1,1),'Your Pay &amp; Benefits'!$C$61&lt;=DATE('Your Pay &amp; Benefits'!$C$10,12,31)),'Your Pay &amp; Benefits'!$C$61,999999),IF(AND('Your Pay &amp; Benefits'!$C$62&gt;MAX($B$6:$B28),'Your Pay &amp; Benefits'!$C$62&gt;=DATE('Your Pay &amp; Benefits'!$C$10,1,1),'Your Pay &amp; Benefits'!$C$62&lt;=DATE('Your Pay &amp; Benefits'!$C$10,12,31)),'Your Pay &amp; Benefits'!$C$62,999999),IF(AND('Your Pay &amp; Benefits'!$C$63&gt;MAX($B$6:$B28),'Your Pay &amp; Benefits'!$C$63&gt;=DATE('Your Pay &amp; Benefits'!$C$10,1,1),'Your Pay &amp; Benefits'!$C$63&lt;=DATE('Your Pay &amp; Benefits'!$C$10,12,31)),'Your Pay &amp; Benefits'!$C$63,999999),IF(AND('Your Pay &amp; Benefits'!$C$64&gt;MAX($B$6:$B28),'Your Pay &amp; Benefits'!$C$64&gt;=DATE('Your Pay &amp; Benefits'!$C$10,1,1),'Your Pay &amp; Benefits'!$C$64&lt;=DATE('Your Pay &amp; Benefits'!$C$10,12,31)),'Your Pay &amp; Benefits'!$C$64,999999),IF(AND('Your Pay &amp; Benefits'!$C$65&gt;MAX($B$6:$B28),'Your Pay &amp; Benefits'!$C$65&gt;=DATE('Your Pay &amp; Benefits'!$C$10,1,1),'Your Pay &amp; Benefits'!$C$65&lt;=DATE('Your Pay &amp; Benefits'!$C$10,12,31)),'Your Pay &amp; Benefits'!$C$65,999999),IF(AND('Your Pay &amp; Benefits'!$C$66&gt;MAX($B$6:$B28),'Your Pay &amp; Benefits'!$C$66&gt;=DATE('Your Pay &amp; Benefits'!$C$10,1,1),'Your Pay &amp; Benefits'!$C$66&lt;=DATE('Your Pay &amp; Benefits'!$C$10,12,31)),'Your Pay &amp; Benefits'!$C$66,999999),IF(AND('Your Pay &amp; Benefits'!$C$67&gt;MAX($B$6:$B28),'Your Pay &amp; Benefits'!$C$67&gt;=DATE('Your Pay &amp; Benefits'!$C$10,1,1),'Your Pay &amp; Benefits'!$C$67&lt;=DATE('Your Pay &amp; Benefits'!$C$10,12,31)),'Your Pay &amp; Benefits'!$C$67,999999)))</f>
      </c>
      <c r="CF29">
        <f>IF($B29="","",IF($D29=0,$Y29,""))</f>
      </c>
    </row>
    <row r="30">
      <c r="A30" t="n">
        <v>25</v>
      </c>
      <c r="B30" s="21">
        <f>IF(AND($CD30="",$CE30=""),"",IF($CE30="",$CD30,IF($CD30="",$CE30,MIN($CD30,$CE30))))</f>
      </c>
      <c r="C30" s="7">
        <f>IF($B30="","",IF($BF30=0,0,IF('Your Pay &amp; Benefits'!$C$4="Annual salary",ROUND($AK30/IF(AND('Your Pay &amp; Benefits'!$C$88="Actual paydays",MONTH('Your Pay &amp; Benefits'!$C$9)=1),MAX(1,MAX($BE$6:$BE$68)),'Your Pay &amp; Benefits'!$C$8),2),$AK30)))</f>
      </c>
      <c r="D30" s="7">
        <f>IF($B30="","",SUMIF('Your Pay &amp; Benefits'!$C$58:$C$67,$B30,'Your Pay &amp; Benefits'!$D$58:$D$67))</f>
      </c>
      <c r="E30" s="7">
        <f>IF($B30="","",ROUND(MAX(0,MIN(IF($AL30="Percent",$AM30*($C30+$D30),$AM30),MAX(0,'Your Pay &amp; Benefits'!$C$34-$AC29))),2))</f>
      </c>
      <c r="F30" s="7">
        <f>IF($B30="","",ROUND(MAX(0,MIN(IF('Your Pay &amp; Benefits'!$C$32="Percent",'Your Pay &amp; Benefits'!$D$32*($C30+$D30),'Your Pay &amp; Benefits'!$D$32),MAX(0,'Your Pay &amp; Benefits'!$C$34-$AC29-$E30))),2))</f>
      </c>
      <c r="G30" s="7">
        <f>IF($B30="","",IF($BF30=0,0,ROUND(MAX(0,MIN($BL30,'Your Pay &amp; Benefits'!$C$37-'Your Pay &amp; Benefits'!$C$54-$BI29)),2)))</f>
      </c>
      <c r="H30" s="7">
        <f>IF($B30="","",IF(OR($BF30=0,$BQ30=1),0,ROUND(MAX(0,MIN(IF($BS30=1,ROUND(MAX(0,MIN($BJ30,'How This Works &amp; Sources'!$C$13)-$BG29)/MAX(1,MAX($BE$6:$BE$68)-($BE29)),2),ROUND(MIN($BJ30,'How This Works &amp; Sources'!$C$13)/'Your Pay &amp; Benefits'!$C$8,2)),MIN($BJ30,'How This Works &amp; Sources'!$C$13)-$BG29)),2)))</f>
      </c>
      <c r="I30" s="7">
        <f>IF($B30="","",IF(OR($BF30=0,$BR30=1),0,ROUND(MAX(0,MIN(IF($BT30=1,ROUND(MAX(0,MIN($BK30,IF('Your Pay &amp; Benefits'!$C$12="MFJ",'How This Works &amp; Sources'!$C$14,'How This Works &amp; Sources'!$C$15))-$BH29)/MAX(1,MAX($BE$6:$BE$68)-($BE29)),2),ROUND(MIN($BK30,IF('Your Pay &amp; Benefits'!$C$12="MFJ",'How This Works &amp; Sources'!$C$14,'How This Works &amp; Sources'!$C$15))/'Your Pay &amp; Benefits'!$C$8,2)),MIN($BK30,IF('Your Pay &amp; Benefits'!$C$12="MFJ",'How This Works &amp; Sources'!$C$14,'How This Works &amp; Sources'!$C$15))-$BH29)),2)))</f>
      </c>
      <c r="J30" s="7">
        <f>IF($B30="","",IF($BF30=0,0,$BM30))</f>
      </c>
      <c r="K30" s="7">
        <f>IF($B30="","",IF($BF30=0,0,$BN30+$BO30))</f>
      </c>
      <c r="L30" s="7">
        <f>IF($B30="","",IF($BF30=0,0,'Your Pay &amp; Benefits'!$D$46))</f>
      </c>
      <c r="M30" s="7">
        <f>IF($B30="","",$C30+$D30+$L30-$E30-$G30-$H30-$I30-$J30-$K30)</f>
      </c>
      <c r="N30" s="7">
        <f>IF($B30="","",$C30+$D30+$L30-$G30-$H30-$I30-$J30-$K30)</f>
      </c>
      <c r="O30" s="7">
        <f>IF($B30="","",$C30+$D30+$L30-$E30-$H30-$I30-$J30-$K30-IF(OR($AN30="CA",$AN30="NJ"),0,$G30))</f>
      </c>
      <c r="P30" s="7">
        <f>IF($B30="","",IF('Your Pay &amp; Benefits'!$C$18,0,ROUND(MAX(0,IF('Your Pay &amp; Benefits'!$C$13,SUMPRODUCT(($AH30&gt;INDEX('How This Works &amp; Sources'!$B$29:$J$36,0,IF('Your Pay &amp; Benefits'!$C$12="MFJ",1,IF('Your Pay &amp; Benefits'!$C$12="HoH",7,4))))*($AH30-INDEX('How This Works &amp; Sources'!$B$29:$J$36,0,IF('Your Pay &amp; Benefits'!$C$12="MFJ",1,IF('Your Pay &amp; Benefits'!$C$12="HoH",7,4))))*INDEX('How This Works &amp; Sources'!$B$29:$J$36,0,IF('Your Pay &amp; Benefits'!$C$12="MFJ",1,IF('Your Pay &amp; Benefits'!$C$12="HoH",7,4))+2)),SUMPRODUCT(($AH30&gt;INDEX('How This Works &amp; Sources'!$B$19:$J$26,0,IF('Your Pay &amp; Benefits'!$C$12="MFJ",1,IF('Your Pay &amp; Benefits'!$C$12="HoH",7,4))))*($AH30-INDEX('How This Works &amp; Sources'!$B$19:$J$26,0,IF('Your Pay &amp; Benefits'!$C$12="MFJ",1,IF('Your Pay &amp; Benefits'!$C$12="HoH",7,4))))*INDEX('How This Works &amp; Sources'!$B$19:$J$26,0,IF('Your Pay &amp; Benefits'!$C$12="MFJ",1,IF('Your Pay &amp; Benefits'!$C$12="HoH",7,4))+2)))/'Your Pay &amp; Benefits'!$C$8-$AO30/'Your Pay &amp; Benefits'!$C$8)+$AR30+IF('Your Pay &amp; Benefits'!$C$89="Aggregate",MAX(0,IF('Your Pay &amp; Benefits'!$C$13,SUMPRODUCT((($AH30+$D30)&gt;INDEX('How This Works &amp; Sources'!$B$29:$J$36,0,IF('Your Pay &amp; Benefits'!$C$12="MFJ",1,IF('Your Pay &amp; Benefits'!$C$12="HoH",7,4))))*(($AH30+$D30)-INDEX('How This Works &amp; Sources'!$B$29:$J$36,0,IF('Your Pay &amp; Benefits'!$C$12="MFJ",1,IF('Your Pay &amp; Benefits'!$C$12="HoH",7,4))))*INDEX('How This Works &amp; Sources'!$B$29:$J$36,0,IF('Your Pay &amp; Benefits'!$C$12="MFJ",1,IF('Your Pay &amp; Benefits'!$C$12="HoH",7,4))+2)),SUMPRODUCT((($AH30+$D30)&gt;INDEX('How This Works &amp; Sources'!$B$19:$J$26,0,IF('Your Pay &amp; Benefits'!$C$12="MFJ",1,IF('Your Pay &amp; Benefits'!$C$12="HoH",7,4))))*(($AH30+$D30)-INDEX('How This Works &amp; Sources'!$B$19:$J$26,0,IF('Your Pay &amp; Benefits'!$C$12="MFJ",1,IF('Your Pay &amp; Benefits'!$C$12="HoH",7,4))))*INDEX('How This Works &amp; Sources'!$B$19:$J$26,0,IF('Your Pay &amp; Benefits'!$C$12="MFJ",1,IF('Your Pay &amp; Benefits'!$C$12="HoH",7,4))+2)))-IF('Your Pay &amp; Benefits'!$C$13,SUMPRODUCT(($AH30&gt;INDEX('How This Works &amp; Sources'!$B$29:$J$36,0,IF('Your Pay &amp; Benefits'!$C$12="MFJ",1,IF('Your Pay &amp; Benefits'!$C$12="HoH",7,4))))*($AH30-INDEX('How This Works &amp; Sources'!$B$29:$J$36,0,IF('Your Pay &amp; Benefits'!$C$12="MFJ",1,IF('Your Pay &amp; Benefits'!$C$12="HoH",7,4))))*INDEX('How This Works &amp; Sources'!$B$29:$J$36,0,IF('Your Pay &amp; Benefits'!$C$12="MFJ",1,IF('Your Pay &amp; Benefits'!$C$12="HoH",7,4))+2)),SUMPRODUCT(($AH30&gt;INDEX('How This Works &amp; Sources'!$B$19:$J$26,0,IF('Your Pay &amp; Benefits'!$C$12="MFJ",1,IF('Your Pay &amp; Benefits'!$C$12="HoH",7,4))))*($AH30-INDEX('How This Works &amp; Sources'!$B$19:$J$26,0,IF('Your Pay &amp; Benefits'!$C$12="MFJ",1,IF('Your Pay &amp; Benefits'!$C$12="HoH",7,4))))*INDEX('How This Works &amp; Sources'!$B$19:$J$26,0,IF('Your Pay &amp; Benefits'!$C$12="MFJ",1,IF('Your Pay &amp; Benefits'!$C$12="HoH",7,4))+2)))),'How This Works &amp; Sources'!$C$10*$D30),2)))</f>
      </c>
      <c r="Q30" s="7">
        <f>IF($B30="","",ROUND('How This Works &amp; Sources'!$C$4*MIN($N30,MAX(0,'How This Works &amp; Sources'!$C$3-($AX30+$AB29-$AW30))),2))</f>
      </c>
      <c r="R30" s="7">
        <f>IF($B30="","",ROUND('How This Works &amp; Sources'!$C$5*$N30,2))</f>
      </c>
      <c r="S30" s="7">
        <f>IF($B30="","",ROUND('How This Works &amp; Sources'!$C$6*MAX(0,MIN($N30,$AG29+$N30-'How This Works &amp; Sources'!$C$7)),2))</f>
      </c>
      <c r="T30" s="7">
        <f>IF($B30="","",IF('Your Pay &amp; Benefits'!$C$26,0,IF($AN30="CA",ROUND(IF($AI30&lt;=IF(($AS30+$AT30)&gt;=2,VLOOKUP($AN30,StateTables!$A$6:$AB$56,10,FALSE),VLOOKUP($AN30,StateTables!$A$6:$AB$56,9,FALSE)),0,MAX(0,SUMPRODUCT(($AJ30&gt;INDEX('How This Works &amp; Sources'!$B$39:$J$48,0,IF($AU30="Married",4,IF($AU30="Head of household",7,1))))*($AJ30-INDEX('How This Works &amp; Sources'!$B$39:$J$48,0,IF($AU30="Married",4,IF($AU30="Head of household",7,1))))*INDEX('How This Works &amp; Sources'!$B$39:$J$48,0,IF($AU30="Married",4,IF($AU30="Head of household",7,1))+2))-VLOOKUP($AN30,StateTables!$A$6:$AB$56,11,FALSE)*$AS30)/'Your Pay &amp; Benefits'!$C$8)+'Your Pay &amp; Benefits'!$C$25+VLOOKUP($AN30,StateTables!$A$6:$AB$56,13,FALSE)*$D30,2),IF(VLOOKUP($AN30,StateTables!$A$6:$AB$56,4,FALSE)="None",0,IF(ISNUMBER(SEARCH("MANUAL",VLOOKUP($AN30,StateTables!$A$6:$AB$56,5,FALSE))),'Your Pay &amp; Benefits'!$C$28,ROUND(MAX(0,$BA30+$BB30)/'Your Pay &amp; Benefits'!$C$8+'Your Pay &amp; Benefits'!$C$25+$BC30,2))))))</f>
      </c>
      <c r="U30" s="7">
        <f>IF($B30="","",IF(VLOOKUP($AN30,StateTables!$A$6:$AB$56,24,FALSE)="flatq",IF(OR(MONTH($B30)=1,MONTH($B30)=4,MONTH($B30)=7,MONTH($B30)=10),VLOOKUP($AN30,StateTables!$A$6:$AB$56,25,FALSE),0),IF(VLOOKUP($AN30,StateTables!$A$6:$AB$56,24,FALSE)="dbl",MIN(ROUND(0.005*$N30,2),ROUND(0.6*52/'Your Pay &amp; Benefits'!$C$8,2)),IF(OR(VLOOKUP($AN30,StateTables!$A$6:$AB$56,15,FALSE)="",VLOOKUP($AN30,StateTables!$A$6:$AB$56,15,FALSE)=0),0,ROUND(VLOOKUP($AN30,StateTables!$A$6:$AB$56,15,FALSE)*IF(OR(VLOOKUP($AN30,StateTables!$A$6:$AB$56,16,FALSE)="",VLOOKUP($AN30,StateTables!$A$6:$AB$56,16,FALSE)=0),$N30,MIN($N30,MAX(0,VLOOKUP($AN30,StateTables!$A$6:$AB$56,16,FALSE)-($AX30+$AB29-$AW30)))),2))))+IF(VLOOKUP($AN30,StateTables!$A$6:$AB$56,27,FALSE)="flatq",IF(OR(MONTH($B30)=1,MONTH($B30)=4,MONTH($B30)=7,MONTH($B30)=10),VLOOKUP($AN30,StateTables!$A$6:$AB$56,28,FALSE),0),IF(VLOOKUP($AN30,StateTables!$A$6:$AB$56,27,FALSE)="dbl",MIN(ROUND(0.005*$N30,2),ROUND(0.6*52/'Your Pay &amp; Benefits'!$C$8,2)),IF(OR(VLOOKUP($AN30,StateTables!$A$6:$AB$56,18,FALSE)="",VLOOKUP($AN30,StateTables!$A$6:$AB$56,18,FALSE)=0),0,ROUND(VLOOKUP($AN30,StateTables!$A$6:$AB$56,18,FALSE)*IF(OR(VLOOKUP($AN30,StateTables!$A$6:$AB$56,19,FALSE)="",VLOOKUP($AN30,StateTables!$A$6:$AB$56,19,FALSE)=0),$N30,MIN($N30,MAX(0,VLOOKUP($AN30,StateTables!$A$6:$AB$56,19,FALSE)-($AX30+$AB29-$AW30)))),2)))))</f>
      </c>
      <c r="V30" s="7">
        <f>IF($B30="","",IF($AN30="NY",IF('Your Pay &amp; Benefits'!$C$78,ROUND(SUMPRODUCT((MAX(0,($O30-$D30)*'Your Pay &amp; Benefits'!$C$8-(IF($AU30="Married",5500,5000)+1000*$AS30))&gt;INDEX('How This Works &amp; Sources'!$B$184:$J$198,0,4))*(MAX(0,($O30-$D30)*'Your Pay &amp; Benefits'!$C$8-(IF($AU30="Married",5500,5000)+1000*$AS30))-INDEX('How This Works &amp; Sources'!$B$184:$J$198,0,4))*INDEX('How This Works &amp; Sources'!$B$184:$J$198,0,4+2))/'Your Pay &amp; Benefits'!$C$8+0.0425*$D30,2),0)+IF('Your Pay &amp; Benefits'!$C$79="Resident",ROUND(0.1675*$T30,2),IF('Your Pay &amp; Benefits'!$C$79="Nonresident",ROUND(0.005*MAX(0,($O30-$D30)-(IF($AU30="Married",7950,7400)+1000*$AS30)/'Your Pay &amp; Benefits'!$C$8),2),0)),IF($AN30="PA",IF('Your Pay &amp; Benefits'!$C$80="None",'Your Pay &amp; Benefits'!$C$27+ROUND('Your Pay &amp; Benefits'!$C$81*($C30+$D30),2),ROUND(IF('Your Pay &amp; Benefits'!$C$80="Resident",IF($B30&lt;DATE(2026,7,1),0.0374,0.03735),IF($B30&lt;DATE(2026,7,1),0.0343,0.03425))*($C30+$D30),2)),IF($BF30=0,ROUND('Your Pay &amp; Benefits'!$C$81*($C30+$D30),2),'Your Pay &amp; Benefits'!$C$27+ROUND('Your Pay &amp; Benefits'!$C$81*($C30+$D30),2)))))</f>
      </c>
      <c r="W30" s="7">
        <f>IF($B30="","",IF($BF30=0,0,$BP30))</f>
      </c>
      <c r="X30" s="7">
        <f>IF($B30="","",SUM($E30:$K30)+$P30+$Q30+$R30+$S30+$T30+$U30+$V30+$W30)</f>
      </c>
      <c r="Y30" s="22">
        <f>IF($B30="","",$C30+$D30-$X30)</f>
      </c>
      <c r="Z30" s="7">
        <f>IF($B30="","",$Z29+$C30+$D30)</f>
      </c>
      <c r="AA30" s="7">
        <f>IF($B30="","",$AA29+$Y30)</f>
      </c>
      <c r="AB30" s="7">
        <f>IF($B30="","",$AB29+MIN($N30,MAX(0,'How This Works &amp; Sources'!$C$3-($AX30+$AB29-$AW30))))</f>
      </c>
      <c r="AC30" s="7">
        <f>IF($B30="","",$AC29+$E30+$F30)</f>
      </c>
      <c r="AD30" s="3">
        <f>IF($B30="","",IF(AND($AB29&lt;'How This Works &amp; Sources'!$C$3,$AB30&gt;='How This Works &amp; Sources'!$C$3),"★ Social Security maxed on this check — from the next check your net rises by about $"&amp;TEXT(ROUND('How This Works &amp; Sources'!$C$4*$N30,2),"#,##0.00")&amp;". ","")&amp;IF(AND($AC29&lt;'Your Pay &amp; Benefits'!$C$34,$AC30&gt;='Your Pay &amp; Benefits'!$C$34),"★ 401(k) reaches the $"&amp;TEXT('Your Pay &amp; Benefits'!$C$34,"#,##0")&amp;" cap on this check — deferrals stop and net pay rises. ","")&amp;IF(AND($AG29&lt;'How This Works &amp; Sources'!$C$7,$AG30&gt;='How This Works &amp; Sources'!$C$7),"★ Wages pass $200,000 — the 0.9% Additional Medicare Tax starts here. ","")&amp;IF(AND($BJ30&gt;0,$H30&gt;0,$BG29&lt;MIN($BJ30,'How This Works &amp; Sources'!$C$13),$BG29+$H30&gt;=MIN($BJ30,'How This Works &amp; Sources'!$C$13)),"★ Health FSA election is now fully deferred for the year. ",""))</f>
      </c>
      <c r="AE30" s="41" t="n"/>
      <c r="AF30" s="7">
        <f>IF(OR($B30="",$AE30=""),"",$AE30-$Y30)</f>
      </c>
      <c r="AG30" s="7">
        <f>IF($B30="","",$AG29+$N30)</f>
      </c>
      <c r="AH30" s="7">
        <f>IF($B30="","",MAX(0,($M30-$D30)*'Your Pay &amp; Benefits'!$C$8+$AP30-$AQ30-IF('Your Pay &amp; Benefits'!$C$13,0,IF('Your Pay &amp; Benefits'!$C$12="MFJ",'How This Works &amp; Sources'!$C$8,'How This Works &amp; Sources'!$C$9))))</f>
      </c>
      <c r="AI30" s="7">
        <f>IF($B30="","",$O30*'Your Pay &amp; Benefits'!$C$8)</f>
      </c>
      <c r="AJ30" s="7">
        <f>IF($B30="","",MAX(0,$AI30-VLOOKUP($AN30,StateTables!$A$6:$AB$56,12,FALSE)*$AT30-IF(($AS30+$AT30)&gt;=2,VLOOKUP($AN30,StateTables!$A$6:$AB$56,8,FALSE),VLOOKUP($AN30,StateTables!$A$6:$AB$56,7,FALSE))))</f>
      </c>
      <c r="AK30" s="7">
        <f>IF($B30="","",IFERROR(LOOKUP(2,1/(('Changes &amp; Events'!$C$6:$C$17="Salary change")*('Changes &amp; Events'!$B$6:$B$17&lt;=$B30)*('Changes &amp; Events'!$B$6:$B$17&lt;&gt;"")),'Changes &amp; Events'!$D$6:$D$17),IF('Your Pay &amp; Benefits'!$C$4="Annual salary",'Your Pay &amp; Benefits'!$C$5,'Your Pay &amp; Benefits'!$C$6)))</f>
      </c>
      <c r="AL30">
        <f>IF($B30="","",IFERROR(LOOKUP(2,1/(('Changes &amp; Events'!$C$6:$C$17="401(k) change")*('Changes &amp; Events'!$B$6:$B$17&lt;=$B30)*('Changes &amp; Events'!$B$6:$B$17&lt;&gt;"")),'Changes &amp; Events'!$D$6:$D$17),'Your Pay &amp; Benefits'!$C$30))</f>
      </c>
      <c r="AM30" s="7">
        <f>IF($B30="","",IFERROR(LOOKUP(2,1/(('Changes &amp; Events'!$C$6:$C$17="401(k) change")*('Changes &amp; Events'!$B$6:$B$17&lt;=$B30)*('Changes &amp; Events'!$B$6:$B$17&lt;&gt;"")),'Changes &amp; Events'!$E$6:$E$17),'Your Pay &amp; Benefits'!$D$31))</f>
      </c>
      <c r="AN30">
        <f>IF($B30="","",IFERROR(LOOKUP(2,1/(('Changes &amp; Events'!$C$6:$C$17="State move")*('Changes &amp; Events'!$B$6:$B$17&lt;=$B30)*('Changes &amp; Events'!$B$6:$B$17&lt;&gt;"")),'Changes &amp; Events'!$D$6:$D$17),'Your Pay &amp; Benefits'!$C$21))</f>
      </c>
      <c r="AO30" s="7">
        <f>IF($B30="","",IFERROR(LOOKUP(2,1/(('Changes &amp; Events'!$C$6:$C$17="W-4 change")*('Changes &amp; Events'!$B$6:$B$17&lt;=$B30)*('Changes &amp; Events'!$B$6:$B$17&lt;&gt;"")),'Changes &amp; Events'!$D$6:$D$17),'Your Pay &amp; Benefits'!$C$14))</f>
      </c>
      <c r="AP30" s="7">
        <f>IF($B30="","",IFERROR(LOOKUP(2,1/(('Changes &amp; Events'!$C$6:$C$17="W-4 change")*('Changes &amp; Events'!$B$6:$B$17&lt;=$B30)*('Changes &amp; Events'!$B$6:$B$17&lt;&gt;"")),'Changes &amp; Events'!$E$6:$E$17),'Your Pay &amp; Benefits'!$C$15))</f>
      </c>
      <c r="AQ30" s="7">
        <f>IF($B30="","",IFERROR(LOOKUP(2,1/(('Changes &amp; Events'!$C$6:$C$17="W-4 change")*('Changes &amp; Events'!$B$6:$B$17&lt;=$B30)*('Changes &amp; Events'!$B$6:$B$17&lt;&gt;"")),'Changes &amp; Events'!$F$6:$F$17),'Your Pay &amp; Benefits'!$C$16))</f>
      </c>
      <c r="AR30" s="7">
        <f>IF($B30="","",IFERROR(LOOKUP(2,1/(('Changes &amp; Events'!$C$6:$C$17="W-4 change")*('Changes &amp; Events'!$B$6:$B$17&lt;=$B30)*('Changes &amp; Events'!$B$6:$B$17&lt;&gt;"")),'Changes &amp; Events'!$G$6:$G$17),'Your Pay &amp; Benefits'!$C$17))</f>
      </c>
      <c r="AS30" s="6">
        <f>IF($B30="","",IFERROR(LOOKUP(2,1/((('Changes &amp; Events'!$C$6:$C$17="State move")+('Changes &amp; Events'!$C$6:$C$17="State cert change"))*('Changes &amp; Events'!$B$6:$B$17&lt;=$B30)*('Changes &amp; Events'!$B$6:$B$17&lt;&gt;"")),'Changes &amp; Events'!$F$6:$F$17),'Your Pay &amp; Benefits'!$C$23))</f>
      </c>
      <c r="AT30" s="6">
        <f>IF($B30="","",IFERROR(LOOKUP(2,1/((('Changes &amp; Events'!$C$6:$C$17="State move")+('Changes &amp; Events'!$C$6:$C$17="State cert change"))*('Changes &amp; Events'!$B$6:$B$17&lt;=$B30)*('Changes &amp; Events'!$B$6:$B$17&lt;&gt;"")),'Changes &amp; Events'!$G$6:$G$17),'Your Pay &amp; Benefits'!$C$24))</f>
      </c>
      <c r="AU30">
        <f>IF($B30="","",IFERROR(LOOKUP(2,1/(('Changes &amp; Events'!$C$6:$C$17="State move")*('Changes &amp; Events'!$B$6:$B$17&lt;=$B30)*('Changes &amp; Events'!$B$6:$B$17&lt;&gt;"")),'Changes &amp; Events'!$E$6:$E$17),'Your Pay &amp; Benefits'!$C$22))</f>
      </c>
      <c r="AV30" s="6">
        <f>IF($B30="","",1+COUNTIFS('Changes &amp; Events'!$C$6:$C$17,"Employer change",'Changes &amp; Events'!$B$6:$B$17,"&lt;="&amp;$B30,'Changes &amp; Events'!$B$6:$B$17,"&lt;&gt;"))</f>
      </c>
      <c r="AW30" s="7">
        <f>IF($B30="","",IF($AV30=1,'Your Pay &amp; Benefits'!$C$49,IF(IFERROR(MATCH(IFERROR(LOOKUP(2,1/(('Changes &amp; Events'!$C$6:$C$17="Employer change")*('Changes &amp; Events'!$B$6:$B$17&lt;=$B30)*('Changes &amp; Events'!$B$6:$B$17&lt;&gt;"")),'Changes &amp; Events'!$B$6:$B$17),""),$B$6:$B$68,1),1)&lt;=1,'Your Pay &amp; Benefits'!$C$49,INDEX($AB$6:$AB$68,MATCH(IFERROR(LOOKUP(2,1/(('Changes &amp; Events'!$C$6:$C$17="Employer change")*('Changes &amp; Events'!$B$6:$B$17&lt;=$B30)*('Changes &amp; Events'!$B$6:$B$17&lt;&gt;"")),'Changes &amp; Events'!$B$6:$B$17),""),$B$6:$B$68,1)-1))))</f>
      </c>
      <c r="AX30" s="7">
        <f>IF($B30="","",IF($AV30=1,'Your Pay &amp; Benefits'!$C$49,IFERROR(LOOKUP(2,1/(('Changes &amp; Events'!$C$6:$C$17="Employer change")*('Changes &amp; Events'!$B$6:$B$17&lt;=$B30)*('Changes &amp; Events'!$B$6:$B$17&lt;&gt;"")),'Changes &amp; Events'!$D$6:$D$17),0)))</f>
      </c>
      <c r="AY30" s="7">
        <f>IF($B30="","",($O30-$D30)*'Your Pay &amp; Benefits'!$C$8)</f>
      </c>
      <c r="AZ30" s="7">
        <f>IF($B30="","",IF($AN30="AL",MAX(0,$AY30-IF($AU30="Married",IF($AY30&lt;=25999,8500,MAX(5000,8500-175*CEILING(($AY30-25999)/500,1))),IF($AU30="Head of household",IF($AY30&lt;=25999,5200,MAX(2500,5200-135*CEILING(($AY30-25999)/500,1))),IF($AY30&lt;=25999,3000,MAX(2500,3000-25*CEILING(($AY30-25999)/500,1)))))-($P30-'How This Works &amp; Sources'!$C$10*$D30)*'Your Pay &amp; Benefits'!$C$8-IF(OR($AU30="Married",$AU30="Head of household"),3000,1500)-$AT30*IF($AY30&lt;=50000,1000,IF($AY30&lt;=100000,500,300))),IF($AN30="AR",IF(MAX(0,$AY30-2470)&lt;97701,INT(MAX(0,$AY30-2470)/100)*100+50,MAX(0,$AY30-2470)),IF($AN30="DE",MAX(0,$AI30-3250),IF($AN30="HI",MAX(0,$AI30-1144*$AS30-4350),IF($AN30="KS",MAX(0,$AI30-(9160*IF($AU30="Married",2,1)+2320*$AT30+IF($AU30="Head of household",2320,0))),IF($AN30="MD",MAX(0,$AI30-3400-3200*$AS30),IF($AN30="MN",MAX(0,$AY30-5300*$AS30),IF($AN30="MO",MAX(0,$AI30-IF($AU30="Head of household",24150,IF($AU30="Married",IF('Your Pay &amp; Benefits'!$C$83,16100,32200),16100))),IF($AN30="MT",$AY30,IF($AN30="ND",($C30+$L30)*'Your Pay &amp; Benefits'!$C$8,IF($AN30="NE",MAX(0,$AY30-2440*$AS30),IF($AN30="NJ",MAX(0,$AY30-1000*$AS30),IF($AN30="NY",MAX(0,$AY30-(IF($AU30="Married",7950,7400)+1000*$AS30)),IF($AN30="OH",MAX(0,$AY30-650*$AS30),IF($AN30="OK",MAX(0,$AY30-1000*$AS30),IF($AN30="RI",MAX(0,$AI30-1000*$AS30),IF($AN30="SC",MAX(0,$AI30-5000*$AS30-IF($AS30=0,0,MIN(0.1*$AI30,7500))),IF($AN30="VA",MAX(0,$AI30-IF($AU30="Married",17500,8750)-930*$AS30-800*$AT30),IF($AN30="VT",MAX(0,$AI30-5400*$AS30),IF($AN30="WI",MAX(0,$AI30-MAX(0,IF($AU30="Married",9461-0.2*MAX(0,$AI30-25727),6702-0.12*MAX(0,$AI30-17780)))-400*$AS30),IF($AN30="WV",MAX(0,$AI30-2000*$AS30),$AI30))))))))))))))))))))))</f>
      </c>
      <c r="BA30" s="7">
        <f>IF($B30="","",IF($BW30&lt;&gt;"",$BW30,IF($BX30&lt;&gt;"",$BX30,IF($BY30&lt;&gt;"",$BY30,0))))</f>
      </c>
      <c r="BB30" s="7">
        <f>IF($B30="","",IF($AN30="AR",-29*$AS30,IF($AN30="DE",-110*$AS30,IF($AN30="MD",$AZ30*'Your Pay &amp; Benefits'!$C$74,IF($AN30="AZ",'Your Pay &amp; Benefits'!$C$82*($M30-$D30)*'Your Pay &amp; Benefits'!$C$8,IF($AN30="CO",0.044*MAX(0,$AY30-IF($AU30="Married",10000,5000)),IF($AN30="IA",MAX(0,0.038*MAX(0,$AY30-IF($AU30="Head of household",19500,IF($AU30="Married",26000,13000)))-40*$AS30),IF($AN30="ID",0.053*MAX(0,$AY30-IF($AU30="Married",32000,16094)),IF($AN30="IL",0.0495*MAX(0,$AY30-(2925*$AS30+1000*$AT30)),IF($AN30="IN",(0.0295+'Your Pay &amp; Benefits'!$C$76)*MAX(0,$AY30-(1000*$AS30+1500*$AT30+3000*'Your Pay &amp; Benefits'!$C$86)),IF($AN30="KY",0.035*MAX(0,$AI30-3360),IF($AN30="LA",IF('Your Pay &amp; Benefits'!$C$84="0",0.0309*$AI30,0.0309*MAX(0,$AI30-IF('Your Pay &amp; Benefits'!$C$84="2",25750,12875))),IF($AN30="MA",0.05*MIN(MAX(0,$AY30-MIN(($BD29+$Q30+$R30+$S30),2000)-IF($AS30=0,0,IF($AS30=1,4400,1000*$AS30+3400))),1107750)+0.09*MAX(0,MAX(0,$AY30-MIN(($BD29+$Q30+$R30+$S30),2000)-IF($AS30=0,0,IF($AS30=1,4400,1000*$AS30+3400)))-1107750)-IF($AU30="Head of household",120,0)-110*'Your Pay &amp; Benefits'!$C$75,IF($AN30="MI",0.0425*MAX(0,$AY30-5900*$AS30),IF($AN30="MS",0.04*MAX(0,$AI30-IF($AU30="Head of household",3400,IF($AU30="Married",4600,2300))-'Your Pay &amp; Benefits'!$C$85-10000),IF($AN30="OR",IF(OR($AU30="Married",AND($AU30="Single",$AS30&gt;=3)),SUMPRODUCT((MAX(0,$AY30-MIN(($P30-'How This Works &amp; Sources'!$C$10*$D30)*'Your Pay &amp; Benefits'!$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Sources'!$B$211:$J$214,0,4))*(MAX(0,$AY30-MIN(($P30-'How This Works &amp; Sources'!$C$10*$D30)*'Your Pay &amp; Benefits'!$C$8,IF(OR($AU30="Married",AND($AU30="Single",$AS30&gt;=3)),IF($AY30&lt;250000,8750,IF($AY30&lt;260000,7000,IF($AY30&lt;270000,5250,IF($AY30&lt;280000,3500,IF($AY30&lt;290000,1750,0))))),IF($AY30&lt;125000,8750,IF($AY30&lt;130000,7000,IF($AY30&lt;135000,5250,IF($AY30&lt;140000,3500,IF($AY30&lt;145000,1750,0)))))))-IF(OR($AU30="Married",AND($AU30="Single",$AS30&gt;=3)),5820,2910))-INDEX('How This Works &amp; Sources'!$B$211:$J$214,0,4))*INDEX('How This Works &amp; Sources'!$B$211:$J$214,0,4+2)),SUMPRODUCT((MAX(0,$AY30-MIN(($P30-'How This Works &amp; Sources'!$C$10*$D30)*'Your Pay &amp; Benefits'!$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Sources'!$B$211:$J$214,0,1))*(MAX(0,$AY30-MIN(($P30-'How This Works &amp; Sources'!$C$10*$D30)*'Your Pay &amp; Benefits'!$C$8,IF(OR($AU30="Married",AND($AU30="Single",$AS30&gt;=3)),IF($AY30&lt;250000,8750,IF($AY30&lt;260000,7000,IF($AY30&lt;270000,5250,IF($AY30&lt;280000,3500,IF($AY30&lt;290000,1750,0))))),IF($AY30&lt;125000,8750,IF($AY30&lt;130000,7000,IF($AY30&lt;135000,5250,IF($AY30&lt;140000,3500,IF($AY30&lt;145000,1750,0)))))))-IF(OR($AU30="Married",AND($AU30="Single",$AS30&gt;=3)),5820,2910))-INDEX('How This Works &amp; Sources'!$B$211:$J$214,0,1))*INDEX('How This Works &amp; Sources'!$B$211:$J$214,0,1+2)))+263-263*IF(IF($AU30="Married",$AY30&gt;200000,$AY30&gt;100000),0,$AS30),IF($AN30="PA",0.0307*(($O30+$E30+$G30)*'Your Pay &amp; Benefits'!$C$8),IF($AN30="NY",IF($AU30="Married",IF($AZ30&gt;=2155350,0,IF($AZ30&gt;=1077550,0.48,IF($AZ30&gt;=373200,1.21,IF($AZ30&gt;=323200,0.21,IF($AZ30&gt;=211550,-0.19,IF($AZ30&gt;=157650,-2.8,IF($AZ30&gt;=107650,-0.8,IF($AZ30&gt;=96800,0.05,IF($AZ30&gt;=80650,-0.1,IF($AZ30&gt;=13900,0.4,IF($AZ30&gt;=11700,-0.3,IF($AZ30&gt;=8500,0.5,0)))))))))))),IF($AZ30&gt;=1077550,0,IF($AZ30&gt;=265400,4.29,IF($AZ30&gt;=215400,2.29,IF($AZ30&gt;=157650,2.29,IF($AZ30&gt;=107650,0.29,IF($AZ30&gt;=96800,0.05,IF($AZ30&gt;=80650,-0.1,IF($AZ30&gt;=13900,0.4,IF($AZ30&gt;=11700,-0.3,IF($AZ30&gt;=8500,0.5,0))))))))))),0))))))))))))))))))</f>
      </c>
      <c r="BC30" s="7">
        <f>IF($B30="","",IF($AN30="AL",0.05*$D30,IF($AN30="AR",0.039*$D30,IF($AN30="ID",0.053*$D30,IF($AN30="IN",(0.0295+'Your Pay &amp; Benefits'!$C$76)*$D30,IF($AN30="KS",0.05*$D30,IF($AN30="MA",0.09*MIN($D30,MAX(0,MAX(0,$AY30-MIN(($BD29+$Q30+$R30+$S30),2000)-IF($AS30=0,0,IF($AS30=1,4400,1000*$AS30+3400)))+$D30-1107750))+0.05*($D30-MIN($D30,MAX(0,MAX(0,$AY30-MIN(($BD29+$Q30+$R30+$S30),2000)-IF($AS30=0,0,IF($AS30=1,4400,1000*$AS30+3400)))+$D30-1107750))),IF($AN30="MD",(0.065+'Your Pay &amp; Benefits'!$C$74)*$D30,IF($AN30="MI",0.0425*$D30,IF($AN30="MN",0.0625*$D30,IF($AN30="MO",0.047*$D30,IF($AN30="MT",0.05*$D30,IF($AN30="ND",0.015*$D30,IF($AN30="NE",0.035*$D30,IF($AN30="NJ",IF('Your Pay &amp; Benefits'!$C$77="B",SUMPRODUCT(($D30*'Your Pay &amp; Benefits'!$C$8&gt;INDEX('How This Works &amp; Sources'!$B$155:$J$162,0,4))*($D30*'Your Pay &amp; Benefits'!$C$8-INDEX('How This Works &amp; Sources'!$B$155:$J$162,0,4))*INDEX('How This Works &amp; Sources'!$B$155:$J$162,0,4+2)),IF('Your Pay &amp; Benefits'!$C$77="C",SUMPRODUCT(($D30*'Your Pay &amp; Benefits'!$C$8&gt;INDEX('How This Works &amp; Sources'!$B$155:$J$162,0,7))*($D30*'Your Pay &amp; Benefits'!$C$8-INDEX('How This Works &amp; Sources'!$B$155:$J$162,0,7))*INDEX('How This Works &amp; Sources'!$B$155:$J$162,0,7+2)),IF('Your Pay &amp; Benefits'!$C$77="D",SUMPRODUCT(($D30*'Your Pay &amp; Benefits'!$C$8&gt;INDEX('How This Works &amp; Sources'!$B$167:$J$179,0,1))*($D30*'Your Pay &amp; Benefits'!$C$8-INDEX('How This Works &amp; Sources'!$B$167:$J$179,0,1))*INDEX('How This Works &amp; Sources'!$B$167:$J$179,0,1+2)),IF('Your Pay &amp; Benefits'!$C$77="E",SUMPRODUCT(($D30*'Your Pay &amp; Benefits'!$C$8&gt;INDEX('How This Works &amp; Sources'!$B$167:$J$179,0,4))*($D30*'Your Pay &amp; Benefits'!$C$8-INDEX('How This Works &amp; Sources'!$B$167:$J$179,0,4))*INDEX('How This Works &amp; Sources'!$B$167:$J$179,0,4+2)),SUMPRODUCT(($D30*'Your Pay &amp; Benefits'!$C$8&gt;INDEX('How This Works &amp; Sources'!$B$155:$J$162,0,1))*($D30*'Your Pay &amp; Benefits'!$C$8-INDEX('How This Works &amp; Sources'!$B$155:$J$162,0,1))*INDEX('How This Works &amp; Sources'!$B$155:$J$162,0,1+2))))))/'Your Pay &amp; Benefits'!$C$8,IF($AN30="NY",0.117*$D30,IF($AN30="OH",0.0275*$D30,IF($AN30="OK",0.045*$D30,IF($AN30="OR",0.08*$D30,IF($AN30="WI",IF($AY30&lt;12760,0.0354,IF($AY30&lt;25520,0.0465,IF($AY30&lt;280950,0.053,0.0765)))*$D30,0))))))))))))))))))))</f>
      </c>
      <c r="BD30" s="7">
        <f>IF($B30="","",$BD29+$Q30+$R30+$S30)</f>
      </c>
      <c r="BE30" s="6">
        <f>IF($B30="",$BE29,$BE29+$BF30)</f>
      </c>
      <c r="BF30" s="6">
        <f>IF($B30="","",IF(AND(IF(YEAR(IF('Your Pay &amp; Benefits'!$C$7="Weekly",'Your Pay &amp; Benefits'!$C$9+7*(($BE29+1)-1),IF('Your Pay &amp; Benefits'!$C$7="Biweekly",'Your Pay &amp; Benefits'!$C$9+14*(($BE29+1)-1),IF('Your Pay &amp; Benefits'!$C$7="Semimonthly",DATE(YEAR('Your Pay &amp; Benefits'!$C$9),MONTH('Your Pay &amp; Benefits'!$C$9)+INT((($BE29+1)-1)/2),MIN(DAY('Your Pay &amp; Benefits'!$C$9),DAY(EOMONTH(DATE(YEAR('Your Pay &amp; Benefits'!$C$9),MONTH('Your Pay &amp; Benefits'!$C$9)+INT((($BE29+1)-1)/2),1),0))))+IF(MOD(($BE29+1)-1,2)=1,15,0),EDATE('Your Pay &amp; Benefits'!$C$9,($BE29+1)-1)))))&lt;&gt;'Your Pay &amp; Benefits'!$C$10,"",IF('Your Pay &amp; Benefits'!$C$7="Weekly",'Your Pay &amp; Benefits'!$C$9+7*(($BE29+1)-1),IF('Your Pay &amp; Benefits'!$C$7="Biweekly",'Your Pay &amp; Benefits'!$C$9+14*(($BE29+1)-1),IF('Your Pay &amp; Benefits'!$C$7="Semimonthly",DATE(YEAR('Your Pay &amp; Benefits'!$C$9),MONTH('Your Pay &amp; Benefits'!$C$9)+INT((($BE29+1)-1)/2),MIN(DAY('Your Pay &amp; Benefits'!$C$9),DAY(EOMONTH(DATE(YEAR('Your Pay &amp; Benefits'!$C$9),MONTH('Your Pay &amp; Benefits'!$C$9)+INT((($BE29+1)-1)/2),1),0))))+IF(MOD(($BE29+1)-1,2)=1,15,0),EDATE('Your Pay &amp; Benefits'!$C$9,($BE29+1)-1)))))&lt;&gt;"",$B30=IF(YEAR(IF('Your Pay &amp; Benefits'!$C$7="Weekly",'Your Pay &amp; Benefits'!$C$9+7*(($BE29+1)-1),IF('Your Pay &amp; Benefits'!$C$7="Biweekly",'Your Pay &amp; Benefits'!$C$9+14*(($BE29+1)-1),IF('Your Pay &amp; Benefits'!$C$7="Semimonthly",DATE(YEAR('Your Pay &amp; Benefits'!$C$9),MONTH('Your Pay &amp; Benefits'!$C$9)+INT((($BE29+1)-1)/2),MIN(DAY('Your Pay &amp; Benefits'!$C$9),DAY(EOMONTH(DATE(YEAR('Your Pay &amp; Benefits'!$C$9),MONTH('Your Pay &amp; Benefits'!$C$9)+INT((($BE29+1)-1)/2),1),0))))+IF(MOD(($BE29+1)-1,2)=1,15,0),EDATE('Your Pay &amp; Benefits'!$C$9,($BE29+1)-1)))))&lt;&gt;'Your Pay &amp; Benefits'!$C$10,"",IF('Your Pay &amp; Benefits'!$C$7="Weekly",'Your Pay &amp; Benefits'!$C$9+7*(($BE29+1)-1),IF('Your Pay &amp; Benefits'!$C$7="Biweekly",'Your Pay &amp; Benefits'!$C$9+14*(($BE29+1)-1),IF('Your Pay &amp; Benefits'!$C$7="Semimonthly",DATE(YEAR('Your Pay &amp; Benefits'!$C$9),MONTH('Your Pay &amp; Benefits'!$C$9)+INT((($BE29+1)-1)/2),MIN(DAY('Your Pay &amp; Benefits'!$C$9),DAY(EOMONTH(DATE(YEAR('Your Pay &amp; Benefits'!$C$9),MONTH('Your Pay &amp; Benefits'!$C$9)+INT((($BE29+1)-1)/2),1),0))))+IF(MOD(($BE29+1)-1,2)=1,15,0),EDATE('Your Pay &amp; Benefits'!$C$9,($BE29+1)-1)))))),1,0))</f>
      </c>
      <c r="BG30" s="7">
        <f>IF($B30="","",$BG29+$H30)</f>
      </c>
      <c r="BH30" s="7">
        <f>IF($B30="","",$BH29+$I30)</f>
      </c>
      <c r="BI30" s="7">
        <f>IF($B30="","",$BI29+$G30)</f>
      </c>
      <c r="BJ30" s="7">
        <f>IF($B30="","",IFERROR(LOOKUP(2,1/(((('Changes &amp; Events'!$C$6:$C$17="Deduction start"))*('Changes &amp; Events'!$D$6:$D$17="Health FSA"))*('Changes &amp; Events'!$B$6:$B$17&lt;=$B30)*('Changes &amp; Events'!$B$6:$B$17&lt;&gt;"")),'Changes &amp; Events'!$E$6:$E$17),'Your Pay &amp; Benefits'!$D$38))</f>
      </c>
      <c r="BK30" s="7">
        <f>IF($B30="","",IFERROR(LOOKUP(2,1/(((('Changes &amp; Events'!$C$6:$C$17="Deduction start"))*('Changes &amp; Events'!$D$6:$D$17="Dependent-care FSA"))*('Changes &amp; Events'!$B$6:$B$17&lt;=$B30)*('Changes &amp; Events'!$B$6:$B$17&lt;&gt;"")),'Changes &amp; Events'!$E$6:$E$17),'Your Pay &amp; Benefits'!$D$39))</f>
      </c>
      <c r="BL30" s="7">
        <f>IF($B30="","",IFERROR(LOOKUP(2,1/(((('Changes &amp; Events'!$C$6:$C$17="Deduction start")+('Changes &amp; Events'!$C$6:$C$17="Deduction stop"))*('Changes &amp; Events'!$D$6:$D$17="HSA"))*('Changes &amp; Events'!$B$6:$B$17&lt;=$B30)*('Changes &amp; Events'!$B$6:$B$17&lt;&gt;"")),'Changes &amp; Events'!$I$6:$I$17),'Your Pay &amp; Benefits'!$D$35))</f>
      </c>
      <c r="BM30" s="7">
        <f>IF($B30="","",IFERROR(LOOKUP(2,1/(((('Changes &amp; Events'!$C$6:$C$17="Deduction start")+('Changes &amp; Events'!$C$6:$C$17="Deduction stop"))*('Changes &amp; Events'!$D$6:$D$17="Premiums"))*('Changes &amp; Events'!$B$6:$B$17&lt;=$B30)*('Changes &amp; Events'!$B$6:$B$17&lt;&gt;"")),'Changes &amp; Events'!$I$6:$I$17),'Your Pay &amp; Benefits'!$D$40+'Your Pay &amp; Benefits'!$D$41+'Your Pay &amp; Benefits'!$D$42))</f>
      </c>
      <c r="BN30" s="7">
        <f>IF($B30="","",IFERROR(LOOKUP(2,1/(((('Changes &amp; Events'!$C$6:$C$17="Deduction start")+('Changes &amp; Events'!$C$6:$C$17="Deduction stop"))*('Changes &amp; Events'!$D$6:$D$17="Commuter"))*('Changes &amp; Events'!$B$6:$B$17&lt;=$B30)*('Changes &amp; Events'!$B$6:$B$17&lt;&gt;"")),'Changes &amp; Events'!$I$6:$I$17),'Your Pay &amp; Benefits'!$D$43))</f>
      </c>
      <c r="BO30" s="7">
        <f>IF($B30="","",IFERROR(LOOKUP(2,1/(((('Changes &amp; Events'!$C$6:$C$17="Deduction start")+('Changes &amp; Events'!$C$6:$C$17="Deduction stop"))*('Changes &amp; Events'!$D$6:$D$17="Other pre-tax"))*('Changes &amp; Events'!$B$6:$B$17&lt;=$B30)*('Changes &amp; Events'!$B$6:$B$17&lt;&gt;"")),'Changes &amp; Events'!$I$6:$I$17),'Your Pay &amp; Benefits'!$D$44))</f>
      </c>
      <c r="BP30" s="7">
        <f>IF($B30="","",IFERROR(LOOKUP(2,1/(((('Changes &amp; Events'!$C$6:$C$17="Deduction start")+('Changes &amp; Events'!$C$6:$C$17="Deduction stop"))*('Changes &amp; Events'!$D$6:$D$17="Other post-tax"))*('Changes &amp; Events'!$B$6:$B$17&lt;=$B30)*('Changes &amp; Events'!$B$6:$B$17&lt;&gt;"")),'Changes &amp; Events'!$I$6:$I$17),'Your Pay &amp; Benefits'!$D$45))</f>
      </c>
      <c r="BQ30" s="6">
        <f>IF($B30="","",IFERROR(LOOKUP(2,1/(((('Changes &amp; Events'!$C$6:$C$17="Deduction start")+('Changes &amp; Events'!$C$6:$C$17="Deduction stop"))*('Changes &amp; Events'!$D$6:$D$17="Health FSA"))*('Changes &amp; Events'!$B$6:$B$17&lt;=$B30)*('Changes &amp; Events'!$B$6:$B$17&lt;&gt;"")),'Changes &amp; Events'!$J$6:$J$17),0))</f>
      </c>
      <c r="BR30" s="6">
        <f>IF($B30="","",IFERROR(LOOKUP(2,1/(((('Changes &amp; Events'!$C$6:$C$17="Deduction start")+('Changes &amp; Events'!$C$6:$C$17="Deduction stop"))*('Changes &amp; Events'!$D$6:$D$17="Dependent-care FSA"))*('Changes &amp; Events'!$B$6:$B$17&lt;=$B30)*('Changes &amp; Events'!$B$6:$B$17&lt;&gt;"")),'Changes &amp; Events'!$J$6:$J$17),0))</f>
      </c>
      <c r="BS30" s="6">
        <f>IF($B30="","",IF(SUMPRODUCT(('Changes &amp; Events'!$C$6:$C$17="Deduction start")*('Changes &amp; Events'!$B$6:$B$17&lt;=$B30)*('Changes &amp; Events'!$B$6:$B$17&lt;&gt;"")*('Changes &amp; Events'!$D$6:$D$17="Health FSA"))&gt;0,1,0))</f>
      </c>
      <c r="BT30" s="6">
        <f>IF($B30="","",IF(SUMPRODUCT(('Changes &amp; Events'!$C$6:$C$17="Deduction start")*('Changes &amp; Events'!$B$6:$B$17&lt;=$B30)*('Changes &amp; Events'!$B$6:$B$17&lt;&gt;"")*('Changes &amp; Events'!$D$6:$D$17="Dependent-care FSA"))&gt;0,1,0))</f>
      </c>
      <c r="BU30" s="24">
        <f>IF($B30="","",IF('Your Pay &amp; Benefits'!$C$13,SUMPRODUCT(($AH30&gt;=INDEX('How This Works &amp; Sources'!$B$29:$J$36,0,IF('Your Pay &amp; Benefits'!$C$12="MFJ",1,IF('Your Pay &amp; Benefits'!$C$12="HoH",7,4))))*INDEX('How This Works &amp; Sources'!$B$29:$J$36,0,IF('Your Pay &amp; Benefits'!$C$12="MFJ",1,IF('Your Pay &amp; Benefits'!$C$12="HoH",7,4))+2)),SUMPRODUCT(($AH30&gt;=INDEX('How This Works &amp; Sources'!$B$19:$J$26,0,IF('Your Pay &amp; Benefits'!$C$12="MFJ",1,IF('Your Pay &amp; Benefits'!$C$12="HoH",7,4))))*INDEX('How This Works &amp; Sources'!$B$19:$J$26,0,IF('Your Pay &amp; Benefits'!$C$12="MFJ",1,IF('Your Pay &amp; Benefits'!$C$12="HoH",7,4))+2))))</f>
      </c>
      <c r="BV30" s="24">
        <f>IF($B30="","",IF($BZ30&lt;&gt;"",$BZ30,IF($CA30&lt;&gt;"",$CA30,IF($CB30&lt;&gt;"",$CB30,IF($CC30&lt;&gt;"",$CC30,0)))))</f>
      </c>
      <c r="BW30" s="7">
        <f>IF($B30="","",IF($AN30="MD",IF(OR($AU30="Married",$AU30="Head of household"),SUMPRODUCT(($AZ30&gt;INDEX('How This Works &amp; Sources'!$B$114:$J$120,0,1))*($AZ30-INDEX('How This Works &amp; Sources'!$B$114:$J$120,0,1))*INDEX('How This Works &amp; Sources'!$B$114:$J$120,0,1+2)),SUMPRODUCT(($AZ30&gt;INDEX('How This Works &amp; Sources'!$B$103:$J$109,0,7))*($AZ30-INDEX('How This Works &amp; Sources'!$B$103:$J$109,0,7))*INDEX('How This Works &amp; Sources'!$B$103:$J$109,0,7+2))),IF($AN30="MO",SUMPRODUCT(($AZ30&gt;INDEX('How This Works &amp; Sources'!$B$125:$J$132,0,1))*($AZ30-INDEX('How This Works &amp; Sources'!$B$125:$J$132,0,1))*INDEX('How This Works &amp; Sources'!$B$125:$J$132,0,1+2)),IF($AN30="MT",IF($AU30="Head of household",SUMPRODUCT(($AZ30&gt;INDEX('How This Works &amp; Sources'!$B$137:$J$139,0,1))*($AZ30-INDEX('How This Works &amp; Sources'!$B$137:$J$139,0,1))*INDEX('How This Works &amp; Sources'!$B$137:$J$139,0,1+2)),IF($AU30="Married",SUMPRODUCT(($AZ30&gt;INDEX('How This Works &amp; Sources'!$B$125:$J$132,0,7))*($AZ30-INDEX('How This Works &amp; Sources'!$B$125:$J$132,0,7))*INDEX('How This Works &amp; Sources'!$B$125:$J$132,0,7+2)),SUMPRODUCT(($AZ30&gt;INDEX('How This Works &amp; Sources'!$B$125:$J$132,0,4))*($AZ30-INDEX('How This Works &amp; Sources'!$B$125:$J$132,0,4))*INDEX('How This Works &amp; Sources'!$B$125:$J$132,0,4+2)))),IF($AN30="ND",IF($AU30="Head of household",SUMPRODUCT(($AZ30&gt;INDEX('How This Works &amp; Sources'!$B$144:$J$150,0,1))*($AZ30-INDEX('How This Works &amp; Sources'!$B$144:$J$150,0,1))*INDEX('How This Works &amp; Sources'!$B$144:$J$150,0,1+2)),IF($AU30="Married",SUMPRODUCT(($AZ30&gt;INDEX('How This Works &amp; Sources'!$B$137:$J$139,0,7))*($AZ30-INDEX('How This Works &amp; Sources'!$B$137:$J$139,0,7))*INDEX('How This Works &amp; Sources'!$B$137:$J$139,0,7+2)),SUMPRODUCT(($AZ30&gt;INDEX('How This Works &amp; Sources'!$B$137:$J$139,0,4))*($AZ30-INDEX('How This Works &amp; Sources'!$B$137:$J$139,0,4))*INDEX('How This Works &amp; Sources'!$B$137:$J$139,0,4+2)))),IF($AN30="NJ",IF('Your Pay &amp; Benefits'!$C$77="B",SUMPRODUCT(($AZ30&gt;INDEX('How This Works &amp; Sources'!$B$155:$J$162,0,4))*($AZ30-INDEX('How This Works &amp; Sources'!$B$155:$J$162,0,4))*INDEX('How This Works &amp; Sources'!$B$155:$J$162,0,4+2)),IF('Your Pay &amp; Benefits'!$C$77="C",SUMPRODUCT(($AZ30&gt;INDEX('How This Works &amp; Sources'!$B$155:$J$162,0,7))*($AZ30-INDEX('How This Works &amp; Sources'!$B$155:$J$162,0,7))*INDEX('How This Works &amp; Sources'!$B$155:$J$162,0,7+2)),IF('Your Pay &amp; Benefits'!$C$77="D",SUMPRODUCT(($AZ30&gt;INDEX('How This Works &amp; Sources'!$B$167:$J$179,0,1))*($AZ30-INDEX('How This Works &amp; Sources'!$B$167:$J$179,0,1))*INDEX('How This Works &amp; Sources'!$B$167:$J$179,0,1+2)),IF('Your Pay &amp; Benefits'!$C$77="E",SUMPRODUCT(($AZ30&gt;INDEX('How This Works &amp; Sources'!$B$167:$J$179,0,4))*($AZ30-INDEX('How This Works &amp; Sources'!$B$167:$J$179,0,4))*INDEX('How This Works &amp; Sources'!$B$167:$J$179,0,4+2)),SUMPRODUCT(($AZ30&gt;INDEX('How This Works &amp; Sources'!$B$155:$J$162,0,1))*($AZ30-INDEX('How This Works &amp; Sources'!$B$155:$J$162,0,1))*INDEX('How This Works &amp; Sources'!$B$155:$J$162,0,1+2)))))),IF($AN30="NY",IF($AU30="Married",IF($AZ30&gt;=2155350,$AZ30*IF($AZ30&gt;25000000,0.117,IF($AZ30&gt;5000000,0.111,0.1045)),SUMPRODUCT(($AZ30&gt;INDEX('How This Works &amp; Sources'!$B$184:$J$198,0,1))*($AZ30-INDEX('How This Works &amp; Sources'!$B$184:$J$198,0,1))*INDEX('How This Works &amp; Sources'!$B$184:$J$198,0,1+2))),IF($AZ30&gt;=1077550,$AZ30*IF($AZ30&gt;25000000,0.117,IF($AZ30&gt;5000000,0.111,0.1045)),SUMPRODUCT(($AZ30&gt;INDEX('How This Works &amp; Sources'!$B$167:$J$179,0,7))*($AZ30-INDEX('How This Works &amp; Sources'!$B$167:$J$179,0,7))*INDEX('How This Works &amp; Sources'!$B$167:$J$179,0,7+2)))),"")))))))</f>
      </c>
      <c r="BX30" s="7">
        <f>IF($B30="","",IF($AN30="AL",IF(OR($AU30="Married",$AU30="Head of household"),SUMPRODUCT(($AZ30&gt;INDEX('How This Works &amp; Sources'!$B$82:$J$86,0,4))*($AZ30-INDEX('How This Works &amp; Sources'!$B$82:$J$86,0,4))*INDEX('How This Works &amp; Sources'!$B$82:$J$86,0,4+2)),SUMPRODUCT(($AZ30&gt;INDEX('How This Works &amp; Sources'!$B$82:$J$86,0,1))*($AZ30-INDEX('How This Works &amp; Sources'!$B$82:$J$86,0,1))*INDEX('How This Works &amp; Sources'!$B$82:$J$86,0,1+2))),IF($AN30="KS",IF($AU30="Married",SUMPRODUCT(($AZ30&gt;INDEX('How This Works &amp; Sources'!$B$103:$J$109,0,4))*($AZ30-INDEX('How This Works &amp; Sources'!$B$103:$J$109,0,4))*INDEX('How This Works &amp; Sources'!$B$103:$J$109,0,4+2)),SUMPRODUCT(($AZ30&gt;INDEX('How This Works &amp; Sources'!$B$103:$J$109,0,1))*($AZ30-INDEX('How This Works &amp; Sources'!$B$103:$J$109,0,1))*INDEX('How This Works &amp; Sources'!$B$103:$J$109,0,1+2))),IF($AN30="MN",IF($AU30="Married",SUMPRODUCT(($AZ30&gt;INDEX('How This Works &amp; Sources'!$B$114:$J$120,0,7))*($AZ30-INDEX('How This Works &amp; Sources'!$B$114:$J$120,0,7))*INDEX('How This Works &amp; Sources'!$B$114:$J$120,0,7+2)),SUMPRODUCT(($AZ30&gt;INDEX('How This Works &amp; Sources'!$B$114:$J$120,0,4))*($AZ30-INDEX('How This Works &amp; Sources'!$B$114:$J$120,0,4))*INDEX('How This Works &amp; Sources'!$B$114:$J$120,0,4+2))),IF($AN30="NE",MAX(IF($AU30="Married",SUMPRODUCT(($AZ30&gt;INDEX('How This Works &amp; Sources'!$B$144:$J$150,0,7))*($AZ30-INDEX('How This Works &amp; Sources'!$B$144:$J$150,0,7))*INDEX('How This Works &amp; Sources'!$B$144:$J$150,0,7+2)),SUMPRODUCT(($AZ30&gt;INDEX('How This Works &amp; Sources'!$B$144:$J$150,0,4))*($AZ30-INDEX('How This Works &amp; Sources'!$B$144:$J$150,0,4))*INDEX('How This Works &amp; Sources'!$B$144:$J$150,0,4+2))),0.015*$AZ30),IF($AN30="OH",IF($B30&gt;=DATE(2026,8,1),SUMPRODUCT(($AZ30&gt;INDEX('How This Works &amp; Sources'!$B$203:$J$206,0,1))*($AZ30-INDEX('How This Works &amp; Sources'!$B$203:$J$206,0,1))*INDEX('How This Works &amp; Sources'!$B$203:$J$206,0,1+2)),SUMPRODUCT(($AZ30&gt;INDEX('How This Works &amp; Sources'!$B$184:$J$198,0,7))*($AZ30-INDEX('How This Works &amp; Sources'!$B$184:$J$198,0,7))*INDEX('How This Works &amp; Sources'!$B$184:$J$198,0,7+2))),IF($AN30="OK",IF($AU30="Married",SUMPRODUCT(($AZ30&gt;INDEX('How This Works &amp; Sources'!$B$203:$J$206,0,7))*($AZ30-INDEX('How This Works &amp; Sources'!$B$203:$J$206,0,7))*INDEX('How This Works &amp; Sources'!$B$203:$J$206,0,7+2)),SUMPRODUCT(($AZ30&gt;INDEX('How This Works &amp; Sources'!$B$203:$J$206,0,4))*($AZ30-INDEX('How This Works &amp; Sources'!$B$203:$J$206,0,4))*INDEX('How This Works &amp; Sources'!$B$203:$J$206,0,4+2))),IF($AN30="RI",SUMPRODUCT(($AZ30&gt;INDEX('How This Works &amp; Sources'!$B$211:$J$214,0,7))*($AZ30-INDEX('How This Works &amp; Sources'!$B$211:$J$214,0,7))*INDEX('How This Works &amp; Sources'!$B$211:$J$214,0,7+2)),IF($AN30="VT",IF($AU30="Married",SUMPRODUCT(($AZ30&gt;INDEX('How This Works &amp; Sources'!$B$228:$J$232,0,1))*($AZ30-INDEX('How This Works &amp; Sources'!$B$228:$J$232,0,1))*INDEX('How This Works &amp; Sources'!$B$228:$J$232,0,1+2)),SUMPRODUCT(($AZ30&gt;INDEX('How This Works &amp; Sources'!$B$219:$J$223,0,7))*($AZ30-INDEX('How This Works &amp; Sources'!$B$219:$J$223,0,7))*INDEX('How This Works &amp; Sources'!$B$219:$J$223,0,7+2))),IF($AN30="WV",IF($AU30="Married",SUMPRODUCT(($AZ30&gt;INDEX('How This Works &amp; Sources'!$B$237:$J$241,0,7))*($AZ30-INDEX('How This Works &amp; Sources'!$B$237:$J$241,0,7))*INDEX('How This Works &amp; Sources'!$B$237:$J$241,0,7+2)),SUMPRODUCT(($AZ30&gt;INDEX('How This Works &amp; Sources'!$B$228:$J$232,0,7))*($AZ30-INDEX('How This Works &amp; Sources'!$B$228:$J$232,0,7))*INDEX('How This Works &amp; Sources'!$B$228:$J$232,0,7+2))),""))))))))))</f>
      </c>
      <c r="BY30" s="7">
        <f>IF($B30="","",IF($AN30="AR",SUMPRODUCT(($AZ30&gt;INDEX('How This Works &amp; Sources'!$B$82:$J$86,0,7))*($AZ30-INDEX('How This Works &amp; Sources'!$B$82:$J$86,0,7))*INDEX('How This Works &amp; Sources'!$B$82:$J$86,0,7+2)),IF($AN30="DE",SUMPRODUCT(($AZ30&gt;INDEX('How This Works &amp; Sources'!$B$91:$J$98,0,1))*($AZ30-INDEX('How This Works &amp; Sources'!$B$91:$J$98,0,1))*INDEX('How This Works &amp; Sources'!$B$91:$J$98,0,1+2)),IF($AN30="HI",IF($AU30="Married",SUMPRODUCT(($AZ30&gt;INDEX('How This Works &amp; Sources'!$B$91:$J$98,0,7))*($AZ30-INDEX('How This Works &amp; Sources'!$B$91:$J$98,0,7))*INDEX('How This Works &amp; Sources'!$B$91:$J$98,0,7+2)),SUMPRODUCT(($AZ30&gt;INDEX('How This Works &amp; Sources'!$B$91:$J$98,0,4))*($AZ30-INDEX('How This Works &amp; Sources'!$B$91:$J$98,0,4))*INDEX('How This Works &amp; Sources'!$B$91:$J$98,0,4+2))),IF($AN30="SC",SUMPRODUCT(($AZ30&gt;INDEX('How This Works &amp; Sources'!$B$219:$J$223,0,1))*($AZ30-INDEX('How This Works &amp; Sources'!$B$219:$J$223,0,1))*INDEX('How This Works &amp; Sources'!$B$219:$J$223,0,1+2)),IF($AN30="VA",SUMPRODUCT(($AZ30&gt;INDEX('How This Works &amp; Sources'!$B$219:$J$223,0,4))*($AZ30-INDEX('How This Works &amp; Sources'!$B$219:$J$223,0,4))*INDEX('How This Works &amp; Sources'!$B$219:$J$223,0,4+2)),IF($AN30="WI",SUMPRODUCT(($AZ30&gt;INDEX('How This Works &amp; Sources'!$B$228:$J$232,0,4))*($AZ30-INDEX('How This Works &amp; Sources'!$B$228:$J$232,0,4))*INDEX('How This Works &amp; Sources'!$B$228:$J$232,0,4+2)),"")))))))</f>
      </c>
      <c r="BZ30" s="24">
        <f>IF($B30="","",IF($AN30="NJ",IF('Your Pay &amp; Benefits'!$C$77="B",SUMPRODUCT(($AZ30&gt;=INDEX('How This Works &amp; Sources'!$B$155:$J$162,0,4))*INDEX('How This Works &amp; Sources'!$B$155:$J$162,0,4+2)),IF('Your Pay &amp; Benefits'!$C$77="C",SUMPRODUCT(($AZ30&gt;=INDEX('How This Works &amp; Sources'!$B$155:$J$162,0,7))*INDEX('How This Works &amp; Sources'!$B$155:$J$162,0,7+2)),IF('Your Pay &amp; Benefits'!$C$77="D",SUMPRODUCT(($AZ30&gt;=INDEX('How This Works &amp; Sources'!$B$167:$J$179,0,1))*INDEX('How This Works &amp; Sources'!$B$167:$J$179,0,1+2)),IF('Your Pay &amp; Benefits'!$C$77="E",SUMPRODUCT(($AZ30&gt;=INDEX('How This Works &amp; Sources'!$B$167:$J$179,0,4))*INDEX('How This Works &amp; Sources'!$B$167:$J$179,0,4+2)),SUMPRODUCT(($AZ30&gt;=INDEX('How This Works &amp; Sources'!$B$155:$J$162,0,1))*INDEX('How This Works &amp; Sources'!$B$155:$J$162,0,1+2)))))),IF($AN30="OR",IF(OR($AU30="Married",AND($AU30="Single",$AS30&gt;=3)),SUMPRODUCT((MAX(0,$AY30-MIN(($P30-'How This Works &amp; Sources'!$C$10*$D30)*'Your Pay &amp; Benefits'!$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Sources'!$B$211:$J$214,0,4))*INDEX('How This Works &amp; Sources'!$B$211:$J$214,0,4+2)),SUMPRODUCT((MAX(0,$AY30-MIN(($P30-'How This Works &amp; Sources'!$C$10*$D30)*'Your Pay &amp; Benefits'!$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Sources'!$B$211:$J$214,0,1))*INDEX('How This Works &amp; Sources'!$B$211:$J$214,0,1+2)))*IF(($P30-'How This Works &amp; Sources'!$C$10*$D30)*'Your Pay &amp; Benefits'!$C$8&gt;=IF(OR($AU30="Married",AND($AU30="Single",$AS30&gt;=3)),IF($AY30&lt;250000,8750,IF($AY30&lt;260000,7000,IF($AY30&lt;270000,5250,IF($AY30&lt;280000,3500,IF($AY30&lt;290000,1750,0))))),IF($AY30&lt;125000,8750,IF($AY30&lt;130000,7000,IF($AY30&lt;135000,5250,IF($AY30&lt;140000,3500,IF($AY30&lt;145000,1750,0)))))),1,1-IF('Your Pay &amp; Benefits'!$C$13,SUMPRODUCT(($AH30&gt;=INDEX('How This Works &amp; Sources'!$B$29:$J$36,0,IF('Your Pay &amp; Benefits'!$C$12="MFJ",1,IF('Your Pay &amp; Benefits'!$C$12="HoH",7,4))))*INDEX('How This Works &amp; Sources'!$B$29:$J$36,0,IF('Your Pay &amp; Benefits'!$C$12="MFJ",1,IF('Your Pay &amp; Benefits'!$C$12="HoH",7,4))+2)),SUMPRODUCT(($AH30&gt;=INDEX('How This Works &amp; Sources'!$B$19:$J$26,0,IF('Your Pay &amp; Benefits'!$C$12="MFJ",1,IF('Your Pay &amp; Benefits'!$C$12="HoH",7,4))))*INDEX('How This Works &amp; Sources'!$B$19:$J$26,0,IF('Your Pay &amp; Benefits'!$C$12="MFJ",1,IF('Your Pay &amp; Benefits'!$C$12="HoH",7,4))+2)))),IF($AN30="MI",IF($AY30&gt;5900*$AS30,0.0425,0),""))))</f>
      </c>
      <c r="CA30" s="24">
        <f>IF($B30="","",IF($AN30="AL",IF(OR($AU30="Married",$AU30="Head of household"),SUMPRODUCT(($AZ30&gt;=INDEX('How This Works &amp; Sources'!$B$82:$J$86,0,4))*INDEX('How This Works &amp; Sources'!$B$82:$J$86,0,4+2)),SUMPRODUCT(($AZ30&gt;=INDEX('How This Works &amp; Sources'!$B$82:$J$86,0,1))*INDEX('How This Works &amp; Sources'!$B$82:$J$86,0,1+2)))*(1-IF('Your Pay &amp; Benefits'!$C$13,SUMPRODUCT(($AH30&gt;=INDEX('How This Works &amp; Sources'!$B$29:$J$36,0,IF('Your Pay &amp; Benefits'!$C$12="MFJ",1,IF('Your Pay &amp; Benefits'!$C$12="HoH",7,4))))*INDEX('How This Works &amp; Sources'!$B$29:$J$36,0,IF('Your Pay &amp; Benefits'!$C$12="MFJ",1,IF('Your Pay &amp; Benefits'!$C$12="HoH",7,4))+2)),SUMPRODUCT(($AH30&gt;=INDEX('How This Works &amp; Sources'!$B$19:$J$26,0,IF('Your Pay &amp; Benefits'!$C$12="MFJ",1,IF('Your Pay &amp; Benefits'!$C$12="HoH",7,4))))*INDEX('How This Works &amp; Sources'!$B$19:$J$26,0,IF('Your Pay &amp; Benefits'!$C$12="MFJ",1,IF('Your Pay &amp; Benefits'!$C$12="HoH",7,4))+2)))),IF($AN30="KS",IF($AU30="Married",SUMPRODUCT(($AZ30&gt;=INDEX('How This Works &amp; Sources'!$B$103:$J$109,0,4))*INDEX('How This Works &amp; Sources'!$B$103:$J$109,0,4+2)),SUMPRODUCT(($AZ30&gt;=INDEX('How This Works &amp; Sources'!$B$103:$J$109,0,1))*INDEX('How This Works &amp; Sources'!$B$103:$J$109,0,1+2))),IF($AN30="MD",IF(OR($AU30="Married",$AU30="Head of household"),SUMPRODUCT(($AZ30&gt;=INDEX('How This Works &amp; Sources'!$B$114:$J$120,0,1))*INDEX('How This Works &amp; Sources'!$B$114:$J$120,0,1+2)),SUMPRODUCT(($AZ30&gt;=INDEX('How This Works &amp; Sources'!$B$103:$J$109,0,7))*INDEX('How This Works &amp; Sources'!$B$103:$J$109,0,7+2)))+'Your Pay &amp; Benefits'!$C$74,IF($AN30="MT",IF($AU30="Head of household",SUMPRODUCT(($AZ30&gt;=INDEX('How This Works &amp; Sources'!$B$137:$J$139,0,1))*INDEX('How This Works &amp; Sources'!$B$137:$J$139,0,1+2)),IF($AU30="Married",SUMPRODUCT(($AZ30&gt;=INDEX('How This Works &amp; Sources'!$B$125:$J$132,0,7))*INDEX('How This Works &amp; Sources'!$B$125:$J$132,0,7+2)),SUMPRODUCT(($AZ30&gt;=INDEX('How This Works &amp; Sources'!$B$125:$J$132,0,4))*INDEX('How This Works &amp; Sources'!$B$125:$J$132,0,4+2)))),IF($AN30="ND",IF($AU30="Head of household",SUMPRODUCT(($AZ30&gt;=INDEX('How This Works &amp; Sources'!$B$144:$J$150,0,1))*INDEX('How This Works &amp; Sources'!$B$144:$J$150,0,1+2)),IF($AU30="Married",SUMPRODUCT(($AZ30&gt;=INDEX('How This Works &amp; Sources'!$B$137:$J$139,0,7))*INDEX('How This Works &amp; Sources'!$B$137:$J$139,0,7+2)),SUMPRODUCT(($AZ30&gt;=INDEX('How This Works &amp; Sources'!$B$137:$J$139,0,4))*INDEX('How This Works &amp; Sources'!$B$137:$J$139,0,4+2)))),IF($AN30="NY",IF($AU30="Married",IF($AZ30&gt;=2155350,IF($AZ30&gt;25000000,0.117,IF($AZ30&gt;5000000,0.111,0.1045)),SUMPRODUCT(($AZ30&gt;=INDEX('How This Works &amp; Sources'!$B$184:$J$198,0,1))*INDEX('How This Works &amp; Sources'!$B$184:$J$198,0,1+2))),IF($AZ30&gt;=1077550,IF($AZ30&gt;25000000,0.117,IF($AZ30&gt;5000000,0.111,0.1045)),SUMPRODUCT(($AZ30&gt;=INDEX('How This Works &amp; Sources'!$B$167:$J$179,0,7))*INDEX('How This Works &amp; Sources'!$B$167:$J$179,0,7+2)))),"")))))))</f>
      </c>
      <c r="CB30" s="24">
        <f>IF($B30="","",IF($AN30="CA",SUMPRODUCT(($AJ30&gt;=INDEX('How This Works &amp; Sources'!$B$39:$J$48,0,IF($AU30="Married",4,IF($AU30="Head of household",7,1))))*INDEX('How This Works &amp; Sources'!$B$39:$J$48,0,IF($AU30="Married",4,IF($AU30="Head of household",7,1))+2)),IF($AN30="HI",IF($AU30="Married",SUMPRODUCT(($AZ30&gt;=INDEX('How This Works &amp; Sources'!$B$91:$J$98,0,7))*INDEX('How This Works &amp; Sources'!$B$91:$J$98,0,7+2)),SUMPRODUCT(($AZ30&gt;=INDEX('How This Works &amp; Sources'!$B$91:$J$98,0,4))*INDEX('How This Works &amp; Sources'!$B$91:$J$98,0,4+2))),IF($AN30="MN",IF($AU30="Married",SUMPRODUCT(($AZ30&gt;=INDEX('How This Works &amp; Sources'!$B$114:$J$120,0,7))*INDEX('How This Works &amp; Sources'!$B$114:$J$120,0,7+2)),SUMPRODUCT(($AZ30&gt;=INDEX('How This Works &amp; Sources'!$B$114:$J$120,0,4))*INDEX('How This Works &amp; Sources'!$B$114:$J$120,0,4+2))),IF($AN30="MO",SUMPRODUCT(($AZ30&gt;=INDEX('How This Works &amp; Sources'!$B$125:$J$132,0,1))*INDEX('How This Works &amp; Sources'!$B$125:$J$132,0,1+2)),IF($AN30="NE",MAX(IF($AU30="Married",SUMPRODUCT(($AZ30&gt;=INDEX('How This Works &amp; Sources'!$B$144:$J$150,0,7))*INDEX('How This Works &amp; Sources'!$B$144:$J$150,0,7+2)),SUMPRODUCT(($AZ30&gt;=INDEX('How This Works &amp; Sources'!$B$144:$J$150,0,4))*INDEX('How This Works &amp; Sources'!$B$144:$J$150,0,4+2))),0.015),IF($AN30="OH",IF($B30&gt;=DATE(2026,8,1),SUMPRODUCT(($AZ30&gt;=INDEX('How This Works &amp; Sources'!$B$203:$J$206,0,1))*INDEX('How This Works &amp; Sources'!$B$203:$J$206,0,1+2)),SUMPRODUCT(($AZ30&gt;=INDEX('How This Works &amp; Sources'!$B$184:$J$198,0,7))*INDEX('How This Works &amp; Sources'!$B$184:$J$198,0,7+2))),IF($AN30="OK",IF($AU30="Married",SUMPRODUCT(($AZ30&gt;=INDEX('How This Works &amp; Sources'!$B$203:$J$206,0,7))*INDEX('How This Works &amp; Sources'!$B$203:$J$206,0,7+2)),SUMPRODUCT(($AZ30&gt;=INDEX('How This Works &amp; Sources'!$B$203:$J$206,0,4))*INDEX('How This Works &amp; Sources'!$B$203:$J$206,0,4+2))),IF($AN30="RI",SUMPRODUCT(($AZ30&gt;=INDEX('How This Works &amp; Sources'!$B$211:$J$214,0,7))*INDEX('How This Works &amp; Sources'!$B$211:$J$214,0,7+2)),IF($AN30="SC",SUMPRODUCT(($AZ30&gt;=INDEX('How This Works &amp; Sources'!$B$219:$J$223,0,1))*INDEX('How This Works &amp; Sources'!$B$219:$J$223,0,1+2)),IF($AN30="VT",IF($AU30="Married",SUMPRODUCT(($AZ30&gt;=INDEX('How This Works &amp; Sources'!$B$228:$J$232,0,1))*INDEX('How This Works &amp; Sources'!$B$228:$J$232,0,1+2)),SUMPRODUCT(($AZ30&gt;=INDEX('How This Works &amp; Sources'!$B$219:$J$223,0,7))*INDEX('How This Works &amp; Sources'!$B$219:$J$223,0,7+2))),IF($AN30="WV",IF($AU30="Married",SUMPRODUCT(($AZ30&gt;=INDEX('How This Works &amp; Sources'!$B$237:$J$241,0,7))*INDEX('How This Works &amp; Sources'!$B$237:$J$241,0,7+2)),SUMPRODUCT(($AZ30&gt;=INDEX('How This Works &amp; Sources'!$B$228:$J$232,0,7))*INDEX('How This Works &amp; Sources'!$B$228:$J$232,0,7+2))),IF($AN30="IN",(0.0295+'Your Pay &amp; Benefits'!$C$76),"")))))))))))))</f>
      </c>
      <c r="CC30" s="24">
        <f>IF($B30="","",IF($AN30="AR",SUMPRODUCT(($AZ30&gt;=INDEX('How This Works &amp; Sources'!$B$82:$J$86,0,7))*INDEX('How This Works &amp; Sources'!$B$82:$J$86,0,7+2)),IF($AN30="DE",SUMPRODUCT(($AZ30&gt;=INDEX('How This Works &amp; Sources'!$B$91:$J$98,0,1))*INDEX('How This Works &amp; Sources'!$B$91:$J$98,0,1+2)),IF($AN30="VA",SUMPRODUCT(($AZ30&gt;=INDEX('How This Works &amp; Sources'!$B$219:$J$223,0,4))*INDEX('How This Works &amp; Sources'!$B$219:$J$223,0,4+2)),IF($AN30="WI",SUMPRODUCT(($AZ30&gt;=INDEX('How This Works &amp; Sources'!$B$228:$J$232,0,4))*INDEX('How This Works &amp; Sources'!$B$228:$J$232,0,4+2)),IF($AN30="AZ",'Your Pay &amp; Benefits'!$C$82,IF($AN30="CO",IF($AY30&gt;IF($AU30="Married",10000,5000),0.044,0),IF($AN30="IA",IF($AY30&gt;IF($AU30="Head of household",19500,IF($AU30="Married",26000,13000)),0.038,0),IF($AN30="ID",IF($AY30&gt;IF($AU30="Married",32000,16094),0.053,0),IF($AN30="IL",IF($AY30&gt;(2925*$AS30+1000*$AT30),0.0495,0),IF($AN30="KY",IF($AI30&gt;3360,0.035,0),IF($AN30="LA",0.0309,IF($AN30="MA",IF(MAX(0,$AY30-MIN(($BD29+$Q30+$R30+$S30),2000)-IF($AS30=0,0,IF($AS30=1,4400,1000*$AS30+3400)))&gt;=1107750,0.09,0.05),IF($AN30="MS",IF($AI30-IF($AU30="Head of household",3400,IF($AU30="Married",4600,2300))-'Your Pay &amp; Benefits'!$C$85&gt;10000,0.04,0),IF($AN30="PA",0.0307,"")))))))))))))))</f>
      </c>
      <c r="CD30" s="21">
        <f>IF(YEAR(IF('Your Pay &amp; Benefits'!$C$7="Weekly",'Your Pay &amp; Benefits'!$C$9+7*(($BE29+1)-1),IF('Your Pay &amp; Benefits'!$C$7="Biweekly",'Your Pay &amp; Benefits'!$C$9+14*(($BE29+1)-1),IF('Your Pay &amp; Benefits'!$C$7="Semimonthly",DATE(YEAR('Your Pay &amp; Benefits'!$C$9),MONTH('Your Pay &amp; Benefits'!$C$9)+INT((($BE29+1)-1)/2),MIN(DAY('Your Pay &amp; Benefits'!$C$9),DAY(EOMONTH(DATE(YEAR('Your Pay &amp; Benefits'!$C$9),MONTH('Your Pay &amp; Benefits'!$C$9)+INT((($BE29+1)-1)/2),1),0))))+IF(MOD(($BE29+1)-1,2)=1,15,0),EDATE('Your Pay &amp; Benefits'!$C$9,($BE29+1)-1)))))&lt;&gt;'Your Pay &amp; Benefits'!$C$10,"",IF('Your Pay &amp; Benefits'!$C$7="Weekly",'Your Pay &amp; Benefits'!$C$9+7*(($BE29+1)-1),IF('Your Pay &amp; Benefits'!$C$7="Biweekly",'Your Pay &amp; Benefits'!$C$9+14*(($BE29+1)-1),IF('Your Pay &amp; Benefits'!$C$7="Semimonthly",DATE(YEAR('Your Pay &amp; Benefits'!$C$9),MONTH('Your Pay &amp; Benefits'!$C$9)+INT((($BE29+1)-1)/2),MIN(DAY('Your Pay &amp; Benefits'!$C$9),DAY(EOMONTH(DATE(YEAR('Your Pay &amp; Benefits'!$C$9),MONTH('Your Pay &amp; Benefits'!$C$9)+INT((($BE29+1)-1)/2),1),0))))+IF(MOD(($BE29+1)-1,2)=1,15,0),EDATE('Your Pay &amp; Benefits'!$C$9,($BE29+1)-1)))))</f>
      </c>
      <c r="CE30" s="21">
        <f>IF(MIN(IF(AND('Your Pay &amp; Benefits'!$C$58&gt;MAX($B$6:$B29),'Your Pay &amp; Benefits'!$C$58&gt;=DATE('Your Pay &amp; Benefits'!$C$10,1,1),'Your Pay &amp; Benefits'!$C$58&lt;=DATE('Your Pay &amp; Benefits'!$C$10,12,31)),'Your Pay &amp; Benefits'!$C$58,999999),IF(AND('Your Pay &amp; Benefits'!$C$59&gt;MAX($B$6:$B29),'Your Pay &amp; Benefits'!$C$59&gt;=DATE('Your Pay &amp; Benefits'!$C$10,1,1),'Your Pay &amp; Benefits'!$C$59&lt;=DATE('Your Pay &amp; Benefits'!$C$10,12,31)),'Your Pay &amp; Benefits'!$C$59,999999),IF(AND('Your Pay &amp; Benefits'!$C$60&gt;MAX($B$6:$B29),'Your Pay &amp; Benefits'!$C$60&gt;=DATE('Your Pay &amp; Benefits'!$C$10,1,1),'Your Pay &amp; Benefits'!$C$60&lt;=DATE('Your Pay &amp; Benefits'!$C$10,12,31)),'Your Pay &amp; Benefits'!$C$60,999999),IF(AND('Your Pay &amp; Benefits'!$C$61&gt;MAX($B$6:$B29),'Your Pay &amp; Benefits'!$C$61&gt;=DATE('Your Pay &amp; Benefits'!$C$10,1,1),'Your Pay &amp; Benefits'!$C$61&lt;=DATE('Your Pay &amp; Benefits'!$C$10,12,31)),'Your Pay &amp; Benefits'!$C$61,999999),IF(AND('Your Pay &amp; Benefits'!$C$62&gt;MAX($B$6:$B29),'Your Pay &amp; Benefits'!$C$62&gt;=DATE('Your Pay &amp; Benefits'!$C$10,1,1),'Your Pay &amp; Benefits'!$C$62&lt;=DATE('Your Pay &amp; Benefits'!$C$10,12,31)),'Your Pay &amp; Benefits'!$C$62,999999),IF(AND('Your Pay &amp; Benefits'!$C$63&gt;MAX($B$6:$B29),'Your Pay &amp; Benefits'!$C$63&gt;=DATE('Your Pay &amp; Benefits'!$C$10,1,1),'Your Pay &amp; Benefits'!$C$63&lt;=DATE('Your Pay &amp; Benefits'!$C$10,12,31)),'Your Pay &amp; Benefits'!$C$63,999999),IF(AND('Your Pay &amp; Benefits'!$C$64&gt;MAX($B$6:$B29),'Your Pay &amp; Benefits'!$C$64&gt;=DATE('Your Pay &amp; Benefits'!$C$10,1,1),'Your Pay &amp; Benefits'!$C$64&lt;=DATE('Your Pay &amp; Benefits'!$C$10,12,31)),'Your Pay &amp; Benefits'!$C$64,999999),IF(AND('Your Pay &amp; Benefits'!$C$65&gt;MAX($B$6:$B29),'Your Pay &amp; Benefits'!$C$65&gt;=DATE('Your Pay &amp; Benefits'!$C$10,1,1),'Your Pay &amp; Benefits'!$C$65&lt;=DATE('Your Pay &amp; Benefits'!$C$10,12,31)),'Your Pay &amp; Benefits'!$C$65,999999),IF(AND('Your Pay &amp; Benefits'!$C$66&gt;MAX($B$6:$B29),'Your Pay &amp; Benefits'!$C$66&gt;=DATE('Your Pay &amp; Benefits'!$C$10,1,1),'Your Pay &amp; Benefits'!$C$66&lt;=DATE('Your Pay &amp; Benefits'!$C$10,12,31)),'Your Pay &amp; Benefits'!$C$66,999999),IF(AND('Your Pay &amp; Benefits'!$C$67&gt;MAX($B$6:$B29),'Your Pay &amp; Benefits'!$C$67&gt;=DATE('Your Pay &amp; Benefits'!$C$10,1,1),'Your Pay &amp; Benefits'!$C$67&lt;=DATE('Your Pay &amp; Benefits'!$C$10,12,31)),'Your Pay &amp; Benefits'!$C$67,999999))=999999,"",MIN(IF(AND('Your Pay &amp; Benefits'!$C$58&gt;MAX($B$6:$B29),'Your Pay &amp; Benefits'!$C$58&gt;=DATE('Your Pay &amp; Benefits'!$C$10,1,1),'Your Pay &amp; Benefits'!$C$58&lt;=DATE('Your Pay &amp; Benefits'!$C$10,12,31)),'Your Pay &amp; Benefits'!$C$58,999999),IF(AND('Your Pay &amp; Benefits'!$C$59&gt;MAX($B$6:$B29),'Your Pay &amp; Benefits'!$C$59&gt;=DATE('Your Pay &amp; Benefits'!$C$10,1,1),'Your Pay &amp; Benefits'!$C$59&lt;=DATE('Your Pay &amp; Benefits'!$C$10,12,31)),'Your Pay &amp; Benefits'!$C$59,999999),IF(AND('Your Pay &amp; Benefits'!$C$60&gt;MAX($B$6:$B29),'Your Pay &amp; Benefits'!$C$60&gt;=DATE('Your Pay &amp; Benefits'!$C$10,1,1),'Your Pay &amp; Benefits'!$C$60&lt;=DATE('Your Pay &amp; Benefits'!$C$10,12,31)),'Your Pay &amp; Benefits'!$C$60,999999),IF(AND('Your Pay &amp; Benefits'!$C$61&gt;MAX($B$6:$B29),'Your Pay &amp; Benefits'!$C$61&gt;=DATE('Your Pay &amp; Benefits'!$C$10,1,1),'Your Pay &amp; Benefits'!$C$61&lt;=DATE('Your Pay &amp; Benefits'!$C$10,12,31)),'Your Pay &amp; Benefits'!$C$61,999999),IF(AND('Your Pay &amp; Benefits'!$C$62&gt;MAX($B$6:$B29),'Your Pay &amp; Benefits'!$C$62&gt;=DATE('Your Pay &amp; Benefits'!$C$10,1,1),'Your Pay &amp; Benefits'!$C$62&lt;=DATE('Your Pay &amp; Benefits'!$C$10,12,31)),'Your Pay &amp; Benefits'!$C$62,999999),IF(AND('Your Pay &amp; Benefits'!$C$63&gt;MAX($B$6:$B29),'Your Pay &amp; Benefits'!$C$63&gt;=DATE('Your Pay &amp; Benefits'!$C$10,1,1),'Your Pay &amp; Benefits'!$C$63&lt;=DATE('Your Pay &amp; Benefits'!$C$10,12,31)),'Your Pay &amp; Benefits'!$C$63,999999),IF(AND('Your Pay &amp; Benefits'!$C$64&gt;MAX($B$6:$B29),'Your Pay &amp; Benefits'!$C$64&gt;=DATE('Your Pay &amp; Benefits'!$C$10,1,1),'Your Pay &amp; Benefits'!$C$64&lt;=DATE('Your Pay &amp; Benefits'!$C$10,12,31)),'Your Pay &amp; Benefits'!$C$64,999999),IF(AND('Your Pay &amp; Benefits'!$C$65&gt;MAX($B$6:$B29),'Your Pay &amp; Benefits'!$C$65&gt;=DATE('Your Pay &amp; Benefits'!$C$10,1,1),'Your Pay &amp; Benefits'!$C$65&lt;=DATE('Your Pay &amp; Benefits'!$C$10,12,31)),'Your Pay &amp; Benefits'!$C$65,999999),IF(AND('Your Pay &amp; Benefits'!$C$66&gt;MAX($B$6:$B29),'Your Pay &amp; Benefits'!$C$66&gt;=DATE('Your Pay &amp; Benefits'!$C$10,1,1),'Your Pay &amp; Benefits'!$C$66&lt;=DATE('Your Pay &amp; Benefits'!$C$10,12,31)),'Your Pay &amp; Benefits'!$C$66,999999),IF(AND('Your Pay &amp; Benefits'!$C$67&gt;MAX($B$6:$B29),'Your Pay &amp; Benefits'!$C$67&gt;=DATE('Your Pay &amp; Benefits'!$C$10,1,1),'Your Pay &amp; Benefits'!$C$67&lt;=DATE('Your Pay &amp; Benefits'!$C$10,12,31)),'Your Pay &amp; Benefits'!$C$67,999999)))</f>
      </c>
      <c r="CF30">
        <f>IF($B30="","",IF($D30=0,$Y30,""))</f>
      </c>
    </row>
    <row r="31">
      <c r="A31" t="n">
        <v>26</v>
      </c>
      <c r="B31" s="21">
        <f>IF(AND($CD31="",$CE31=""),"",IF($CE31="",$CD31,IF($CD31="",$CE31,MIN($CD31,$CE31))))</f>
      </c>
      <c r="C31" s="7">
        <f>IF($B31="","",IF($BF31=0,0,IF('Your Pay &amp; Benefits'!$C$4="Annual salary",ROUND($AK31/IF(AND('Your Pay &amp; Benefits'!$C$88="Actual paydays",MONTH('Your Pay &amp; Benefits'!$C$9)=1),MAX(1,MAX($BE$6:$BE$68)),'Your Pay &amp; Benefits'!$C$8),2),$AK31)))</f>
      </c>
      <c r="D31" s="7">
        <f>IF($B31="","",SUMIF('Your Pay &amp; Benefits'!$C$58:$C$67,$B31,'Your Pay &amp; Benefits'!$D$58:$D$67))</f>
      </c>
      <c r="E31" s="7">
        <f>IF($B31="","",ROUND(MAX(0,MIN(IF($AL31="Percent",$AM31*($C31+$D31),$AM31),MAX(0,'Your Pay &amp; Benefits'!$C$34-$AC30))),2))</f>
      </c>
      <c r="F31" s="7">
        <f>IF($B31="","",ROUND(MAX(0,MIN(IF('Your Pay &amp; Benefits'!$C$32="Percent",'Your Pay &amp; Benefits'!$D$32*($C31+$D31),'Your Pay &amp; Benefits'!$D$32),MAX(0,'Your Pay &amp; Benefits'!$C$34-$AC30-$E31))),2))</f>
      </c>
      <c r="G31" s="7">
        <f>IF($B31="","",IF($BF31=0,0,ROUND(MAX(0,MIN($BL31,'Your Pay &amp; Benefits'!$C$37-'Your Pay &amp; Benefits'!$C$54-$BI30)),2)))</f>
      </c>
      <c r="H31" s="7">
        <f>IF($B31="","",IF(OR($BF31=0,$BQ31=1),0,ROUND(MAX(0,MIN(IF($BS31=1,ROUND(MAX(0,MIN($BJ31,'How This Works &amp; Sources'!$C$13)-$BG30)/MAX(1,MAX($BE$6:$BE$68)-($BE30)),2),ROUND(MIN($BJ31,'How This Works &amp; Sources'!$C$13)/'Your Pay &amp; Benefits'!$C$8,2)),MIN($BJ31,'How This Works &amp; Sources'!$C$13)-$BG30)),2)))</f>
      </c>
      <c r="I31" s="7">
        <f>IF($B31="","",IF(OR($BF31=0,$BR31=1),0,ROUND(MAX(0,MIN(IF($BT31=1,ROUND(MAX(0,MIN($BK31,IF('Your Pay &amp; Benefits'!$C$12="MFJ",'How This Works &amp; Sources'!$C$14,'How This Works &amp; Sources'!$C$15))-$BH30)/MAX(1,MAX($BE$6:$BE$68)-($BE30)),2),ROUND(MIN($BK31,IF('Your Pay &amp; Benefits'!$C$12="MFJ",'How This Works &amp; Sources'!$C$14,'How This Works &amp; Sources'!$C$15))/'Your Pay &amp; Benefits'!$C$8,2)),MIN($BK31,IF('Your Pay &amp; Benefits'!$C$12="MFJ",'How This Works &amp; Sources'!$C$14,'How This Works &amp; Sources'!$C$15))-$BH30)),2)))</f>
      </c>
      <c r="J31" s="7">
        <f>IF($B31="","",IF($BF31=0,0,$BM31))</f>
      </c>
      <c r="K31" s="7">
        <f>IF($B31="","",IF($BF31=0,0,$BN31+$BO31))</f>
      </c>
      <c r="L31" s="7">
        <f>IF($B31="","",IF($BF31=0,0,'Your Pay &amp; Benefits'!$D$46))</f>
      </c>
      <c r="M31" s="7">
        <f>IF($B31="","",$C31+$D31+$L31-$E31-$G31-$H31-$I31-$J31-$K31)</f>
      </c>
      <c r="N31" s="7">
        <f>IF($B31="","",$C31+$D31+$L31-$G31-$H31-$I31-$J31-$K31)</f>
      </c>
      <c r="O31" s="7">
        <f>IF($B31="","",$C31+$D31+$L31-$E31-$H31-$I31-$J31-$K31-IF(OR($AN31="CA",$AN31="NJ"),0,$G31))</f>
      </c>
      <c r="P31" s="7">
        <f>IF($B31="","",IF('Your Pay &amp; Benefits'!$C$18,0,ROUND(MAX(0,IF('Your Pay &amp; Benefits'!$C$13,SUMPRODUCT(($AH31&gt;INDEX('How This Works &amp; Sources'!$B$29:$J$36,0,IF('Your Pay &amp; Benefits'!$C$12="MFJ",1,IF('Your Pay &amp; Benefits'!$C$12="HoH",7,4))))*($AH31-INDEX('How This Works &amp; Sources'!$B$29:$J$36,0,IF('Your Pay &amp; Benefits'!$C$12="MFJ",1,IF('Your Pay &amp; Benefits'!$C$12="HoH",7,4))))*INDEX('How This Works &amp; Sources'!$B$29:$J$36,0,IF('Your Pay &amp; Benefits'!$C$12="MFJ",1,IF('Your Pay &amp; Benefits'!$C$12="HoH",7,4))+2)),SUMPRODUCT(($AH31&gt;INDEX('How This Works &amp; Sources'!$B$19:$J$26,0,IF('Your Pay &amp; Benefits'!$C$12="MFJ",1,IF('Your Pay &amp; Benefits'!$C$12="HoH",7,4))))*($AH31-INDEX('How This Works &amp; Sources'!$B$19:$J$26,0,IF('Your Pay &amp; Benefits'!$C$12="MFJ",1,IF('Your Pay &amp; Benefits'!$C$12="HoH",7,4))))*INDEX('How This Works &amp; Sources'!$B$19:$J$26,0,IF('Your Pay &amp; Benefits'!$C$12="MFJ",1,IF('Your Pay &amp; Benefits'!$C$12="HoH",7,4))+2)))/'Your Pay &amp; Benefits'!$C$8-$AO31/'Your Pay &amp; Benefits'!$C$8)+$AR31+IF('Your Pay &amp; Benefits'!$C$89="Aggregate",MAX(0,IF('Your Pay &amp; Benefits'!$C$13,SUMPRODUCT((($AH31+$D31)&gt;INDEX('How This Works &amp; Sources'!$B$29:$J$36,0,IF('Your Pay &amp; Benefits'!$C$12="MFJ",1,IF('Your Pay &amp; Benefits'!$C$12="HoH",7,4))))*(($AH31+$D31)-INDEX('How This Works &amp; Sources'!$B$29:$J$36,0,IF('Your Pay &amp; Benefits'!$C$12="MFJ",1,IF('Your Pay &amp; Benefits'!$C$12="HoH",7,4))))*INDEX('How This Works &amp; Sources'!$B$29:$J$36,0,IF('Your Pay &amp; Benefits'!$C$12="MFJ",1,IF('Your Pay &amp; Benefits'!$C$12="HoH",7,4))+2)),SUMPRODUCT((($AH31+$D31)&gt;INDEX('How This Works &amp; Sources'!$B$19:$J$26,0,IF('Your Pay &amp; Benefits'!$C$12="MFJ",1,IF('Your Pay &amp; Benefits'!$C$12="HoH",7,4))))*(($AH31+$D31)-INDEX('How This Works &amp; Sources'!$B$19:$J$26,0,IF('Your Pay &amp; Benefits'!$C$12="MFJ",1,IF('Your Pay &amp; Benefits'!$C$12="HoH",7,4))))*INDEX('How This Works &amp; Sources'!$B$19:$J$26,0,IF('Your Pay &amp; Benefits'!$C$12="MFJ",1,IF('Your Pay &amp; Benefits'!$C$12="HoH",7,4))+2)))-IF('Your Pay &amp; Benefits'!$C$13,SUMPRODUCT(($AH31&gt;INDEX('How This Works &amp; Sources'!$B$29:$J$36,0,IF('Your Pay &amp; Benefits'!$C$12="MFJ",1,IF('Your Pay &amp; Benefits'!$C$12="HoH",7,4))))*($AH31-INDEX('How This Works &amp; Sources'!$B$29:$J$36,0,IF('Your Pay &amp; Benefits'!$C$12="MFJ",1,IF('Your Pay &amp; Benefits'!$C$12="HoH",7,4))))*INDEX('How This Works &amp; Sources'!$B$29:$J$36,0,IF('Your Pay &amp; Benefits'!$C$12="MFJ",1,IF('Your Pay &amp; Benefits'!$C$12="HoH",7,4))+2)),SUMPRODUCT(($AH31&gt;INDEX('How This Works &amp; Sources'!$B$19:$J$26,0,IF('Your Pay &amp; Benefits'!$C$12="MFJ",1,IF('Your Pay &amp; Benefits'!$C$12="HoH",7,4))))*($AH31-INDEX('How This Works &amp; Sources'!$B$19:$J$26,0,IF('Your Pay &amp; Benefits'!$C$12="MFJ",1,IF('Your Pay &amp; Benefits'!$C$12="HoH",7,4))))*INDEX('How This Works &amp; Sources'!$B$19:$J$26,0,IF('Your Pay &amp; Benefits'!$C$12="MFJ",1,IF('Your Pay &amp; Benefits'!$C$12="HoH",7,4))+2)))),'How This Works &amp; Sources'!$C$10*$D31),2)))</f>
      </c>
      <c r="Q31" s="7">
        <f>IF($B31="","",ROUND('How This Works &amp; Sources'!$C$4*MIN($N31,MAX(0,'How This Works &amp; Sources'!$C$3-($AX31+$AB30-$AW31))),2))</f>
      </c>
      <c r="R31" s="7">
        <f>IF($B31="","",ROUND('How This Works &amp; Sources'!$C$5*$N31,2))</f>
      </c>
      <c r="S31" s="7">
        <f>IF($B31="","",ROUND('How This Works &amp; Sources'!$C$6*MAX(0,MIN($N31,$AG30+$N31-'How This Works &amp; Sources'!$C$7)),2))</f>
      </c>
      <c r="T31" s="7">
        <f>IF($B31="","",IF('Your Pay &amp; Benefits'!$C$26,0,IF($AN31="CA",ROUND(IF($AI31&lt;=IF(($AS31+$AT31)&gt;=2,VLOOKUP($AN31,StateTables!$A$6:$AB$56,10,FALSE),VLOOKUP($AN31,StateTables!$A$6:$AB$56,9,FALSE)),0,MAX(0,SUMPRODUCT(($AJ31&gt;INDEX('How This Works &amp; Sources'!$B$39:$J$48,0,IF($AU31="Married",4,IF($AU31="Head of household",7,1))))*($AJ31-INDEX('How This Works &amp; Sources'!$B$39:$J$48,0,IF($AU31="Married",4,IF($AU31="Head of household",7,1))))*INDEX('How This Works &amp; Sources'!$B$39:$J$48,0,IF($AU31="Married",4,IF($AU31="Head of household",7,1))+2))-VLOOKUP($AN31,StateTables!$A$6:$AB$56,11,FALSE)*$AS31)/'Your Pay &amp; Benefits'!$C$8)+'Your Pay &amp; Benefits'!$C$25+VLOOKUP($AN31,StateTables!$A$6:$AB$56,13,FALSE)*$D31,2),IF(VLOOKUP($AN31,StateTables!$A$6:$AB$56,4,FALSE)="None",0,IF(ISNUMBER(SEARCH("MANUAL",VLOOKUP($AN31,StateTables!$A$6:$AB$56,5,FALSE))),'Your Pay &amp; Benefits'!$C$28,ROUND(MAX(0,$BA31+$BB31)/'Your Pay &amp; Benefits'!$C$8+'Your Pay &amp; Benefits'!$C$25+$BC31,2))))))</f>
      </c>
      <c r="U31" s="7">
        <f>IF($B31="","",IF(VLOOKUP($AN31,StateTables!$A$6:$AB$56,24,FALSE)="flatq",IF(OR(MONTH($B31)=1,MONTH($B31)=4,MONTH($B31)=7,MONTH($B31)=10),VLOOKUP($AN31,StateTables!$A$6:$AB$56,25,FALSE),0),IF(VLOOKUP($AN31,StateTables!$A$6:$AB$56,24,FALSE)="dbl",MIN(ROUND(0.005*$N31,2),ROUND(0.6*52/'Your Pay &amp; Benefits'!$C$8,2)),IF(OR(VLOOKUP($AN31,StateTables!$A$6:$AB$56,15,FALSE)="",VLOOKUP($AN31,StateTables!$A$6:$AB$56,15,FALSE)=0),0,ROUND(VLOOKUP($AN31,StateTables!$A$6:$AB$56,15,FALSE)*IF(OR(VLOOKUP($AN31,StateTables!$A$6:$AB$56,16,FALSE)="",VLOOKUP($AN31,StateTables!$A$6:$AB$56,16,FALSE)=0),$N31,MIN($N31,MAX(0,VLOOKUP($AN31,StateTables!$A$6:$AB$56,16,FALSE)-($AX31+$AB30-$AW31)))),2))))+IF(VLOOKUP($AN31,StateTables!$A$6:$AB$56,27,FALSE)="flatq",IF(OR(MONTH($B31)=1,MONTH($B31)=4,MONTH($B31)=7,MONTH($B31)=10),VLOOKUP($AN31,StateTables!$A$6:$AB$56,28,FALSE),0),IF(VLOOKUP($AN31,StateTables!$A$6:$AB$56,27,FALSE)="dbl",MIN(ROUND(0.005*$N31,2),ROUND(0.6*52/'Your Pay &amp; Benefits'!$C$8,2)),IF(OR(VLOOKUP($AN31,StateTables!$A$6:$AB$56,18,FALSE)="",VLOOKUP($AN31,StateTables!$A$6:$AB$56,18,FALSE)=0),0,ROUND(VLOOKUP($AN31,StateTables!$A$6:$AB$56,18,FALSE)*IF(OR(VLOOKUP($AN31,StateTables!$A$6:$AB$56,19,FALSE)="",VLOOKUP($AN31,StateTables!$A$6:$AB$56,19,FALSE)=0),$N31,MIN($N31,MAX(0,VLOOKUP($AN31,StateTables!$A$6:$AB$56,19,FALSE)-($AX31+$AB30-$AW31)))),2)))))</f>
      </c>
      <c r="V31" s="7">
        <f>IF($B31="","",IF($AN31="NY",IF('Your Pay &amp; Benefits'!$C$78,ROUND(SUMPRODUCT((MAX(0,($O31-$D31)*'Your Pay &amp; Benefits'!$C$8-(IF($AU31="Married",5500,5000)+1000*$AS31))&gt;INDEX('How This Works &amp; Sources'!$B$184:$J$198,0,4))*(MAX(0,($O31-$D31)*'Your Pay &amp; Benefits'!$C$8-(IF($AU31="Married",5500,5000)+1000*$AS31))-INDEX('How This Works &amp; Sources'!$B$184:$J$198,0,4))*INDEX('How This Works &amp; Sources'!$B$184:$J$198,0,4+2))/'Your Pay &amp; Benefits'!$C$8+0.0425*$D31,2),0)+IF('Your Pay &amp; Benefits'!$C$79="Resident",ROUND(0.1675*$T31,2),IF('Your Pay &amp; Benefits'!$C$79="Nonresident",ROUND(0.005*MAX(0,($O31-$D31)-(IF($AU31="Married",7950,7400)+1000*$AS31)/'Your Pay &amp; Benefits'!$C$8),2),0)),IF($AN31="PA",IF('Your Pay &amp; Benefits'!$C$80="None",'Your Pay &amp; Benefits'!$C$27+ROUND('Your Pay &amp; Benefits'!$C$81*($C31+$D31),2),ROUND(IF('Your Pay &amp; Benefits'!$C$80="Resident",IF($B31&lt;DATE(2026,7,1),0.0374,0.03735),IF($B31&lt;DATE(2026,7,1),0.0343,0.03425))*($C31+$D31),2)),IF($BF31=0,ROUND('Your Pay &amp; Benefits'!$C$81*($C31+$D31),2),'Your Pay &amp; Benefits'!$C$27+ROUND('Your Pay &amp; Benefits'!$C$81*($C31+$D31),2)))))</f>
      </c>
      <c r="W31" s="7">
        <f>IF($B31="","",IF($BF31=0,0,$BP31))</f>
      </c>
      <c r="X31" s="7">
        <f>IF($B31="","",SUM($E31:$K31)+$P31+$Q31+$R31+$S31+$T31+$U31+$V31+$W31)</f>
      </c>
      <c r="Y31" s="22">
        <f>IF($B31="","",$C31+$D31-$X31)</f>
      </c>
      <c r="Z31" s="7">
        <f>IF($B31="","",$Z30+$C31+$D31)</f>
      </c>
      <c r="AA31" s="7">
        <f>IF($B31="","",$AA30+$Y31)</f>
      </c>
      <c r="AB31" s="7">
        <f>IF($B31="","",$AB30+MIN($N31,MAX(0,'How This Works &amp; Sources'!$C$3-($AX31+$AB30-$AW31))))</f>
      </c>
      <c r="AC31" s="7">
        <f>IF($B31="","",$AC30+$E31+$F31)</f>
      </c>
      <c r="AD31" s="3">
        <f>IF($B31="","",IF(AND($AB30&lt;'How This Works &amp; Sources'!$C$3,$AB31&gt;='How This Works &amp; Sources'!$C$3),"★ Social Security maxed on this check — from the next check your net rises by about $"&amp;TEXT(ROUND('How This Works &amp; Sources'!$C$4*$N31,2),"#,##0.00")&amp;". ","")&amp;IF(AND($AC30&lt;'Your Pay &amp; Benefits'!$C$34,$AC31&gt;='Your Pay &amp; Benefits'!$C$34),"★ 401(k) reaches the $"&amp;TEXT('Your Pay &amp; Benefits'!$C$34,"#,##0")&amp;" cap on this check — deferrals stop and net pay rises. ","")&amp;IF(AND($AG30&lt;'How This Works &amp; Sources'!$C$7,$AG31&gt;='How This Works &amp; Sources'!$C$7),"★ Wages pass $200,000 — the 0.9% Additional Medicare Tax starts here. ","")&amp;IF(AND($BJ31&gt;0,$H31&gt;0,$BG30&lt;MIN($BJ31,'How This Works &amp; Sources'!$C$13),$BG30+$H31&gt;=MIN($BJ31,'How This Works &amp; Sources'!$C$13)),"★ Health FSA election is now fully deferred for the year. ",""))</f>
      </c>
      <c r="AE31" s="41" t="n"/>
      <c r="AF31" s="7">
        <f>IF(OR($B31="",$AE31=""),"",$AE31-$Y31)</f>
      </c>
      <c r="AG31" s="7">
        <f>IF($B31="","",$AG30+$N31)</f>
      </c>
      <c r="AH31" s="7">
        <f>IF($B31="","",MAX(0,($M31-$D31)*'Your Pay &amp; Benefits'!$C$8+$AP31-$AQ31-IF('Your Pay &amp; Benefits'!$C$13,0,IF('Your Pay &amp; Benefits'!$C$12="MFJ",'How This Works &amp; Sources'!$C$8,'How This Works &amp; Sources'!$C$9))))</f>
      </c>
      <c r="AI31" s="7">
        <f>IF($B31="","",$O31*'Your Pay &amp; Benefits'!$C$8)</f>
      </c>
      <c r="AJ31" s="7">
        <f>IF($B31="","",MAX(0,$AI31-VLOOKUP($AN31,StateTables!$A$6:$AB$56,12,FALSE)*$AT31-IF(($AS31+$AT31)&gt;=2,VLOOKUP($AN31,StateTables!$A$6:$AB$56,8,FALSE),VLOOKUP($AN31,StateTables!$A$6:$AB$56,7,FALSE))))</f>
      </c>
      <c r="AK31" s="7">
        <f>IF($B31="","",IFERROR(LOOKUP(2,1/(('Changes &amp; Events'!$C$6:$C$17="Salary change")*('Changes &amp; Events'!$B$6:$B$17&lt;=$B31)*('Changes &amp; Events'!$B$6:$B$17&lt;&gt;"")),'Changes &amp; Events'!$D$6:$D$17),IF('Your Pay &amp; Benefits'!$C$4="Annual salary",'Your Pay &amp; Benefits'!$C$5,'Your Pay &amp; Benefits'!$C$6)))</f>
      </c>
      <c r="AL31">
        <f>IF($B31="","",IFERROR(LOOKUP(2,1/(('Changes &amp; Events'!$C$6:$C$17="401(k) change")*('Changes &amp; Events'!$B$6:$B$17&lt;=$B31)*('Changes &amp; Events'!$B$6:$B$17&lt;&gt;"")),'Changes &amp; Events'!$D$6:$D$17),'Your Pay &amp; Benefits'!$C$30))</f>
      </c>
      <c r="AM31" s="7">
        <f>IF($B31="","",IFERROR(LOOKUP(2,1/(('Changes &amp; Events'!$C$6:$C$17="401(k) change")*('Changes &amp; Events'!$B$6:$B$17&lt;=$B31)*('Changes &amp; Events'!$B$6:$B$17&lt;&gt;"")),'Changes &amp; Events'!$E$6:$E$17),'Your Pay &amp; Benefits'!$D$31))</f>
      </c>
      <c r="AN31">
        <f>IF($B31="","",IFERROR(LOOKUP(2,1/(('Changes &amp; Events'!$C$6:$C$17="State move")*('Changes &amp; Events'!$B$6:$B$17&lt;=$B31)*('Changes &amp; Events'!$B$6:$B$17&lt;&gt;"")),'Changes &amp; Events'!$D$6:$D$17),'Your Pay &amp; Benefits'!$C$21))</f>
      </c>
      <c r="AO31" s="7">
        <f>IF($B31="","",IFERROR(LOOKUP(2,1/(('Changes &amp; Events'!$C$6:$C$17="W-4 change")*('Changes &amp; Events'!$B$6:$B$17&lt;=$B31)*('Changes &amp; Events'!$B$6:$B$17&lt;&gt;"")),'Changes &amp; Events'!$D$6:$D$17),'Your Pay &amp; Benefits'!$C$14))</f>
      </c>
      <c r="AP31" s="7">
        <f>IF($B31="","",IFERROR(LOOKUP(2,1/(('Changes &amp; Events'!$C$6:$C$17="W-4 change")*('Changes &amp; Events'!$B$6:$B$17&lt;=$B31)*('Changes &amp; Events'!$B$6:$B$17&lt;&gt;"")),'Changes &amp; Events'!$E$6:$E$17),'Your Pay &amp; Benefits'!$C$15))</f>
      </c>
      <c r="AQ31" s="7">
        <f>IF($B31="","",IFERROR(LOOKUP(2,1/(('Changes &amp; Events'!$C$6:$C$17="W-4 change")*('Changes &amp; Events'!$B$6:$B$17&lt;=$B31)*('Changes &amp; Events'!$B$6:$B$17&lt;&gt;"")),'Changes &amp; Events'!$F$6:$F$17),'Your Pay &amp; Benefits'!$C$16))</f>
      </c>
      <c r="AR31" s="7">
        <f>IF($B31="","",IFERROR(LOOKUP(2,1/(('Changes &amp; Events'!$C$6:$C$17="W-4 change")*('Changes &amp; Events'!$B$6:$B$17&lt;=$B31)*('Changes &amp; Events'!$B$6:$B$17&lt;&gt;"")),'Changes &amp; Events'!$G$6:$G$17),'Your Pay &amp; Benefits'!$C$17))</f>
      </c>
      <c r="AS31" s="6">
        <f>IF($B31="","",IFERROR(LOOKUP(2,1/((('Changes &amp; Events'!$C$6:$C$17="State move")+('Changes &amp; Events'!$C$6:$C$17="State cert change"))*('Changes &amp; Events'!$B$6:$B$17&lt;=$B31)*('Changes &amp; Events'!$B$6:$B$17&lt;&gt;"")),'Changes &amp; Events'!$F$6:$F$17),'Your Pay &amp; Benefits'!$C$23))</f>
      </c>
      <c r="AT31" s="6">
        <f>IF($B31="","",IFERROR(LOOKUP(2,1/((('Changes &amp; Events'!$C$6:$C$17="State move")+('Changes &amp; Events'!$C$6:$C$17="State cert change"))*('Changes &amp; Events'!$B$6:$B$17&lt;=$B31)*('Changes &amp; Events'!$B$6:$B$17&lt;&gt;"")),'Changes &amp; Events'!$G$6:$G$17),'Your Pay &amp; Benefits'!$C$24))</f>
      </c>
      <c r="AU31">
        <f>IF($B31="","",IFERROR(LOOKUP(2,1/(('Changes &amp; Events'!$C$6:$C$17="State move")*('Changes &amp; Events'!$B$6:$B$17&lt;=$B31)*('Changes &amp; Events'!$B$6:$B$17&lt;&gt;"")),'Changes &amp; Events'!$E$6:$E$17),'Your Pay &amp; Benefits'!$C$22))</f>
      </c>
      <c r="AV31" s="6">
        <f>IF($B31="","",1+COUNTIFS('Changes &amp; Events'!$C$6:$C$17,"Employer change",'Changes &amp; Events'!$B$6:$B$17,"&lt;="&amp;$B31,'Changes &amp; Events'!$B$6:$B$17,"&lt;&gt;"))</f>
      </c>
      <c r="AW31" s="7">
        <f>IF($B31="","",IF($AV31=1,'Your Pay &amp; Benefits'!$C$49,IF(IFERROR(MATCH(IFERROR(LOOKUP(2,1/(('Changes &amp; Events'!$C$6:$C$17="Employer change")*('Changes &amp; Events'!$B$6:$B$17&lt;=$B31)*('Changes &amp; Events'!$B$6:$B$17&lt;&gt;"")),'Changes &amp; Events'!$B$6:$B$17),""),$B$6:$B$68,1),1)&lt;=1,'Your Pay &amp; Benefits'!$C$49,INDEX($AB$6:$AB$68,MATCH(IFERROR(LOOKUP(2,1/(('Changes &amp; Events'!$C$6:$C$17="Employer change")*('Changes &amp; Events'!$B$6:$B$17&lt;=$B31)*('Changes &amp; Events'!$B$6:$B$17&lt;&gt;"")),'Changes &amp; Events'!$B$6:$B$17),""),$B$6:$B$68,1)-1))))</f>
      </c>
      <c r="AX31" s="7">
        <f>IF($B31="","",IF($AV31=1,'Your Pay &amp; Benefits'!$C$49,IFERROR(LOOKUP(2,1/(('Changes &amp; Events'!$C$6:$C$17="Employer change")*('Changes &amp; Events'!$B$6:$B$17&lt;=$B31)*('Changes &amp; Events'!$B$6:$B$17&lt;&gt;"")),'Changes &amp; Events'!$D$6:$D$17),0)))</f>
      </c>
      <c r="AY31" s="7">
        <f>IF($B31="","",($O31-$D31)*'Your Pay &amp; Benefits'!$C$8)</f>
      </c>
      <c r="AZ31" s="7">
        <f>IF($B31="","",IF($AN31="AL",MAX(0,$AY31-IF($AU31="Married",IF($AY31&lt;=25999,8500,MAX(5000,8500-175*CEILING(($AY31-25999)/500,1))),IF($AU31="Head of household",IF($AY31&lt;=25999,5200,MAX(2500,5200-135*CEILING(($AY31-25999)/500,1))),IF($AY31&lt;=25999,3000,MAX(2500,3000-25*CEILING(($AY31-25999)/500,1)))))-($P31-'How This Works &amp; Sources'!$C$10*$D31)*'Your Pay &amp; Benefits'!$C$8-IF(OR($AU31="Married",$AU31="Head of household"),3000,1500)-$AT31*IF($AY31&lt;=50000,1000,IF($AY31&lt;=100000,500,300))),IF($AN31="AR",IF(MAX(0,$AY31-2470)&lt;97701,INT(MAX(0,$AY31-2470)/100)*100+50,MAX(0,$AY31-2470)),IF($AN31="DE",MAX(0,$AI31-3250),IF($AN31="HI",MAX(0,$AI31-1144*$AS31-4350),IF($AN31="KS",MAX(0,$AI31-(9160*IF($AU31="Married",2,1)+2320*$AT31+IF($AU31="Head of household",2320,0))),IF($AN31="MD",MAX(0,$AI31-3400-3200*$AS31),IF($AN31="MN",MAX(0,$AY31-5300*$AS31),IF($AN31="MO",MAX(0,$AI31-IF($AU31="Head of household",24150,IF($AU31="Married",IF('Your Pay &amp; Benefits'!$C$83,16100,32200),16100))),IF($AN31="MT",$AY31,IF($AN31="ND",($C31+$L31)*'Your Pay &amp; Benefits'!$C$8,IF($AN31="NE",MAX(0,$AY31-2440*$AS31),IF($AN31="NJ",MAX(0,$AY31-1000*$AS31),IF($AN31="NY",MAX(0,$AY31-(IF($AU31="Married",7950,7400)+1000*$AS31)),IF($AN31="OH",MAX(0,$AY31-650*$AS31),IF($AN31="OK",MAX(0,$AY31-1000*$AS31),IF($AN31="RI",MAX(0,$AI31-1000*$AS31),IF($AN31="SC",MAX(0,$AI31-5000*$AS31-IF($AS31=0,0,MIN(0.1*$AI31,7500))),IF($AN31="VA",MAX(0,$AI31-IF($AU31="Married",17500,8750)-930*$AS31-800*$AT31),IF($AN31="VT",MAX(0,$AI31-5400*$AS31),IF($AN31="WI",MAX(0,$AI31-MAX(0,IF($AU31="Married",9461-0.2*MAX(0,$AI31-25727),6702-0.12*MAX(0,$AI31-17780)))-400*$AS31),IF($AN31="WV",MAX(0,$AI31-2000*$AS31),$AI31))))))))))))))))))))))</f>
      </c>
      <c r="BA31" s="7">
        <f>IF($B31="","",IF($BW31&lt;&gt;"",$BW31,IF($BX31&lt;&gt;"",$BX31,IF($BY31&lt;&gt;"",$BY31,0))))</f>
      </c>
      <c r="BB31" s="7">
        <f>IF($B31="","",IF($AN31="AR",-29*$AS31,IF($AN31="DE",-110*$AS31,IF($AN31="MD",$AZ31*'Your Pay &amp; Benefits'!$C$74,IF($AN31="AZ",'Your Pay &amp; Benefits'!$C$82*($M31-$D31)*'Your Pay &amp; Benefits'!$C$8,IF($AN31="CO",0.044*MAX(0,$AY31-IF($AU31="Married",10000,5000)),IF($AN31="IA",MAX(0,0.038*MAX(0,$AY31-IF($AU31="Head of household",19500,IF($AU31="Married",26000,13000)))-40*$AS31),IF($AN31="ID",0.053*MAX(0,$AY31-IF($AU31="Married",32000,16094)),IF($AN31="IL",0.0495*MAX(0,$AY31-(2925*$AS31+1000*$AT31)),IF($AN31="IN",(0.0295+'Your Pay &amp; Benefits'!$C$76)*MAX(0,$AY31-(1000*$AS31+1500*$AT31+3000*'Your Pay &amp; Benefits'!$C$86)),IF($AN31="KY",0.035*MAX(0,$AI31-3360),IF($AN31="LA",IF('Your Pay &amp; Benefits'!$C$84="0",0.0309*$AI31,0.0309*MAX(0,$AI31-IF('Your Pay &amp; Benefits'!$C$84="2",25750,12875))),IF($AN31="MA",0.05*MIN(MAX(0,$AY31-MIN(($BD30+$Q31+$R31+$S31),2000)-IF($AS31=0,0,IF($AS31=1,4400,1000*$AS31+3400))),1107750)+0.09*MAX(0,MAX(0,$AY31-MIN(($BD30+$Q31+$R31+$S31),2000)-IF($AS31=0,0,IF($AS31=1,4400,1000*$AS31+3400)))-1107750)-IF($AU31="Head of household",120,0)-110*'Your Pay &amp; Benefits'!$C$75,IF($AN31="MI",0.0425*MAX(0,$AY31-5900*$AS31),IF($AN31="MS",0.04*MAX(0,$AI31-IF($AU31="Head of household",3400,IF($AU31="Married",4600,2300))-'Your Pay &amp; Benefits'!$C$85-10000),IF($AN31="OR",IF(OR($AU31="Married",AND($AU31="Single",$AS31&gt;=3)),SUMPRODUCT((MAX(0,$AY31-MIN(($P31-'How This Works &amp; Sources'!$C$10*$D31)*'Your Pay &amp; Benefits'!$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Sources'!$B$211:$J$214,0,4))*(MAX(0,$AY31-MIN(($P31-'How This Works &amp; Sources'!$C$10*$D31)*'Your Pay &amp; Benefits'!$C$8,IF(OR($AU31="Married",AND($AU31="Single",$AS31&gt;=3)),IF($AY31&lt;250000,8750,IF($AY31&lt;260000,7000,IF($AY31&lt;270000,5250,IF($AY31&lt;280000,3500,IF($AY31&lt;290000,1750,0))))),IF($AY31&lt;125000,8750,IF($AY31&lt;130000,7000,IF($AY31&lt;135000,5250,IF($AY31&lt;140000,3500,IF($AY31&lt;145000,1750,0)))))))-IF(OR($AU31="Married",AND($AU31="Single",$AS31&gt;=3)),5820,2910))-INDEX('How This Works &amp; Sources'!$B$211:$J$214,0,4))*INDEX('How This Works &amp; Sources'!$B$211:$J$214,0,4+2)),SUMPRODUCT((MAX(0,$AY31-MIN(($P31-'How This Works &amp; Sources'!$C$10*$D31)*'Your Pay &amp; Benefits'!$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Sources'!$B$211:$J$214,0,1))*(MAX(0,$AY31-MIN(($P31-'How This Works &amp; Sources'!$C$10*$D31)*'Your Pay &amp; Benefits'!$C$8,IF(OR($AU31="Married",AND($AU31="Single",$AS31&gt;=3)),IF($AY31&lt;250000,8750,IF($AY31&lt;260000,7000,IF($AY31&lt;270000,5250,IF($AY31&lt;280000,3500,IF($AY31&lt;290000,1750,0))))),IF($AY31&lt;125000,8750,IF($AY31&lt;130000,7000,IF($AY31&lt;135000,5250,IF($AY31&lt;140000,3500,IF($AY31&lt;145000,1750,0)))))))-IF(OR($AU31="Married",AND($AU31="Single",$AS31&gt;=3)),5820,2910))-INDEX('How This Works &amp; Sources'!$B$211:$J$214,0,1))*INDEX('How This Works &amp; Sources'!$B$211:$J$214,0,1+2)))+263-263*IF(IF($AU31="Married",$AY31&gt;200000,$AY31&gt;100000),0,$AS31),IF($AN31="PA",0.0307*(($O31+$E31+$G31)*'Your Pay &amp; Benefits'!$C$8),IF($AN31="NY",IF($AU31="Married",IF($AZ31&gt;=2155350,0,IF($AZ31&gt;=1077550,0.48,IF($AZ31&gt;=373200,1.21,IF($AZ31&gt;=323200,0.21,IF($AZ31&gt;=211550,-0.19,IF($AZ31&gt;=157650,-2.8,IF($AZ31&gt;=107650,-0.8,IF($AZ31&gt;=96800,0.05,IF($AZ31&gt;=80650,-0.1,IF($AZ31&gt;=13900,0.4,IF($AZ31&gt;=11700,-0.3,IF($AZ31&gt;=8500,0.5,0)))))))))))),IF($AZ31&gt;=1077550,0,IF($AZ31&gt;=265400,4.29,IF($AZ31&gt;=215400,2.29,IF($AZ31&gt;=157650,2.29,IF($AZ31&gt;=107650,0.29,IF($AZ31&gt;=96800,0.05,IF($AZ31&gt;=80650,-0.1,IF($AZ31&gt;=13900,0.4,IF($AZ31&gt;=11700,-0.3,IF($AZ31&gt;=8500,0.5,0))))))))))),0))))))))))))))))))</f>
      </c>
      <c r="BC31" s="7">
        <f>IF($B31="","",IF($AN31="AL",0.05*$D31,IF($AN31="AR",0.039*$D31,IF($AN31="ID",0.053*$D31,IF($AN31="IN",(0.0295+'Your Pay &amp; Benefits'!$C$76)*$D31,IF($AN31="KS",0.05*$D31,IF($AN31="MA",0.09*MIN($D31,MAX(0,MAX(0,$AY31-MIN(($BD30+$Q31+$R31+$S31),2000)-IF($AS31=0,0,IF($AS31=1,4400,1000*$AS31+3400)))+$D31-1107750))+0.05*($D31-MIN($D31,MAX(0,MAX(0,$AY31-MIN(($BD30+$Q31+$R31+$S31),2000)-IF($AS31=0,0,IF($AS31=1,4400,1000*$AS31+3400)))+$D31-1107750))),IF($AN31="MD",(0.065+'Your Pay &amp; Benefits'!$C$74)*$D31,IF($AN31="MI",0.0425*$D31,IF($AN31="MN",0.0625*$D31,IF($AN31="MO",0.047*$D31,IF($AN31="MT",0.05*$D31,IF($AN31="ND",0.015*$D31,IF($AN31="NE",0.035*$D31,IF($AN31="NJ",IF('Your Pay &amp; Benefits'!$C$77="B",SUMPRODUCT(($D31*'Your Pay &amp; Benefits'!$C$8&gt;INDEX('How This Works &amp; Sources'!$B$155:$J$162,0,4))*($D31*'Your Pay &amp; Benefits'!$C$8-INDEX('How This Works &amp; Sources'!$B$155:$J$162,0,4))*INDEX('How This Works &amp; Sources'!$B$155:$J$162,0,4+2)),IF('Your Pay &amp; Benefits'!$C$77="C",SUMPRODUCT(($D31*'Your Pay &amp; Benefits'!$C$8&gt;INDEX('How This Works &amp; Sources'!$B$155:$J$162,0,7))*($D31*'Your Pay &amp; Benefits'!$C$8-INDEX('How This Works &amp; Sources'!$B$155:$J$162,0,7))*INDEX('How This Works &amp; Sources'!$B$155:$J$162,0,7+2)),IF('Your Pay &amp; Benefits'!$C$77="D",SUMPRODUCT(($D31*'Your Pay &amp; Benefits'!$C$8&gt;INDEX('How This Works &amp; Sources'!$B$167:$J$179,0,1))*($D31*'Your Pay &amp; Benefits'!$C$8-INDEX('How This Works &amp; Sources'!$B$167:$J$179,0,1))*INDEX('How This Works &amp; Sources'!$B$167:$J$179,0,1+2)),IF('Your Pay &amp; Benefits'!$C$77="E",SUMPRODUCT(($D31*'Your Pay &amp; Benefits'!$C$8&gt;INDEX('How This Works &amp; Sources'!$B$167:$J$179,0,4))*($D31*'Your Pay &amp; Benefits'!$C$8-INDEX('How This Works &amp; Sources'!$B$167:$J$179,0,4))*INDEX('How This Works &amp; Sources'!$B$167:$J$179,0,4+2)),SUMPRODUCT(($D31*'Your Pay &amp; Benefits'!$C$8&gt;INDEX('How This Works &amp; Sources'!$B$155:$J$162,0,1))*($D31*'Your Pay &amp; Benefits'!$C$8-INDEX('How This Works &amp; Sources'!$B$155:$J$162,0,1))*INDEX('How This Works &amp; Sources'!$B$155:$J$162,0,1+2))))))/'Your Pay &amp; Benefits'!$C$8,IF($AN31="NY",0.117*$D31,IF($AN31="OH",0.0275*$D31,IF($AN31="OK",0.045*$D31,IF($AN31="OR",0.08*$D31,IF($AN31="WI",IF($AY31&lt;12760,0.0354,IF($AY31&lt;25520,0.0465,IF($AY31&lt;280950,0.053,0.0765)))*$D31,0))))))))))))))))))))</f>
      </c>
      <c r="BD31" s="7">
        <f>IF($B31="","",$BD30+$Q31+$R31+$S31)</f>
      </c>
      <c r="BE31" s="6">
        <f>IF($B31="",$BE30,$BE30+$BF31)</f>
      </c>
      <c r="BF31" s="6">
        <f>IF($B31="","",IF(AND(IF(YEAR(IF('Your Pay &amp; Benefits'!$C$7="Weekly",'Your Pay &amp; Benefits'!$C$9+7*(($BE30+1)-1),IF('Your Pay &amp; Benefits'!$C$7="Biweekly",'Your Pay &amp; Benefits'!$C$9+14*(($BE30+1)-1),IF('Your Pay &amp; Benefits'!$C$7="Semimonthly",DATE(YEAR('Your Pay &amp; Benefits'!$C$9),MONTH('Your Pay &amp; Benefits'!$C$9)+INT((($BE30+1)-1)/2),MIN(DAY('Your Pay &amp; Benefits'!$C$9),DAY(EOMONTH(DATE(YEAR('Your Pay &amp; Benefits'!$C$9),MONTH('Your Pay &amp; Benefits'!$C$9)+INT((($BE30+1)-1)/2),1),0))))+IF(MOD(($BE30+1)-1,2)=1,15,0),EDATE('Your Pay &amp; Benefits'!$C$9,($BE30+1)-1)))))&lt;&gt;'Your Pay &amp; Benefits'!$C$10,"",IF('Your Pay &amp; Benefits'!$C$7="Weekly",'Your Pay &amp; Benefits'!$C$9+7*(($BE30+1)-1),IF('Your Pay &amp; Benefits'!$C$7="Biweekly",'Your Pay &amp; Benefits'!$C$9+14*(($BE30+1)-1),IF('Your Pay &amp; Benefits'!$C$7="Semimonthly",DATE(YEAR('Your Pay &amp; Benefits'!$C$9),MONTH('Your Pay &amp; Benefits'!$C$9)+INT((($BE30+1)-1)/2),MIN(DAY('Your Pay &amp; Benefits'!$C$9),DAY(EOMONTH(DATE(YEAR('Your Pay &amp; Benefits'!$C$9),MONTH('Your Pay &amp; Benefits'!$C$9)+INT((($BE30+1)-1)/2),1),0))))+IF(MOD(($BE30+1)-1,2)=1,15,0),EDATE('Your Pay &amp; Benefits'!$C$9,($BE30+1)-1)))))&lt;&gt;"",$B31=IF(YEAR(IF('Your Pay &amp; Benefits'!$C$7="Weekly",'Your Pay &amp; Benefits'!$C$9+7*(($BE30+1)-1),IF('Your Pay &amp; Benefits'!$C$7="Biweekly",'Your Pay &amp; Benefits'!$C$9+14*(($BE30+1)-1),IF('Your Pay &amp; Benefits'!$C$7="Semimonthly",DATE(YEAR('Your Pay &amp; Benefits'!$C$9),MONTH('Your Pay &amp; Benefits'!$C$9)+INT((($BE30+1)-1)/2),MIN(DAY('Your Pay &amp; Benefits'!$C$9),DAY(EOMONTH(DATE(YEAR('Your Pay &amp; Benefits'!$C$9),MONTH('Your Pay &amp; Benefits'!$C$9)+INT((($BE30+1)-1)/2),1),0))))+IF(MOD(($BE30+1)-1,2)=1,15,0),EDATE('Your Pay &amp; Benefits'!$C$9,($BE30+1)-1)))))&lt;&gt;'Your Pay &amp; Benefits'!$C$10,"",IF('Your Pay &amp; Benefits'!$C$7="Weekly",'Your Pay &amp; Benefits'!$C$9+7*(($BE30+1)-1),IF('Your Pay &amp; Benefits'!$C$7="Biweekly",'Your Pay &amp; Benefits'!$C$9+14*(($BE30+1)-1),IF('Your Pay &amp; Benefits'!$C$7="Semimonthly",DATE(YEAR('Your Pay &amp; Benefits'!$C$9),MONTH('Your Pay &amp; Benefits'!$C$9)+INT((($BE30+1)-1)/2),MIN(DAY('Your Pay &amp; Benefits'!$C$9),DAY(EOMONTH(DATE(YEAR('Your Pay &amp; Benefits'!$C$9),MONTH('Your Pay &amp; Benefits'!$C$9)+INT((($BE30+1)-1)/2),1),0))))+IF(MOD(($BE30+1)-1,2)=1,15,0),EDATE('Your Pay &amp; Benefits'!$C$9,($BE30+1)-1)))))),1,0))</f>
      </c>
      <c r="BG31" s="7">
        <f>IF($B31="","",$BG30+$H31)</f>
      </c>
      <c r="BH31" s="7">
        <f>IF($B31="","",$BH30+$I31)</f>
      </c>
      <c r="BI31" s="7">
        <f>IF($B31="","",$BI30+$G31)</f>
      </c>
      <c r="BJ31" s="7">
        <f>IF($B31="","",IFERROR(LOOKUP(2,1/(((('Changes &amp; Events'!$C$6:$C$17="Deduction start"))*('Changes &amp; Events'!$D$6:$D$17="Health FSA"))*('Changes &amp; Events'!$B$6:$B$17&lt;=$B31)*('Changes &amp; Events'!$B$6:$B$17&lt;&gt;"")),'Changes &amp; Events'!$E$6:$E$17),'Your Pay &amp; Benefits'!$D$38))</f>
      </c>
      <c r="BK31" s="7">
        <f>IF($B31="","",IFERROR(LOOKUP(2,1/(((('Changes &amp; Events'!$C$6:$C$17="Deduction start"))*('Changes &amp; Events'!$D$6:$D$17="Dependent-care FSA"))*('Changes &amp; Events'!$B$6:$B$17&lt;=$B31)*('Changes &amp; Events'!$B$6:$B$17&lt;&gt;"")),'Changes &amp; Events'!$E$6:$E$17),'Your Pay &amp; Benefits'!$D$39))</f>
      </c>
      <c r="BL31" s="7">
        <f>IF($B31="","",IFERROR(LOOKUP(2,1/(((('Changes &amp; Events'!$C$6:$C$17="Deduction start")+('Changes &amp; Events'!$C$6:$C$17="Deduction stop"))*('Changes &amp; Events'!$D$6:$D$17="HSA"))*('Changes &amp; Events'!$B$6:$B$17&lt;=$B31)*('Changes &amp; Events'!$B$6:$B$17&lt;&gt;"")),'Changes &amp; Events'!$I$6:$I$17),'Your Pay &amp; Benefits'!$D$35))</f>
      </c>
      <c r="BM31" s="7">
        <f>IF($B31="","",IFERROR(LOOKUP(2,1/(((('Changes &amp; Events'!$C$6:$C$17="Deduction start")+('Changes &amp; Events'!$C$6:$C$17="Deduction stop"))*('Changes &amp; Events'!$D$6:$D$17="Premiums"))*('Changes &amp; Events'!$B$6:$B$17&lt;=$B31)*('Changes &amp; Events'!$B$6:$B$17&lt;&gt;"")),'Changes &amp; Events'!$I$6:$I$17),'Your Pay &amp; Benefits'!$D$40+'Your Pay &amp; Benefits'!$D$41+'Your Pay &amp; Benefits'!$D$42))</f>
      </c>
      <c r="BN31" s="7">
        <f>IF($B31="","",IFERROR(LOOKUP(2,1/(((('Changes &amp; Events'!$C$6:$C$17="Deduction start")+('Changes &amp; Events'!$C$6:$C$17="Deduction stop"))*('Changes &amp; Events'!$D$6:$D$17="Commuter"))*('Changes &amp; Events'!$B$6:$B$17&lt;=$B31)*('Changes &amp; Events'!$B$6:$B$17&lt;&gt;"")),'Changes &amp; Events'!$I$6:$I$17),'Your Pay &amp; Benefits'!$D$43))</f>
      </c>
      <c r="BO31" s="7">
        <f>IF($B31="","",IFERROR(LOOKUP(2,1/(((('Changes &amp; Events'!$C$6:$C$17="Deduction start")+('Changes &amp; Events'!$C$6:$C$17="Deduction stop"))*('Changes &amp; Events'!$D$6:$D$17="Other pre-tax"))*('Changes &amp; Events'!$B$6:$B$17&lt;=$B31)*('Changes &amp; Events'!$B$6:$B$17&lt;&gt;"")),'Changes &amp; Events'!$I$6:$I$17),'Your Pay &amp; Benefits'!$D$44))</f>
      </c>
      <c r="BP31" s="7">
        <f>IF($B31="","",IFERROR(LOOKUP(2,1/(((('Changes &amp; Events'!$C$6:$C$17="Deduction start")+('Changes &amp; Events'!$C$6:$C$17="Deduction stop"))*('Changes &amp; Events'!$D$6:$D$17="Other post-tax"))*('Changes &amp; Events'!$B$6:$B$17&lt;=$B31)*('Changes &amp; Events'!$B$6:$B$17&lt;&gt;"")),'Changes &amp; Events'!$I$6:$I$17),'Your Pay &amp; Benefits'!$D$45))</f>
      </c>
      <c r="BQ31" s="6">
        <f>IF($B31="","",IFERROR(LOOKUP(2,1/(((('Changes &amp; Events'!$C$6:$C$17="Deduction start")+('Changes &amp; Events'!$C$6:$C$17="Deduction stop"))*('Changes &amp; Events'!$D$6:$D$17="Health FSA"))*('Changes &amp; Events'!$B$6:$B$17&lt;=$B31)*('Changes &amp; Events'!$B$6:$B$17&lt;&gt;"")),'Changes &amp; Events'!$J$6:$J$17),0))</f>
      </c>
      <c r="BR31" s="6">
        <f>IF($B31="","",IFERROR(LOOKUP(2,1/(((('Changes &amp; Events'!$C$6:$C$17="Deduction start")+('Changes &amp; Events'!$C$6:$C$17="Deduction stop"))*('Changes &amp; Events'!$D$6:$D$17="Dependent-care FSA"))*('Changes &amp; Events'!$B$6:$B$17&lt;=$B31)*('Changes &amp; Events'!$B$6:$B$17&lt;&gt;"")),'Changes &amp; Events'!$J$6:$J$17),0))</f>
      </c>
      <c r="BS31" s="6">
        <f>IF($B31="","",IF(SUMPRODUCT(('Changes &amp; Events'!$C$6:$C$17="Deduction start")*('Changes &amp; Events'!$B$6:$B$17&lt;=$B31)*('Changes &amp; Events'!$B$6:$B$17&lt;&gt;"")*('Changes &amp; Events'!$D$6:$D$17="Health FSA"))&gt;0,1,0))</f>
      </c>
      <c r="BT31" s="6">
        <f>IF($B31="","",IF(SUMPRODUCT(('Changes &amp; Events'!$C$6:$C$17="Deduction start")*('Changes &amp; Events'!$B$6:$B$17&lt;=$B31)*('Changes &amp; Events'!$B$6:$B$17&lt;&gt;"")*('Changes &amp; Events'!$D$6:$D$17="Dependent-care FSA"))&gt;0,1,0))</f>
      </c>
      <c r="BU31" s="24">
        <f>IF($B31="","",IF('Your Pay &amp; Benefits'!$C$13,SUMPRODUCT(($AH31&gt;=INDEX('How This Works &amp; Sources'!$B$29:$J$36,0,IF('Your Pay &amp; Benefits'!$C$12="MFJ",1,IF('Your Pay &amp; Benefits'!$C$12="HoH",7,4))))*INDEX('How This Works &amp; Sources'!$B$29:$J$36,0,IF('Your Pay &amp; Benefits'!$C$12="MFJ",1,IF('Your Pay &amp; Benefits'!$C$12="HoH",7,4))+2)),SUMPRODUCT(($AH31&gt;=INDEX('How This Works &amp; Sources'!$B$19:$J$26,0,IF('Your Pay &amp; Benefits'!$C$12="MFJ",1,IF('Your Pay &amp; Benefits'!$C$12="HoH",7,4))))*INDEX('How This Works &amp; Sources'!$B$19:$J$26,0,IF('Your Pay &amp; Benefits'!$C$12="MFJ",1,IF('Your Pay &amp; Benefits'!$C$12="HoH",7,4))+2))))</f>
      </c>
      <c r="BV31" s="24">
        <f>IF($B31="","",IF($BZ31&lt;&gt;"",$BZ31,IF($CA31&lt;&gt;"",$CA31,IF($CB31&lt;&gt;"",$CB31,IF($CC31&lt;&gt;"",$CC31,0)))))</f>
      </c>
      <c r="BW31" s="7">
        <f>IF($B31="","",IF($AN31="MD",IF(OR($AU31="Married",$AU31="Head of household"),SUMPRODUCT(($AZ31&gt;INDEX('How This Works &amp; Sources'!$B$114:$J$120,0,1))*($AZ31-INDEX('How This Works &amp; Sources'!$B$114:$J$120,0,1))*INDEX('How This Works &amp; Sources'!$B$114:$J$120,0,1+2)),SUMPRODUCT(($AZ31&gt;INDEX('How This Works &amp; Sources'!$B$103:$J$109,0,7))*($AZ31-INDEX('How This Works &amp; Sources'!$B$103:$J$109,0,7))*INDEX('How This Works &amp; Sources'!$B$103:$J$109,0,7+2))),IF($AN31="MO",SUMPRODUCT(($AZ31&gt;INDEX('How This Works &amp; Sources'!$B$125:$J$132,0,1))*($AZ31-INDEX('How This Works &amp; Sources'!$B$125:$J$132,0,1))*INDEX('How This Works &amp; Sources'!$B$125:$J$132,0,1+2)),IF($AN31="MT",IF($AU31="Head of household",SUMPRODUCT(($AZ31&gt;INDEX('How This Works &amp; Sources'!$B$137:$J$139,0,1))*($AZ31-INDEX('How This Works &amp; Sources'!$B$137:$J$139,0,1))*INDEX('How This Works &amp; Sources'!$B$137:$J$139,0,1+2)),IF($AU31="Married",SUMPRODUCT(($AZ31&gt;INDEX('How This Works &amp; Sources'!$B$125:$J$132,0,7))*($AZ31-INDEX('How This Works &amp; Sources'!$B$125:$J$132,0,7))*INDEX('How This Works &amp; Sources'!$B$125:$J$132,0,7+2)),SUMPRODUCT(($AZ31&gt;INDEX('How This Works &amp; Sources'!$B$125:$J$132,0,4))*($AZ31-INDEX('How This Works &amp; Sources'!$B$125:$J$132,0,4))*INDEX('How This Works &amp; Sources'!$B$125:$J$132,0,4+2)))),IF($AN31="ND",IF($AU31="Head of household",SUMPRODUCT(($AZ31&gt;INDEX('How This Works &amp; Sources'!$B$144:$J$150,0,1))*($AZ31-INDEX('How This Works &amp; Sources'!$B$144:$J$150,0,1))*INDEX('How This Works &amp; Sources'!$B$144:$J$150,0,1+2)),IF($AU31="Married",SUMPRODUCT(($AZ31&gt;INDEX('How This Works &amp; Sources'!$B$137:$J$139,0,7))*($AZ31-INDEX('How This Works &amp; Sources'!$B$137:$J$139,0,7))*INDEX('How This Works &amp; Sources'!$B$137:$J$139,0,7+2)),SUMPRODUCT(($AZ31&gt;INDEX('How This Works &amp; Sources'!$B$137:$J$139,0,4))*($AZ31-INDEX('How This Works &amp; Sources'!$B$137:$J$139,0,4))*INDEX('How This Works &amp; Sources'!$B$137:$J$139,0,4+2)))),IF($AN31="NJ",IF('Your Pay &amp; Benefits'!$C$77="B",SUMPRODUCT(($AZ31&gt;INDEX('How This Works &amp; Sources'!$B$155:$J$162,0,4))*($AZ31-INDEX('How This Works &amp; Sources'!$B$155:$J$162,0,4))*INDEX('How This Works &amp; Sources'!$B$155:$J$162,0,4+2)),IF('Your Pay &amp; Benefits'!$C$77="C",SUMPRODUCT(($AZ31&gt;INDEX('How This Works &amp; Sources'!$B$155:$J$162,0,7))*($AZ31-INDEX('How This Works &amp; Sources'!$B$155:$J$162,0,7))*INDEX('How This Works &amp; Sources'!$B$155:$J$162,0,7+2)),IF('Your Pay &amp; Benefits'!$C$77="D",SUMPRODUCT(($AZ31&gt;INDEX('How This Works &amp; Sources'!$B$167:$J$179,0,1))*($AZ31-INDEX('How This Works &amp; Sources'!$B$167:$J$179,0,1))*INDEX('How This Works &amp; Sources'!$B$167:$J$179,0,1+2)),IF('Your Pay &amp; Benefits'!$C$77="E",SUMPRODUCT(($AZ31&gt;INDEX('How This Works &amp; Sources'!$B$167:$J$179,0,4))*($AZ31-INDEX('How This Works &amp; Sources'!$B$167:$J$179,0,4))*INDEX('How This Works &amp; Sources'!$B$167:$J$179,0,4+2)),SUMPRODUCT(($AZ31&gt;INDEX('How This Works &amp; Sources'!$B$155:$J$162,0,1))*($AZ31-INDEX('How This Works &amp; Sources'!$B$155:$J$162,0,1))*INDEX('How This Works &amp; Sources'!$B$155:$J$162,0,1+2)))))),IF($AN31="NY",IF($AU31="Married",IF($AZ31&gt;=2155350,$AZ31*IF($AZ31&gt;25000000,0.117,IF($AZ31&gt;5000000,0.111,0.1045)),SUMPRODUCT(($AZ31&gt;INDEX('How This Works &amp; Sources'!$B$184:$J$198,0,1))*($AZ31-INDEX('How This Works &amp; Sources'!$B$184:$J$198,0,1))*INDEX('How This Works &amp; Sources'!$B$184:$J$198,0,1+2))),IF($AZ31&gt;=1077550,$AZ31*IF($AZ31&gt;25000000,0.117,IF($AZ31&gt;5000000,0.111,0.1045)),SUMPRODUCT(($AZ31&gt;INDEX('How This Works &amp; Sources'!$B$167:$J$179,0,7))*($AZ31-INDEX('How This Works &amp; Sources'!$B$167:$J$179,0,7))*INDEX('How This Works &amp; Sources'!$B$167:$J$179,0,7+2)))),"")))))))</f>
      </c>
      <c r="BX31" s="7">
        <f>IF($B31="","",IF($AN31="AL",IF(OR($AU31="Married",$AU31="Head of household"),SUMPRODUCT(($AZ31&gt;INDEX('How This Works &amp; Sources'!$B$82:$J$86,0,4))*($AZ31-INDEX('How This Works &amp; Sources'!$B$82:$J$86,0,4))*INDEX('How This Works &amp; Sources'!$B$82:$J$86,0,4+2)),SUMPRODUCT(($AZ31&gt;INDEX('How This Works &amp; Sources'!$B$82:$J$86,0,1))*($AZ31-INDEX('How This Works &amp; Sources'!$B$82:$J$86,0,1))*INDEX('How This Works &amp; Sources'!$B$82:$J$86,0,1+2))),IF($AN31="KS",IF($AU31="Married",SUMPRODUCT(($AZ31&gt;INDEX('How This Works &amp; Sources'!$B$103:$J$109,0,4))*($AZ31-INDEX('How This Works &amp; Sources'!$B$103:$J$109,0,4))*INDEX('How This Works &amp; Sources'!$B$103:$J$109,0,4+2)),SUMPRODUCT(($AZ31&gt;INDEX('How This Works &amp; Sources'!$B$103:$J$109,0,1))*($AZ31-INDEX('How This Works &amp; Sources'!$B$103:$J$109,0,1))*INDEX('How This Works &amp; Sources'!$B$103:$J$109,0,1+2))),IF($AN31="MN",IF($AU31="Married",SUMPRODUCT(($AZ31&gt;INDEX('How This Works &amp; Sources'!$B$114:$J$120,0,7))*($AZ31-INDEX('How This Works &amp; Sources'!$B$114:$J$120,0,7))*INDEX('How This Works &amp; Sources'!$B$114:$J$120,0,7+2)),SUMPRODUCT(($AZ31&gt;INDEX('How This Works &amp; Sources'!$B$114:$J$120,0,4))*($AZ31-INDEX('How This Works &amp; Sources'!$B$114:$J$120,0,4))*INDEX('How This Works &amp; Sources'!$B$114:$J$120,0,4+2))),IF($AN31="NE",MAX(IF($AU31="Married",SUMPRODUCT(($AZ31&gt;INDEX('How This Works &amp; Sources'!$B$144:$J$150,0,7))*($AZ31-INDEX('How This Works &amp; Sources'!$B$144:$J$150,0,7))*INDEX('How This Works &amp; Sources'!$B$144:$J$150,0,7+2)),SUMPRODUCT(($AZ31&gt;INDEX('How This Works &amp; Sources'!$B$144:$J$150,0,4))*($AZ31-INDEX('How This Works &amp; Sources'!$B$144:$J$150,0,4))*INDEX('How This Works &amp; Sources'!$B$144:$J$150,0,4+2))),0.015*$AZ31),IF($AN31="OH",IF($B31&gt;=DATE(2026,8,1),SUMPRODUCT(($AZ31&gt;INDEX('How This Works &amp; Sources'!$B$203:$J$206,0,1))*($AZ31-INDEX('How This Works &amp; Sources'!$B$203:$J$206,0,1))*INDEX('How This Works &amp; Sources'!$B$203:$J$206,0,1+2)),SUMPRODUCT(($AZ31&gt;INDEX('How This Works &amp; Sources'!$B$184:$J$198,0,7))*($AZ31-INDEX('How This Works &amp; Sources'!$B$184:$J$198,0,7))*INDEX('How This Works &amp; Sources'!$B$184:$J$198,0,7+2))),IF($AN31="OK",IF($AU31="Married",SUMPRODUCT(($AZ31&gt;INDEX('How This Works &amp; Sources'!$B$203:$J$206,0,7))*($AZ31-INDEX('How This Works &amp; Sources'!$B$203:$J$206,0,7))*INDEX('How This Works &amp; Sources'!$B$203:$J$206,0,7+2)),SUMPRODUCT(($AZ31&gt;INDEX('How This Works &amp; Sources'!$B$203:$J$206,0,4))*($AZ31-INDEX('How This Works &amp; Sources'!$B$203:$J$206,0,4))*INDEX('How This Works &amp; Sources'!$B$203:$J$206,0,4+2))),IF($AN31="RI",SUMPRODUCT(($AZ31&gt;INDEX('How This Works &amp; Sources'!$B$211:$J$214,0,7))*($AZ31-INDEX('How This Works &amp; Sources'!$B$211:$J$214,0,7))*INDEX('How This Works &amp; Sources'!$B$211:$J$214,0,7+2)),IF($AN31="VT",IF($AU31="Married",SUMPRODUCT(($AZ31&gt;INDEX('How This Works &amp; Sources'!$B$228:$J$232,0,1))*($AZ31-INDEX('How This Works &amp; Sources'!$B$228:$J$232,0,1))*INDEX('How This Works &amp; Sources'!$B$228:$J$232,0,1+2)),SUMPRODUCT(($AZ31&gt;INDEX('How This Works &amp; Sources'!$B$219:$J$223,0,7))*($AZ31-INDEX('How This Works &amp; Sources'!$B$219:$J$223,0,7))*INDEX('How This Works &amp; Sources'!$B$219:$J$223,0,7+2))),IF($AN31="WV",IF($AU31="Married",SUMPRODUCT(($AZ31&gt;INDEX('How This Works &amp; Sources'!$B$237:$J$241,0,7))*($AZ31-INDEX('How This Works &amp; Sources'!$B$237:$J$241,0,7))*INDEX('How This Works &amp; Sources'!$B$237:$J$241,0,7+2)),SUMPRODUCT(($AZ31&gt;INDEX('How This Works &amp; Sources'!$B$228:$J$232,0,7))*($AZ31-INDEX('How This Works &amp; Sources'!$B$228:$J$232,0,7))*INDEX('How This Works &amp; Sources'!$B$228:$J$232,0,7+2))),""))))))))))</f>
      </c>
      <c r="BY31" s="7">
        <f>IF($B31="","",IF($AN31="AR",SUMPRODUCT(($AZ31&gt;INDEX('How This Works &amp; Sources'!$B$82:$J$86,0,7))*($AZ31-INDEX('How This Works &amp; Sources'!$B$82:$J$86,0,7))*INDEX('How This Works &amp; Sources'!$B$82:$J$86,0,7+2)),IF($AN31="DE",SUMPRODUCT(($AZ31&gt;INDEX('How This Works &amp; Sources'!$B$91:$J$98,0,1))*($AZ31-INDEX('How This Works &amp; Sources'!$B$91:$J$98,0,1))*INDEX('How This Works &amp; Sources'!$B$91:$J$98,0,1+2)),IF($AN31="HI",IF($AU31="Married",SUMPRODUCT(($AZ31&gt;INDEX('How This Works &amp; Sources'!$B$91:$J$98,0,7))*($AZ31-INDEX('How This Works &amp; Sources'!$B$91:$J$98,0,7))*INDEX('How This Works &amp; Sources'!$B$91:$J$98,0,7+2)),SUMPRODUCT(($AZ31&gt;INDEX('How This Works &amp; Sources'!$B$91:$J$98,0,4))*($AZ31-INDEX('How This Works &amp; Sources'!$B$91:$J$98,0,4))*INDEX('How This Works &amp; Sources'!$B$91:$J$98,0,4+2))),IF($AN31="SC",SUMPRODUCT(($AZ31&gt;INDEX('How This Works &amp; Sources'!$B$219:$J$223,0,1))*($AZ31-INDEX('How This Works &amp; Sources'!$B$219:$J$223,0,1))*INDEX('How This Works &amp; Sources'!$B$219:$J$223,0,1+2)),IF($AN31="VA",SUMPRODUCT(($AZ31&gt;INDEX('How This Works &amp; Sources'!$B$219:$J$223,0,4))*($AZ31-INDEX('How This Works &amp; Sources'!$B$219:$J$223,0,4))*INDEX('How This Works &amp; Sources'!$B$219:$J$223,0,4+2)),IF($AN31="WI",SUMPRODUCT(($AZ31&gt;INDEX('How This Works &amp; Sources'!$B$228:$J$232,0,4))*($AZ31-INDEX('How This Works &amp; Sources'!$B$228:$J$232,0,4))*INDEX('How This Works &amp; Sources'!$B$228:$J$232,0,4+2)),"")))))))</f>
      </c>
      <c r="BZ31" s="24">
        <f>IF($B31="","",IF($AN31="NJ",IF('Your Pay &amp; Benefits'!$C$77="B",SUMPRODUCT(($AZ31&gt;=INDEX('How This Works &amp; Sources'!$B$155:$J$162,0,4))*INDEX('How This Works &amp; Sources'!$B$155:$J$162,0,4+2)),IF('Your Pay &amp; Benefits'!$C$77="C",SUMPRODUCT(($AZ31&gt;=INDEX('How This Works &amp; Sources'!$B$155:$J$162,0,7))*INDEX('How This Works &amp; Sources'!$B$155:$J$162,0,7+2)),IF('Your Pay &amp; Benefits'!$C$77="D",SUMPRODUCT(($AZ31&gt;=INDEX('How This Works &amp; Sources'!$B$167:$J$179,0,1))*INDEX('How This Works &amp; Sources'!$B$167:$J$179,0,1+2)),IF('Your Pay &amp; Benefits'!$C$77="E",SUMPRODUCT(($AZ31&gt;=INDEX('How This Works &amp; Sources'!$B$167:$J$179,0,4))*INDEX('How This Works &amp; Sources'!$B$167:$J$179,0,4+2)),SUMPRODUCT(($AZ31&gt;=INDEX('How This Works &amp; Sources'!$B$155:$J$162,0,1))*INDEX('How This Works &amp; Sources'!$B$155:$J$162,0,1+2)))))),IF($AN31="OR",IF(OR($AU31="Married",AND($AU31="Single",$AS31&gt;=3)),SUMPRODUCT((MAX(0,$AY31-MIN(($P31-'How This Works &amp; Sources'!$C$10*$D31)*'Your Pay &amp; Benefits'!$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Sources'!$B$211:$J$214,0,4))*INDEX('How This Works &amp; Sources'!$B$211:$J$214,0,4+2)),SUMPRODUCT((MAX(0,$AY31-MIN(($P31-'How This Works &amp; Sources'!$C$10*$D31)*'Your Pay &amp; Benefits'!$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Sources'!$B$211:$J$214,0,1))*INDEX('How This Works &amp; Sources'!$B$211:$J$214,0,1+2)))*IF(($P31-'How This Works &amp; Sources'!$C$10*$D31)*'Your Pay &amp; Benefits'!$C$8&gt;=IF(OR($AU31="Married",AND($AU31="Single",$AS31&gt;=3)),IF($AY31&lt;250000,8750,IF($AY31&lt;260000,7000,IF($AY31&lt;270000,5250,IF($AY31&lt;280000,3500,IF($AY31&lt;290000,1750,0))))),IF($AY31&lt;125000,8750,IF($AY31&lt;130000,7000,IF($AY31&lt;135000,5250,IF($AY31&lt;140000,3500,IF($AY31&lt;145000,1750,0)))))),1,1-IF('Your Pay &amp; Benefits'!$C$13,SUMPRODUCT(($AH31&gt;=INDEX('How This Works &amp; Sources'!$B$29:$J$36,0,IF('Your Pay &amp; Benefits'!$C$12="MFJ",1,IF('Your Pay &amp; Benefits'!$C$12="HoH",7,4))))*INDEX('How This Works &amp; Sources'!$B$29:$J$36,0,IF('Your Pay &amp; Benefits'!$C$12="MFJ",1,IF('Your Pay &amp; Benefits'!$C$12="HoH",7,4))+2)),SUMPRODUCT(($AH31&gt;=INDEX('How This Works &amp; Sources'!$B$19:$J$26,0,IF('Your Pay &amp; Benefits'!$C$12="MFJ",1,IF('Your Pay &amp; Benefits'!$C$12="HoH",7,4))))*INDEX('How This Works &amp; Sources'!$B$19:$J$26,0,IF('Your Pay &amp; Benefits'!$C$12="MFJ",1,IF('Your Pay &amp; Benefits'!$C$12="HoH",7,4))+2)))),IF($AN31="MI",IF($AY31&gt;5900*$AS31,0.0425,0),""))))</f>
      </c>
      <c r="CA31" s="24">
        <f>IF($B31="","",IF($AN31="AL",IF(OR($AU31="Married",$AU31="Head of household"),SUMPRODUCT(($AZ31&gt;=INDEX('How This Works &amp; Sources'!$B$82:$J$86,0,4))*INDEX('How This Works &amp; Sources'!$B$82:$J$86,0,4+2)),SUMPRODUCT(($AZ31&gt;=INDEX('How This Works &amp; Sources'!$B$82:$J$86,0,1))*INDEX('How This Works &amp; Sources'!$B$82:$J$86,0,1+2)))*(1-IF('Your Pay &amp; Benefits'!$C$13,SUMPRODUCT(($AH31&gt;=INDEX('How This Works &amp; Sources'!$B$29:$J$36,0,IF('Your Pay &amp; Benefits'!$C$12="MFJ",1,IF('Your Pay &amp; Benefits'!$C$12="HoH",7,4))))*INDEX('How This Works &amp; Sources'!$B$29:$J$36,0,IF('Your Pay &amp; Benefits'!$C$12="MFJ",1,IF('Your Pay &amp; Benefits'!$C$12="HoH",7,4))+2)),SUMPRODUCT(($AH31&gt;=INDEX('How This Works &amp; Sources'!$B$19:$J$26,0,IF('Your Pay &amp; Benefits'!$C$12="MFJ",1,IF('Your Pay &amp; Benefits'!$C$12="HoH",7,4))))*INDEX('How This Works &amp; Sources'!$B$19:$J$26,0,IF('Your Pay &amp; Benefits'!$C$12="MFJ",1,IF('Your Pay &amp; Benefits'!$C$12="HoH",7,4))+2)))),IF($AN31="KS",IF($AU31="Married",SUMPRODUCT(($AZ31&gt;=INDEX('How This Works &amp; Sources'!$B$103:$J$109,0,4))*INDEX('How This Works &amp; Sources'!$B$103:$J$109,0,4+2)),SUMPRODUCT(($AZ31&gt;=INDEX('How This Works &amp; Sources'!$B$103:$J$109,0,1))*INDEX('How This Works &amp; Sources'!$B$103:$J$109,0,1+2))),IF($AN31="MD",IF(OR($AU31="Married",$AU31="Head of household"),SUMPRODUCT(($AZ31&gt;=INDEX('How This Works &amp; Sources'!$B$114:$J$120,0,1))*INDEX('How This Works &amp; Sources'!$B$114:$J$120,0,1+2)),SUMPRODUCT(($AZ31&gt;=INDEX('How This Works &amp; Sources'!$B$103:$J$109,0,7))*INDEX('How This Works &amp; Sources'!$B$103:$J$109,0,7+2)))+'Your Pay &amp; Benefits'!$C$74,IF($AN31="MT",IF($AU31="Head of household",SUMPRODUCT(($AZ31&gt;=INDEX('How This Works &amp; Sources'!$B$137:$J$139,0,1))*INDEX('How This Works &amp; Sources'!$B$137:$J$139,0,1+2)),IF($AU31="Married",SUMPRODUCT(($AZ31&gt;=INDEX('How This Works &amp; Sources'!$B$125:$J$132,0,7))*INDEX('How This Works &amp; Sources'!$B$125:$J$132,0,7+2)),SUMPRODUCT(($AZ31&gt;=INDEX('How This Works &amp; Sources'!$B$125:$J$132,0,4))*INDEX('How This Works &amp; Sources'!$B$125:$J$132,0,4+2)))),IF($AN31="ND",IF($AU31="Head of household",SUMPRODUCT(($AZ31&gt;=INDEX('How This Works &amp; Sources'!$B$144:$J$150,0,1))*INDEX('How This Works &amp; Sources'!$B$144:$J$150,0,1+2)),IF($AU31="Married",SUMPRODUCT(($AZ31&gt;=INDEX('How This Works &amp; Sources'!$B$137:$J$139,0,7))*INDEX('How This Works &amp; Sources'!$B$137:$J$139,0,7+2)),SUMPRODUCT(($AZ31&gt;=INDEX('How This Works &amp; Sources'!$B$137:$J$139,0,4))*INDEX('How This Works &amp; Sources'!$B$137:$J$139,0,4+2)))),IF($AN31="NY",IF($AU31="Married",IF($AZ31&gt;=2155350,IF($AZ31&gt;25000000,0.117,IF($AZ31&gt;5000000,0.111,0.1045)),SUMPRODUCT(($AZ31&gt;=INDEX('How This Works &amp; Sources'!$B$184:$J$198,0,1))*INDEX('How This Works &amp; Sources'!$B$184:$J$198,0,1+2))),IF($AZ31&gt;=1077550,IF($AZ31&gt;25000000,0.117,IF($AZ31&gt;5000000,0.111,0.1045)),SUMPRODUCT(($AZ31&gt;=INDEX('How This Works &amp; Sources'!$B$167:$J$179,0,7))*INDEX('How This Works &amp; Sources'!$B$167:$J$179,0,7+2)))),"")))))))</f>
      </c>
      <c r="CB31" s="24">
        <f>IF($B31="","",IF($AN31="CA",SUMPRODUCT(($AJ31&gt;=INDEX('How This Works &amp; Sources'!$B$39:$J$48,0,IF($AU31="Married",4,IF($AU31="Head of household",7,1))))*INDEX('How This Works &amp; Sources'!$B$39:$J$48,0,IF($AU31="Married",4,IF($AU31="Head of household",7,1))+2)),IF($AN31="HI",IF($AU31="Married",SUMPRODUCT(($AZ31&gt;=INDEX('How This Works &amp; Sources'!$B$91:$J$98,0,7))*INDEX('How This Works &amp; Sources'!$B$91:$J$98,0,7+2)),SUMPRODUCT(($AZ31&gt;=INDEX('How This Works &amp; Sources'!$B$91:$J$98,0,4))*INDEX('How This Works &amp; Sources'!$B$91:$J$98,0,4+2))),IF($AN31="MN",IF($AU31="Married",SUMPRODUCT(($AZ31&gt;=INDEX('How This Works &amp; Sources'!$B$114:$J$120,0,7))*INDEX('How This Works &amp; Sources'!$B$114:$J$120,0,7+2)),SUMPRODUCT(($AZ31&gt;=INDEX('How This Works &amp; Sources'!$B$114:$J$120,0,4))*INDEX('How This Works &amp; Sources'!$B$114:$J$120,0,4+2))),IF($AN31="MO",SUMPRODUCT(($AZ31&gt;=INDEX('How This Works &amp; Sources'!$B$125:$J$132,0,1))*INDEX('How This Works &amp; Sources'!$B$125:$J$132,0,1+2)),IF($AN31="NE",MAX(IF($AU31="Married",SUMPRODUCT(($AZ31&gt;=INDEX('How This Works &amp; Sources'!$B$144:$J$150,0,7))*INDEX('How This Works &amp; Sources'!$B$144:$J$150,0,7+2)),SUMPRODUCT(($AZ31&gt;=INDEX('How This Works &amp; Sources'!$B$144:$J$150,0,4))*INDEX('How This Works &amp; Sources'!$B$144:$J$150,0,4+2))),0.015),IF($AN31="OH",IF($B31&gt;=DATE(2026,8,1),SUMPRODUCT(($AZ31&gt;=INDEX('How This Works &amp; Sources'!$B$203:$J$206,0,1))*INDEX('How This Works &amp; Sources'!$B$203:$J$206,0,1+2)),SUMPRODUCT(($AZ31&gt;=INDEX('How This Works &amp; Sources'!$B$184:$J$198,0,7))*INDEX('How This Works &amp; Sources'!$B$184:$J$198,0,7+2))),IF($AN31="OK",IF($AU31="Married",SUMPRODUCT(($AZ31&gt;=INDEX('How This Works &amp; Sources'!$B$203:$J$206,0,7))*INDEX('How This Works &amp; Sources'!$B$203:$J$206,0,7+2)),SUMPRODUCT(($AZ31&gt;=INDEX('How This Works &amp; Sources'!$B$203:$J$206,0,4))*INDEX('How This Works &amp; Sources'!$B$203:$J$206,0,4+2))),IF($AN31="RI",SUMPRODUCT(($AZ31&gt;=INDEX('How This Works &amp; Sources'!$B$211:$J$214,0,7))*INDEX('How This Works &amp; Sources'!$B$211:$J$214,0,7+2)),IF($AN31="SC",SUMPRODUCT(($AZ31&gt;=INDEX('How This Works &amp; Sources'!$B$219:$J$223,0,1))*INDEX('How This Works &amp; Sources'!$B$219:$J$223,0,1+2)),IF($AN31="VT",IF($AU31="Married",SUMPRODUCT(($AZ31&gt;=INDEX('How This Works &amp; Sources'!$B$228:$J$232,0,1))*INDEX('How This Works &amp; Sources'!$B$228:$J$232,0,1+2)),SUMPRODUCT(($AZ31&gt;=INDEX('How This Works &amp; Sources'!$B$219:$J$223,0,7))*INDEX('How This Works &amp; Sources'!$B$219:$J$223,0,7+2))),IF($AN31="WV",IF($AU31="Married",SUMPRODUCT(($AZ31&gt;=INDEX('How This Works &amp; Sources'!$B$237:$J$241,0,7))*INDEX('How This Works &amp; Sources'!$B$237:$J$241,0,7+2)),SUMPRODUCT(($AZ31&gt;=INDEX('How This Works &amp; Sources'!$B$228:$J$232,0,7))*INDEX('How This Works &amp; Sources'!$B$228:$J$232,0,7+2))),IF($AN31="IN",(0.0295+'Your Pay &amp; Benefits'!$C$76),"")))))))))))))</f>
      </c>
      <c r="CC31" s="24">
        <f>IF($B31="","",IF($AN31="AR",SUMPRODUCT(($AZ31&gt;=INDEX('How This Works &amp; Sources'!$B$82:$J$86,0,7))*INDEX('How This Works &amp; Sources'!$B$82:$J$86,0,7+2)),IF($AN31="DE",SUMPRODUCT(($AZ31&gt;=INDEX('How This Works &amp; Sources'!$B$91:$J$98,0,1))*INDEX('How This Works &amp; Sources'!$B$91:$J$98,0,1+2)),IF($AN31="VA",SUMPRODUCT(($AZ31&gt;=INDEX('How This Works &amp; Sources'!$B$219:$J$223,0,4))*INDEX('How This Works &amp; Sources'!$B$219:$J$223,0,4+2)),IF($AN31="WI",SUMPRODUCT(($AZ31&gt;=INDEX('How This Works &amp; Sources'!$B$228:$J$232,0,4))*INDEX('How This Works &amp; Sources'!$B$228:$J$232,0,4+2)),IF($AN31="AZ",'Your Pay &amp; Benefits'!$C$82,IF($AN31="CO",IF($AY31&gt;IF($AU31="Married",10000,5000),0.044,0),IF($AN31="IA",IF($AY31&gt;IF($AU31="Head of household",19500,IF($AU31="Married",26000,13000)),0.038,0),IF($AN31="ID",IF($AY31&gt;IF($AU31="Married",32000,16094),0.053,0),IF($AN31="IL",IF($AY31&gt;(2925*$AS31+1000*$AT31),0.0495,0),IF($AN31="KY",IF($AI31&gt;3360,0.035,0),IF($AN31="LA",0.0309,IF($AN31="MA",IF(MAX(0,$AY31-MIN(($BD30+$Q31+$R31+$S31),2000)-IF($AS31=0,0,IF($AS31=1,4400,1000*$AS31+3400)))&gt;=1107750,0.09,0.05),IF($AN31="MS",IF($AI31-IF($AU31="Head of household",3400,IF($AU31="Married",4600,2300))-'Your Pay &amp; Benefits'!$C$85&gt;10000,0.04,0),IF($AN31="PA",0.0307,"")))))))))))))))</f>
      </c>
      <c r="CD31" s="21">
        <f>IF(YEAR(IF('Your Pay &amp; Benefits'!$C$7="Weekly",'Your Pay &amp; Benefits'!$C$9+7*(($BE30+1)-1),IF('Your Pay &amp; Benefits'!$C$7="Biweekly",'Your Pay &amp; Benefits'!$C$9+14*(($BE30+1)-1),IF('Your Pay &amp; Benefits'!$C$7="Semimonthly",DATE(YEAR('Your Pay &amp; Benefits'!$C$9),MONTH('Your Pay &amp; Benefits'!$C$9)+INT((($BE30+1)-1)/2),MIN(DAY('Your Pay &amp; Benefits'!$C$9),DAY(EOMONTH(DATE(YEAR('Your Pay &amp; Benefits'!$C$9),MONTH('Your Pay &amp; Benefits'!$C$9)+INT((($BE30+1)-1)/2),1),0))))+IF(MOD(($BE30+1)-1,2)=1,15,0),EDATE('Your Pay &amp; Benefits'!$C$9,($BE30+1)-1)))))&lt;&gt;'Your Pay &amp; Benefits'!$C$10,"",IF('Your Pay &amp; Benefits'!$C$7="Weekly",'Your Pay &amp; Benefits'!$C$9+7*(($BE30+1)-1),IF('Your Pay &amp; Benefits'!$C$7="Biweekly",'Your Pay &amp; Benefits'!$C$9+14*(($BE30+1)-1),IF('Your Pay &amp; Benefits'!$C$7="Semimonthly",DATE(YEAR('Your Pay &amp; Benefits'!$C$9),MONTH('Your Pay &amp; Benefits'!$C$9)+INT((($BE30+1)-1)/2),MIN(DAY('Your Pay &amp; Benefits'!$C$9),DAY(EOMONTH(DATE(YEAR('Your Pay &amp; Benefits'!$C$9),MONTH('Your Pay &amp; Benefits'!$C$9)+INT((($BE30+1)-1)/2),1),0))))+IF(MOD(($BE30+1)-1,2)=1,15,0),EDATE('Your Pay &amp; Benefits'!$C$9,($BE30+1)-1)))))</f>
      </c>
      <c r="CE31" s="21">
        <f>IF(MIN(IF(AND('Your Pay &amp; Benefits'!$C$58&gt;MAX($B$6:$B30),'Your Pay &amp; Benefits'!$C$58&gt;=DATE('Your Pay &amp; Benefits'!$C$10,1,1),'Your Pay &amp; Benefits'!$C$58&lt;=DATE('Your Pay &amp; Benefits'!$C$10,12,31)),'Your Pay &amp; Benefits'!$C$58,999999),IF(AND('Your Pay &amp; Benefits'!$C$59&gt;MAX($B$6:$B30),'Your Pay &amp; Benefits'!$C$59&gt;=DATE('Your Pay &amp; Benefits'!$C$10,1,1),'Your Pay &amp; Benefits'!$C$59&lt;=DATE('Your Pay &amp; Benefits'!$C$10,12,31)),'Your Pay &amp; Benefits'!$C$59,999999),IF(AND('Your Pay &amp; Benefits'!$C$60&gt;MAX($B$6:$B30),'Your Pay &amp; Benefits'!$C$60&gt;=DATE('Your Pay &amp; Benefits'!$C$10,1,1),'Your Pay &amp; Benefits'!$C$60&lt;=DATE('Your Pay &amp; Benefits'!$C$10,12,31)),'Your Pay &amp; Benefits'!$C$60,999999),IF(AND('Your Pay &amp; Benefits'!$C$61&gt;MAX($B$6:$B30),'Your Pay &amp; Benefits'!$C$61&gt;=DATE('Your Pay &amp; Benefits'!$C$10,1,1),'Your Pay &amp; Benefits'!$C$61&lt;=DATE('Your Pay &amp; Benefits'!$C$10,12,31)),'Your Pay &amp; Benefits'!$C$61,999999),IF(AND('Your Pay &amp; Benefits'!$C$62&gt;MAX($B$6:$B30),'Your Pay &amp; Benefits'!$C$62&gt;=DATE('Your Pay &amp; Benefits'!$C$10,1,1),'Your Pay &amp; Benefits'!$C$62&lt;=DATE('Your Pay &amp; Benefits'!$C$10,12,31)),'Your Pay &amp; Benefits'!$C$62,999999),IF(AND('Your Pay &amp; Benefits'!$C$63&gt;MAX($B$6:$B30),'Your Pay &amp; Benefits'!$C$63&gt;=DATE('Your Pay &amp; Benefits'!$C$10,1,1),'Your Pay &amp; Benefits'!$C$63&lt;=DATE('Your Pay &amp; Benefits'!$C$10,12,31)),'Your Pay &amp; Benefits'!$C$63,999999),IF(AND('Your Pay &amp; Benefits'!$C$64&gt;MAX($B$6:$B30),'Your Pay &amp; Benefits'!$C$64&gt;=DATE('Your Pay &amp; Benefits'!$C$10,1,1),'Your Pay &amp; Benefits'!$C$64&lt;=DATE('Your Pay &amp; Benefits'!$C$10,12,31)),'Your Pay &amp; Benefits'!$C$64,999999),IF(AND('Your Pay &amp; Benefits'!$C$65&gt;MAX($B$6:$B30),'Your Pay &amp; Benefits'!$C$65&gt;=DATE('Your Pay &amp; Benefits'!$C$10,1,1),'Your Pay &amp; Benefits'!$C$65&lt;=DATE('Your Pay &amp; Benefits'!$C$10,12,31)),'Your Pay &amp; Benefits'!$C$65,999999),IF(AND('Your Pay &amp; Benefits'!$C$66&gt;MAX($B$6:$B30),'Your Pay &amp; Benefits'!$C$66&gt;=DATE('Your Pay &amp; Benefits'!$C$10,1,1),'Your Pay &amp; Benefits'!$C$66&lt;=DATE('Your Pay &amp; Benefits'!$C$10,12,31)),'Your Pay &amp; Benefits'!$C$66,999999),IF(AND('Your Pay &amp; Benefits'!$C$67&gt;MAX($B$6:$B30),'Your Pay &amp; Benefits'!$C$67&gt;=DATE('Your Pay &amp; Benefits'!$C$10,1,1),'Your Pay &amp; Benefits'!$C$67&lt;=DATE('Your Pay &amp; Benefits'!$C$10,12,31)),'Your Pay &amp; Benefits'!$C$67,999999))=999999,"",MIN(IF(AND('Your Pay &amp; Benefits'!$C$58&gt;MAX($B$6:$B30),'Your Pay &amp; Benefits'!$C$58&gt;=DATE('Your Pay &amp; Benefits'!$C$10,1,1),'Your Pay &amp; Benefits'!$C$58&lt;=DATE('Your Pay &amp; Benefits'!$C$10,12,31)),'Your Pay &amp; Benefits'!$C$58,999999),IF(AND('Your Pay &amp; Benefits'!$C$59&gt;MAX($B$6:$B30),'Your Pay &amp; Benefits'!$C$59&gt;=DATE('Your Pay &amp; Benefits'!$C$10,1,1),'Your Pay &amp; Benefits'!$C$59&lt;=DATE('Your Pay &amp; Benefits'!$C$10,12,31)),'Your Pay &amp; Benefits'!$C$59,999999),IF(AND('Your Pay &amp; Benefits'!$C$60&gt;MAX($B$6:$B30),'Your Pay &amp; Benefits'!$C$60&gt;=DATE('Your Pay &amp; Benefits'!$C$10,1,1),'Your Pay &amp; Benefits'!$C$60&lt;=DATE('Your Pay &amp; Benefits'!$C$10,12,31)),'Your Pay &amp; Benefits'!$C$60,999999),IF(AND('Your Pay &amp; Benefits'!$C$61&gt;MAX($B$6:$B30),'Your Pay &amp; Benefits'!$C$61&gt;=DATE('Your Pay &amp; Benefits'!$C$10,1,1),'Your Pay &amp; Benefits'!$C$61&lt;=DATE('Your Pay &amp; Benefits'!$C$10,12,31)),'Your Pay &amp; Benefits'!$C$61,999999),IF(AND('Your Pay &amp; Benefits'!$C$62&gt;MAX($B$6:$B30),'Your Pay &amp; Benefits'!$C$62&gt;=DATE('Your Pay &amp; Benefits'!$C$10,1,1),'Your Pay &amp; Benefits'!$C$62&lt;=DATE('Your Pay &amp; Benefits'!$C$10,12,31)),'Your Pay &amp; Benefits'!$C$62,999999),IF(AND('Your Pay &amp; Benefits'!$C$63&gt;MAX($B$6:$B30),'Your Pay &amp; Benefits'!$C$63&gt;=DATE('Your Pay &amp; Benefits'!$C$10,1,1),'Your Pay &amp; Benefits'!$C$63&lt;=DATE('Your Pay &amp; Benefits'!$C$10,12,31)),'Your Pay &amp; Benefits'!$C$63,999999),IF(AND('Your Pay &amp; Benefits'!$C$64&gt;MAX($B$6:$B30),'Your Pay &amp; Benefits'!$C$64&gt;=DATE('Your Pay &amp; Benefits'!$C$10,1,1),'Your Pay &amp; Benefits'!$C$64&lt;=DATE('Your Pay &amp; Benefits'!$C$10,12,31)),'Your Pay &amp; Benefits'!$C$64,999999),IF(AND('Your Pay &amp; Benefits'!$C$65&gt;MAX($B$6:$B30),'Your Pay &amp; Benefits'!$C$65&gt;=DATE('Your Pay &amp; Benefits'!$C$10,1,1),'Your Pay &amp; Benefits'!$C$65&lt;=DATE('Your Pay &amp; Benefits'!$C$10,12,31)),'Your Pay &amp; Benefits'!$C$65,999999),IF(AND('Your Pay &amp; Benefits'!$C$66&gt;MAX($B$6:$B30),'Your Pay &amp; Benefits'!$C$66&gt;=DATE('Your Pay &amp; Benefits'!$C$10,1,1),'Your Pay &amp; Benefits'!$C$66&lt;=DATE('Your Pay &amp; Benefits'!$C$10,12,31)),'Your Pay &amp; Benefits'!$C$66,999999),IF(AND('Your Pay &amp; Benefits'!$C$67&gt;MAX($B$6:$B30),'Your Pay &amp; Benefits'!$C$67&gt;=DATE('Your Pay &amp; Benefits'!$C$10,1,1),'Your Pay &amp; Benefits'!$C$67&lt;=DATE('Your Pay &amp; Benefits'!$C$10,12,31)),'Your Pay &amp; Benefits'!$C$67,999999)))</f>
      </c>
      <c r="CF31">
        <f>IF($B31="","",IF($D31=0,$Y31,""))</f>
      </c>
    </row>
    <row r="32">
      <c r="A32" t="n">
        <v>27</v>
      </c>
      <c r="B32" s="21">
        <f>IF(AND($CD32="",$CE32=""),"",IF($CE32="",$CD32,IF($CD32="",$CE32,MIN($CD32,$CE32))))</f>
      </c>
      <c r="C32" s="7">
        <f>IF($B32="","",IF($BF32=0,0,IF('Your Pay &amp; Benefits'!$C$4="Annual salary",ROUND($AK32/IF(AND('Your Pay &amp; Benefits'!$C$88="Actual paydays",MONTH('Your Pay &amp; Benefits'!$C$9)=1),MAX(1,MAX($BE$6:$BE$68)),'Your Pay &amp; Benefits'!$C$8),2),$AK32)))</f>
      </c>
      <c r="D32" s="7">
        <f>IF($B32="","",SUMIF('Your Pay &amp; Benefits'!$C$58:$C$67,$B32,'Your Pay &amp; Benefits'!$D$58:$D$67))</f>
      </c>
      <c r="E32" s="7">
        <f>IF($B32="","",ROUND(MAX(0,MIN(IF($AL32="Percent",$AM32*($C32+$D32),$AM32),MAX(0,'Your Pay &amp; Benefits'!$C$34-$AC31))),2))</f>
      </c>
      <c r="F32" s="7">
        <f>IF($B32="","",ROUND(MAX(0,MIN(IF('Your Pay &amp; Benefits'!$C$32="Percent",'Your Pay &amp; Benefits'!$D$32*($C32+$D32),'Your Pay &amp; Benefits'!$D$32),MAX(0,'Your Pay &amp; Benefits'!$C$34-$AC31-$E32))),2))</f>
      </c>
      <c r="G32" s="7">
        <f>IF($B32="","",IF($BF32=0,0,ROUND(MAX(0,MIN($BL32,'Your Pay &amp; Benefits'!$C$37-'Your Pay &amp; Benefits'!$C$54-$BI31)),2)))</f>
      </c>
      <c r="H32" s="7">
        <f>IF($B32="","",IF(OR($BF32=0,$BQ32=1),0,ROUND(MAX(0,MIN(IF($BS32=1,ROUND(MAX(0,MIN($BJ32,'How This Works &amp; Sources'!$C$13)-$BG31)/MAX(1,MAX($BE$6:$BE$68)-($BE31)),2),ROUND(MIN($BJ32,'How This Works &amp; Sources'!$C$13)/'Your Pay &amp; Benefits'!$C$8,2)),MIN($BJ32,'How This Works &amp; Sources'!$C$13)-$BG31)),2)))</f>
      </c>
      <c r="I32" s="7">
        <f>IF($B32="","",IF(OR($BF32=0,$BR32=1),0,ROUND(MAX(0,MIN(IF($BT32=1,ROUND(MAX(0,MIN($BK32,IF('Your Pay &amp; Benefits'!$C$12="MFJ",'How This Works &amp; Sources'!$C$14,'How This Works &amp; Sources'!$C$15))-$BH31)/MAX(1,MAX($BE$6:$BE$68)-($BE31)),2),ROUND(MIN($BK32,IF('Your Pay &amp; Benefits'!$C$12="MFJ",'How This Works &amp; Sources'!$C$14,'How This Works &amp; Sources'!$C$15))/'Your Pay &amp; Benefits'!$C$8,2)),MIN($BK32,IF('Your Pay &amp; Benefits'!$C$12="MFJ",'How This Works &amp; Sources'!$C$14,'How This Works &amp; Sources'!$C$15))-$BH31)),2)))</f>
      </c>
      <c r="J32" s="7">
        <f>IF($B32="","",IF($BF32=0,0,$BM32))</f>
      </c>
      <c r="K32" s="7">
        <f>IF($B32="","",IF($BF32=0,0,$BN32+$BO32))</f>
      </c>
      <c r="L32" s="7">
        <f>IF($B32="","",IF($BF32=0,0,'Your Pay &amp; Benefits'!$D$46))</f>
      </c>
      <c r="M32" s="7">
        <f>IF($B32="","",$C32+$D32+$L32-$E32-$G32-$H32-$I32-$J32-$K32)</f>
      </c>
      <c r="N32" s="7">
        <f>IF($B32="","",$C32+$D32+$L32-$G32-$H32-$I32-$J32-$K32)</f>
      </c>
      <c r="O32" s="7">
        <f>IF($B32="","",$C32+$D32+$L32-$E32-$H32-$I32-$J32-$K32-IF(OR($AN32="CA",$AN32="NJ"),0,$G32))</f>
      </c>
      <c r="P32" s="7">
        <f>IF($B32="","",IF('Your Pay &amp; Benefits'!$C$18,0,ROUND(MAX(0,IF('Your Pay &amp; Benefits'!$C$13,SUMPRODUCT(($AH32&gt;INDEX('How This Works &amp; Sources'!$B$29:$J$36,0,IF('Your Pay &amp; Benefits'!$C$12="MFJ",1,IF('Your Pay &amp; Benefits'!$C$12="HoH",7,4))))*($AH32-INDEX('How This Works &amp; Sources'!$B$29:$J$36,0,IF('Your Pay &amp; Benefits'!$C$12="MFJ",1,IF('Your Pay &amp; Benefits'!$C$12="HoH",7,4))))*INDEX('How This Works &amp; Sources'!$B$29:$J$36,0,IF('Your Pay &amp; Benefits'!$C$12="MFJ",1,IF('Your Pay &amp; Benefits'!$C$12="HoH",7,4))+2)),SUMPRODUCT(($AH32&gt;INDEX('How This Works &amp; Sources'!$B$19:$J$26,0,IF('Your Pay &amp; Benefits'!$C$12="MFJ",1,IF('Your Pay &amp; Benefits'!$C$12="HoH",7,4))))*($AH32-INDEX('How This Works &amp; Sources'!$B$19:$J$26,0,IF('Your Pay &amp; Benefits'!$C$12="MFJ",1,IF('Your Pay &amp; Benefits'!$C$12="HoH",7,4))))*INDEX('How This Works &amp; Sources'!$B$19:$J$26,0,IF('Your Pay &amp; Benefits'!$C$12="MFJ",1,IF('Your Pay &amp; Benefits'!$C$12="HoH",7,4))+2)))/'Your Pay &amp; Benefits'!$C$8-$AO32/'Your Pay &amp; Benefits'!$C$8)+$AR32+IF('Your Pay &amp; Benefits'!$C$89="Aggregate",MAX(0,IF('Your Pay &amp; Benefits'!$C$13,SUMPRODUCT((($AH32+$D32)&gt;INDEX('How This Works &amp; Sources'!$B$29:$J$36,0,IF('Your Pay &amp; Benefits'!$C$12="MFJ",1,IF('Your Pay &amp; Benefits'!$C$12="HoH",7,4))))*(($AH32+$D32)-INDEX('How This Works &amp; Sources'!$B$29:$J$36,0,IF('Your Pay &amp; Benefits'!$C$12="MFJ",1,IF('Your Pay &amp; Benefits'!$C$12="HoH",7,4))))*INDEX('How This Works &amp; Sources'!$B$29:$J$36,0,IF('Your Pay &amp; Benefits'!$C$12="MFJ",1,IF('Your Pay &amp; Benefits'!$C$12="HoH",7,4))+2)),SUMPRODUCT((($AH32+$D32)&gt;INDEX('How This Works &amp; Sources'!$B$19:$J$26,0,IF('Your Pay &amp; Benefits'!$C$12="MFJ",1,IF('Your Pay &amp; Benefits'!$C$12="HoH",7,4))))*(($AH32+$D32)-INDEX('How This Works &amp; Sources'!$B$19:$J$26,0,IF('Your Pay &amp; Benefits'!$C$12="MFJ",1,IF('Your Pay &amp; Benefits'!$C$12="HoH",7,4))))*INDEX('How This Works &amp; Sources'!$B$19:$J$26,0,IF('Your Pay &amp; Benefits'!$C$12="MFJ",1,IF('Your Pay &amp; Benefits'!$C$12="HoH",7,4))+2)))-IF('Your Pay &amp; Benefits'!$C$13,SUMPRODUCT(($AH32&gt;INDEX('How This Works &amp; Sources'!$B$29:$J$36,0,IF('Your Pay &amp; Benefits'!$C$12="MFJ",1,IF('Your Pay &amp; Benefits'!$C$12="HoH",7,4))))*($AH32-INDEX('How This Works &amp; Sources'!$B$29:$J$36,0,IF('Your Pay &amp; Benefits'!$C$12="MFJ",1,IF('Your Pay &amp; Benefits'!$C$12="HoH",7,4))))*INDEX('How This Works &amp; Sources'!$B$29:$J$36,0,IF('Your Pay &amp; Benefits'!$C$12="MFJ",1,IF('Your Pay &amp; Benefits'!$C$12="HoH",7,4))+2)),SUMPRODUCT(($AH32&gt;INDEX('How This Works &amp; Sources'!$B$19:$J$26,0,IF('Your Pay &amp; Benefits'!$C$12="MFJ",1,IF('Your Pay &amp; Benefits'!$C$12="HoH",7,4))))*($AH32-INDEX('How This Works &amp; Sources'!$B$19:$J$26,0,IF('Your Pay &amp; Benefits'!$C$12="MFJ",1,IF('Your Pay &amp; Benefits'!$C$12="HoH",7,4))))*INDEX('How This Works &amp; Sources'!$B$19:$J$26,0,IF('Your Pay &amp; Benefits'!$C$12="MFJ",1,IF('Your Pay &amp; Benefits'!$C$12="HoH",7,4))+2)))),'How This Works &amp; Sources'!$C$10*$D32),2)))</f>
      </c>
      <c r="Q32" s="7">
        <f>IF($B32="","",ROUND('How This Works &amp; Sources'!$C$4*MIN($N32,MAX(0,'How This Works &amp; Sources'!$C$3-($AX32+$AB31-$AW32))),2))</f>
      </c>
      <c r="R32" s="7">
        <f>IF($B32="","",ROUND('How This Works &amp; Sources'!$C$5*$N32,2))</f>
      </c>
      <c r="S32" s="7">
        <f>IF($B32="","",ROUND('How This Works &amp; Sources'!$C$6*MAX(0,MIN($N32,$AG31+$N32-'How This Works &amp; Sources'!$C$7)),2))</f>
      </c>
      <c r="T32" s="7">
        <f>IF($B32="","",IF('Your Pay &amp; Benefits'!$C$26,0,IF($AN32="CA",ROUND(IF($AI32&lt;=IF(($AS32+$AT32)&gt;=2,VLOOKUP($AN32,StateTables!$A$6:$AB$56,10,FALSE),VLOOKUP($AN32,StateTables!$A$6:$AB$56,9,FALSE)),0,MAX(0,SUMPRODUCT(($AJ32&gt;INDEX('How This Works &amp; Sources'!$B$39:$J$48,0,IF($AU32="Married",4,IF($AU32="Head of household",7,1))))*($AJ32-INDEX('How This Works &amp; Sources'!$B$39:$J$48,0,IF($AU32="Married",4,IF($AU32="Head of household",7,1))))*INDEX('How This Works &amp; Sources'!$B$39:$J$48,0,IF($AU32="Married",4,IF($AU32="Head of household",7,1))+2))-VLOOKUP($AN32,StateTables!$A$6:$AB$56,11,FALSE)*$AS32)/'Your Pay &amp; Benefits'!$C$8)+'Your Pay &amp; Benefits'!$C$25+VLOOKUP($AN32,StateTables!$A$6:$AB$56,13,FALSE)*$D32,2),IF(VLOOKUP($AN32,StateTables!$A$6:$AB$56,4,FALSE)="None",0,IF(ISNUMBER(SEARCH("MANUAL",VLOOKUP($AN32,StateTables!$A$6:$AB$56,5,FALSE))),'Your Pay &amp; Benefits'!$C$28,ROUND(MAX(0,$BA32+$BB32)/'Your Pay &amp; Benefits'!$C$8+'Your Pay &amp; Benefits'!$C$25+$BC32,2))))))</f>
      </c>
      <c r="U32" s="7">
        <f>IF($B32="","",IF(VLOOKUP($AN32,StateTables!$A$6:$AB$56,24,FALSE)="flatq",IF(OR(MONTH($B32)=1,MONTH($B32)=4,MONTH($B32)=7,MONTH($B32)=10),VLOOKUP($AN32,StateTables!$A$6:$AB$56,25,FALSE),0),IF(VLOOKUP($AN32,StateTables!$A$6:$AB$56,24,FALSE)="dbl",MIN(ROUND(0.005*$N32,2),ROUND(0.6*52/'Your Pay &amp; Benefits'!$C$8,2)),IF(OR(VLOOKUP($AN32,StateTables!$A$6:$AB$56,15,FALSE)="",VLOOKUP($AN32,StateTables!$A$6:$AB$56,15,FALSE)=0),0,ROUND(VLOOKUP($AN32,StateTables!$A$6:$AB$56,15,FALSE)*IF(OR(VLOOKUP($AN32,StateTables!$A$6:$AB$56,16,FALSE)="",VLOOKUP($AN32,StateTables!$A$6:$AB$56,16,FALSE)=0),$N32,MIN($N32,MAX(0,VLOOKUP($AN32,StateTables!$A$6:$AB$56,16,FALSE)-($AX32+$AB31-$AW32)))),2))))+IF(VLOOKUP($AN32,StateTables!$A$6:$AB$56,27,FALSE)="flatq",IF(OR(MONTH($B32)=1,MONTH($B32)=4,MONTH($B32)=7,MONTH($B32)=10),VLOOKUP($AN32,StateTables!$A$6:$AB$56,28,FALSE),0),IF(VLOOKUP($AN32,StateTables!$A$6:$AB$56,27,FALSE)="dbl",MIN(ROUND(0.005*$N32,2),ROUND(0.6*52/'Your Pay &amp; Benefits'!$C$8,2)),IF(OR(VLOOKUP($AN32,StateTables!$A$6:$AB$56,18,FALSE)="",VLOOKUP($AN32,StateTables!$A$6:$AB$56,18,FALSE)=0),0,ROUND(VLOOKUP($AN32,StateTables!$A$6:$AB$56,18,FALSE)*IF(OR(VLOOKUP($AN32,StateTables!$A$6:$AB$56,19,FALSE)="",VLOOKUP($AN32,StateTables!$A$6:$AB$56,19,FALSE)=0),$N32,MIN($N32,MAX(0,VLOOKUP($AN32,StateTables!$A$6:$AB$56,19,FALSE)-($AX32+$AB31-$AW32)))),2)))))</f>
      </c>
      <c r="V32" s="7">
        <f>IF($B32="","",IF($AN32="NY",IF('Your Pay &amp; Benefits'!$C$78,ROUND(SUMPRODUCT((MAX(0,($O32-$D32)*'Your Pay &amp; Benefits'!$C$8-(IF($AU32="Married",5500,5000)+1000*$AS32))&gt;INDEX('How This Works &amp; Sources'!$B$184:$J$198,0,4))*(MAX(0,($O32-$D32)*'Your Pay &amp; Benefits'!$C$8-(IF($AU32="Married",5500,5000)+1000*$AS32))-INDEX('How This Works &amp; Sources'!$B$184:$J$198,0,4))*INDEX('How This Works &amp; Sources'!$B$184:$J$198,0,4+2))/'Your Pay &amp; Benefits'!$C$8+0.0425*$D32,2),0)+IF('Your Pay &amp; Benefits'!$C$79="Resident",ROUND(0.1675*$T32,2),IF('Your Pay &amp; Benefits'!$C$79="Nonresident",ROUND(0.005*MAX(0,($O32-$D32)-(IF($AU32="Married",7950,7400)+1000*$AS32)/'Your Pay &amp; Benefits'!$C$8),2),0)),IF($AN32="PA",IF('Your Pay &amp; Benefits'!$C$80="None",'Your Pay &amp; Benefits'!$C$27+ROUND('Your Pay &amp; Benefits'!$C$81*($C32+$D32),2),ROUND(IF('Your Pay &amp; Benefits'!$C$80="Resident",IF($B32&lt;DATE(2026,7,1),0.0374,0.03735),IF($B32&lt;DATE(2026,7,1),0.0343,0.03425))*($C32+$D32),2)),IF($BF32=0,ROUND('Your Pay &amp; Benefits'!$C$81*($C32+$D32),2),'Your Pay &amp; Benefits'!$C$27+ROUND('Your Pay &amp; Benefits'!$C$81*($C32+$D32),2)))))</f>
      </c>
      <c r="W32" s="7">
        <f>IF($B32="","",IF($BF32=0,0,$BP32))</f>
      </c>
      <c r="X32" s="7">
        <f>IF($B32="","",SUM($E32:$K32)+$P32+$Q32+$R32+$S32+$T32+$U32+$V32+$W32)</f>
      </c>
      <c r="Y32" s="22">
        <f>IF($B32="","",$C32+$D32-$X32)</f>
      </c>
      <c r="Z32" s="7">
        <f>IF($B32="","",$Z31+$C32+$D32)</f>
      </c>
      <c r="AA32" s="7">
        <f>IF($B32="","",$AA31+$Y32)</f>
      </c>
      <c r="AB32" s="7">
        <f>IF($B32="","",$AB31+MIN($N32,MAX(0,'How This Works &amp; Sources'!$C$3-($AX32+$AB31-$AW32))))</f>
      </c>
      <c r="AC32" s="7">
        <f>IF($B32="","",$AC31+$E32+$F32)</f>
      </c>
      <c r="AD32" s="3">
        <f>IF($B32="","",IF(AND($AB31&lt;'How This Works &amp; Sources'!$C$3,$AB32&gt;='How This Works &amp; Sources'!$C$3),"★ Social Security maxed on this check — from the next check your net rises by about $"&amp;TEXT(ROUND('How This Works &amp; Sources'!$C$4*$N32,2),"#,##0.00")&amp;". ","")&amp;IF(AND($AC31&lt;'Your Pay &amp; Benefits'!$C$34,$AC32&gt;='Your Pay &amp; Benefits'!$C$34),"★ 401(k) reaches the $"&amp;TEXT('Your Pay &amp; Benefits'!$C$34,"#,##0")&amp;" cap on this check — deferrals stop and net pay rises. ","")&amp;IF(AND($AG31&lt;'How This Works &amp; Sources'!$C$7,$AG32&gt;='How This Works &amp; Sources'!$C$7),"★ Wages pass $200,000 — the 0.9% Additional Medicare Tax starts here. ","")&amp;IF(AND($BJ32&gt;0,$H32&gt;0,$BG31&lt;MIN($BJ32,'How This Works &amp; Sources'!$C$13),$BG31+$H32&gt;=MIN($BJ32,'How This Works &amp; Sources'!$C$13)),"★ Health FSA election is now fully deferred for the year. ",""))</f>
      </c>
      <c r="AE32" s="41" t="n"/>
      <c r="AF32" s="7">
        <f>IF(OR($B32="",$AE32=""),"",$AE32-$Y32)</f>
      </c>
      <c r="AG32" s="7">
        <f>IF($B32="","",$AG31+$N32)</f>
      </c>
      <c r="AH32" s="7">
        <f>IF($B32="","",MAX(0,($M32-$D32)*'Your Pay &amp; Benefits'!$C$8+$AP32-$AQ32-IF('Your Pay &amp; Benefits'!$C$13,0,IF('Your Pay &amp; Benefits'!$C$12="MFJ",'How This Works &amp; Sources'!$C$8,'How This Works &amp; Sources'!$C$9))))</f>
      </c>
      <c r="AI32" s="7">
        <f>IF($B32="","",$O32*'Your Pay &amp; Benefits'!$C$8)</f>
      </c>
      <c r="AJ32" s="7">
        <f>IF($B32="","",MAX(0,$AI32-VLOOKUP($AN32,StateTables!$A$6:$AB$56,12,FALSE)*$AT32-IF(($AS32+$AT32)&gt;=2,VLOOKUP($AN32,StateTables!$A$6:$AB$56,8,FALSE),VLOOKUP($AN32,StateTables!$A$6:$AB$56,7,FALSE))))</f>
      </c>
      <c r="AK32" s="7">
        <f>IF($B32="","",IFERROR(LOOKUP(2,1/(('Changes &amp; Events'!$C$6:$C$17="Salary change")*('Changes &amp; Events'!$B$6:$B$17&lt;=$B32)*('Changes &amp; Events'!$B$6:$B$17&lt;&gt;"")),'Changes &amp; Events'!$D$6:$D$17),IF('Your Pay &amp; Benefits'!$C$4="Annual salary",'Your Pay &amp; Benefits'!$C$5,'Your Pay &amp; Benefits'!$C$6)))</f>
      </c>
      <c r="AL32">
        <f>IF($B32="","",IFERROR(LOOKUP(2,1/(('Changes &amp; Events'!$C$6:$C$17="401(k) change")*('Changes &amp; Events'!$B$6:$B$17&lt;=$B32)*('Changes &amp; Events'!$B$6:$B$17&lt;&gt;"")),'Changes &amp; Events'!$D$6:$D$17),'Your Pay &amp; Benefits'!$C$30))</f>
      </c>
      <c r="AM32" s="7">
        <f>IF($B32="","",IFERROR(LOOKUP(2,1/(('Changes &amp; Events'!$C$6:$C$17="401(k) change")*('Changes &amp; Events'!$B$6:$B$17&lt;=$B32)*('Changes &amp; Events'!$B$6:$B$17&lt;&gt;"")),'Changes &amp; Events'!$E$6:$E$17),'Your Pay &amp; Benefits'!$D$31))</f>
      </c>
      <c r="AN32">
        <f>IF($B32="","",IFERROR(LOOKUP(2,1/(('Changes &amp; Events'!$C$6:$C$17="State move")*('Changes &amp; Events'!$B$6:$B$17&lt;=$B32)*('Changes &amp; Events'!$B$6:$B$17&lt;&gt;"")),'Changes &amp; Events'!$D$6:$D$17),'Your Pay &amp; Benefits'!$C$21))</f>
      </c>
      <c r="AO32" s="7">
        <f>IF($B32="","",IFERROR(LOOKUP(2,1/(('Changes &amp; Events'!$C$6:$C$17="W-4 change")*('Changes &amp; Events'!$B$6:$B$17&lt;=$B32)*('Changes &amp; Events'!$B$6:$B$17&lt;&gt;"")),'Changes &amp; Events'!$D$6:$D$17),'Your Pay &amp; Benefits'!$C$14))</f>
      </c>
      <c r="AP32" s="7">
        <f>IF($B32="","",IFERROR(LOOKUP(2,1/(('Changes &amp; Events'!$C$6:$C$17="W-4 change")*('Changes &amp; Events'!$B$6:$B$17&lt;=$B32)*('Changes &amp; Events'!$B$6:$B$17&lt;&gt;"")),'Changes &amp; Events'!$E$6:$E$17),'Your Pay &amp; Benefits'!$C$15))</f>
      </c>
      <c r="AQ32" s="7">
        <f>IF($B32="","",IFERROR(LOOKUP(2,1/(('Changes &amp; Events'!$C$6:$C$17="W-4 change")*('Changes &amp; Events'!$B$6:$B$17&lt;=$B32)*('Changes &amp; Events'!$B$6:$B$17&lt;&gt;"")),'Changes &amp; Events'!$F$6:$F$17),'Your Pay &amp; Benefits'!$C$16))</f>
      </c>
      <c r="AR32" s="7">
        <f>IF($B32="","",IFERROR(LOOKUP(2,1/(('Changes &amp; Events'!$C$6:$C$17="W-4 change")*('Changes &amp; Events'!$B$6:$B$17&lt;=$B32)*('Changes &amp; Events'!$B$6:$B$17&lt;&gt;"")),'Changes &amp; Events'!$G$6:$G$17),'Your Pay &amp; Benefits'!$C$17))</f>
      </c>
      <c r="AS32" s="6">
        <f>IF($B32="","",IFERROR(LOOKUP(2,1/((('Changes &amp; Events'!$C$6:$C$17="State move")+('Changes &amp; Events'!$C$6:$C$17="State cert change"))*('Changes &amp; Events'!$B$6:$B$17&lt;=$B32)*('Changes &amp; Events'!$B$6:$B$17&lt;&gt;"")),'Changes &amp; Events'!$F$6:$F$17),'Your Pay &amp; Benefits'!$C$23))</f>
      </c>
      <c r="AT32" s="6">
        <f>IF($B32="","",IFERROR(LOOKUP(2,1/((('Changes &amp; Events'!$C$6:$C$17="State move")+('Changes &amp; Events'!$C$6:$C$17="State cert change"))*('Changes &amp; Events'!$B$6:$B$17&lt;=$B32)*('Changes &amp; Events'!$B$6:$B$17&lt;&gt;"")),'Changes &amp; Events'!$G$6:$G$17),'Your Pay &amp; Benefits'!$C$24))</f>
      </c>
      <c r="AU32">
        <f>IF($B32="","",IFERROR(LOOKUP(2,1/(('Changes &amp; Events'!$C$6:$C$17="State move")*('Changes &amp; Events'!$B$6:$B$17&lt;=$B32)*('Changes &amp; Events'!$B$6:$B$17&lt;&gt;"")),'Changes &amp; Events'!$E$6:$E$17),'Your Pay &amp; Benefits'!$C$22))</f>
      </c>
      <c r="AV32" s="6">
        <f>IF($B32="","",1+COUNTIFS('Changes &amp; Events'!$C$6:$C$17,"Employer change",'Changes &amp; Events'!$B$6:$B$17,"&lt;="&amp;$B32,'Changes &amp; Events'!$B$6:$B$17,"&lt;&gt;"))</f>
      </c>
      <c r="AW32" s="7">
        <f>IF($B32="","",IF($AV32=1,'Your Pay &amp; Benefits'!$C$49,IF(IFERROR(MATCH(IFERROR(LOOKUP(2,1/(('Changes &amp; Events'!$C$6:$C$17="Employer change")*('Changes &amp; Events'!$B$6:$B$17&lt;=$B32)*('Changes &amp; Events'!$B$6:$B$17&lt;&gt;"")),'Changes &amp; Events'!$B$6:$B$17),""),$B$6:$B$68,1),1)&lt;=1,'Your Pay &amp; Benefits'!$C$49,INDEX($AB$6:$AB$68,MATCH(IFERROR(LOOKUP(2,1/(('Changes &amp; Events'!$C$6:$C$17="Employer change")*('Changes &amp; Events'!$B$6:$B$17&lt;=$B32)*('Changes &amp; Events'!$B$6:$B$17&lt;&gt;"")),'Changes &amp; Events'!$B$6:$B$17),""),$B$6:$B$68,1)-1))))</f>
      </c>
      <c r="AX32" s="7">
        <f>IF($B32="","",IF($AV32=1,'Your Pay &amp; Benefits'!$C$49,IFERROR(LOOKUP(2,1/(('Changes &amp; Events'!$C$6:$C$17="Employer change")*('Changes &amp; Events'!$B$6:$B$17&lt;=$B32)*('Changes &amp; Events'!$B$6:$B$17&lt;&gt;"")),'Changes &amp; Events'!$D$6:$D$17),0)))</f>
      </c>
      <c r="AY32" s="7">
        <f>IF($B32="","",($O32-$D32)*'Your Pay &amp; Benefits'!$C$8)</f>
      </c>
      <c r="AZ32" s="7">
        <f>IF($B32="","",IF($AN32="AL",MAX(0,$AY32-IF($AU32="Married",IF($AY32&lt;=25999,8500,MAX(5000,8500-175*CEILING(($AY32-25999)/500,1))),IF($AU32="Head of household",IF($AY32&lt;=25999,5200,MAX(2500,5200-135*CEILING(($AY32-25999)/500,1))),IF($AY32&lt;=25999,3000,MAX(2500,3000-25*CEILING(($AY32-25999)/500,1)))))-($P32-'How This Works &amp; Sources'!$C$10*$D32)*'Your Pay &amp; Benefits'!$C$8-IF(OR($AU32="Married",$AU32="Head of household"),3000,1500)-$AT32*IF($AY32&lt;=50000,1000,IF($AY32&lt;=100000,500,300))),IF($AN32="AR",IF(MAX(0,$AY32-2470)&lt;97701,INT(MAX(0,$AY32-2470)/100)*100+50,MAX(0,$AY32-2470)),IF($AN32="DE",MAX(0,$AI32-3250),IF($AN32="HI",MAX(0,$AI32-1144*$AS32-4350),IF($AN32="KS",MAX(0,$AI32-(9160*IF($AU32="Married",2,1)+2320*$AT32+IF($AU32="Head of household",2320,0))),IF($AN32="MD",MAX(0,$AI32-3400-3200*$AS32),IF($AN32="MN",MAX(0,$AY32-5300*$AS32),IF($AN32="MO",MAX(0,$AI32-IF($AU32="Head of household",24150,IF($AU32="Married",IF('Your Pay &amp; Benefits'!$C$83,16100,32200),16100))),IF($AN32="MT",$AY32,IF($AN32="ND",($C32+$L32)*'Your Pay &amp; Benefits'!$C$8,IF($AN32="NE",MAX(0,$AY32-2440*$AS32),IF($AN32="NJ",MAX(0,$AY32-1000*$AS32),IF($AN32="NY",MAX(0,$AY32-(IF($AU32="Married",7950,7400)+1000*$AS32)),IF($AN32="OH",MAX(0,$AY32-650*$AS32),IF($AN32="OK",MAX(0,$AY32-1000*$AS32),IF($AN32="RI",MAX(0,$AI32-1000*$AS32),IF($AN32="SC",MAX(0,$AI32-5000*$AS32-IF($AS32=0,0,MIN(0.1*$AI32,7500))),IF($AN32="VA",MAX(0,$AI32-IF($AU32="Married",17500,8750)-930*$AS32-800*$AT32),IF($AN32="VT",MAX(0,$AI32-5400*$AS32),IF($AN32="WI",MAX(0,$AI32-MAX(0,IF($AU32="Married",9461-0.2*MAX(0,$AI32-25727),6702-0.12*MAX(0,$AI32-17780)))-400*$AS32),IF($AN32="WV",MAX(0,$AI32-2000*$AS32),$AI32))))))))))))))))))))))</f>
      </c>
      <c r="BA32" s="7">
        <f>IF($B32="","",IF($BW32&lt;&gt;"",$BW32,IF($BX32&lt;&gt;"",$BX32,IF($BY32&lt;&gt;"",$BY32,0))))</f>
      </c>
      <c r="BB32" s="7">
        <f>IF($B32="","",IF($AN32="AR",-29*$AS32,IF($AN32="DE",-110*$AS32,IF($AN32="MD",$AZ32*'Your Pay &amp; Benefits'!$C$74,IF($AN32="AZ",'Your Pay &amp; Benefits'!$C$82*($M32-$D32)*'Your Pay &amp; Benefits'!$C$8,IF($AN32="CO",0.044*MAX(0,$AY32-IF($AU32="Married",10000,5000)),IF($AN32="IA",MAX(0,0.038*MAX(0,$AY32-IF($AU32="Head of household",19500,IF($AU32="Married",26000,13000)))-40*$AS32),IF($AN32="ID",0.053*MAX(0,$AY32-IF($AU32="Married",32000,16094)),IF($AN32="IL",0.0495*MAX(0,$AY32-(2925*$AS32+1000*$AT32)),IF($AN32="IN",(0.0295+'Your Pay &amp; Benefits'!$C$76)*MAX(0,$AY32-(1000*$AS32+1500*$AT32+3000*'Your Pay &amp; Benefits'!$C$86)),IF($AN32="KY",0.035*MAX(0,$AI32-3360),IF($AN32="LA",IF('Your Pay &amp; Benefits'!$C$84="0",0.0309*$AI32,0.0309*MAX(0,$AI32-IF('Your Pay &amp; Benefits'!$C$84="2",25750,12875))),IF($AN32="MA",0.05*MIN(MAX(0,$AY32-MIN(($BD31+$Q32+$R32+$S32),2000)-IF($AS32=0,0,IF($AS32=1,4400,1000*$AS32+3400))),1107750)+0.09*MAX(0,MAX(0,$AY32-MIN(($BD31+$Q32+$R32+$S32),2000)-IF($AS32=0,0,IF($AS32=1,4400,1000*$AS32+3400)))-1107750)-IF($AU32="Head of household",120,0)-110*'Your Pay &amp; Benefits'!$C$75,IF($AN32="MI",0.0425*MAX(0,$AY32-5900*$AS32),IF($AN32="MS",0.04*MAX(0,$AI32-IF($AU32="Head of household",3400,IF($AU32="Married",4600,2300))-'Your Pay &amp; Benefits'!$C$85-10000),IF($AN32="OR",IF(OR($AU32="Married",AND($AU32="Single",$AS32&gt;=3)),SUMPRODUCT((MAX(0,$AY32-MIN(($P32-'How This Works &amp; Sources'!$C$10*$D32)*'Your Pay &amp; Benefits'!$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Sources'!$B$211:$J$214,0,4))*(MAX(0,$AY32-MIN(($P32-'How This Works &amp; Sources'!$C$10*$D32)*'Your Pay &amp; Benefits'!$C$8,IF(OR($AU32="Married",AND($AU32="Single",$AS32&gt;=3)),IF($AY32&lt;250000,8750,IF($AY32&lt;260000,7000,IF($AY32&lt;270000,5250,IF($AY32&lt;280000,3500,IF($AY32&lt;290000,1750,0))))),IF($AY32&lt;125000,8750,IF($AY32&lt;130000,7000,IF($AY32&lt;135000,5250,IF($AY32&lt;140000,3500,IF($AY32&lt;145000,1750,0)))))))-IF(OR($AU32="Married",AND($AU32="Single",$AS32&gt;=3)),5820,2910))-INDEX('How This Works &amp; Sources'!$B$211:$J$214,0,4))*INDEX('How This Works &amp; Sources'!$B$211:$J$214,0,4+2)),SUMPRODUCT((MAX(0,$AY32-MIN(($P32-'How This Works &amp; Sources'!$C$10*$D32)*'Your Pay &amp; Benefits'!$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Sources'!$B$211:$J$214,0,1))*(MAX(0,$AY32-MIN(($P32-'How This Works &amp; Sources'!$C$10*$D32)*'Your Pay &amp; Benefits'!$C$8,IF(OR($AU32="Married",AND($AU32="Single",$AS32&gt;=3)),IF($AY32&lt;250000,8750,IF($AY32&lt;260000,7000,IF($AY32&lt;270000,5250,IF($AY32&lt;280000,3500,IF($AY32&lt;290000,1750,0))))),IF($AY32&lt;125000,8750,IF($AY32&lt;130000,7000,IF($AY32&lt;135000,5250,IF($AY32&lt;140000,3500,IF($AY32&lt;145000,1750,0)))))))-IF(OR($AU32="Married",AND($AU32="Single",$AS32&gt;=3)),5820,2910))-INDEX('How This Works &amp; Sources'!$B$211:$J$214,0,1))*INDEX('How This Works &amp; Sources'!$B$211:$J$214,0,1+2)))+263-263*IF(IF($AU32="Married",$AY32&gt;200000,$AY32&gt;100000),0,$AS32),IF($AN32="PA",0.0307*(($O32+$E32+$G32)*'Your Pay &amp; Benefits'!$C$8),IF($AN32="NY",IF($AU32="Married",IF($AZ32&gt;=2155350,0,IF($AZ32&gt;=1077550,0.48,IF($AZ32&gt;=373200,1.21,IF($AZ32&gt;=323200,0.21,IF($AZ32&gt;=211550,-0.19,IF($AZ32&gt;=157650,-2.8,IF($AZ32&gt;=107650,-0.8,IF($AZ32&gt;=96800,0.05,IF($AZ32&gt;=80650,-0.1,IF($AZ32&gt;=13900,0.4,IF($AZ32&gt;=11700,-0.3,IF($AZ32&gt;=8500,0.5,0)))))))))))),IF($AZ32&gt;=1077550,0,IF($AZ32&gt;=265400,4.29,IF($AZ32&gt;=215400,2.29,IF($AZ32&gt;=157650,2.29,IF($AZ32&gt;=107650,0.29,IF($AZ32&gt;=96800,0.05,IF($AZ32&gt;=80650,-0.1,IF($AZ32&gt;=13900,0.4,IF($AZ32&gt;=11700,-0.3,IF($AZ32&gt;=8500,0.5,0))))))))))),0))))))))))))))))))</f>
      </c>
      <c r="BC32" s="7">
        <f>IF($B32="","",IF($AN32="AL",0.05*$D32,IF($AN32="AR",0.039*$D32,IF($AN32="ID",0.053*$D32,IF($AN32="IN",(0.0295+'Your Pay &amp; Benefits'!$C$76)*$D32,IF($AN32="KS",0.05*$D32,IF($AN32="MA",0.09*MIN($D32,MAX(0,MAX(0,$AY32-MIN(($BD31+$Q32+$R32+$S32),2000)-IF($AS32=0,0,IF($AS32=1,4400,1000*$AS32+3400)))+$D32-1107750))+0.05*($D32-MIN($D32,MAX(0,MAX(0,$AY32-MIN(($BD31+$Q32+$R32+$S32),2000)-IF($AS32=0,0,IF($AS32=1,4400,1000*$AS32+3400)))+$D32-1107750))),IF($AN32="MD",(0.065+'Your Pay &amp; Benefits'!$C$74)*$D32,IF($AN32="MI",0.0425*$D32,IF($AN32="MN",0.0625*$D32,IF($AN32="MO",0.047*$D32,IF($AN32="MT",0.05*$D32,IF($AN32="ND",0.015*$D32,IF($AN32="NE",0.035*$D32,IF($AN32="NJ",IF('Your Pay &amp; Benefits'!$C$77="B",SUMPRODUCT(($D32*'Your Pay &amp; Benefits'!$C$8&gt;INDEX('How This Works &amp; Sources'!$B$155:$J$162,0,4))*($D32*'Your Pay &amp; Benefits'!$C$8-INDEX('How This Works &amp; Sources'!$B$155:$J$162,0,4))*INDEX('How This Works &amp; Sources'!$B$155:$J$162,0,4+2)),IF('Your Pay &amp; Benefits'!$C$77="C",SUMPRODUCT(($D32*'Your Pay &amp; Benefits'!$C$8&gt;INDEX('How This Works &amp; Sources'!$B$155:$J$162,0,7))*($D32*'Your Pay &amp; Benefits'!$C$8-INDEX('How This Works &amp; Sources'!$B$155:$J$162,0,7))*INDEX('How This Works &amp; Sources'!$B$155:$J$162,0,7+2)),IF('Your Pay &amp; Benefits'!$C$77="D",SUMPRODUCT(($D32*'Your Pay &amp; Benefits'!$C$8&gt;INDEX('How This Works &amp; Sources'!$B$167:$J$179,0,1))*($D32*'Your Pay &amp; Benefits'!$C$8-INDEX('How This Works &amp; Sources'!$B$167:$J$179,0,1))*INDEX('How This Works &amp; Sources'!$B$167:$J$179,0,1+2)),IF('Your Pay &amp; Benefits'!$C$77="E",SUMPRODUCT(($D32*'Your Pay &amp; Benefits'!$C$8&gt;INDEX('How This Works &amp; Sources'!$B$167:$J$179,0,4))*($D32*'Your Pay &amp; Benefits'!$C$8-INDEX('How This Works &amp; Sources'!$B$167:$J$179,0,4))*INDEX('How This Works &amp; Sources'!$B$167:$J$179,0,4+2)),SUMPRODUCT(($D32*'Your Pay &amp; Benefits'!$C$8&gt;INDEX('How This Works &amp; Sources'!$B$155:$J$162,0,1))*($D32*'Your Pay &amp; Benefits'!$C$8-INDEX('How This Works &amp; Sources'!$B$155:$J$162,0,1))*INDEX('How This Works &amp; Sources'!$B$155:$J$162,0,1+2))))))/'Your Pay &amp; Benefits'!$C$8,IF($AN32="NY",0.117*$D32,IF($AN32="OH",0.0275*$D32,IF($AN32="OK",0.045*$D32,IF($AN32="OR",0.08*$D32,IF($AN32="WI",IF($AY32&lt;12760,0.0354,IF($AY32&lt;25520,0.0465,IF($AY32&lt;280950,0.053,0.0765)))*$D32,0))))))))))))))))))))</f>
      </c>
      <c r="BD32" s="7">
        <f>IF($B32="","",$BD31+$Q32+$R32+$S32)</f>
      </c>
      <c r="BE32" s="6">
        <f>IF($B32="",$BE31,$BE31+$BF32)</f>
      </c>
      <c r="BF32" s="6">
        <f>IF($B32="","",IF(AND(IF(YEAR(IF('Your Pay &amp; Benefits'!$C$7="Weekly",'Your Pay &amp; Benefits'!$C$9+7*(($BE31+1)-1),IF('Your Pay &amp; Benefits'!$C$7="Biweekly",'Your Pay &amp; Benefits'!$C$9+14*(($BE31+1)-1),IF('Your Pay &amp; Benefits'!$C$7="Semimonthly",DATE(YEAR('Your Pay &amp; Benefits'!$C$9),MONTH('Your Pay &amp; Benefits'!$C$9)+INT((($BE31+1)-1)/2),MIN(DAY('Your Pay &amp; Benefits'!$C$9),DAY(EOMONTH(DATE(YEAR('Your Pay &amp; Benefits'!$C$9),MONTH('Your Pay &amp; Benefits'!$C$9)+INT((($BE31+1)-1)/2),1),0))))+IF(MOD(($BE31+1)-1,2)=1,15,0),EDATE('Your Pay &amp; Benefits'!$C$9,($BE31+1)-1)))))&lt;&gt;'Your Pay &amp; Benefits'!$C$10,"",IF('Your Pay &amp; Benefits'!$C$7="Weekly",'Your Pay &amp; Benefits'!$C$9+7*(($BE31+1)-1),IF('Your Pay &amp; Benefits'!$C$7="Biweekly",'Your Pay &amp; Benefits'!$C$9+14*(($BE31+1)-1),IF('Your Pay &amp; Benefits'!$C$7="Semimonthly",DATE(YEAR('Your Pay &amp; Benefits'!$C$9),MONTH('Your Pay &amp; Benefits'!$C$9)+INT((($BE31+1)-1)/2),MIN(DAY('Your Pay &amp; Benefits'!$C$9),DAY(EOMONTH(DATE(YEAR('Your Pay &amp; Benefits'!$C$9),MONTH('Your Pay &amp; Benefits'!$C$9)+INT((($BE31+1)-1)/2),1),0))))+IF(MOD(($BE31+1)-1,2)=1,15,0),EDATE('Your Pay &amp; Benefits'!$C$9,($BE31+1)-1)))))&lt;&gt;"",$B32=IF(YEAR(IF('Your Pay &amp; Benefits'!$C$7="Weekly",'Your Pay &amp; Benefits'!$C$9+7*(($BE31+1)-1),IF('Your Pay &amp; Benefits'!$C$7="Biweekly",'Your Pay &amp; Benefits'!$C$9+14*(($BE31+1)-1),IF('Your Pay &amp; Benefits'!$C$7="Semimonthly",DATE(YEAR('Your Pay &amp; Benefits'!$C$9),MONTH('Your Pay &amp; Benefits'!$C$9)+INT((($BE31+1)-1)/2),MIN(DAY('Your Pay &amp; Benefits'!$C$9),DAY(EOMONTH(DATE(YEAR('Your Pay &amp; Benefits'!$C$9),MONTH('Your Pay &amp; Benefits'!$C$9)+INT((($BE31+1)-1)/2),1),0))))+IF(MOD(($BE31+1)-1,2)=1,15,0),EDATE('Your Pay &amp; Benefits'!$C$9,($BE31+1)-1)))))&lt;&gt;'Your Pay &amp; Benefits'!$C$10,"",IF('Your Pay &amp; Benefits'!$C$7="Weekly",'Your Pay &amp; Benefits'!$C$9+7*(($BE31+1)-1),IF('Your Pay &amp; Benefits'!$C$7="Biweekly",'Your Pay &amp; Benefits'!$C$9+14*(($BE31+1)-1),IF('Your Pay &amp; Benefits'!$C$7="Semimonthly",DATE(YEAR('Your Pay &amp; Benefits'!$C$9),MONTH('Your Pay &amp; Benefits'!$C$9)+INT((($BE31+1)-1)/2),MIN(DAY('Your Pay &amp; Benefits'!$C$9),DAY(EOMONTH(DATE(YEAR('Your Pay &amp; Benefits'!$C$9),MONTH('Your Pay &amp; Benefits'!$C$9)+INT((($BE31+1)-1)/2),1),0))))+IF(MOD(($BE31+1)-1,2)=1,15,0),EDATE('Your Pay &amp; Benefits'!$C$9,($BE31+1)-1)))))),1,0))</f>
      </c>
      <c r="BG32" s="7">
        <f>IF($B32="","",$BG31+$H32)</f>
      </c>
      <c r="BH32" s="7">
        <f>IF($B32="","",$BH31+$I32)</f>
      </c>
      <c r="BI32" s="7">
        <f>IF($B32="","",$BI31+$G32)</f>
      </c>
      <c r="BJ32" s="7">
        <f>IF($B32="","",IFERROR(LOOKUP(2,1/(((('Changes &amp; Events'!$C$6:$C$17="Deduction start"))*('Changes &amp; Events'!$D$6:$D$17="Health FSA"))*('Changes &amp; Events'!$B$6:$B$17&lt;=$B32)*('Changes &amp; Events'!$B$6:$B$17&lt;&gt;"")),'Changes &amp; Events'!$E$6:$E$17),'Your Pay &amp; Benefits'!$D$38))</f>
      </c>
      <c r="BK32" s="7">
        <f>IF($B32="","",IFERROR(LOOKUP(2,1/(((('Changes &amp; Events'!$C$6:$C$17="Deduction start"))*('Changes &amp; Events'!$D$6:$D$17="Dependent-care FSA"))*('Changes &amp; Events'!$B$6:$B$17&lt;=$B32)*('Changes &amp; Events'!$B$6:$B$17&lt;&gt;"")),'Changes &amp; Events'!$E$6:$E$17),'Your Pay &amp; Benefits'!$D$39))</f>
      </c>
      <c r="BL32" s="7">
        <f>IF($B32="","",IFERROR(LOOKUP(2,1/(((('Changes &amp; Events'!$C$6:$C$17="Deduction start")+('Changes &amp; Events'!$C$6:$C$17="Deduction stop"))*('Changes &amp; Events'!$D$6:$D$17="HSA"))*('Changes &amp; Events'!$B$6:$B$17&lt;=$B32)*('Changes &amp; Events'!$B$6:$B$17&lt;&gt;"")),'Changes &amp; Events'!$I$6:$I$17),'Your Pay &amp; Benefits'!$D$35))</f>
      </c>
      <c r="BM32" s="7">
        <f>IF($B32="","",IFERROR(LOOKUP(2,1/(((('Changes &amp; Events'!$C$6:$C$17="Deduction start")+('Changes &amp; Events'!$C$6:$C$17="Deduction stop"))*('Changes &amp; Events'!$D$6:$D$17="Premiums"))*('Changes &amp; Events'!$B$6:$B$17&lt;=$B32)*('Changes &amp; Events'!$B$6:$B$17&lt;&gt;"")),'Changes &amp; Events'!$I$6:$I$17),'Your Pay &amp; Benefits'!$D$40+'Your Pay &amp; Benefits'!$D$41+'Your Pay &amp; Benefits'!$D$42))</f>
      </c>
      <c r="BN32" s="7">
        <f>IF($B32="","",IFERROR(LOOKUP(2,1/(((('Changes &amp; Events'!$C$6:$C$17="Deduction start")+('Changes &amp; Events'!$C$6:$C$17="Deduction stop"))*('Changes &amp; Events'!$D$6:$D$17="Commuter"))*('Changes &amp; Events'!$B$6:$B$17&lt;=$B32)*('Changes &amp; Events'!$B$6:$B$17&lt;&gt;"")),'Changes &amp; Events'!$I$6:$I$17),'Your Pay &amp; Benefits'!$D$43))</f>
      </c>
      <c r="BO32" s="7">
        <f>IF($B32="","",IFERROR(LOOKUP(2,1/(((('Changes &amp; Events'!$C$6:$C$17="Deduction start")+('Changes &amp; Events'!$C$6:$C$17="Deduction stop"))*('Changes &amp; Events'!$D$6:$D$17="Other pre-tax"))*('Changes &amp; Events'!$B$6:$B$17&lt;=$B32)*('Changes &amp; Events'!$B$6:$B$17&lt;&gt;"")),'Changes &amp; Events'!$I$6:$I$17),'Your Pay &amp; Benefits'!$D$44))</f>
      </c>
      <c r="BP32" s="7">
        <f>IF($B32="","",IFERROR(LOOKUP(2,1/(((('Changes &amp; Events'!$C$6:$C$17="Deduction start")+('Changes &amp; Events'!$C$6:$C$17="Deduction stop"))*('Changes &amp; Events'!$D$6:$D$17="Other post-tax"))*('Changes &amp; Events'!$B$6:$B$17&lt;=$B32)*('Changes &amp; Events'!$B$6:$B$17&lt;&gt;"")),'Changes &amp; Events'!$I$6:$I$17),'Your Pay &amp; Benefits'!$D$45))</f>
      </c>
      <c r="BQ32" s="6">
        <f>IF($B32="","",IFERROR(LOOKUP(2,1/(((('Changes &amp; Events'!$C$6:$C$17="Deduction start")+('Changes &amp; Events'!$C$6:$C$17="Deduction stop"))*('Changes &amp; Events'!$D$6:$D$17="Health FSA"))*('Changes &amp; Events'!$B$6:$B$17&lt;=$B32)*('Changes &amp; Events'!$B$6:$B$17&lt;&gt;"")),'Changes &amp; Events'!$J$6:$J$17),0))</f>
      </c>
      <c r="BR32" s="6">
        <f>IF($B32="","",IFERROR(LOOKUP(2,1/(((('Changes &amp; Events'!$C$6:$C$17="Deduction start")+('Changes &amp; Events'!$C$6:$C$17="Deduction stop"))*('Changes &amp; Events'!$D$6:$D$17="Dependent-care FSA"))*('Changes &amp; Events'!$B$6:$B$17&lt;=$B32)*('Changes &amp; Events'!$B$6:$B$17&lt;&gt;"")),'Changes &amp; Events'!$J$6:$J$17),0))</f>
      </c>
      <c r="BS32" s="6">
        <f>IF($B32="","",IF(SUMPRODUCT(('Changes &amp; Events'!$C$6:$C$17="Deduction start")*('Changes &amp; Events'!$B$6:$B$17&lt;=$B32)*('Changes &amp; Events'!$B$6:$B$17&lt;&gt;"")*('Changes &amp; Events'!$D$6:$D$17="Health FSA"))&gt;0,1,0))</f>
      </c>
      <c r="BT32" s="6">
        <f>IF($B32="","",IF(SUMPRODUCT(('Changes &amp; Events'!$C$6:$C$17="Deduction start")*('Changes &amp; Events'!$B$6:$B$17&lt;=$B32)*('Changes &amp; Events'!$B$6:$B$17&lt;&gt;"")*('Changes &amp; Events'!$D$6:$D$17="Dependent-care FSA"))&gt;0,1,0))</f>
      </c>
      <c r="BU32" s="24">
        <f>IF($B32="","",IF('Your Pay &amp; Benefits'!$C$13,SUMPRODUCT(($AH32&gt;=INDEX('How This Works &amp; Sources'!$B$29:$J$36,0,IF('Your Pay &amp; Benefits'!$C$12="MFJ",1,IF('Your Pay &amp; Benefits'!$C$12="HoH",7,4))))*INDEX('How This Works &amp; Sources'!$B$29:$J$36,0,IF('Your Pay &amp; Benefits'!$C$12="MFJ",1,IF('Your Pay &amp; Benefits'!$C$12="HoH",7,4))+2)),SUMPRODUCT(($AH32&gt;=INDEX('How This Works &amp; Sources'!$B$19:$J$26,0,IF('Your Pay &amp; Benefits'!$C$12="MFJ",1,IF('Your Pay &amp; Benefits'!$C$12="HoH",7,4))))*INDEX('How This Works &amp; Sources'!$B$19:$J$26,0,IF('Your Pay &amp; Benefits'!$C$12="MFJ",1,IF('Your Pay &amp; Benefits'!$C$12="HoH",7,4))+2))))</f>
      </c>
      <c r="BV32" s="24">
        <f>IF($B32="","",IF($BZ32&lt;&gt;"",$BZ32,IF($CA32&lt;&gt;"",$CA32,IF($CB32&lt;&gt;"",$CB32,IF($CC32&lt;&gt;"",$CC32,0)))))</f>
      </c>
      <c r="BW32" s="7">
        <f>IF($B32="","",IF($AN32="MD",IF(OR($AU32="Married",$AU32="Head of household"),SUMPRODUCT(($AZ32&gt;INDEX('How This Works &amp; Sources'!$B$114:$J$120,0,1))*($AZ32-INDEX('How This Works &amp; Sources'!$B$114:$J$120,0,1))*INDEX('How This Works &amp; Sources'!$B$114:$J$120,0,1+2)),SUMPRODUCT(($AZ32&gt;INDEX('How This Works &amp; Sources'!$B$103:$J$109,0,7))*($AZ32-INDEX('How This Works &amp; Sources'!$B$103:$J$109,0,7))*INDEX('How This Works &amp; Sources'!$B$103:$J$109,0,7+2))),IF($AN32="MO",SUMPRODUCT(($AZ32&gt;INDEX('How This Works &amp; Sources'!$B$125:$J$132,0,1))*($AZ32-INDEX('How This Works &amp; Sources'!$B$125:$J$132,0,1))*INDEX('How This Works &amp; Sources'!$B$125:$J$132,0,1+2)),IF($AN32="MT",IF($AU32="Head of household",SUMPRODUCT(($AZ32&gt;INDEX('How This Works &amp; Sources'!$B$137:$J$139,0,1))*($AZ32-INDEX('How This Works &amp; Sources'!$B$137:$J$139,0,1))*INDEX('How This Works &amp; Sources'!$B$137:$J$139,0,1+2)),IF($AU32="Married",SUMPRODUCT(($AZ32&gt;INDEX('How This Works &amp; Sources'!$B$125:$J$132,0,7))*($AZ32-INDEX('How This Works &amp; Sources'!$B$125:$J$132,0,7))*INDEX('How This Works &amp; Sources'!$B$125:$J$132,0,7+2)),SUMPRODUCT(($AZ32&gt;INDEX('How This Works &amp; Sources'!$B$125:$J$132,0,4))*($AZ32-INDEX('How This Works &amp; Sources'!$B$125:$J$132,0,4))*INDEX('How This Works &amp; Sources'!$B$125:$J$132,0,4+2)))),IF($AN32="ND",IF($AU32="Head of household",SUMPRODUCT(($AZ32&gt;INDEX('How This Works &amp; Sources'!$B$144:$J$150,0,1))*($AZ32-INDEX('How This Works &amp; Sources'!$B$144:$J$150,0,1))*INDEX('How This Works &amp; Sources'!$B$144:$J$150,0,1+2)),IF($AU32="Married",SUMPRODUCT(($AZ32&gt;INDEX('How This Works &amp; Sources'!$B$137:$J$139,0,7))*($AZ32-INDEX('How This Works &amp; Sources'!$B$137:$J$139,0,7))*INDEX('How This Works &amp; Sources'!$B$137:$J$139,0,7+2)),SUMPRODUCT(($AZ32&gt;INDEX('How This Works &amp; Sources'!$B$137:$J$139,0,4))*($AZ32-INDEX('How This Works &amp; Sources'!$B$137:$J$139,0,4))*INDEX('How This Works &amp; Sources'!$B$137:$J$139,0,4+2)))),IF($AN32="NJ",IF('Your Pay &amp; Benefits'!$C$77="B",SUMPRODUCT(($AZ32&gt;INDEX('How This Works &amp; Sources'!$B$155:$J$162,0,4))*($AZ32-INDEX('How This Works &amp; Sources'!$B$155:$J$162,0,4))*INDEX('How This Works &amp; Sources'!$B$155:$J$162,0,4+2)),IF('Your Pay &amp; Benefits'!$C$77="C",SUMPRODUCT(($AZ32&gt;INDEX('How This Works &amp; Sources'!$B$155:$J$162,0,7))*($AZ32-INDEX('How This Works &amp; Sources'!$B$155:$J$162,0,7))*INDEX('How This Works &amp; Sources'!$B$155:$J$162,0,7+2)),IF('Your Pay &amp; Benefits'!$C$77="D",SUMPRODUCT(($AZ32&gt;INDEX('How This Works &amp; Sources'!$B$167:$J$179,0,1))*($AZ32-INDEX('How This Works &amp; Sources'!$B$167:$J$179,0,1))*INDEX('How This Works &amp; Sources'!$B$167:$J$179,0,1+2)),IF('Your Pay &amp; Benefits'!$C$77="E",SUMPRODUCT(($AZ32&gt;INDEX('How This Works &amp; Sources'!$B$167:$J$179,0,4))*($AZ32-INDEX('How This Works &amp; Sources'!$B$167:$J$179,0,4))*INDEX('How This Works &amp; Sources'!$B$167:$J$179,0,4+2)),SUMPRODUCT(($AZ32&gt;INDEX('How This Works &amp; Sources'!$B$155:$J$162,0,1))*($AZ32-INDEX('How This Works &amp; Sources'!$B$155:$J$162,0,1))*INDEX('How This Works &amp; Sources'!$B$155:$J$162,0,1+2)))))),IF($AN32="NY",IF($AU32="Married",IF($AZ32&gt;=2155350,$AZ32*IF($AZ32&gt;25000000,0.117,IF($AZ32&gt;5000000,0.111,0.1045)),SUMPRODUCT(($AZ32&gt;INDEX('How This Works &amp; Sources'!$B$184:$J$198,0,1))*($AZ32-INDEX('How This Works &amp; Sources'!$B$184:$J$198,0,1))*INDEX('How This Works &amp; Sources'!$B$184:$J$198,0,1+2))),IF($AZ32&gt;=1077550,$AZ32*IF($AZ32&gt;25000000,0.117,IF($AZ32&gt;5000000,0.111,0.1045)),SUMPRODUCT(($AZ32&gt;INDEX('How This Works &amp; Sources'!$B$167:$J$179,0,7))*($AZ32-INDEX('How This Works &amp; Sources'!$B$167:$J$179,0,7))*INDEX('How This Works &amp; Sources'!$B$167:$J$179,0,7+2)))),"")))))))</f>
      </c>
      <c r="BX32" s="7">
        <f>IF($B32="","",IF($AN32="AL",IF(OR($AU32="Married",$AU32="Head of household"),SUMPRODUCT(($AZ32&gt;INDEX('How This Works &amp; Sources'!$B$82:$J$86,0,4))*($AZ32-INDEX('How This Works &amp; Sources'!$B$82:$J$86,0,4))*INDEX('How This Works &amp; Sources'!$B$82:$J$86,0,4+2)),SUMPRODUCT(($AZ32&gt;INDEX('How This Works &amp; Sources'!$B$82:$J$86,0,1))*($AZ32-INDEX('How This Works &amp; Sources'!$B$82:$J$86,0,1))*INDEX('How This Works &amp; Sources'!$B$82:$J$86,0,1+2))),IF($AN32="KS",IF($AU32="Married",SUMPRODUCT(($AZ32&gt;INDEX('How This Works &amp; Sources'!$B$103:$J$109,0,4))*($AZ32-INDEX('How This Works &amp; Sources'!$B$103:$J$109,0,4))*INDEX('How This Works &amp; Sources'!$B$103:$J$109,0,4+2)),SUMPRODUCT(($AZ32&gt;INDEX('How This Works &amp; Sources'!$B$103:$J$109,0,1))*($AZ32-INDEX('How This Works &amp; Sources'!$B$103:$J$109,0,1))*INDEX('How This Works &amp; Sources'!$B$103:$J$109,0,1+2))),IF($AN32="MN",IF($AU32="Married",SUMPRODUCT(($AZ32&gt;INDEX('How This Works &amp; Sources'!$B$114:$J$120,0,7))*($AZ32-INDEX('How This Works &amp; Sources'!$B$114:$J$120,0,7))*INDEX('How This Works &amp; Sources'!$B$114:$J$120,0,7+2)),SUMPRODUCT(($AZ32&gt;INDEX('How This Works &amp; Sources'!$B$114:$J$120,0,4))*($AZ32-INDEX('How This Works &amp; Sources'!$B$114:$J$120,0,4))*INDEX('How This Works &amp; Sources'!$B$114:$J$120,0,4+2))),IF($AN32="NE",MAX(IF($AU32="Married",SUMPRODUCT(($AZ32&gt;INDEX('How This Works &amp; Sources'!$B$144:$J$150,0,7))*($AZ32-INDEX('How This Works &amp; Sources'!$B$144:$J$150,0,7))*INDEX('How This Works &amp; Sources'!$B$144:$J$150,0,7+2)),SUMPRODUCT(($AZ32&gt;INDEX('How This Works &amp; Sources'!$B$144:$J$150,0,4))*($AZ32-INDEX('How This Works &amp; Sources'!$B$144:$J$150,0,4))*INDEX('How This Works &amp; Sources'!$B$144:$J$150,0,4+2))),0.015*$AZ32),IF($AN32="OH",IF($B32&gt;=DATE(2026,8,1),SUMPRODUCT(($AZ32&gt;INDEX('How This Works &amp; Sources'!$B$203:$J$206,0,1))*($AZ32-INDEX('How This Works &amp; Sources'!$B$203:$J$206,0,1))*INDEX('How This Works &amp; Sources'!$B$203:$J$206,0,1+2)),SUMPRODUCT(($AZ32&gt;INDEX('How This Works &amp; Sources'!$B$184:$J$198,0,7))*($AZ32-INDEX('How This Works &amp; Sources'!$B$184:$J$198,0,7))*INDEX('How This Works &amp; Sources'!$B$184:$J$198,0,7+2))),IF($AN32="OK",IF($AU32="Married",SUMPRODUCT(($AZ32&gt;INDEX('How This Works &amp; Sources'!$B$203:$J$206,0,7))*($AZ32-INDEX('How This Works &amp; Sources'!$B$203:$J$206,0,7))*INDEX('How This Works &amp; Sources'!$B$203:$J$206,0,7+2)),SUMPRODUCT(($AZ32&gt;INDEX('How This Works &amp; Sources'!$B$203:$J$206,0,4))*($AZ32-INDEX('How This Works &amp; Sources'!$B$203:$J$206,0,4))*INDEX('How This Works &amp; Sources'!$B$203:$J$206,0,4+2))),IF($AN32="RI",SUMPRODUCT(($AZ32&gt;INDEX('How This Works &amp; Sources'!$B$211:$J$214,0,7))*($AZ32-INDEX('How This Works &amp; Sources'!$B$211:$J$214,0,7))*INDEX('How This Works &amp; Sources'!$B$211:$J$214,0,7+2)),IF($AN32="VT",IF($AU32="Married",SUMPRODUCT(($AZ32&gt;INDEX('How This Works &amp; Sources'!$B$228:$J$232,0,1))*($AZ32-INDEX('How This Works &amp; Sources'!$B$228:$J$232,0,1))*INDEX('How This Works &amp; Sources'!$B$228:$J$232,0,1+2)),SUMPRODUCT(($AZ32&gt;INDEX('How This Works &amp; Sources'!$B$219:$J$223,0,7))*($AZ32-INDEX('How This Works &amp; Sources'!$B$219:$J$223,0,7))*INDEX('How This Works &amp; Sources'!$B$219:$J$223,0,7+2))),IF($AN32="WV",IF($AU32="Married",SUMPRODUCT(($AZ32&gt;INDEX('How This Works &amp; Sources'!$B$237:$J$241,0,7))*($AZ32-INDEX('How This Works &amp; Sources'!$B$237:$J$241,0,7))*INDEX('How This Works &amp; Sources'!$B$237:$J$241,0,7+2)),SUMPRODUCT(($AZ32&gt;INDEX('How This Works &amp; Sources'!$B$228:$J$232,0,7))*($AZ32-INDEX('How This Works &amp; Sources'!$B$228:$J$232,0,7))*INDEX('How This Works &amp; Sources'!$B$228:$J$232,0,7+2))),""))))))))))</f>
      </c>
      <c r="BY32" s="7">
        <f>IF($B32="","",IF($AN32="AR",SUMPRODUCT(($AZ32&gt;INDEX('How This Works &amp; Sources'!$B$82:$J$86,0,7))*($AZ32-INDEX('How This Works &amp; Sources'!$B$82:$J$86,0,7))*INDEX('How This Works &amp; Sources'!$B$82:$J$86,0,7+2)),IF($AN32="DE",SUMPRODUCT(($AZ32&gt;INDEX('How This Works &amp; Sources'!$B$91:$J$98,0,1))*($AZ32-INDEX('How This Works &amp; Sources'!$B$91:$J$98,0,1))*INDEX('How This Works &amp; Sources'!$B$91:$J$98,0,1+2)),IF($AN32="HI",IF($AU32="Married",SUMPRODUCT(($AZ32&gt;INDEX('How This Works &amp; Sources'!$B$91:$J$98,0,7))*($AZ32-INDEX('How This Works &amp; Sources'!$B$91:$J$98,0,7))*INDEX('How This Works &amp; Sources'!$B$91:$J$98,0,7+2)),SUMPRODUCT(($AZ32&gt;INDEX('How This Works &amp; Sources'!$B$91:$J$98,0,4))*($AZ32-INDEX('How This Works &amp; Sources'!$B$91:$J$98,0,4))*INDEX('How This Works &amp; Sources'!$B$91:$J$98,0,4+2))),IF($AN32="SC",SUMPRODUCT(($AZ32&gt;INDEX('How This Works &amp; Sources'!$B$219:$J$223,0,1))*($AZ32-INDEX('How This Works &amp; Sources'!$B$219:$J$223,0,1))*INDEX('How This Works &amp; Sources'!$B$219:$J$223,0,1+2)),IF($AN32="VA",SUMPRODUCT(($AZ32&gt;INDEX('How This Works &amp; Sources'!$B$219:$J$223,0,4))*($AZ32-INDEX('How This Works &amp; Sources'!$B$219:$J$223,0,4))*INDEX('How This Works &amp; Sources'!$B$219:$J$223,0,4+2)),IF($AN32="WI",SUMPRODUCT(($AZ32&gt;INDEX('How This Works &amp; Sources'!$B$228:$J$232,0,4))*($AZ32-INDEX('How This Works &amp; Sources'!$B$228:$J$232,0,4))*INDEX('How This Works &amp; Sources'!$B$228:$J$232,0,4+2)),"")))))))</f>
      </c>
      <c r="BZ32" s="24">
        <f>IF($B32="","",IF($AN32="NJ",IF('Your Pay &amp; Benefits'!$C$77="B",SUMPRODUCT(($AZ32&gt;=INDEX('How This Works &amp; Sources'!$B$155:$J$162,0,4))*INDEX('How This Works &amp; Sources'!$B$155:$J$162,0,4+2)),IF('Your Pay &amp; Benefits'!$C$77="C",SUMPRODUCT(($AZ32&gt;=INDEX('How This Works &amp; Sources'!$B$155:$J$162,0,7))*INDEX('How This Works &amp; Sources'!$B$155:$J$162,0,7+2)),IF('Your Pay &amp; Benefits'!$C$77="D",SUMPRODUCT(($AZ32&gt;=INDEX('How This Works &amp; Sources'!$B$167:$J$179,0,1))*INDEX('How This Works &amp; Sources'!$B$167:$J$179,0,1+2)),IF('Your Pay &amp; Benefits'!$C$77="E",SUMPRODUCT(($AZ32&gt;=INDEX('How This Works &amp; Sources'!$B$167:$J$179,0,4))*INDEX('How This Works &amp; Sources'!$B$167:$J$179,0,4+2)),SUMPRODUCT(($AZ32&gt;=INDEX('How This Works &amp; Sources'!$B$155:$J$162,0,1))*INDEX('How This Works &amp; Sources'!$B$155:$J$162,0,1+2)))))),IF($AN32="OR",IF(OR($AU32="Married",AND($AU32="Single",$AS32&gt;=3)),SUMPRODUCT((MAX(0,$AY32-MIN(($P32-'How This Works &amp; Sources'!$C$10*$D32)*'Your Pay &amp; Benefits'!$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Sources'!$B$211:$J$214,0,4))*INDEX('How This Works &amp; Sources'!$B$211:$J$214,0,4+2)),SUMPRODUCT((MAX(0,$AY32-MIN(($P32-'How This Works &amp; Sources'!$C$10*$D32)*'Your Pay &amp; Benefits'!$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Sources'!$B$211:$J$214,0,1))*INDEX('How This Works &amp; Sources'!$B$211:$J$214,0,1+2)))*IF(($P32-'How This Works &amp; Sources'!$C$10*$D32)*'Your Pay &amp; Benefits'!$C$8&gt;=IF(OR($AU32="Married",AND($AU32="Single",$AS32&gt;=3)),IF($AY32&lt;250000,8750,IF($AY32&lt;260000,7000,IF($AY32&lt;270000,5250,IF($AY32&lt;280000,3500,IF($AY32&lt;290000,1750,0))))),IF($AY32&lt;125000,8750,IF($AY32&lt;130000,7000,IF($AY32&lt;135000,5250,IF($AY32&lt;140000,3500,IF($AY32&lt;145000,1750,0)))))),1,1-IF('Your Pay &amp; Benefits'!$C$13,SUMPRODUCT(($AH32&gt;=INDEX('How This Works &amp; Sources'!$B$29:$J$36,0,IF('Your Pay &amp; Benefits'!$C$12="MFJ",1,IF('Your Pay &amp; Benefits'!$C$12="HoH",7,4))))*INDEX('How This Works &amp; Sources'!$B$29:$J$36,0,IF('Your Pay &amp; Benefits'!$C$12="MFJ",1,IF('Your Pay &amp; Benefits'!$C$12="HoH",7,4))+2)),SUMPRODUCT(($AH32&gt;=INDEX('How This Works &amp; Sources'!$B$19:$J$26,0,IF('Your Pay &amp; Benefits'!$C$12="MFJ",1,IF('Your Pay &amp; Benefits'!$C$12="HoH",7,4))))*INDEX('How This Works &amp; Sources'!$B$19:$J$26,0,IF('Your Pay &amp; Benefits'!$C$12="MFJ",1,IF('Your Pay &amp; Benefits'!$C$12="HoH",7,4))+2)))),IF($AN32="MI",IF($AY32&gt;5900*$AS32,0.0425,0),""))))</f>
      </c>
      <c r="CA32" s="24">
        <f>IF($B32="","",IF($AN32="AL",IF(OR($AU32="Married",$AU32="Head of household"),SUMPRODUCT(($AZ32&gt;=INDEX('How This Works &amp; Sources'!$B$82:$J$86,0,4))*INDEX('How This Works &amp; Sources'!$B$82:$J$86,0,4+2)),SUMPRODUCT(($AZ32&gt;=INDEX('How This Works &amp; Sources'!$B$82:$J$86,0,1))*INDEX('How This Works &amp; Sources'!$B$82:$J$86,0,1+2)))*(1-IF('Your Pay &amp; Benefits'!$C$13,SUMPRODUCT(($AH32&gt;=INDEX('How This Works &amp; Sources'!$B$29:$J$36,0,IF('Your Pay &amp; Benefits'!$C$12="MFJ",1,IF('Your Pay &amp; Benefits'!$C$12="HoH",7,4))))*INDEX('How This Works &amp; Sources'!$B$29:$J$36,0,IF('Your Pay &amp; Benefits'!$C$12="MFJ",1,IF('Your Pay &amp; Benefits'!$C$12="HoH",7,4))+2)),SUMPRODUCT(($AH32&gt;=INDEX('How This Works &amp; Sources'!$B$19:$J$26,0,IF('Your Pay &amp; Benefits'!$C$12="MFJ",1,IF('Your Pay &amp; Benefits'!$C$12="HoH",7,4))))*INDEX('How This Works &amp; Sources'!$B$19:$J$26,0,IF('Your Pay &amp; Benefits'!$C$12="MFJ",1,IF('Your Pay &amp; Benefits'!$C$12="HoH",7,4))+2)))),IF($AN32="KS",IF($AU32="Married",SUMPRODUCT(($AZ32&gt;=INDEX('How This Works &amp; Sources'!$B$103:$J$109,0,4))*INDEX('How This Works &amp; Sources'!$B$103:$J$109,0,4+2)),SUMPRODUCT(($AZ32&gt;=INDEX('How This Works &amp; Sources'!$B$103:$J$109,0,1))*INDEX('How This Works &amp; Sources'!$B$103:$J$109,0,1+2))),IF($AN32="MD",IF(OR($AU32="Married",$AU32="Head of household"),SUMPRODUCT(($AZ32&gt;=INDEX('How This Works &amp; Sources'!$B$114:$J$120,0,1))*INDEX('How This Works &amp; Sources'!$B$114:$J$120,0,1+2)),SUMPRODUCT(($AZ32&gt;=INDEX('How This Works &amp; Sources'!$B$103:$J$109,0,7))*INDEX('How This Works &amp; Sources'!$B$103:$J$109,0,7+2)))+'Your Pay &amp; Benefits'!$C$74,IF($AN32="MT",IF($AU32="Head of household",SUMPRODUCT(($AZ32&gt;=INDEX('How This Works &amp; Sources'!$B$137:$J$139,0,1))*INDEX('How This Works &amp; Sources'!$B$137:$J$139,0,1+2)),IF($AU32="Married",SUMPRODUCT(($AZ32&gt;=INDEX('How This Works &amp; Sources'!$B$125:$J$132,0,7))*INDEX('How This Works &amp; Sources'!$B$125:$J$132,0,7+2)),SUMPRODUCT(($AZ32&gt;=INDEX('How This Works &amp; Sources'!$B$125:$J$132,0,4))*INDEX('How This Works &amp; Sources'!$B$125:$J$132,0,4+2)))),IF($AN32="ND",IF($AU32="Head of household",SUMPRODUCT(($AZ32&gt;=INDEX('How This Works &amp; Sources'!$B$144:$J$150,0,1))*INDEX('How This Works &amp; Sources'!$B$144:$J$150,0,1+2)),IF($AU32="Married",SUMPRODUCT(($AZ32&gt;=INDEX('How This Works &amp; Sources'!$B$137:$J$139,0,7))*INDEX('How This Works &amp; Sources'!$B$137:$J$139,0,7+2)),SUMPRODUCT(($AZ32&gt;=INDEX('How This Works &amp; Sources'!$B$137:$J$139,0,4))*INDEX('How This Works &amp; Sources'!$B$137:$J$139,0,4+2)))),IF($AN32="NY",IF($AU32="Married",IF($AZ32&gt;=2155350,IF($AZ32&gt;25000000,0.117,IF($AZ32&gt;5000000,0.111,0.1045)),SUMPRODUCT(($AZ32&gt;=INDEX('How This Works &amp; Sources'!$B$184:$J$198,0,1))*INDEX('How This Works &amp; Sources'!$B$184:$J$198,0,1+2))),IF($AZ32&gt;=1077550,IF($AZ32&gt;25000000,0.117,IF($AZ32&gt;5000000,0.111,0.1045)),SUMPRODUCT(($AZ32&gt;=INDEX('How This Works &amp; Sources'!$B$167:$J$179,0,7))*INDEX('How This Works &amp; Sources'!$B$167:$J$179,0,7+2)))),"")))))))</f>
      </c>
      <c r="CB32" s="24">
        <f>IF($B32="","",IF($AN32="CA",SUMPRODUCT(($AJ32&gt;=INDEX('How This Works &amp; Sources'!$B$39:$J$48,0,IF($AU32="Married",4,IF($AU32="Head of household",7,1))))*INDEX('How This Works &amp; Sources'!$B$39:$J$48,0,IF($AU32="Married",4,IF($AU32="Head of household",7,1))+2)),IF($AN32="HI",IF($AU32="Married",SUMPRODUCT(($AZ32&gt;=INDEX('How This Works &amp; Sources'!$B$91:$J$98,0,7))*INDEX('How This Works &amp; Sources'!$B$91:$J$98,0,7+2)),SUMPRODUCT(($AZ32&gt;=INDEX('How This Works &amp; Sources'!$B$91:$J$98,0,4))*INDEX('How This Works &amp; Sources'!$B$91:$J$98,0,4+2))),IF($AN32="MN",IF($AU32="Married",SUMPRODUCT(($AZ32&gt;=INDEX('How This Works &amp; Sources'!$B$114:$J$120,0,7))*INDEX('How This Works &amp; Sources'!$B$114:$J$120,0,7+2)),SUMPRODUCT(($AZ32&gt;=INDEX('How This Works &amp; Sources'!$B$114:$J$120,0,4))*INDEX('How This Works &amp; Sources'!$B$114:$J$120,0,4+2))),IF($AN32="MO",SUMPRODUCT(($AZ32&gt;=INDEX('How This Works &amp; Sources'!$B$125:$J$132,0,1))*INDEX('How This Works &amp; Sources'!$B$125:$J$132,0,1+2)),IF($AN32="NE",MAX(IF($AU32="Married",SUMPRODUCT(($AZ32&gt;=INDEX('How This Works &amp; Sources'!$B$144:$J$150,0,7))*INDEX('How This Works &amp; Sources'!$B$144:$J$150,0,7+2)),SUMPRODUCT(($AZ32&gt;=INDEX('How This Works &amp; Sources'!$B$144:$J$150,0,4))*INDEX('How This Works &amp; Sources'!$B$144:$J$150,0,4+2))),0.015),IF($AN32="OH",IF($B32&gt;=DATE(2026,8,1),SUMPRODUCT(($AZ32&gt;=INDEX('How This Works &amp; Sources'!$B$203:$J$206,0,1))*INDEX('How This Works &amp; Sources'!$B$203:$J$206,0,1+2)),SUMPRODUCT(($AZ32&gt;=INDEX('How This Works &amp; Sources'!$B$184:$J$198,0,7))*INDEX('How This Works &amp; Sources'!$B$184:$J$198,0,7+2))),IF($AN32="OK",IF($AU32="Married",SUMPRODUCT(($AZ32&gt;=INDEX('How This Works &amp; Sources'!$B$203:$J$206,0,7))*INDEX('How This Works &amp; Sources'!$B$203:$J$206,0,7+2)),SUMPRODUCT(($AZ32&gt;=INDEX('How This Works &amp; Sources'!$B$203:$J$206,0,4))*INDEX('How This Works &amp; Sources'!$B$203:$J$206,0,4+2))),IF($AN32="RI",SUMPRODUCT(($AZ32&gt;=INDEX('How This Works &amp; Sources'!$B$211:$J$214,0,7))*INDEX('How This Works &amp; Sources'!$B$211:$J$214,0,7+2)),IF($AN32="SC",SUMPRODUCT(($AZ32&gt;=INDEX('How This Works &amp; Sources'!$B$219:$J$223,0,1))*INDEX('How This Works &amp; Sources'!$B$219:$J$223,0,1+2)),IF($AN32="VT",IF($AU32="Married",SUMPRODUCT(($AZ32&gt;=INDEX('How This Works &amp; Sources'!$B$228:$J$232,0,1))*INDEX('How This Works &amp; Sources'!$B$228:$J$232,0,1+2)),SUMPRODUCT(($AZ32&gt;=INDEX('How This Works &amp; Sources'!$B$219:$J$223,0,7))*INDEX('How This Works &amp; Sources'!$B$219:$J$223,0,7+2))),IF($AN32="WV",IF($AU32="Married",SUMPRODUCT(($AZ32&gt;=INDEX('How This Works &amp; Sources'!$B$237:$J$241,0,7))*INDEX('How This Works &amp; Sources'!$B$237:$J$241,0,7+2)),SUMPRODUCT(($AZ32&gt;=INDEX('How This Works &amp; Sources'!$B$228:$J$232,0,7))*INDEX('How This Works &amp; Sources'!$B$228:$J$232,0,7+2))),IF($AN32="IN",(0.0295+'Your Pay &amp; Benefits'!$C$76),"")))))))))))))</f>
      </c>
      <c r="CC32" s="24">
        <f>IF($B32="","",IF($AN32="AR",SUMPRODUCT(($AZ32&gt;=INDEX('How This Works &amp; Sources'!$B$82:$J$86,0,7))*INDEX('How This Works &amp; Sources'!$B$82:$J$86,0,7+2)),IF($AN32="DE",SUMPRODUCT(($AZ32&gt;=INDEX('How This Works &amp; Sources'!$B$91:$J$98,0,1))*INDEX('How This Works &amp; Sources'!$B$91:$J$98,0,1+2)),IF($AN32="VA",SUMPRODUCT(($AZ32&gt;=INDEX('How This Works &amp; Sources'!$B$219:$J$223,0,4))*INDEX('How This Works &amp; Sources'!$B$219:$J$223,0,4+2)),IF($AN32="WI",SUMPRODUCT(($AZ32&gt;=INDEX('How This Works &amp; Sources'!$B$228:$J$232,0,4))*INDEX('How This Works &amp; Sources'!$B$228:$J$232,0,4+2)),IF($AN32="AZ",'Your Pay &amp; Benefits'!$C$82,IF($AN32="CO",IF($AY32&gt;IF($AU32="Married",10000,5000),0.044,0),IF($AN32="IA",IF($AY32&gt;IF($AU32="Head of household",19500,IF($AU32="Married",26000,13000)),0.038,0),IF($AN32="ID",IF($AY32&gt;IF($AU32="Married",32000,16094),0.053,0),IF($AN32="IL",IF($AY32&gt;(2925*$AS32+1000*$AT32),0.0495,0),IF($AN32="KY",IF($AI32&gt;3360,0.035,0),IF($AN32="LA",0.0309,IF($AN32="MA",IF(MAX(0,$AY32-MIN(($BD31+$Q32+$R32+$S32),2000)-IF($AS32=0,0,IF($AS32=1,4400,1000*$AS32+3400)))&gt;=1107750,0.09,0.05),IF($AN32="MS",IF($AI32-IF($AU32="Head of household",3400,IF($AU32="Married",4600,2300))-'Your Pay &amp; Benefits'!$C$85&gt;10000,0.04,0),IF($AN32="PA",0.0307,"")))))))))))))))</f>
      </c>
      <c r="CD32" s="21">
        <f>IF(YEAR(IF('Your Pay &amp; Benefits'!$C$7="Weekly",'Your Pay &amp; Benefits'!$C$9+7*(($BE31+1)-1),IF('Your Pay &amp; Benefits'!$C$7="Biweekly",'Your Pay &amp; Benefits'!$C$9+14*(($BE31+1)-1),IF('Your Pay &amp; Benefits'!$C$7="Semimonthly",DATE(YEAR('Your Pay &amp; Benefits'!$C$9),MONTH('Your Pay &amp; Benefits'!$C$9)+INT((($BE31+1)-1)/2),MIN(DAY('Your Pay &amp; Benefits'!$C$9),DAY(EOMONTH(DATE(YEAR('Your Pay &amp; Benefits'!$C$9),MONTH('Your Pay &amp; Benefits'!$C$9)+INT((($BE31+1)-1)/2),1),0))))+IF(MOD(($BE31+1)-1,2)=1,15,0),EDATE('Your Pay &amp; Benefits'!$C$9,($BE31+1)-1)))))&lt;&gt;'Your Pay &amp; Benefits'!$C$10,"",IF('Your Pay &amp; Benefits'!$C$7="Weekly",'Your Pay &amp; Benefits'!$C$9+7*(($BE31+1)-1),IF('Your Pay &amp; Benefits'!$C$7="Biweekly",'Your Pay &amp; Benefits'!$C$9+14*(($BE31+1)-1),IF('Your Pay &amp; Benefits'!$C$7="Semimonthly",DATE(YEAR('Your Pay &amp; Benefits'!$C$9),MONTH('Your Pay &amp; Benefits'!$C$9)+INT((($BE31+1)-1)/2),MIN(DAY('Your Pay &amp; Benefits'!$C$9),DAY(EOMONTH(DATE(YEAR('Your Pay &amp; Benefits'!$C$9),MONTH('Your Pay &amp; Benefits'!$C$9)+INT((($BE31+1)-1)/2),1),0))))+IF(MOD(($BE31+1)-1,2)=1,15,0),EDATE('Your Pay &amp; Benefits'!$C$9,($BE31+1)-1)))))</f>
      </c>
      <c r="CE32" s="21">
        <f>IF(MIN(IF(AND('Your Pay &amp; Benefits'!$C$58&gt;MAX($B$6:$B31),'Your Pay &amp; Benefits'!$C$58&gt;=DATE('Your Pay &amp; Benefits'!$C$10,1,1),'Your Pay &amp; Benefits'!$C$58&lt;=DATE('Your Pay &amp; Benefits'!$C$10,12,31)),'Your Pay &amp; Benefits'!$C$58,999999),IF(AND('Your Pay &amp; Benefits'!$C$59&gt;MAX($B$6:$B31),'Your Pay &amp; Benefits'!$C$59&gt;=DATE('Your Pay &amp; Benefits'!$C$10,1,1),'Your Pay &amp; Benefits'!$C$59&lt;=DATE('Your Pay &amp; Benefits'!$C$10,12,31)),'Your Pay &amp; Benefits'!$C$59,999999),IF(AND('Your Pay &amp; Benefits'!$C$60&gt;MAX($B$6:$B31),'Your Pay &amp; Benefits'!$C$60&gt;=DATE('Your Pay &amp; Benefits'!$C$10,1,1),'Your Pay &amp; Benefits'!$C$60&lt;=DATE('Your Pay &amp; Benefits'!$C$10,12,31)),'Your Pay &amp; Benefits'!$C$60,999999),IF(AND('Your Pay &amp; Benefits'!$C$61&gt;MAX($B$6:$B31),'Your Pay &amp; Benefits'!$C$61&gt;=DATE('Your Pay &amp; Benefits'!$C$10,1,1),'Your Pay &amp; Benefits'!$C$61&lt;=DATE('Your Pay &amp; Benefits'!$C$10,12,31)),'Your Pay &amp; Benefits'!$C$61,999999),IF(AND('Your Pay &amp; Benefits'!$C$62&gt;MAX($B$6:$B31),'Your Pay &amp; Benefits'!$C$62&gt;=DATE('Your Pay &amp; Benefits'!$C$10,1,1),'Your Pay &amp; Benefits'!$C$62&lt;=DATE('Your Pay &amp; Benefits'!$C$10,12,31)),'Your Pay &amp; Benefits'!$C$62,999999),IF(AND('Your Pay &amp; Benefits'!$C$63&gt;MAX($B$6:$B31),'Your Pay &amp; Benefits'!$C$63&gt;=DATE('Your Pay &amp; Benefits'!$C$10,1,1),'Your Pay &amp; Benefits'!$C$63&lt;=DATE('Your Pay &amp; Benefits'!$C$10,12,31)),'Your Pay &amp; Benefits'!$C$63,999999),IF(AND('Your Pay &amp; Benefits'!$C$64&gt;MAX($B$6:$B31),'Your Pay &amp; Benefits'!$C$64&gt;=DATE('Your Pay &amp; Benefits'!$C$10,1,1),'Your Pay &amp; Benefits'!$C$64&lt;=DATE('Your Pay &amp; Benefits'!$C$10,12,31)),'Your Pay &amp; Benefits'!$C$64,999999),IF(AND('Your Pay &amp; Benefits'!$C$65&gt;MAX($B$6:$B31),'Your Pay &amp; Benefits'!$C$65&gt;=DATE('Your Pay &amp; Benefits'!$C$10,1,1),'Your Pay &amp; Benefits'!$C$65&lt;=DATE('Your Pay &amp; Benefits'!$C$10,12,31)),'Your Pay &amp; Benefits'!$C$65,999999),IF(AND('Your Pay &amp; Benefits'!$C$66&gt;MAX($B$6:$B31),'Your Pay &amp; Benefits'!$C$66&gt;=DATE('Your Pay &amp; Benefits'!$C$10,1,1),'Your Pay &amp; Benefits'!$C$66&lt;=DATE('Your Pay &amp; Benefits'!$C$10,12,31)),'Your Pay &amp; Benefits'!$C$66,999999),IF(AND('Your Pay &amp; Benefits'!$C$67&gt;MAX($B$6:$B31),'Your Pay &amp; Benefits'!$C$67&gt;=DATE('Your Pay &amp; Benefits'!$C$10,1,1),'Your Pay &amp; Benefits'!$C$67&lt;=DATE('Your Pay &amp; Benefits'!$C$10,12,31)),'Your Pay &amp; Benefits'!$C$67,999999))=999999,"",MIN(IF(AND('Your Pay &amp; Benefits'!$C$58&gt;MAX($B$6:$B31),'Your Pay &amp; Benefits'!$C$58&gt;=DATE('Your Pay &amp; Benefits'!$C$10,1,1),'Your Pay &amp; Benefits'!$C$58&lt;=DATE('Your Pay &amp; Benefits'!$C$10,12,31)),'Your Pay &amp; Benefits'!$C$58,999999),IF(AND('Your Pay &amp; Benefits'!$C$59&gt;MAX($B$6:$B31),'Your Pay &amp; Benefits'!$C$59&gt;=DATE('Your Pay &amp; Benefits'!$C$10,1,1),'Your Pay &amp; Benefits'!$C$59&lt;=DATE('Your Pay &amp; Benefits'!$C$10,12,31)),'Your Pay &amp; Benefits'!$C$59,999999),IF(AND('Your Pay &amp; Benefits'!$C$60&gt;MAX($B$6:$B31),'Your Pay &amp; Benefits'!$C$60&gt;=DATE('Your Pay &amp; Benefits'!$C$10,1,1),'Your Pay &amp; Benefits'!$C$60&lt;=DATE('Your Pay &amp; Benefits'!$C$10,12,31)),'Your Pay &amp; Benefits'!$C$60,999999),IF(AND('Your Pay &amp; Benefits'!$C$61&gt;MAX($B$6:$B31),'Your Pay &amp; Benefits'!$C$61&gt;=DATE('Your Pay &amp; Benefits'!$C$10,1,1),'Your Pay &amp; Benefits'!$C$61&lt;=DATE('Your Pay &amp; Benefits'!$C$10,12,31)),'Your Pay &amp; Benefits'!$C$61,999999),IF(AND('Your Pay &amp; Benefits'!$C$62&gt;MAX($B$6:$B31),'Your Pay &amp; Benefits'!$C$62&gt;=DATE('Your Pay &amp; Benefits'!$C$10,1,1),'Your Pay &amp; Benefits'!$C$62&lt;=DATE('Your Pay &amp; Benefits'!$C$10,12,31)),'Your Pay &amp; Benefits'!$C$62,999999),IF(AND('Your Pay &amp; Benefits'!$C$63&gt;MAX($B$6:$B31),'Your Pay &amp; Benefits'!$C$63&gt;=DATE('Your Pay &amp; Benefits'!$C$10,1,1),'Your Pay &amp; Benefits'!$C$63&lt;=DATE('Your Pay &amp; Benefits'!$C$10,12,31)),'Your Pay &amp; Benefits'!$C$63,999999),IF(AND('Your Pay &amp; Benefits'!$C$64&gt;MAX($B$6:$B31),'Your Pay &amp; Benefits'!$C$64&gt;=DATE('Your Pay &amp; Benefits'!$C$10,1,1),'Your Pay &amp; Benefits'!$C$64&lt;=DATE('Your Pay &amp; Benefits'!$C$10,12,31)),'Your Pay &amp; Benefits'!$C$64,999999),IF(AND('Your Pay &amp; Benefits'!$C$65&gt;MAX($B$6:$B31),'Your Pay &amp; Benefits'!$C$65&gt;=DATE('Your Pay &amp; Benefits'!$C$10,1,1),'Your Pay &amp; Benefits'!$C$65&lt;=DATE('Your Pay &amp; Benefits'!$C$10,12,31)),'Your Pay &amp; Benefits'!$C$65,999999),IF(AND('Your Pay &amp; Benefits'!$C$66&gt;MAX($B$6:$B31),'Your Pay &amp; Benefits'!$C$66&gt;=DATE('Your Pay &amp; Benefits'!$C$10,1,1),'Your Pay &amp; Benefits'!$C$66&lt;=DATE('Your Pay &amp; Benefits'!$C$10,12,31)),'Your Pay &amp; Benefits'!$C$66,999999),IF(AND('Your Pay &amp; Benefits'!$C$67&gt;MAX($B$6:$B31),'Your Pay &amp; Benefits'!$C$67&gt;=DATE('Your Pay &amp; Benefits'!$C$10,1,1),'Your Pay &amp; Benefits'!$C$67&lt;=DATE('Your Pay &amp; Benefits'!$C$10,12,31)),'Your Pay &amp; Benefits'!$C$67,999999)))</f>
      </c>
      <c r="CF32">
        <f>IF($B32="","",IF($D32=0,$Y32,""))</f>
      </c>
    </row>
    <row r="33">
      <c r="A33" t="n">
        <v>28</v>
      </c>
      <c r="B33" s="21">
        <f>IF(AND($CD33="",$CE33=""),"",IF($CE33="",$CD33,IF($CD33="",$CE33,MIN($CD33,$CE33))))</f>
      </c>
      <c r="C33" s="7">
        <f>IF($B33="","",IF($BF33=0,0,IF('Your Pay &amp; Benefits'!$C$4="Annual salary",ROUND($AK33/IF(AND('Your Pay &amp; Benefits'!$C$88="Actual paydays",MONTH('Your Pay &amp; Benefits'!$C$9)=1),MAX(1,MAX($BE$6:$BE$68)),'Your Pay &amp; Benefits'!$C$8),2),$AK33)))</f>
      </c>
      <c r="D33" s="7">
        <f>IF($B33="","",SUMIF('Your Pay &amp; Benefits'!$C$58:$C$67,$B33,'Your Pay &amp; Benefits'!$D$58:$D$67))</f>
      </c>
      <c r="E33" s="7">
        <f>IF($B33="","",ROUND(MAX(0,MIN(IF($AL33="Percent",$AM33*($C33+$D33),$AM33),MAX(0,'Your Pay &amp; Benefits'!$C$34-$AC32))),2))</f>
      </c>
      <c r="F33" s="7">
        <f>IF($B33="","",ROUND(MAX(0,MIN(IF('Your Pay &amp; Benefits'!$C$32="Percent",'Your Pay &amp; Benefits'!$D$32*($C33+$D33),'Your Pay &amp; Benefits'!$D$32),MAX(0,'Your Pay &amp; Benefits'!$C$34-$AC32-$E33))),2))</f>
      </c>
      <c r="G33" s="7">
        <f>IF($B33="","",IF($BF33=0,0,ROUND(MAX(0,MIN($BL33,'Your Pay &amp; Benefits'!$C$37-'Your Pay &amp; Benefits'!$C$54-$BI32)),2)))</f>
      </c>
      <c r="H33" s="7">
        <f>IF($B33="","",IF(OR($BF33=0,$BQ33=1),0,ROUND(MAX(0,MIN(IF($BS33=1,ROUND(MAX(0,MIN($BJ33,'How This Works &amp; Sources'!$C$13)-$BG32)/MAX(1,MAX($BE$6:$BE$68)-($BE32)),2),ROUND(MIN($BJ33,'How This Works &amp; Sources'!$C$13)/'Your Pay &amp; Benefits'!$C$8,2)),MIN($BJ33,'How This Works &amp; Sources'!$C$13)-$BG32)),2)))</f>
      </c>
      <c r="I33" s="7">
        <f>IF($B33="","",IF(OR($BF33=0,$BR33=1),0,ROUND(MAX(0,MIN(IF($BT33=1,ROUND(MAX(0,MIN($BK33,IF('Your Pay &amp; Benefits'!$C$12="MFJ",'How This Works &amp; Sources'!$C$14,'How This Works &amp; Sources'!$C$15))-$BH32)/MAX(1,MAX($BE$6:$BE$68)-($BE32)),2),ROUND(MIN($BK33,IF('Your Pay &amp; Benefits'!$C$12="MFJ",'How This Works &amp; Sources'!$C$14,'How This Works &amp; Sources'!$C$15))/'Your Pay &amp; Benefits'!$C$8,2)),MIN($BK33,IF('Your Pay &amp; Benefits'!$C$12="MFJ",'How This Works &amp; Sources'!$C$14,'How This Works &amp; Sources'!$C$15))-$BH32)),2)))</f>
      </c>
      <c r="J33" s="7">
        <f>IF($B33="","",IF($BF33=0,0,$BM33))</f>
      </c>
      <c r="K33" s="7">
        <f>IF($B33="","",IF($BF33=0,0,$BN33+$BO33))</f>
      </c>
      <c r="L33" s="7">
        <f>IF($B33="","",IF($BF33=0,0,'Your Pay &amp; Benefits'!$D$46))</f>
      </c>
      <c r="M33" s="7">
        <f>IF($B33="","",$C33+$D33+$L33-$E33-$G33-$H33-$I33-$J33-$K33)</f>
      </c>
      <c r="N33" s="7">
        <f>IF($B33="","",$C33+$D33+$L33-$G33-$H33-$I33-$J33-$K33)</f>
      </c>
      <c r="O33" s="7">
        <f>IF($B33="","",$C33+$D33+$L33-$E33-$H33-$I33-$J33-$K33-IF(OR($AN33="CA",$AN33="NJ"),0,$G33))</f>
      </c>
      <c r="P33" s="7">
        <f>IF($B33="","",IF('Your Pay &amp; Benefits'!$C$18,0,ROUND(MAX(0,IF('Your Pay &amp; Benefits'!$C$13,SUMPRODUCT(($AH33&gt;INDEX('How This Works &amp; Sources'!$B$29:$J$36,0,IF('Your Pay &amp; Benefits'!$C$12="MFJ",1,IF('Your Pay &amp; Benefits'!$C$12="HoH",7,4))))*($AH33-INDEX('How This Works &amp; Sources'!$B$29:$J$36,0,IF('Your Pay &amp; Benefits'!$C$12="MFJ",1,IF('Your Pay &amp; Benefits'!$C$12="HoH",7,4))))*INDEX('How This Works &amp; Sources'!$B$29:$J$36,0,IF('Your Pay &amp; Benefits'!$C$12="MFJ",1,IF('Your Pay &amp; Benefits'!$C$12="HoH",7,4))+2)),SUMPRODUCT(($AH33&gt;INDEX('How This Works &amp; Sources'!$B$19:$J$26,0,IF('Your Pay &amp; Benefits'!$C$12="MFJ",1,IF('Your Pay &amp; Benefits'!$C$12="HoH",7,4))))*($AH33-INDEX('How This Works &amp; Sources'!$B$19:$J$26,0,IF('Your Pay &amp; Benefits'!$C$12="MFJ",1,IF('Your Pay &amp; Benefits'!$C$12="HoH",7,4))))*INDEX('How This Works &amp; Sources'!$B$19:$J$26,0,IF('Your Pay &amp; Benefits'!$C$12="MFJ",1,IF('Your Pay &amp; Benefits'!$C$12="HoH",7,4))+2)))/'Your Pay &amp; Benefits'!$C$8-$AO33/'Your Pay &amp; Benefits'!$C$8)+$AR33+IF('Your Pay &amp; Benefits'!$C$89="Aggregate",MAX(0,IF('Your Pay &amp; Benefits'!$C$13,SUMPRODUCT((($AH33+$D33)&gt;INDEX('How This Works &amp; Sources'!$B$29:$J$36,0,IF('Your Pay &amp; Benefits'!$C$12="MFJ",1,IF('Your Pay &amp; Benefits'!$C$12="HoH",7,4))))*(($AH33+$D33)-INDEX('How This Works &amp; Sources'!$B$29:$J$36,0,IF('Your Pay &amp; Benefits'!$C$12="MFJ",1,IF('Your Pay &amp; Benefits'!$C$12="HoH",7,4))))*INDEX('How This Works &amp; Sources'!$B$29:$J$36,0,IF('Your Pay &amp; Benefits'!$C$12="MFJ",1,IF('Your Pay &amp; Benefits'!$C$12="HoH",7,4))+2)),SUMPRODUCT((($AH33+$D33)&gt;INDEX('How This Works &amp; Sources'!$B$19:$J$26,0,IF('Your Pay &amp; Benefits'!$C$12="MFJ",1,IF('Your Pay &amp; Benefits'!$C$12="HoH",7,4))))*(($AH33+$D33)-INDEX('How This Works &amp; Sources'!$B$19:$J$26,0,IF('Your Pay &amp; Benefits'!$C$12="MFJ",1,IF('Your Pay &amp; Benefits'!$C$12="HoH",7,4))))*INDEX('How This Works &amp; Sources'!$B$19:$J$26,0,IF('Your Pay &amp; Benefits'!$C$12="MFJ",1,IF('Your Pay &amp; Benefits'!$C$12="HoH",7,4))+2)))-IF('Your Pay &amp; Benefits'!$C$13,SUMPRODUCT(($AH33&gt;INDEX('How This Works &amp; Sources'!$B$29:$J$36,0,IF('Your Pay &amp; Benefits'!$C$12="MFJ",1,IF('Your Pay &amp; Benefits'!$C$12="HoH",7,4))))*($AH33-INDEX('How This Works &amp; Sources'!$B$29:$J$36,0,IF('Your Pay &amp; Benefits'!$C$12="MFJ",1,IF('Your Pay &amp; Benefits'!$C$12="HoH",7,4))))*INDEX('How This Works &amp; Sources'!$B$29:$J$36,0,IF('Your Pay &amp; Benefits'!$C$12="MFJ",1,IF('Your Pay &amp; Benefits'!$C$12="HoH",7,4))+2)),SUMPRODUCT(($AH33&gt;INDEX('How This Works &amp; Sources'!$B$19:$J$26,0,IF('Your Pay &amp; Benefits'!$C$12="MFJ",1,IF('Your Pay &amp; Benefits'!$C$12="HoH",7,4))))*($AH33-INDEX('How This Works &amp; Sources'!$B$19:$J$26,0,IF('Your Pay &amp; Benefits'!$C$12="MFJ",1,IF('Your Pay &amp; Benefits'!$C$12="HoH",7,4))))*INDEX('How This Works &amp; Sources'!$B$19:$J$26,0,IF('Your Pay &amp; Benefits'!$C$12="MFJ",1,IF('Your Pay &amp; Benefits'!$C$12="HoH",7,4))+2)))),'How This Works &amp; Sources'!$C$10*$D33),2)))</f>
      </c>
      <c r="Q33" s="7">
        <f>IF($B33="","",ROUND('How This Works &amp; Sources'!$C$4*MIN($N33,MAX(0,'How This Works &amp; Sources'!$C$3-($AX33+$AB32-$AW33))),2))</f>
      </c>
      <c r="R33" s="7">
        <f>IF($B33="","",ROUND('How This Works &amp; Sources'!$C$5*$N33,2))</f>
      </c>
      <c r="S33" s="7">
        <f>IF($B33="","",ROUND('How This Works &amp; Sources'!$C$6*MAX(0,MIN($N33,$AG32+$N33-'How This Works &amp; Sources'!$C$7)),2))</f>
      </c>
      <c r="T33" s="7">
        <f>IF($B33="","",IF('Your Pay &amp; Benefits'!$C$26,0,IF($AN33="CA",ROUND(IF($AI33&lt;=IF(($AS33+$AT33)&gt;=2,VLOOKUP($AN33,StateTables!$A$6:$AB$56,10,FALSE),VLOOKUP($AN33,StateTables!$A$6:$AB$56,9,FALSE)),0,MAX(0,SUMPRODUCT(($AJ33&gt;INDEX('How This Works &amp; Sources'!$B$39:$J$48,0,IF($AU33="Married",4,IF($AU33="Head of household",7,1))))*($AJ33-INDEX('How This Works &amp; Sources'!$B$39:$J$48,0,IF($AU33="Married",4,IF($AU33="Head of household",7,1))))*INDEX('How This Works &amp; Sources'!$B$39:$J$48,0,IF($AU33="Married",4,IF($AU33="Head of household",7,1))+2))-VLOOKUP($AN33,StateTables!$A$6:$AB$56,11,FALSE)*$AS33)/'Your Pay &amp; Benefits'!$C$8)+'Your Pay &amp; Benefits'!$C$25+VLOOKUP($AN33,StateTables!$A$6:$AB$56,13,FALSE)*$D33,2),IF(VLOOKUP($AN33,StateTables!$A$6:$AB$56,4,FALSE)="None",0,IF(ISNUMBER(SEARCH("MANUAL",VLOOKUP($AN33,StateTables!$A$6:$AB$56,5,FALSE))),'Your Pay &amp; Benefits'!$C$28,ROUND(MAX(0,$BA33+$BB33)/'Your Pay &amp; Benefits'!$C$8+'Your Pay &amp; Benefits'!$C$25+$BC33,2))))))</f>
      </c>
      <c r="U33" s="7">
        <f>IF($B33="","",IF(VLOOKUP($AN33,StateTables!$A$6:$AB$56,24,FALSE)="flatq",IF(OR(MONTH($B33)=1,MONTH($B33)=4,MONTH($B33)=7,MONTH($B33)=10),VLOOKUP($AN33,StateTables!$A$6:$AB$56,25,FALSE),0),IF(VLOOKUP($AN33,StateTables!$A$6:$AB$56,24,FALSE)="dbl",MIN(ROUND(0.005*$N33,2),ROUND(0.6*52/'Your Pay &amp; Benefits'!$C$8,2)),IF(OR(VLOOKUP($AN33,StateTables!$A$6:$AB$56,15,FALSE)="",VLOOKUP($AN33,StateTables!$A$6:$AB$56,15,FALSE)=0),0,ROUND(VLOOKUP($AN33,StateTables!$A$6:$AB$56,15,FALSE)*IF(OR(VLOOKUP($AN33,StateTables!$A$6:$AB$56,16,FALSE)="",VLOOKUP($AN33,StateTables!$A$6:$AB$56,16,FALSE)=0),$N33,MIN($N33,MAX(0,VLOOKUP($AN33,StateTables!$A$6:$AB$56,16,FALSE)-($AX33+$AB32-$AW33)))),2))))+IF(VLOOKUP($AN33,StateTables!$A$6:$AB$56,27,FALSE)="flatq",IF(OR(MONTH($B33)=1,MONTH($B33)=4,MONTH($B33)=7,MONTH($B33)=10),VLOOKUP($AN33,StateTables!$A$6:$AB$56,28,FALSE),0),IF(VLOOKUP($AN33,StateTables!$A$6:$AB$56,27,FALSE)="dbl",MIN(ROUND(0.005*$N33,2),ROUND(0.6*52/'Your Pay &amp; Benefits'!$C$8,2)),IF(OR(VLOOKUP($AN33,StateTables!$A$6:$AB$56,18,FALSE)="",VLOOKUP($AN33,StateTables!$A$6:$AB$56,18,FALSE)=0),0,ROUND(VLOOKUP($AN33,StateTables!$A$6:$AB$56,18,FALSE)*IF(OR(VLOOKUP($AN33,StateTables!$A$6:$AB$56,19,FALSE)="",VLOOKUP($AN33,StateTables!$A$6:$AB$56,19,FALSE)=0),$N33,MIN($N33,MAX(0,VLOOKUP($AN33,StateTables!$A$6:$AB$56,19,FALSE)-($AX33+$AB32-$AW33)))),2)))))</f>
      </c>
      <c r="V33" s="7">
        <f>IF($B33="","",IF($AN33="NY",IF('Your Pay &amp; Benefits'!$C$78,ROUND(SUMPRODUCT((MAX(0,($O33-$D33)*'Your Pay &amp; Benefits'!$C$8-(IF($AU33="Married",5500,5000)+1000*$AS33))&gt;INDEX('How This Works &amp; Sources'!$B$184:$J$198,0,4))*(MAX(0,($O33-$D33)*'Your Pay &amp; Benefits'!$C$8-(IF($AU33="Married",5500,5000)+1000*$AS33))-INDEX('How This Works &amp; Sources'!$B$184:$J$198,0,4))*INDEX('How This Works &amp; Sources'!$B$184:$J$198,0,4+2))/'Your Pay &amp; Benefits'!$C$8+0.0425*$D33,2),0)+IF('Your Pay &amp; Benefits'!$C$79="Resident",ROUND(0.1675*$T33,2),IF('Your Pay &amp; Benefits'!$C$79="Nonresident",ROUND(0.005*MAX(0,($O33-$D33)-(IF($AU33="Married",7950,7400)+1000*$AS33)/'Your Pay &amp; Benefits'!$C$8),2),0)),IF($AN33="PA",IF('Your Pay &amp; Benefits'!$C$80="None",'Your Pay &amp; Benefits'!$C$27+ROUND('Your Pay &amp; Benefits'!$C$81*($C33+$D33),2),ROUND(IF('Your Pay &amp; Benefits'!$C$80="Resident",IF($B33&lt;DATE(2026,7,1),0.0374,0.03735),IF($B33&lt;DATE(2026,7,1),0.0343,0.03425))*($C33+$D33),2)),IF($BF33=0,ROUND('Your Pay &amp; Benefits'!$C$81*($C33+$D33),2),'Your Pay &amp; Benefits'!$C$27+ROUND('Your Pay &amp; Benefits'!$C$81*($C33+$D33),2)))))</f>
      </c>
      <c r="W33" s="7">
        <f>IF($B33="","",IF($BF33=0,0,$BP33))</f>
      </c>
      <c r="X33" s="7">
        <f>IF($B33="","",SUM($E33:$K33)+$P33+$Q33+$R33+$S33+$T33+$U33+$V33+$W33)</f>
      </c>
      <c r="Y33" s="22">
        <f>IF($B33="","",$C33+$D33-$X33)</f>
      </c>
      <c r="Z33" s="7">
        <f>IF($B33="","",$Z32+$C33+$D33)</f>
      </c>
      <c r="AA33" s="7">
        <f>IF($B33="","",$AA32+$Y33)</f>
      </c>
      <c r="AB33" s="7">
        <f>IF($B33="","",$AB32+MIN($N33,MAX(0,'How This Works &amp; Sources'!$C$3-($AX33+$AB32-$AW33))))</f>
      </c>
      <c r="AC33" s="7">
        <f>IF($B33="","",$AC32+$E33+$F33)</f>
      </c>
      <c r="AD33" s="3">
        <f>IF($B33="","",IF(AND($AB32&lt;'How This Works &amp; Sources'!$C$3,$AB33&gt;='How This Works &amp; Sources'!$C$3),"★ Social Security maxed on this check — from the next check your net rises by about $"&amp;TEXT(ROUND('How This Works &amp; Sources'!$C$4*$N33,2),"#,##0.00")&amp;". ","")&amp;IF(AND($AC32&lt;'Your Pay &amp; Benefits'!$C$34,$AC33&gt;='Your Pay &amp; Benefits'!$C$34),"★ 401(k) reaches the $"&amp;TEXT('Your Pay &amp; Benefits'!$C$34,"#,##0")&amp;" cap on this check — deferrals stop and net pay rises. ","")&amp;IF(AND($AG32&lt;'How This Works &amp; Sources'!$C$7,$AG33&gt;='How This Works &amp; Sources'!$C$7),"★ Wages pass $200,000 — the 0.9% Additional Medicare Tax starts here. ","")&amp;IF(AND($BJ33&gt;0,$H33&gt;0,$BG32&lt;MIN($BJ33,'How This Works &amp; Sources'!$C$13),$BG32+$H33&gt;=MIN($BJ33,'How This Works &amp; Sources'!$C$13)),"★ Health FSA election is now fully deferred for the year. ",""))</f>
      </c>
      <c r="AE33" s="41" t="n"/>
      <c r="AF33" s="7">
        <f>IF(OR($B33="",$AE33=""),"",$AE33-$Y33)</f>
      </c>
      <c r="AG33" s="7">
        <f>IF($B33="","",$AG32+$N33)</f>
      </c>
      <c r="AH33" s="7">
        <f>IF($B33="","",MAX(0,($M33-$D33)*'Your Pay &amp; Benefits'!$C$8+$AP33-$AQ33-IF('Your Pay &amp; Benefits'!$C$13,0,IF('Your Pay &amp; Benefits'!$C$12="MFJ",'How This Works &amp; Sources'!$C$8,'How This Works &amp; Sources'!$C$9))))</f>
      </c>
      <c r="AI33" s="7">
        <f>IF($B33="","",$O33*'Your Pay &amp; Benefits'!$C$8)</f>
      </c>
      <c r="AJ33" s="7">
        <f>IF($B33="","",MAX(0,$AI33-VLOOKUP($AN33,StateTables!$A$6:$AB$56,12,FALSE)*$AT33-IF(($AS33+$AT33)&gt;=2,VLOOKUP($AN33,StateTables!$A$6:$AB$56,8,FALSE),VLOOKUP($AN33,StateTables!$A$6:$AB$56,7,FALSE))))</f>
      </c>
      <c r="AK33" s="7">
        <f>IF($B33="","",IFERROR(LOOKUP(2,1/(('Changes &amp; Events'!$C$6:$C$17="Salary change")*('Changes &amp; Events'!$B$6:$B$17&lt;=$B33)*('Changes &amp; Events'!$B$6:$B$17&lt;&gt;"")),'Changes &amp; Events'!$D$6:$D$17),IF('Your Pay &amp; Benefits'!$C$4="Annual salary",'Your Pay &amp; Benefits'!$C$5,'Your Pay &amp; Benefits'!$C$6)))</f>
      </c>
      <c r="AL33">
        <f>IF($B33="","",IFERROR(LOOKUP(2,1/(('Changes &amp; Events'!$C$6:$C$17="401(k) change")*('Changes &amp; Events'!$B$6:$B$17&lt;=$B33)*('Changes &amp; Events'!$B$6:$B$17&lt;&gt;"")),'Changes &amp; Events'!$D$6:$D$17),'Your Pay &amp; Benefits'!$C$30))</f>
      </c>
      <c r="AM33" s="7">
        <f>IF($B33="","",IFERROR(LOOKUP(2,1/(('Changes &amp; Events'!$C$6:$C$17="401(k) change")*('Changes &amp; Events'!$B$6:$B$17&lt;=$B33)*('Changes &amp; Events'!$B$6:$B$17&lt;&gt;"")),'Changes &amp; Events'!$E$6:$E$17),'Your Pay &amp; Benefits'!$D$31))</f>
      </c>
      <c r="AN33">
        <f>IF($B33="","",IFERROR(LOOKUP(2,1/(('Changes &amp; Events'!$C$6:$C$17="State move")*('Changes &amp; Events'!$B$6:$B$17&lt;=$B33)*('Changes &amp; Events'!$B$6:$B$17&lt;&gt;"")),'Changes &amp; Events'!$D$6:$D$17),'Your Pay &amp; Benefits'!$C$21))</f>
      </c>
      <c r="AO33" s="7">
        <f>IF($B33="","",IFERROR(LOOKUP(2,1/(('Changes &amp; Events'!$C$6:$C$17="W-4 change")*('Changes &amp; Events'!$B$6:$B$17&lt;=$B33)*('Changes &amp; Events'!$B$6:$B$17&lt;&gt;"")),'Changes &amp; Events'!$D$6:$D$17),'Your Pay &amp; Benefits'!$C$14))</f>
      </c>
      <c r="AP33" s="7">
        <f>IF($B33="","",IFERROR(LOOKUP(2,1/(('Changes &amp; Events'!$C$6:$C$17="W-4 change")*('Changes &amp; Events'!$B$6:$B$17&lt;=$B33)*('Changes &amp; Events'!$B$6:$B$17&lt;&gt;"")),'Changes &amp; Events'!$E$6:$E$17),'Your Pay &amp; Benefits'!$C$15))</f>
      </c>
      <c r="AQ33" s="7">
        <f>IF($B33="","",IFERROR(LOOKUP(2,1/(('Changes &amp; Events'!$C$6:$C$17="W-4 change")*('Changes &amp; Events'!$B$6:$B$17&lt;=$B33)*('Changes &amp; Events'!$B$6:$B$17&lt;&gt;"")),'Changes &amp; Events'!$F$6:$F$17),'Your Pay &amp; Benefits'!$C$16))</f>
      </c>
      <c r="AR33" s="7">
        <f>IF($B33="","",IFERROR(LOOKUP(2,1/(('Changes &amp; Events'!$C$6:$C$17="W-4 change")*('Changes &amp; Events'!$B$6:$B$17&lt;=$B33)*('Changes &amp; Events'!$B$6:$B$17&lt;&gt;"")),'Changes &amp; Events'!$G$6:$G$17),'Your Pay &amp; Benefits'!$C$17))</f>
      </c>
      <c r="AS33" s="6">
        <f>IF($B33="","",IFERROR(LOOKUP(2,1/((('Changes &amp; Events'!$C$6:$C$17="State move")+('Changes &amp; Events'!$C$6:$C$17="State cert change"))*('Changes &amp; Events'!$B$6:$B$17&lt;=$B33)*('Changes &amp; Events'!$B$6:$B$17&lt;&gt;"")),'Changes &amp; Events'!$F$6:$F$17),'Your Pay &amp; Benefits'!$C$23))</f>
      </c>
      <c r="AT33" s="6">
        <f>IF($B33="","",IFERROR(LOOKUP(2,1/((('Changes &amp; Events'!$C$6:$C$17="State move")+('Changes &amp; Events'!$C$6:$C$17="State cert change"))*('Changes &amp; Events'!$B$6:$B$17&lt;=$B33)*('Changes &amp; Events'!$B$6:$B$17&lt;&gt;"")),'Changes &amp; Events'!$G$6:$G$17),'Your Pay &amp; Benefits'!$C$24))</f>
      </c>
      <c r="AU33">
        <f>IF($B33="","",IFERROR(LOOKUP(2,1/(('Changes &amp; Events'!$C$6:$C$17="State move")*('Changes &amp; Events'!$B$6:$B$17&lt;=$B33)*('Changes &amp; Events'!$B$6:$B$17&lt;&gt;"")),'Changes &amp; Events'!$E$6:$E$17),'Your Pay &amp; Benefits'!$C$22))</f>
      </c>
      <c r="AV33" s="6">
        <f>IF($B33="","",1+COUNTIFS('Changes &amp; Events'!$C$6:$C$17,"Employer change",'Changes &amp; Events'!$B$6:$B$17,"&lt;="&amp;$B33,'Changes &amp; Events'!$B$6:$B$17,"&lt;&gt;"))</f>
      </c>
      <c r="AW33" s="7">
        <f>IF($B33="","",IF($AV33=1,'Your Pay &amp; Benefits'!$C$49,IF(IFERROR(MATCH(IFERROR(LOOKUP(2,1/(('Changes &amp; Events'!$C$6:$C$17="Employer change")*('Changes &amp; Events'!$B$6:$B$17&lt;=$B33)*('Changes &amp; Events'!$B$6:$B$17&lt;&gt;"")),'Changes &amp; Events'!$B$6:$B$17),""),$B$6:$B$68,1),1)&lt;=1,'Your Pay &amp; Benefits'!$C$49,INDEX($AB$6:$AB$68,MATCH(IFERROR(LOOKUP(2,1/(('Changes &amp; Events'!$C$6:$C$17="Employer change")*('Changes &amp; Events'!$B$6:$B$17&lt;=$B33)*('Changes &amp; Events'!$B$6:$B$17&lt;&gt;"")),'Changes &amp; Events'!$B$6:$B$17),""),$B$6:$B$68,1)-1))))</f>
      </c>
      <c r="AX33" s="7">
        <f>IF($B33="","",IF($AV33=1,'Your Pay &amp; Benefits'!$C$49,IFERROR(LOOKUP(2,1/(('Changes &amp; Events'!$C$6:$C$17="Employer change")*('Changes &amp; Events'!$B$6:$B$17&lt;=$B33)*('Changes &amp; Events'!$B$6:$B$17&lt;&gt;"")),'Changes &amp; Events'!$D$6:$D$17),0)))</f>
      </c>
      <c r="AY33" s="7">
        <f>IF($B33="","",($O33-$D33)*'Your Pay &amp; Benefits'!$C$8)</f>
      </c>
      <c r="AZ33" s="7">
        <f>IF($B33="","",IF($AN33="AL",MAX(0,$AY33-IF($AU33="Married",IF($AY33&lt;=25999,8500,MAX(5000,8500-175*CEILING(($AY33-25999)/500,1))),IF($AU33="Head of household",IF($AY33&lt;=25999,5200,MAX(2500,5200-135*CEILING(($AY33-25999)/500,1))),IF($AY33&lt;=25999,3000,MAX(2500,3000-25*CEILING(($AY33-25999)/500,1)))))-($P33-'How This Works &amp; Sources'!$C$10*$D33)*'Your Pay &amp; Benefits'!$C$8-IF(OR($AU33="Married",$AU33="Head of household"),3000,1500)-$AT33*IF($AY33&lt;=50000,1000,IF($AY33&lt;=100000,500,300))),IF($AN33="AR",IF(MAX(0,$AY33-2470)&lt;97701,INT(MAX(0,$AY33-2470)/100)*100+50,MAX(0,$AY33-2470)),IF($AN33="DE",MAX(0,$AI33-3250),IF($AN33="HI",MAX(0,$AI33-1144*$AS33-4350),IF($AN33="KS",MAX(0,$AI33-(9160*IF($AU33="Married",2,1)+2320*$AT33+IF($AU33="Head of household",2320,0))),IF($AN33="MD",MAX(0,$AI33-3400-3200*$AS33),IF($AN33="MN",MAX(0,$AY33-5300*$AS33),IF($AN33="MO",MAX(0,$AI33-IF($AU33="Head of household",24150,IF($AU33="Married",IF('Your Pay &amp; Benefits'!$C$83,16100,32200),16100))),IF($AN33="MT",$AY33,IF($AN33="ND",($C33+$L33)*'Your Pay &amp; Benefits'!$C$8,IF($AN33="NE",MAX(0,$AY33-2440*$AS33),IF($AN33="NJ",MAX(0,$AY33-1000*$AS33),IF($AN33="NY",MAX(0,$AY33-(IF($AU33="Married",7950,7400)+1000*$AS33)),IF($AN33="OH",MAX(0,$AY33-650*$AS33),IF($AN33="OK",MAX(0,$AY33-1000*$AS33),IF($AN33="RI",MAX(0,$AI33-1000*$AS33),IF($AN33="SC",MAX(0,$AI33-5000*$AS33-IF($AS33=0,0,MIN(0.1*$AI33,7500))),IF($AN33="VA",MAX(0,$AI33-IF($AU33="Married",17500,8750)-930*$AS33-800*$AT33),IF($AN33="VT",MAX(0,$AI33-5400*$AS33),IF($AN33="WI",MAX(0,$AI33-MAX(0,IF($AU33="Married",9461-0.2*MAX(0,$AI33-25727),6702-0.12*MAX(0,$AI33-17780)))-400*$AS33),IF($AN33="WV",MAX(0,$AI33-2000*$AS33),$AI33))))))))))))))))))))))</f>
      </c>
      <c r="BA33" s="7">
        <f>IF($B33="","",IF($BW33&lt;&gt;"",$BW33,IF($BX33&lt;&gt;"",$BX33,IF($BY33&lt;&gt;"",$BY33,0))))</f>
      </c>
      <c r="BB33" s="7">
        <f>IF($B33="","",IF($AN33="AR",-29*$AS33,IF($AN33="DE",-110*$AS33,IF($AN33="MD",$AZ33*'Your Pay &amp; Benefits'!$C$74,IF($AN33="AZ",'Your Pay &amp; Benefits'!$C$82*($M33-$D33)*'Your Pay &amp; Benefits'!$C$8,IF($AN33="CO",0.044*MAX(0,$AY33-IF($AU33="Married",10000,5000)),IF($AN33="IA",MAX(0,0.038*MAX(0,$AY33-IF($AU33="Head of household",19500,IF($AU33="Married",26000,13000)))-40*$AS33),IF($AN33="ID",0.053*MAX(0,$AY33-IF($AU33="Married",32000,16094)),IF($AN33="IL",0.0495*MAX(0,$AY33-(2925*$AS33+1000*$AT33)),IF($AN33="IN",(0.0295+'Your Pay &amp; Benefits'!$C$76)*MAX(0,$AY33-(1000*$AS33+1500*$AT33+3000*'Your Pay &amp; Benefits'!$C$86)),IF($AN33="KY",0.035*MAX(0,$AI33-3360),IF($AN33="LA",IF('Your Pay &amp; Benefits'!$C$84="0",0.0309*$AI33,0.0309*MAX(0,$AI33-IF('Your Pay &amp; Benefits'!$C$84="2",25750,12875))),IF($AN33="MA",0.05*MIN(MAX(0,$AY33-MIN(($BD32+$Q33+$R33+$S33),2000)-IF($AS33=0,0,IF($AS33=1,4400,1000*$AS33+3400))),1107750)+0.09*MAX(0,MAX(0,$AY33-MIN(($BD32+$Q33+$R33+$S33),2000)-IF($AS33=0,0,IF($AS33=1,4400,1000*$AS33+3400)))-1107750)-IF($AU33="Head of household",120,0)-110*'Your Pay &amp; Benefits'!$C$75,IF($AN33="MI",0.0425*MAX(0,$AY33-5900*$AS33),IF($AN33="MS",0.04*MAX(0,$AI33-IF($AU33="Head of household",3400,IF($AU33="Married",4600,2300))-'Your Pay &amp; Benefits'!$C$85-10000),IF($AN33="OR",IF(OR($AU33="Married",AND($AU33="Single",$AS33&gt;=3)),SUMPRODUCT((MAX(0,$AY33-MIN(($P33-'How This Works &amp; Sources'!$C$10*$D33)*'Your Pay &amp; Benefits'!$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Sources'!$B$211:$J$214,0,4))*(MAX(0,$AY33-MIN(($P33-'How This Works &amp; Sources'!$C$10*$D33)*'Your Pay &amp; Benefits'!$C$8,IF(OR($AU33="Married",AND($AU33="Single",$AS33&gt;=3)),IF($AY33&lt;250000,8750,IF($AY33&lt;260000,7000,IF($AY33&lt;270000,5250,IF($AY33&lt;280000,3500,IF($AY33&lt;290000,1750,0))))),IF($AY33&lt;125000,8750,IF($AY33&lt;130000,7000,IF($AY33&lt;135000,5250,IF($AY33&lt;140000,3500,IF($AY33&lt;145000,1750,0)))))))-IF(OR($AU33="Married",AND($AU33="Single",$AS33&gt;=3)),5820,2910))-INDEX('How This Works &amp; Sources'!$B$211:$J$214,0,4))*INDEX('How This Works &amp; Sources'!$B$211:$J$214,0,4+2)),SUMPRODUCT((MAX(0,$AY33-MIN(($P33-'How This Works &amp; Sources'!$C$10*$D33)*'Your Pay &amp; Benefits'!$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Sources'!$B$211:$J$214,0,1))*(MAX(0,$AY33-MIN(($P33-'How This Works &amp; Sources'!$C$10*$D33)*'Your Pay &amp; Benefits'!$C$8,IF(OR($AU33="Married",AND($AU33="Single",$AS33&gt;=3)),IF($AY33&lt;250000,8750,IF($AY33&lt;260000,7000,IF($AY33&lt;270000,5250,IF($AY33&lt;280000,3500,IF($AY33&lt;290000,1750,0))))),IF($AY33&lt;125000,8750,IF($AY33&lt;130000,7000,IF($AY33&lt;135000,5250,IF($AY33&lt;140000,3500,IF($AY33&lt;145000,1750,0)))))))-IF(OR($AU33="Married",AND($AU33="Single",$AS33&gt;=3)),5820,2910))-INDEX('How This Works &amp; Sources'!$B$211:$J$214,0,1))*INDEX('How This Works &amp; Sources'!$B$211:$J$214,0,1+2)))+263-263*IF(IF($AU33="Married",$AY33&gt;200000,$AY33&gt;100000),0,$AS33),IF($AN33="PA",0.0307*(($O33+$E33+$G33)*'Your Pay &amp; Benefits'!$C$8),IF($AN33="NY",IF($AU33="Married",IF($AZ33&gt;=2155350,0,IF($AZ33&gt;=1077550,0.48,IF($AZ33&gt;=373200,1.21,IF($AZ33&gt;=323200,0.21,IF($AZ33&gt;=211550,-0.19,IF($AZ33&gt;=157650,-2.8,IF($AZ33&gt;=107650,-0.8,IF($AZ33&gt;=96800,0.05,IF($AZ33&gt;=80650,-0.1,IF($AZ33&gt;=13900,0.4,IF($AZ33&gt;=11700,-0.3,IF($AZ33&gt;=8500,0.5,0)))))))))))),IF($AZ33&gt;=1077550,0,IF($AZ33&gt;=265400,4.29,IF($AZ33&gt;=215400,2.29,IF($AZ33&gt;=157650,2.29,IF($AZ33&gt;=107650,0.29,IF($AZ33&gt;=96800,0.05,IF($AZ33&gt;=80650,-0.1,IF($AZ33&gt;=13900,0.4,IF($AZ33&gt;=11700,-0.3,IF($AZ33&gt;=8500,0.5,0))))))))))),0))))))))))))))))))</f>
      </c>
      <c r="BC33" s="7">
        <f>IF($B33="","",IF($AN33="AL",0.05*$D33,IF($AN33="AR",0.039*$D33,IF($AN33="ID",0.053*$D33,IF($AN33="IN",(0.0295+'Your Pay &amp; Benefits'!$C$76)*$D33,IF($AN33="KS",0.05*$D33,IF($AN33="MA",0.09*MIN($D33,MAX(0,MAX(0,$AY33-MIN(($BD32+$Q33+$R33+$S33),2000)-IF($AS33=0,0,IF($AS33=1,4400,1000*$AS33+3400)))+$D33-1107750))+0.05*($D33-MIN($D33,MAX(0,MAX(0,$AY33-MIN(($BD32+$Q33+$R33+$S33),2000)-IF($AS33=0,0,IF($AS33=1,4400,1000*$AS33+3400)))+$D33-1107750))),IF($AN33="MD",(0.065+'Your Pay &amp; Benefits'!$C$74)*$D33,IF($AN33="MI",0.0425*$D33,IF($AN33="MN",0.0625*$D33,IF($AN33="MO",0.047*$D33,IF($AN33="MT",0.05*$D33,IF($AN33="ND",0.015*$D33,IF($AN33="NE",0.035*$D33,IF($AN33="NJ",IF('Your Pay &amp; Benefits'!$C$77="B",SUMPRODUCT(($D33*'Your Pay &amp; Benefits'!$C$8&gt;INDEX('How This Works &amp; Sources'!$B$155:$J$162,0,4))*($D33*'Your Pay &amp; Benefits'!$C$8-INDEX('How This Works &amp; Sources'!$B$155:$J$162,0,4))*INDEX('How This Works &amp; Sources'!$B$155:$J$162,0,4+2)),IF('Your Pay &amp; Benefits'!$C$77="C",SUMPRODUCT(($D33*'Your Pay &amp; Benefits'!$C$8&gt;INDEX('How This Works &amp; Sources'!$B$155:$J$162,0,7))*($D33*'Your Pay &amp; Benefits'!$C$8-INDEX('How This Works &amp; Sources'!$B$155:$J$162,0,7))*INDEX('How This Works &amp; Sources'!$B$155:$J$162,0,7+2)),IF('Your Pay &amp; Benefits'!$C$77="D",SUMPRODUCT(($D33*'Your Pay &amp; Benefits'!$C$8&gt;INDEX('How This Works &amp; Sources'!$B$167:$J$179,0,1))*($D33*'Your Pay &amp; Benefits'!$C$8-INDEX('How This Works &amp; Sources'!$B$167:$J$179,0,1))*INDEX('How This Works &amp; Sources'!$B$167:$J$179,0,1+2)),IF('Your Pay &amp; Benefits'!$C$77="E",SUMPRODUCT(($D33*'Your Pay &amp; Benefits'!$C$8&gt;INDEX('How This Works &amp; Sources'!$B$167:$J$179,0,4))*($D33*'Your Pay &amp; Benefits'!$C$8-INDEX('How This Works &amp; Sources'!$B$167:$J$179,0,4))*INDEX('How This Works &amp; Sources'!$B$167:$J$179,0,4+2)),SUMPRODUCT(($D33*'Your Pay &amp; Benefits'!$C$8&gt;INDEX('How This Works &amp; Sources'!$B$155:$J$162,0,1))*($D33*'Your Pay &amp; Benefits'!$C$8-INDEX('How This Works &amp; Sources'!$B$155:$J$162,0,1))*INDEX('How This Works &amp; Sources'!$B$155:$J$162,0,1+2))))))/'Your Pay &amp; Benefits'!$C$8,IF($AN33="NY",0.117*$D33,IF($AN33="OH",0.0275*$D33,IF($AN33="OK",0.045*$D33,IF($AN33="OR",0.08*$D33,IF($AN33="WI",IF($AY33&lt;12760,0.0354,IF($AY33&lt;25520,0.0465,IF($AY33&lt;280950,0.053,0.0765)))*$D33,0))))))))))))))))))))</f>
      </c>
      <c r="BD33" s="7">
        <f>IF($B33="","",$BD32+$Q33+$R33+$S33)</f>
      </c>
      <c r="BE33" s="6">
        <f>IF($B33="",$BE32,$BE32+$BF33)</f>
      </c>
      <c r="BF33" s="6">
        <f>IF($B33="","",IF(AND(IF(YEAR(IF('Your Pay &amp; Benefits'!$C$7="Weekly",'Your Pay &amp; Benefits'!$C$9+7*(($BE32+1)-1),IF('Your Pay &amp; Benefits'!$C$7="Biweekly",'Your Pay &amp; Benefits'!$C$9+14*(($BE32+1)-1),IF('Your Pay &amp; Benefits'!$C$7="Semimonthly",DATE(YEAR('Your Pay &amp; Benefits'!$C$9),MONTH('Your Pay &amp; Benefits'!$C$9)+INT((($BE32+1)-1)/2),MIN(DAY('Your Pay &amp; Benefits'!$C$9),DAY(EOMONTH(DATE(YEAR('Your Pay &amp; Benefits'!$C$9),MONTH('Your Pay &amp; Benefits'!$C$9)+INT((($BE32+1)-1)/2),1),0))))+IF(MOD(($BE32+1)-1,2)=1,15,0),EDATE('Your Pay &amp; Benefits'!$C$9,($BE32+1)-1)))))&lt;&gt;'Your Pay &amp; Benefits'!$C$10,"",IF('Your Pay &amp; Benefits'!$C$7="Weekly",'Your Pay &amp; Benefits'!$C$9+7*(($BE32+1)-1),IF('Your Pay &amp; Benefits'!$C$7="Biweekly",'Your Pay &amp; Benefits'!$C$9+14*(($BE32+1)-1),IF('Your Pay &amp; Benefits'!$C$7="Semimonthly",DATE(YEAR('Your Pay &amp; Benefits'!$C$9),MONTH('Your Pay &amp; Benefits'!$C$9)+INT((($BE32+1)-1)/2),MIN(DAY('Your Pay &amp; Benefits'!$C$9),DAY(EOMONTH(DATE(YEAR('Your Pay &amp; Benefits'!$C$9),MONTH('Your Pay &amp; Benefits'!$C$9)+INT((($BE32+1)-1)/2),1),0))))+IF(MOD(($BE32+1)-1,2)=1,15,0),EDATE('Your Pay &amp; Benefits'!$C$9,($BE32+1)-1)))))&lt;&gt;"",$B33=IF(YEAR(IF('Your Pay &amp; Benefits'!$C$7="Weekly",'Your Pay &amp; Benefits'!$C$9+7*(($BE32+1)-1),IF('Your Pay &amp; Benefits'!$C$7="Biweekly",'Your Pay &amp; Benefits'!$C$9+14*(($BE32+1)-1),IF('Your Pay &amp; Benefits'!$C$7="Semimonthly",DATE(YEAR('Your Pay &amp; Benefits'!$C$9),MONTH('Your Pay &amp; Benefits'!$C$9)+INT((($BE32+1)-1)/2),MIN(DAY('Your Pay &amp; Benefits'!$C$9),DAY(EOMONTH(DATE(YEAR('Your Pay &amp; Benefits'!$C$9),MONTH('Your Pay &amp; Benefits'!$C$9)+INT((($BE32+1)-1)/2),1),0))))+IF(MOD(($BE32+1)-1,2)=1,15,0),EDATE('Your Pay &amp; Benefits'!$C$9,($BE32+1)-1)))))&lt;&gt;'Your Pay &amp; Benefits'!$C$10,"",IF('Your Pay &amp; Benefits'!$C$7="Weekly",'Your Pay &amp; Benefits'!$C$9+7*(($BE32+1)-1),IF('Your Pay &amp; Benefits'!$C$7="Biweekly",'Your Pay &amp; Benefits'!$C$9+14*(($BE32+1)-1),IF('Your Pay &amp; Benefits'!$C$7="Semimonthly",DATE(YEAR('Your Pay &amp; Benefits'!$C$9),MONTH('Your Pay &amp; Benefits'!$C$9)+INT((($BE32+1)-1)/2),MIN(DAY('Your Pay &amp; Benefits'!$C$9),DAY(EOMONTH(DATE(YEAR('Your Pay &amp; Benefits'!$C$9),MONTH('Your Pay &amp; Benefits'!$C$9)+INT((($BE32+1)-1)/2),1),0))))+IF(MOD(($BE32+1)-1,2)=1,15,0),EDATE('Your Pay &amp; Benefits'!$C$9,($BE32+1)-1)))))),1,0))</f>
      </c>
      <c r="BG33" s="7">
        <f>IF($B33="","",$BG32+$H33)</f>
      </c>
      <c r="BH33" s="7">
        <f>IF($B33="","",$BH32+$I33)</f>
      </c>
      <c r="BI33" s="7">
        <f>IF($B33="","",$BI32+$G33)</f>
      </c>
      <c r="BJ33" s="7">
        <f>IF($B33="","",IFERROR(LOOKUP(2,1/(((('Changes &amp; Events'!$C$6:$C$17="Deduction start"))*('Changes &amp; Events'!$D$6:$D$17="Health FSA"))*('Changes &amp; Events'!$B$6:$B$17&lt;=$B33)*('Changes &amp; Events'!$B$6:$B$17&lt;&gt;"")),'Changes &amp; Events'!$E$6:$E$17),'Your Pay &amp; Benefits'!$D$38))</f>
      </c>
      <c r="BK33" s="7">
        <f>IF($B33="","",IFERROR(LOOKUP(2,1/(((('Changes &amp; Events'!$C$6:$C$17="Deduction start"))*('Changes &amp; Events'!$D$6:$D$17="Dependent-care FSA"))*('Changes &amp; Events'!$B$6:$B$17&lt;=$B33)*('Changes &amp; Events'!$B$6:$B$17&lt;&gt;"")),'Changes &amp; Events'!$E$6:$E$17),'Your Pay &amp; Benefits'!$D$39))</f>
      </c>
      <c r="BL33" s="7">
        <f>IF($B33="","",IFERROR(LOOKUP(2,1/(((('Changes &amp; Events'!$C$6:$C$17="Deduction start")+('Changes &amp; Events'!$C$6:$C$17="Deduction stop"))*('Changes &amp; Events'!$D$6:$D$17="HSA"))*('Changes &amp; Events'!$B$6:$B$17&lt;=$B33)*('Changes &amp; Events'!$B$6:$B$17&lt;&gt;"")),'Changes &amp; Events'!$I$6:$I$17),'Your Pay &amp; Benefits'!$D$35))</f>
      </c>
      <c r="BM33" s="7">
        <f>IF($B33="","",IFERROR(LOOKUP(2,1/(((('Changes &amp; Events'!$C$6:$C$17="Deduction start")+('Changes &amp; Events'!$C$6:$C$17="Deduction stop"))*('Changes &amp; Events'!$D$6:$D$17="Premiums"))*('Changes &amp; Events'!$B$6:$B$17&lt;=$B33)*('Changes &amp; Events'!$B$6:$B$17&lt;&gt;"")),'Changes &amp; Events'!$I$6:$I$17),'Your Pay &amp; Benefits'!$D$40+'Your Pay &amp; Benefits'!$D$41+'Your Pay &amp; Benefits'!$D$42))</f>
      </c>
      <c r="BN33" s="7">
        <f>IF($B33="","",IFERROR(LOOKUP(2,1/(((('Changes &amp; Events'!$C$6:$C$17="Deduction start")+('Changes &amp; Events'!$C$6:$C$17="Deduction stop"))*('Changes &amp; Events'!$D$6:$D$17="Commuter"))*('Changes &amp; Events'!$B$6:$B$17&lt;=$B33)*('Changes &amp; Events'!$B$6:$B$17&lt;&gt;"")),'Changes &amp; Events'!$I$6:$I$17),'Your Pay &amp; Benefits'!$D$43))</f>
      </c>
      <c r="BO33" s="7">
        <f>IF($B33="","",IFERROR(LOOKUP(2,1/(((('Changes &amp; Events'!$C$6:$C$17="Deduction start")+('Changes &amp; Events'!$C$6:$C$17="Deduction stop"))*('Changes &amp; Events'!$D$6:$D$17="Other pre-tax"))*('Changes &amp; Events'!$B$6:$B$17&lt;=$B33)*('Changes &amp; Events'!$B$6:$B$17&lt;&gt;"")),'Changes &amp; Events'!$I$6:$I$17),'Your Pay &amp; Benefits'!$D$44))</f>
      </c>
      <c r="BP33" s="7">
        <f>IF($B33="","",IFERROR(LOOKUP(2,1/(((('Changes &amp; Events'!$C$6:$C$17="Deduction start")+('Changes &amp; Events'!$C$6:$C$17="Deduction stop"))*('Changes &amp; Events'!$D$6:$D$17="Other post-tax"))*('Changes &amp; Events'!$B$6:$B$17&lt;=$B33)*('Changes &amp; Events'!$B$6:$B$17&lt;&gt;"")),'Changes &amp; Events'!$I$6:$I$17),'Your Pay &amp; Benefits'!$D$45))</f>
      </c>
      <c r="BQ33" s="6">
        <f>IF($B33="","",IFERROR(LOOKUP(2,1/(((('Changes &amp; Events'!$C$6:$C$17="Deduction start")+('Changes &amp; Events'!$C$6:$C$17="Deduction stop"))*('Changes &amp; Events'!$D$6:$D$17="Health FSA"))*('Changes &amp; Events'!$B$6:$B$17&lt;=$B33)*('Changes &amp; Events'!$B$6:$B$17&lt;&gt;"")),'Changes &amp; Events'!$J$6:$J$17),0))</f>
      </c>
      <c r="BR33" s="6">
        <f>IF($B33="","",IFERROR(LOOKUP(2,1/(((('Changes &amp; Events'!$C$6:$C$17="Deduction start")+('Changes &amp; Events'!$C$6:$C$17="Deduction stop"))*('Changes &amp; Events'!$D$6:$D$17="Dependent-care FSA"))*('Changes &amp; Events'!$B$6:$B$17&lt;=$B33)*('Changes &amp; Events'!$B$6:$B$17&lt;&gt;"")),'Changes &amp; Events'!$J$6:$J$17),0))</f>
      </c>
      <c r="BS33" s="6">
        <f>IF($B33="","",IF(SUMPRODUCT(('Changes &amp; Events'!$C$6:$C$17="Deduction start")*('Changes &amp; Events'!$B$6:$B$17&lt;=$B33)*('Changes &amp; Events'!$B$6:$B$17&lt;&gt;"")*('Changes &amp; Events'!$D$6:$D$17="Health FSA"))&gt;0,1,0))</f>
      </c>
      <c r="BT33" s="6">
        <f>IF($B33="","",IF(SUMPRODUCT(('Changes &amp; Events'!$C$6:$C$17="Deduction start")*('Changes &amp; Events'!$B$6:$B$17&lt;=$B33)*('Changes &amp; Events'!$B$6:$B$17&lt;&gt;"")*('Changes &amp; Events'!$D$6:$D$17="Dependent-care FSA"))&gt;0,1,0))</f>
      </c>
      <c r="BU33" s="24">
        <f>IF($B33="","",IF('Your Pay &amp; Benefits'!$C$13,SUMPRODUCT(($AH33&gt;=INDEX('How This Works &amp; Sources'!$B$29:$J$36,0,IF('Your Pay &amp; Benefits'!$C$12="MFJ",1,IF('Your Pay &amp; Benefits'!$C$12="HoH",7,4))))*INDEX('How This Works &amp; Sources'!$B$29:$J$36,0,IF('Your Pay &amp; Benefits'!$C$12="MFJ",1,IF('Your Pay &amp; Benefits'!$C$12="HoH",7,4))+2)),SUMPRODUCT(($AH33&gt;=INDEX('How This Works &amp; Sources'!$B$19:$J$26,0,IF('Your Pay &amp; Benefits'!$C$12="MFJ",1,IF('Your Pay &amp; Benefits'!$C$12="HoH",7,4))))*INDEX('How This Works &amp; Sources'!$B$19:$J$26,0,IF('Your Pay &amp; Benefits'!$C$12="MFJ",1,IF('Your Pay &amp; Benefits'!$C$12="HoH",7,4))+2))))</f>
      </c>
      <c r="BV33" s="24">
        <f>IF($B33="","",IF($BZ33&lt;&gt;"",$BZ33,IF($CA33&lt;&gt;"",$CA33,IF($CB33&lt;&gt;"",$CB33,IF($CC33&lt;&gt;"",$CC33,0)))))</f>
      </c>
      <c r="BW33" s="7">
        <f>IF($B33="","",IF($AN33="MD",IF(OR($AU33="Married",$AU33="Head of household"),SUMPRODUCT(($AZ33&gt;INDEX('How This Works &amp; Sources'!$B$114:$J$120,0,1))*($AZ33-INDEX('How This Works &amp; Sources'!$B$114:$J$120,0,1))*INDEX('How This Works &amp; Sources'!$B$114:$J$120,0,1+2)),SUMPRODUCT(($AZ33&gt;INDEX('How This Works &amp; Sources'!$B$103:$J$109,0,7))*($AZ33-INDEX('How This Works &amp; Sources'!$B$103:$J$109,0,7))*INDEX('How This Works &amp; Sources'!$B$103:$J$109,0,7+2))),IF($AN33="MO",SUMPRODUCT(($AZ33&gt;INDEX('How This Works &amp; Sources'!$B$125:$J$132,0,1))*($AZ33-INDEX('How This Works &amp; Sources'!$B$125:$J$132,0,1))*INDEX('How This Works &amp; Sources'!$B$125:$J$132,0,1+2)),IF($AN33="MT",IF($AU33="Head of household",SUMPRODUCT(($AZ33&gt;INDEX('How This Works &amp; Sources'!$B$137:$J$139,0,1))*($AZ33-INDEX('How This Works &amp; Sources'!$B$137:$J$139,0,1))*INDEX('How This Works &amp; Sources'!$B$137:$J$139,0,1+2)),IF($AU33="Married",SUMPRODUCT(($AZ33&gt;INDEX('How This Works &amp; Sources'!$B$125:$J$132,0,7))*($AZ33-INDEX('How This Works &amp; Sources'!$B$125:$J$132,0,7))*INDEX('How This Works &amp; Sources'!$B$125:$J$132,0,7+2)),SUMPRODUCT(($AZ33&gt;INDEX('How This Works &amp; Sources'!$B$125:$J$132,0,4))*($AZ33-INDEX('How This Works &amp; Sources'!$B$125:$J$132,0,4))*INDEX('How This Works &amp; Sources'!$B$125:$J$132,0,4+2)))),IF($AN33="ND",IF($AU33="Head of household",SUMPRODUCT(($AZ33&gt;INDEX('How This Works &amp; Sources'!$B$144:$J$150,0,1))*($AZ33-INDEX('How This Works &amp; Sources'!$B$144:$J$150,0,1))*INDEX('How This Works &amp; Sources'!$B$144:$J$150,0,1+2)),IF($AU33="Married",SUMPRODUCT(($AZ33&gt;INDEX('How This Works &amp; Sources'!$B$137:$J$139,0,7))*($AZ33-INDEX('How This Works &amp; Sources'!$B$137:$J$139,0,7))*INDEX('How This Works &amp; Sources'!$B$137:$J$139,0,7+2)),SUMPRODUCT(($AZ33&gt;INDEX('How This Works &amp; Sources'!$B$137:$J$139,0,4))*($AZ33-INDEX('How This Works &amp; Sources'!$B$137:$J$139,0,4))*INDEX('How This Works &amp; Sources'!$B$137:$J$139,0,4+2)))),IF($AN33="NJ",IF('Your Pay &amp; Benefits'!$C$77="B",SUMPRODUCT(($AZ33&gt;INDEX('How This Works &amp; Sources'!$B$155:$J$162,0,4))*($AZ33-INDEX('How This Works &amp; Sources'!$B$155:$J$162,0,4))*INDEX('How This Works &amp; Sources'!$B$155:$J$162,0,4+2)),IF('Your Pay &amp; Benefits'!$C$77="C",SUMPRODUCT(($AZ33&gt;INDEX('How This Works &amp; Sources'!$B$155:$J$162,0,7))*($AZ33-INDEX('How This Works &amp; Sources'!$B$155:$J$162,0,7))*INDEX('How This Works &amp; Sources'!$B$155:$J$162,0,7+2)),IF('Your Pay &amp; Benefits'!$C$77="D",SUMPRODUCT(($AZ33&gt;INDEX('How This Works &amp; Sources'!$B$167:$J$179,0,1))*($AZ33-INDEX('How This Works &amp; Sources'!$B$167:$J$179,0,1))*INDEX('How This Works &amp; Sources'!$B$167:$J$179,0,1+2)),IF('Your Pay &amp; Benefits'!$C$77="E",SUMPRODUCT(($AZ33&gt;INDEX('How This Works &amp; Sources'!$B$167:$J$179,0,4))*($AZ33-INDEX('How This Works &amp; Sources'!$B$167:$J$179,0,4))*INDEX('How This Works &amp; Sources'!$B$167:$J$179,0,4+2)),SUMPRODUCT(($AZ33&gt;INDEX('How This Works &amp; Sources'!$B$155:$J$162,0,1))*($AZ33-INDEX('How This Works &amp; Sources'!$B$155:$J$162,0,1))*INDEX('How This Works &amp; Sources'!$B$155:$J$162,0,1+2)))))),IF($AN33="NY",IF($AU33="Married",IF($AZ33&gt;=2155350,$AZ33*IF($AZ33&gt;25000000,0.117,IF($AZ33&gt;5000000,0.111,0.1045)),SUMPRODUCT(($AZ33&gt;INDEX('How This Works &amp; Sources'!$B$184:$J$198,0,1))*($AZ33-INDEX('How This Works &amp; Sources'!$B$184:$J$198,0,1))*INDEX('How This Works &amp; Sources'!$B$184:$J$198,0,1+2))),IF($AZ33&gt;=1077550,$AZ33*IF($AZ33&gt;25000000,0.117,IF($AZ33&gt;5000000,0.111,0.1045)),SUMPRODUCT(($AZ33&gt;INDEX('How This Works &amp; Sources'!$B$167:$J$179,0,7))*($AZ33-INDEX('How This Works &amp; Sources'!$B$167:$J$179,0,7))*INDEX('How This Works &amp; Sources'!$B$167:$J$179,0,7+2)))),"")))))))</f>
      </c>
      <c r="BX33" s="7">
        <f>IF($B33="","",IF($AN33="AL",IF(OR($AU33="Married",$AU33="Head of household"),SUMPRODUCT(($AZ33&gt;INDEX('How This Works &amp; Sources'!$B$82:$J$86,0,4))*($AZ33-INDEX('How This Works &amp; Sources'!$B$82:$J$86,0,4))*INDEX('How This Works &amp; Sources'!$B$82:$J$86,0,4+2)),SUMPRODUCT(($AZ33&gt;INDEX('How This Works &amp; Sources'!$B$82:$J$86,0,1))*($AZ33-INDEX('How This Works &amp; Sources'!$B$82:$J$86,0,1))*INDEX('How This Works &amp; Sources'!$B$82:$J$86,0,1+2))),IF($AN33="KS",IF($AU33="Married",SUMPRODUCT(($AZ33&gt;INDEX('How This Works &amp; Sources'!$B$103:$J$109,0,4))*($AZ33-INDEX('How This Works &amp; Sources'!$B$103:$J$109,0,4))*INDEX('How This Works &amp; Sources'!$B$103:$J$109,0,4+2)),SUMPRODUCT(($AZ33&gt;INDEX('How This Works &amp; Sources'!$B$103:$J$109,0,1))*($AZ33-INDEX('How This Works &amp; Sources'!$B$103:$J$109,0,1))*INDEX('How This Works &amp; Sources'!$B$103:$J$109,0,1+2))),IF($AN33="MN",IF($AU33="Married",SUMPRODUCT(($AZ33&gt;INDEX('How This Works &amp; Sources'!$B$114:$J$120,0,7))*($AZ33-INDEX('How This Works &amp; Sources'!$B$114:$J$120,0,7))*INDEX('How This Works &amp; Sources'!$B$114:$J$120,0,7+2)),SUMPRODUCT(($AZ33&gt;INDEX('How This Works &amp; Sources'!$B$114:$J$120,0,4))*($AZ33-INDEX('How This Works &amp; Sources'!$B$114:$J$120,0,4))*INDEX('How This Works &amp; Sources'!$B$114:$J$120,0,4+2))),IF($AN33="NE",MAX(IF($AU33="Married",SUMPRODUCT(($AZ33&gt;INDEX('How This Works &amp; Sources'!$B$144:$J$150,0,7))*($AZ33-INDEX('How This Works &amp; Sources'!$B$144:$J$150,0,7))*INDEX('How This Works &amp; Sources'!$B$144:$J$150,0,7+2)),SUMPRODUCT(($AZ33&gt;INDEX('How This Works &amp; Sources'!$B$144:$J$150,0,4))*($AZ33-INDEX('How This Works &amp; Sources'!$B$144:$J$150,0,4))*INDEX('How This Works &amp; Sources'!$B$144:$J$150,0,4+2))),0.015*$AZ33),IF($AN33="OH",IF($B33&gt;=DATE(2026,8,1),SUMPRODUCT(($AZ33&gt;INDEX('How This Works &amp; Sources'!$B$203:$J$206,0,1))*($AZ33-INDEX('How This Works &amp; Sources'!$B$203:$J$206,0,1))*INDEX('How This Works &amp; Sources'!$B$203:$J$206,0,1+2)),SUMPRODUCT(($AZ33&gt;INDEX('How This Works &amp; Sources'!$B$184:$J$198,0,7))*($AZ33-INDEX('How This Works &amp; Sources'!$B$184:$J$198,0,7))*INDEX('How This Works &amp; Sources'!$B$184:$J$198,0,7+2))),IF($AN33="OK",IF($AU33="Married",SUMPRODUCT(($AZ33&gt;INDEX('How This Works &amp; Sources'!$B$203:$J$206,0,7))*($AZ33-INDEX('How This Works &amp; Sources'!$B$203:$J$206,0,7))*INDEX('How This Works &amp; Sources'!$B$203:$J$206,0,7+2)),SUMPRODUCT(($AZ33&gt;INDEX('How This Works &amp; Sources'!$B$203:$J$206,0,4))*($AZ33-INDEX('How This Works &amp; Sources'!$B$203:$J$206,0,4))*INDEX('How This Works &amp; Sources'!$B$203:$J$206,0,4+2))),IF($AN33="RI",SUMPRODUCT(($AZ33&gt;INDEX('How This Works &amp; Sources'!$B$211:$J$214,0,7))*($AZ33-INDEX('How This Works &amp; Sources'!$B$211:$J$214,0,7))*INDEX('How This Works &amp; Sources'!$B$211:$J$214,0,7+2)),IF($AN33="VT",IF($AU33="Married",SUMPRODUCT(($AZ33&gt;INDEX('How This Works &amp; Sources'!$B$228:$J$232,0,1))*($AZ33-INDEX('How This Works &amp; Sources'!$B$228:$J$232,0,1))*INDEX('How This Works &amp; Sources'!$B$228:$J$232,0,1+2)),SUMPRODUCT(($AZ33&gt;INDEX('How This Works &amp; Sources'!$B$219:$J$223,0,7))*($AZ33-INDEX('How This Works &amp; Sources'!$B$219:$J$223,0,7))*INDEX('How This Works &amp; Sources'!$B$219:$J$223,0,7+2))),IF($AN33="WV",IF($AU33="Married",SUMPRODUCT(($AZ33&gt;INDEX('How This Works &amp; Sources'!$B$237:$J$241,0,7))*($AZ33-INDEX('How This Works &amp; Sources'!$B$237:$J$241,0,7))*INDEX('How This Works &amp; Sources'!$B$237:$J$241,0,7+2)),SUMPRODUCT(($AZ33&gt;INDEX('How This Works &amp; Sources'!$B$228:$J$232,0,7))*($AZ33-INDEX('How This Works &amp; Sources'!$B$228:$J$232,0,7))*INDEX('How This Works &amp; Sources'!$B$228:$J$232,0,7+2))),""))))))))))</f>
      </c>
      <c r="BY33" s="7">
        <f>IF($B33="","",IF($AN33="AR",SUMPRODUCT(($AZ33&gt;INDEX('How This Works &amp; Sources'!$B$82:$J$86,0,7))*($AZ33-INDEX('How This Works &amp; Sources'!$B$82:$J$86,0,7))*INDEX('How This Works &amp; Sources'!$B$82:$J$86,0,7+2)),IF($AN33="DE",SUMPRODUCT(($AZ33&gt;INDEX('How This Works &amp; Sources'!$B$91:$J$98,0,1))*($AZ33-INDEX('How This Works &amp; Sources'!$B$91:$J$98,0,1))*INDEX('How This Works &amp; Sources'!$B$91:$J$98,0,1+2)),IF($AN33="HI",IF($AU33="Married",SUMPRODUCT(($AZ33&gt;INDEX('How This Works &amp; Sources'!$B$91:$J$98,0,7))*($AZ33-INDEX('How This Works &amp; Sources'!$B$91:$J$98,0,7))*INDEX('How This Works &amp; Sources'!$B$91:$J$98,0,7+2)),SUMPRODUCT(($AZ33&gt;INDEX('How This Works &amp; Sources'!$B$91:$J$98,0,4))*($AZ33-INDEX('How This Works &amp; Sources'!$B$91:$J$98,0,4))*INDEX('How This Works &amp; Sources'!$B$91:$J$98,0,4+2))),IF($AN33="SC",SUMPRODUCT(($AZ33&gt;INDEX('How This Works &amp; Sources'!$B$219:$J$223,0,1))*($AZ33-INDEX('How This Works &amp; Sources'!$B$219:$J$223,0,1))*INDEX('How This Works &amp; Sources'!$B$219:$J$223,0,1+2)),IF($AN33="VA",SUMPRODUCT(($AZ33&gt;INDEX('How This Works &amp; Sources'!$B$219:$J$223,0,4))*($AZ33-INDEX('How This Works &amp; Sources'!$B$219:$J$223,0,4))*INDEX('How This Works &amp; Sources'!$B$219:$J$223,0,4+2)),IF($AN33="WI",SUMPRODUCT(($AZ33&gt;INDEX('How This Works &amp; Sources'!$B$228:$J$232,0,4))*($AZ33-INDEX('How This Works &amp; Sources'!$B$228:$J$232,0,4))*INDEX('How This Works &amp; Sources'!$B$228:$J$232,0,4+2)),"")))))))</f>
      </c>
      <c r="BZ33" s="24">
        <f>IF($B33="","",IF($AN33="NJ",IF('Your Pay &amp; Benefits'!$C$77="B",SUMPRODUCT(($AZ33&gt;=INDEX('How This Works &amp; Sources'!$B$155:$J$162,0,4))*INDEX('How This Works &amp; Sources'!$B$155:$J$162,0,4+2)),IF('Your Pay &amp; Benefits'!$C$77="C",SUMPRODUCT(($AZ33&gt;=INDEX('How This Works &amp; Sources'!$B$155:$J$162,0,7))*INDEX('How This Works &amp; Sources'!$B$155:$J$162,0,7+2)),IF('Your Pay &amp; Benefits'!$C$77="D",SUMPRODUCT(($AZ33&gt;=INDEX('How This Works &amp; Sources'!$B$167:$J$179,0,1))*INDEX('How This Works &amp; Sources'!$B$167:$J$179,0,1+2)),IF('Your Pay &amp; Benefits'!$C$77="E",SUMPRODUCT(($AZ33&gt;=INDEX('How This Works &amp; Sources'!$B$167:$J$179,0,4))*INDEX('How This Works &amp; Sources'!$B$167:$J$179,0,4+2)),SUMPRODUCT(($AZ33&gt;=INDEX('How This Works &amp; Sources'!$B$155:$J$162,0,1))*INDEX('How This Works &amp; Sources'!$B$155:$J$162,0,1+2)))))),IF($AN33="OR",IF(OR($AU33="Married",AND($AU33="Single",$AS33&gt;=3)),SUMPRODUCT((MAX(0,$AY33-MIN(($P33-'How This Works &amp; Sources'!$C$10*$D33)*'Your Pay &amp; Benefits'!$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Sources'!$B$211:$J$214,0,4))*INDEX('How This Works &amp; Sources'!$B$211:$J$214,0,4+2)),SUMPRODUCT((MAX(0,$AY33-MIN(($P33-'How This Works &amp; Sources'!$C$10*$D33)*'Your Pay &amp; Benefits'!$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Sources'!$B$211:$J$214,0,1))*INDEX('How This Works &amp; Sources'!$B$211:$J$214,0,1+2)))*IF(($P33-'How This Works &amp; Sources'!$C$10*$D33)*'Your Pay &amp; Benefits'!$C$8&gt;=IF(OR($AU33="Married",AND($AU33="Single",$AS33&gt;=3)),IF($AY33&lt;250000,8750,IF($AY33&lt;260000,7000,IF($AY33&lt;270000,5250,IF($AY33&lt;280000,3500,IF($AY33&lt;290000,1750,0))))),IF($AY33&lt;125000,8750,IF($AY33&lt;130000,7000,IF($AY33&lt;135000,5250,IF($AY33&lt;140000,3500,IF($AY33&lt;145000,1750,0)))))),1,1-IF('Your Pay &amp; Benefits'!$C$13,SUMPRODUCT(($AH33&gt;=INDEX('How This Works &amp; Sources'!$B$29:$J$36,0,IF('Your Pay &amp; Benefits'!$C$12="MFJ",1,IF('Your Pay &amp; Benefits'!$C$12="HoH",7,4))))*INDEX('How This Works &amp; Sources'!$B$29:$J$36,0,IF('Your Pay &amp; Benefits'!$C$12="MFJ",1,IF('Your Pay &amp; Benefits'!$C$12="HoH",7,4))+2)),SUMPRODUCT(($AH33&gt;=INDEX('How This Works &amp; Sources'!$B$19:$J$26,0,IF('Your Pay &amp; Benefits'!$C$12="MFJ",1,IF('Your Pay &amp; Benefits'!$C$12="HoH",7,4))))*INDEX('How This Works &amp; Sources'!$B$19:$J$26,0,IF('Your Pay &amp; Benefits'!$C$12="MFJ",1,IF('Your Pay &amp; Benefits'!$C$12="HoH",7,4))+2)))),IF($AN33="MI",IF($AY33&gt;5900*$AS33,0.0425,0),""))))</f>
      </c>
      <c r="CA33" s="24">
        <f>IF($B33="","",IF($AN33="AL",IF(OR($AU33="Married",$AU33="Head of household"),SUMPRODUCT(($AZ33&gt;=INDEX('How This Works &amp; Sources'!$B$82:$J$86,0,4))*INDEX('How This Works &amp; Sources'!$B$82:$J$86,0,4+2)),SUMPRODUCT(($AZ33&gt;=INDEX('How This Works &amp; Sources'!$B$82:$J$86,0,1))*INDEX('How This Works &amp; Sources'!$B$82:$J$86,0,1+2)))*(1-IF('Your Pay &amp; Benefits'!$C$13,SUMPRODUCT(($AH33&gt;=INDEX('How This Works &amp; Sources'!$B$29:$J$36,0,IF('Your Pay &amp; Benefits'!$C$12="MFJ",1,IF('Your Pay &amp; Benefits'!$C$12="HoH",7,4))))*INDEX('How This Works &amp; Sources'!$B$29:$J$36,0,IF('Your Pay &amp; Benefits'!$C$12="MFJ",1,IF('Your Pay &amp; Benefits'!$C$12="HoH",7,4))+2)),SUMPRODUCT(($AH33&gt;=INDEX('How This Works &amp; Sources'!$B$19:$J$26,0,IF('Your Pay &amp; Benefits'!$C$12="MFJ",1,IF('Your Pay &amp; Benefits'!$C$12="HoH",7,4))))*INDEX('How This Works &amp; Sources'!$B$19:$J$26,0,IF('Your Pay &amp; Benefits'!$C$12="MFJ",1,IF('Your Pay &amp; Benefits'!$C$12="HoH",7,4))+2)))),IF($AN33="KS",IF($AU33="Married",SUMPRODUCT(($AZ33&gt;=INDEX('How This Works &amp; Sources'!$B$103:$J$109,0,4))*INDEX('How This Works &amp; Sources'!$B$103:$J$109,0,4+2)),SUMPRODUCT(($AZ33&gt;=INDEX('How This Works &amp; Sources'!$B$103:$J$109,0,1))*INDEX('How This Works &amp; Sources'!$B$103:$J$109,0,1+2))),IF($AN33="MD",IF(OR($AU33="Married",$AU33="Head of household"),SUMPRODUCT(($AZ33&gt;=INDEX('How This Works &amp; Sources'!$B$114:$J$120,0,1))*INDEX('How This Works &amp; Sources'!$B$114:$J$120,0,1+2)),SUMPRODUCT(($AZ33&gt;=INDEX('How This Works &amp; Sources'!$B$103:$J$109,0,7))*INDEX('How This Works &amp; Sources'!$B$103:$J$109,0,7+2)))+'Your Pay &amp; Benefits'!$C$74,IF($AN33="MT",IF($AU33="Head of household",SUMPRODUCT(($AZ33&gt;=INDEX('How This Works &amp; Sources'!$B$137:$J$139,0,1))*INDEX('How This Works &amp; Sources'!$B$137:$J$139,0,1+2)),IF($AU33="Married",SUMPRODUCT(($AZ33&gt;=INDEX('How This Works &amp; Sources'!$B$125:$J$132,0,7))*INDEX('How This Works &amp; Sources'!$B$125:$J$132,0,7+2)),SUMPRODUCT(($AZ33&gt;=INDEX('How This Works &amp; Sources'!$B$125:$J$132,0,4))*INDEX('How This Works &amp; Sources'!$B$125:$J$132,0,4+2)))),IF($AN33="ND",IF($AU33="Head of household",SUMPRODUCT(($AZ33&gt;=INDEX('How This Works &amp; Sources'!$B$144:$J$150,0,1))*INDEX('How This Works &amp; Sources'!$B$144:$J$150,0,1+2)),IF($AU33="Married",SUMPRODUCT(($AZ33&gt;=INDEX('How This Works &amp; Sources'!$B$137:$J$139,0,7))*INDEX('How This Works &amp; Sources'!$B$137:$J$139,0,7+2)),SUMPRODUCT(($AZ33&gt;=INDEX('How This Works &amp; Sources'!$B$137:$J$139,0,4))*INDEX('How This Works &amp; Sources'!$B$137:$J$139,0,4+2)))),IF($AN33="NY",IF($AU33="Married",IF($AZ33&gt;=2155350,IF($AZ33&gt;25000000,0.117,IF($AZ33&gt;5000000,0.111,0.1045)),SUMPRODUCT(($AZ33&gt;=INDEX('How This Works &amp; Sources'!$B$184:$J$198,0,1))*INDEX('How This Works &amp; Sources'!$B$184:$J$198,0,1+2))),IF($AZ33&gt;=1077550,IF($AZ33&gt;25000000,0.117,IF($AZ33&gt;5000000,0.111,0.1045)),SUMPRODUCT(($AZ33&gt;=INDEX('How This Works &amp; Sources'!$B$167:$J$179,0,7))*INDEX('How This Works &amp; Sources'!$B$167:$J$179,0,7+2)))),"")))))))</f>
      </c>
      <c r="CB33" s="24">
        <f>IF($B33="","",IF($AN33="CA",SUMPRODUCT(($AJ33&gt;=INDEX('How This Works &amp; Sources'!$B$39:$J$48,0,IF($AU33="Married",4,IF($AU33="Head of household",7,1))))*INDEX('How This Works &amp; Sources'!$B$39:$J$48,0,IF($AU33="Married",4,IF($AU33="Head of household",7,1))+2)),IF($AN33="HI",IF($AU33="Married",SUMPRODUCT(($AZ33&gt;=INDEX('How This Works &amp; Sources'!$B$91:$J$98,0,7))*INDEX('How This Works &amp; Sources'!$B$91:$J$98,0,7+2)),SUMPRODUCT(($AZ33&gt;=INDEX('How This Works &amp; Sources'!$B$91:$J$98,0,4))*INDEX('How This Works &amp; Sources'!$B$91:$J$98,0,4+2))),IF($AN33="MN",IF($AU33="Married",SUMPRODUCT(($AZ33&gt;=INDEX('How This Works &amp; Sources'!$B$114:$J$120,0,7))*INDEX('How This Works &amp; Sources'!$B$114:$J$120,0,7+2)),SUMPRODUCT(($AZ33&gt;=INDEX('How This Works &amp; Sources'!$B$114:$J$120,0,4))*INDEX('How This Works &amp; Sources'!$B$114:$J$120,0,4+2))),IF($AN33="MO",SUMPRODUCT(($AZ33&gt;=INDEX('How This Works &amp; Sources'!$B$125:$J$132,0,1))*INDEX('How This Works &amp; Sources'!$B$125:$J$132,0,1+2)),IF($AN33="NE",MAX(IF($AU33="Married",SUMPRODUCT(($AZ33&gt;=INDEX('How This Works &amp; Sources'!$B$144:$J$150,0,7))*INDEX('How This Works &amp; Sources'!$B$144:$J$150,0,7+2)),SUMPRODUCT(($AZ33&gt;=INDEX('How This Works &amp; Sources'!$B$144:$J$150,0,4))*INDEX('How This Works &amp; Sources'!$B$144:$J$150,0,4+2))),0.015),IF($AN33="OH",IF($B33&gt;=DATE(2026,8,1),SUMPRODUCT(($AZ33&gt;=INDEX('How This Works &amp; Sources'!$B$203:$J$206,0,1))*INDEX('How This Works &amp; Sources'!$B$203:$J$206,0,1+2)),SUMPRODUCT(($AZ33&gt;=INDEX('How This Works &amp; Sources'!$B$184:$J$198,0,7))*INDEX('How This Works &amp; Sources'!$B$184:$J$198,0,7+2))),IF($AN33="OK",IF($AU33="Married",SUMPRODUCT(($AZ33&gt;=INDEX('How This Works &amp; Sources'!$B$203:$J$206,0,7))*INDEX('How This Works &amp; Sources'!$B$203:$J$206,0,7+2)),SUMPRODUCT(($AZ33&gt;=INDEX('How This Works &amp; Sources'!$B$203:$J$206,0,4))*INDEX('How This Works &amp; Sources'!$B$203:$J$206,0,4+2))),IF($AN33="RI",SUMPRODUCT(($AZ33&gt;=INDEX('How This Works &amp; Sources'!$B$211:$J$214,0,7))*INDEX('How This Works &amp; Sources'!$B$211:$J$214,0,7+2)),IF($AN33="SC",SUMPRODUCT(($AZ33&gt;=INDEX('How This Works &amp; Sources'!$B$219:$J$223,0,1))*INDEX('How This Works &amp; Sources'!$B$219:$J$223,0,1+2)),IF($AN33="VT",IF($AU33="Married",SUMPRODUCT(($AZ33&gt;=INDEX('How This Works &amp; Sources'!$B$228:$J$232,0,1))*INDEX('How This Works &amp; Sources'!$B$228:$J$232,0,1+2)),SUMPRODUCT(($AZ33&gt;=INDEX('How This Works &amp; Sources'!$B$219:$J$223,0,7))*INDEX('How This Works &amp; Sources'!$B$219:$J$223,0,7+2))),IF($AN33="WV",IF($AU33="Married",SUMPRODUCT(($AZ33&gt;=INDEX('How This Works &amp; Sources'!$B$237:$J$241,0,7))*INDEX('How This Works &amp; Sources'!$B$237:$J$241,0,7+2)),SUMPRODUCT(($AZ33&gt;=INDEX('How This Works &amp; Sources'!$B$228:$J$232,0,7))*INDEX('How This Works &amp; Sources'!$B$228:$J$232,0,7+2))),IF($AN33="IN",(0.0295+'Your Pay &amp; Benefits'!$C$76),"")))))))))))))</f>
      </c>
      <c r="CC33" s="24">
        <f>IF($B33="","",IF($AN33="AR",SUMPRODUCT(($AZ33&gt;=INDEX('How This Works &amp; Sources'!$B$82:$J$86,0,7))*INDEX('How This Works &amp; Sources'!$B$82:$J$86,0,7+2)),IF($AN33="DE",SUMPRODUCT(($AZ33&gt;=INDEX('How This Works &amp; Sources'!$B$91:$J$98,0,1))*INDEX('How This Works &amp; Sources'!$B$91:$J$98,0,1+2)),IF($AN33="VA",SUMPRODUCT(($AZ33&gt;=INDEX('How This Works &amp; Sources'!$B$219:$J$223,0,4))*INDEX('How This Works &amp; Sources'!$B$219:$J$223,0,4+2)),IF($AN33="WI",SUMPRODUCT(($AZ33&gt;=INDEX('How This Works &amp; Sources'!$B$228:$J$232,0,4))*INDEX('How This Works &amp; Sources'!$B$228:$J$232,0,4+2)),IF($AN33="AZ",'Your Pay &amp; Benefits'!$C$82,IF($AN33="CO",IF($AY33&gt;IF($AU33="Married",10000,5000),0.044,0),IF($AN33="IA",IF($AY33&gt;IF($AU33="Head of household",19500,IF($AU33="Married",26000,13000)),0.038,0),IF($AN33="ID",IF($AY33&gt;IF($AU33="Married",32000,16094),0.053,0),IF($AN33="IL",IF($AY33&gt;(2925*$AS33+1000*$AT33),0.0495,0),IF($AN33="KY",IF($AI33&gt;3360,0.035,0),IF($AN33="LA",0.0309,IF($AN33="MA",IF(MAX(0,$AY33-MIN(($BD32+$Q33+$R33+$S33),2000)-IF($AS33=0,0,IF($AS33=1,4400,1000*$AS33+3400)))&gt;=1107750,0.09,0.05),IF($AN33="MS",IF($AI33-IF($AU33="Head of household",3400,IF($AU33="Married",4600,2300))-'Your Pay &amp; Benefits'!$C$85&gt;10000,0.04,0),IF($AN33="PA",0.0307,"")))))))))))))))</f>
      </c>
      <c r="CD33" s="21">
        <f>IF(YEAR(IF('Your Pay &amp; Benefits'!$C$7="Weekly",'Your Pay &amp; Benefits'!$C$9+7*(($BE32+1)-1),IF('Your Pay &amp; Benefits'!$C$7="Biweekly",'Your Pay &amp; Benefits'!$C$9+14*(($BE32+1)-1),IF('Your Pay &amp; Benefits'!$C$7="Semimonthly",DATE(YEAR('Your Pay &amp; Benefits'!$C$9),MONTH('Your Pay &amp; Benefits'!$C$9)+INT((($BE32+1)-1)/2),MIN(DAY('Your Pay &amp; Benefits'!$C$9),DAY(EOMONTH(DATE(YEAR('Your Pay &amp; Benefits'!$C$9),MONTH('Your Pay &amp; Benefits'!$C$9)+INT((($BE32+1)-1)/2),1),0))))+IF(MOD(($BE32+1)-1,2)=1,15,0),EDATE('Your Pay &amp; Benefits'!$C$9,($BE32+1)-1)))))&lt;&gt;'Your Pay &amp; Benefits'!$C$10,"",IF('Your Pay &amp; Benefits'!$C$7="Weekly",'Your Pay &amp; Benefits'!$C$9+7*(($BE32+1)-1),IF('Your Pay &amp; Benefits'!$C$7="Biweekly",'Your Pay &amp; Benefits'!$C$9+14*(($BE32+1)-1),IF('Your Pay &amp; Benefits'!$C$7="Semimonthly",DATE(YEAR('Your Pay &amp; Benefits'!$C$9),MONTH('Your Pay &amp; Benefits'!$C$9)+INT((($BE32+1)-1)/2),MIN(DAY('Your Pay &amp; Benefits'!$C$9),DAY(EOMONTH(DATE(YEAR('Your Pay &amp; Benefits'!$C$9),MONTH('Your Pay &amp; Benefits'!$C$9)+INT((($BE32+1)-1)/2),1),0))))+IF(MOD(($BE32+1)-1,2)=1,15,0),EDATE('Your Pay &amp; Benefits'!$C$9,($BE32+1)-1)))))</f>
      </c>
      <c r="CE33" s="21">
        <f>IF(MIN(IF(AND('Your Pay &amp; Benefits'!$C$58&gt;MAX($B$6:$B32),'Your Pay &amp; Benefits'!$C$58&gt;=DATE('Your Pay &amp; Benefits'!$C$10,1,1),'Your Pay &amp; Benefits'!$C$58&lt;=DATE('Your Pay &amp; Benefits'!$C$10,12,31)),'Your Pay &amp; Benefits'!$C$58,999999),IF(AND('Your Pay &amp; Benefits'!$C$59&gt;MAX($B$6:$B32),'Your Pay &amp; Benefits'!$C$59&gt;=DATE('Your Pay &amp; Benefits'!$C$10,1,1),'Your Pay &amp; Benefits'!$C$59&lt;=DATE('Your Pay &amp; Benefits'!$C$10,12,31)),'Your Pay &amp; Benefits'!$C$59,999999),IF(AND('Your Pay &amp; Benefits'!$C$60&gt;MAX($B$6:$B32),'Your Pay &amp; Benefits'!$C$60&gt;=DATE('Your Pay &amp; Benefits'!$C$10,1,1),'Your Pay &amp; Benefits'!$C$60&lt;=DATE('Your Pay &amp; Benefits'!$C$10,12,31)),'Your Pay &amp; Benefits'!$C$60,999999),IF(AND('Your Pay &amp; Benefits'!$C$61&gt;MAX($B$6:$B32),'Your Pay &amp; Benefits'!$C$61&gt;=DATE('Your Pay &amp; Benefits'!$C$10,1,1),'Your Pay &amp; Benefits'!$C$61&lt;=DATE('Your Pay &amp; Benefits'!$C$10,12,31)),'Your Pay &amp; Benefits'!$C$61,999999),IF(AND('Your Pay &amp; Benefits'!$C$62&gt;MAX($B$6:$B32),'Your Pay &amp; Benefits'!$C$62&gt;=DATE('Your Pay &amp; Benefits'!$C$10,1,1),'Your Pay &amp; Benefits'!$C$62&lt;=DATE('Your Pay &amp; Benefits'!$C$10,12,31)),'Your Pay &amp; Benefits'!$C$62,999999),IF(AND('Your Pay &amp; Benefits'!$C$63&gt;MAX($B$6:$B32),'Your Pay &amp; Benefits'!$C$63&gt;=DATE('Your Pay &amp; Benefits'!$C$10,1,1),'Your Pay &amp; Benefits'!$C$63&lt;=DATE('Your Pay &amp; Benefits'!$C$10,12,31)),'Your Pay &amp; Benefits'!$C$63,999999),IF(AND('Your Pay &amp; Benefits'!$C$64&gt;MAX($B$6:$B32),'Your Pay &amp; Benefits'!$C$64&gt;=DATE('Your Pay &amp; Benefits'!$C$10,1,1),'Your Pay &amp; Benefits'!$C$64&lt;=DATE('Your Pay &amp; Benefits'!$C$10,12,31)),'Your Pay &amp; Benefits'!$C$64,999999),IF(AND('Your Pay &amp; Benefits'!$C$65&gt;MAX($B$6:$B32),'Your Pay &amp; Benefits'!$C$65&gt;=DATE('Your Pay &amp; Benefits'!$C$10,1,1),'Your Pay &amp; Benefits'!$C$65&lt;=DATE('Your Pay &amp; Benefits'!$C$10,12,31)),'Your Pay &amp; Benefits'!$C$65,999999),IF(AND('Your Pay &amp; Benefits'!$C$66&gt;MAX($B$6:$B32),'Your Pay &amp; Benefits'!$C$66&gt;=DATE('Your Pay &amp; Benefits'!$C$10,1,1),'Your Pay &amp; Benefits'!$C$66&lt;=DATE('Your Pay &amp; Benefits'!$C$10,12,31)),'Your Pay &amp; Benefits'!$C$66,999999),IF(AND('Your Pay &amp; Benefits'!$C$67&gt;MAX($B$6:$B32),'Your Pay &amp; Benefits'!$C$67&gt;=DATE('Your Pay &amp; Benefits'!$C$10,1,1),'Your Pay &amp; Benefits'!$C$67&lt;=DATE('Your Pay &amp; Benefits'!$C$10,12,31)),'Your Pay &amp; Benefits'!$C$67,999999))=999999,"",MIN(IF(AND('Your Pay &amp; Benefits'!$C$58&gt;MAX($B$6:$B32),'Your Pay &amp; Benefits'!$C$58&gt;=DATE('Your Pay &amp; Benefits'!$C$10,1,1),'Your Pay &amp; Benefits'!$C$58&lt;=DATE('Your Pay &amp; Benefits'!$C$10,12,31)),'Your Pay &amp; Benefits'!$C$58,999999),IF(AND('Your Pay &amp; Benefits'!$C$59&gt;MAX($B$6:$B32),'Your Pay &amp; Benefits'!$C$59&gt;=DATE('Your Pay &amp; Benefits'!$C$10,1,1),'Your Pay &amp; Benefits'!$C$59&lt;=DATE('Your Pay &amp; Benefits'!$C$10,12,31)),'Your Pay &amp; Benefits'!$C$59,999999),IF(AND('Your Pay &amp; Benefits'!$C$60&gt;MAX($B$6:$B32),'Your Pay &amp; Benefits'!$C$60&gt;=DATE('Your Pay &amp; Benefits'!$C$10,1,1),'Your Pay &amp; Benefits'!$C$60&lt;=DATE('Your Pay &amp; Benefits'!$C$10,12,31)),'Your Pay &amp; Benefits'!$C$60,999999),IF(AND('Your Pay &amp; Benefits'!$C$61&gt;MAX($B$6:$B32),'Your Pay &amp; Benefits'!$C$61&gt;=DATE('Your Pay &amp; Benefits'!$C$10,1,1),'Your Pay &amp; Benefits'!$C$61&lt;=DATE('Your Pay &amp; Benefits'!$C$10,12,31)),'Your Pay &amp; Benefits'!$C$61,999999),IF(AND('Your Pay &amp; Benefits'!$C$62&gt;MAX($B$6:$B32),'Your Pay &amp; Benefits'!$C$62&gt;=DATE('Your Pay &amp; Benefits'!$C$10,1,1),'Your Pay &amp; Benefits'!$C$62&lt;=DATE('Your Pay &amp; Benefits'!$C$10,12,31)),'Your Pay &amp; Benefits'!$C$62,999999),IF(AND('Your Pay &amp; Benefits'!$C$63&gt;MAX($B$6:$B32),'Your Pay &amp; Benefits'!$C$63&gt;=DATE('Your Pay &amp; Benefits'!$C$10,1,1),'Your Pay &amp; Benefits'!$C$63&lt;=DATE('Your Pay &amp; Benefits'!$C$10,12,31)),'Your Pay &amp; Benefits'!$C$63,999999),IF(AND('Your Pay &amp; Benefits'!$C$64&gt;MAX($B$6:$B32),'Your Pay &amp; Benefits'!$C$64&gt;=DATE('Your Pay &amp; Benefits'!$C$10,1,1),'Your Pay &amp; Benefits'!$C$64&lt;=DATE('Your Pay &amp; Benefits'!$C$10,12,31)),'Your Pay &amp; Benefits'!$C$64,999999),IF(AND('Your Pay &amp; Benefits'!$C$65&gt;MAX($B$6:$B32),'Your Pay &amp; Benefits'!$C$65&gt;=DATE('Your Pay &amp; Benefits'!$C$10,1,1),'Your Pay &amp; Benefits'!$C$65&lt;=DATE('Your Pay &amp; Benefits'!$C$10,12,31)),'Your Pay &amp; Benefits'!$C$65,999999),IF(AND('Your Pay &amp; Benefits'!$C$66&gt;MAX($B$6:$B32),'Your Pay &amp; Benefits'!$C$66&gt;=DATE('Your Pay &amp; Benefits'!$C$10,1,1),'Your Pay &amp; Benefits'!$C$66&lt;=DATE('Your Pay &amp; Benefits'!$C$10,12,31)),'Your Pay &amp; Benefits'!$C$66,999999),IF(AND('Your Pay &amp; Benefits'!$C$67&gt;MAX($B$6:$B32),'Your Pay &amp; Benefits'!$C$67&gt;=DATE('Your Pay &amp; Benefits'!$C$10,1,1),'Your Pay &amp; Benefits'!$C$67&lt;=DATE('Your Pay &amp; Benefits'!$C$10,12,31)),'Your Pay &amp; Benefits'!$C$67,999999)))</f>
      </c>
      <c r="CF33">
        <f>IF($B33="","",IF($D33=0,$Y33,""))</f>
      </c>
    </row>
    <row r="34">
      <c r="A34" t="n">
        <v>29</v>
      </c>
      <c r="B34" s="21">
        <f>IF(AND($CD34="",$CE34=""),"",IF($CE34="",$CD34,IF($CD34="",$CE34,MIN($CD34,$CE34))))</f>
      </c>
      <c r="C34" s="7">
        <f>IF($B34="","",IF($BF34=0,0,IF('Your Pay &amp; Benefits'!$C$4="Annual salary",ROUND($AK34/IF(AND('Your Pay &amp; Benefits'!$C$88="Actual paydays",MONTH('Your Pay &amp; Benefits'!$C$9)=1),MAX(1,MAX($BE$6:$BE$68)),'Your Pay &amp; Benefits'!$C$8),2),$AK34)))</f>
      </c>
      <c r="D34" s="7">
        <f>IF($B34="","",SUMIF('Your Pay &amp; Benefits'!$C$58:$C$67,$B34,'Your Pay &amp; Benefits'!$D$58:$D$67))</f>
      </c>
      <c r="E34" s="7">
        <f>IF($B34="","",ROUND(MAX(0,MIN(IF($AL34="Percent",$AM34*($C34+$D34),$AM34),MAX(0,'Your Pay &amp; Benefits'!$C$34-$AC33))),2))</f>
      </c>
      <c r="F34" s="7">
        <f>IF($B34="","",ROUND(MAX(0,MIN(IF('Your Pay &amp; Benefits'!$C$32="Percent",'Your Pay &amp; Benefits'!$D$32*($C34+$D34),'Your Pay &amp; Benefits'!$D$32),MAX(0,'Your Pay &amp; Benefits'!$C$34-$AC33-$E34))),2))</f>
      </c>
      <c r="G34" s="7">
        <f>IF($B34="","",IF($BF34=0,0,ROUND(MAX(0,MIN($BL34,'Your Pay &amp; Benefits'!$C$37-'Your Pay &amp; Benefits'!$C$54-$BI33)),2)))</f>
      </c>
      <c r="H34" s="7">
        <f>IF($B34="","",IF(OR($BF34=0,$BQ34=1),0,ROUND(MAX(0,MIN(IF($BS34=1,ROUND(MAX(0,MIN($BJ34,'How This Works &amp; Sources'!$C$13)-$BG33)/MAX(1,MAX($BE$6:$BE$68)-($BE33)),2),ROUND(MIN($BJ34,'How This Works &amp; Sources'!$C$13)/'Your Pay &amp; Benefits'!$C$8,2)),MIN($BJ34,'How This Works &amp; Sources'!$C$13)-$BG33)),2)))</f>
      </c>
      <c r="I34" s="7">
        <f>IF($B34="","",IF(OR($BF34=0,$BR34=1),0,ROUND(MAX(0,MIN(IF($BT34=1,ROUND(MAX(0,MIN($BK34,IF('Your Pay &amp; Benefits'!$C$12="MFJ",'How This Works &amp; Sources'!$C$14,'How This Works &amp; Sources'!$C$15))-$BH33)/MAX(1,MAX($BE$6:$BE$68)-($BE33)),2),ROUND(MIN($BK34,IF('Your Pay &amp; Benefits'!$C$12="MFJ",'How This Works &amp; Sources'!$C$14,'How This Works &amp; Sources'!$C$15))/'Your Pay &amp; Benefits'!$C$8,2)),MIN($BK34,IF('Your Pay &amp; Benefits'!$C$12="MFJ",'How This Works &amp; Sources'!$C$14,'How This Works &amp; Sources'!$C$15))-$BH33)),2)))</f>
      </c>
      <c r="J34" s="7">
        <f>IF($B34="","",IF($BF34=0,0,$BM34))</f>
      </c>
      <c r="K34" s="7">
        <f>IF($B34="","",IF($BF34=0,0,$BN34+$BO34))</f>
      </c>
      <c r="L34" s="7">
        <f>IF($B34="","",IF($BF34=0,0,'Your Pay &amp; Benefits'!$D$46))</f>
      </c>
      <c r="M34" s="7">
        <f>IF($B34="","",$C34+$D34+$L34-$E34-$G34-$H34-$I34-$J34-$K34)</f>
      </c>
      <c r="N34" s="7">
        <f>IF($B34="","",$C34+$D34+$L34-$G34-$H34-$I34-$J34-$K34)</f>
      </c>
      <c r="O34" s="7">
        <f>IF($B34="","",$C34+$D34+$L34-$E34-$H34-$I34-$J34-$K34-IF(OR($AN34="CA",$AN34="NJ"),0,$G34))</f>
      </c>
      <c r="P34" s="7">
        <f>IF($B34="","",IF('Your Pay &amp; Benefits'!$C$18,0,ROUND(MAX(0,IF('Your Pay &amp; Benefits'!$C$13,SUMPRODUCT(($AH34&gt;INDEX('How This Works &amp; Sources'!$B$29:$J$36,0,IF('Your Pay &amp; Benefits'!$C$12="MFJ",1,IF('Your Pay &amp; Benefits'!$C$12="HoH",7,4))))*($AH34-INDEX('How This Works &amp; Sources'!$B$29:$J$36,0,IF('Your Pay &amp; Benefits'!$C$12="MFJ",1,IF('Your Pay &amp; Benefits'!$C$12="HoH",7,4))))*INDEX('How This Works &amp; Sources'!$B$29:$J$36,0,IF('Your Pay &amp; Benefits'!$C$12="MFJ",1,IF('Your Pay &amp; Benefits'!$C$12="HoH",7,4))+2)),SUMPRODUCT(($AH34&gt;INDEX('How This Works &amp; Sources'!$B$19:$J$26,0,IF('Your Pay &amp; Benefits'!$C$12="MFJ",1,IF('Your Pay &amp; Benefits'!$C$12="HoH",7,4))))*($AH34-INDEX('How This Works &amp; Sources'!$B$19:$J$26,0,IF('Your Pay &amp; Benefits'!$C$12="MFJ",1,IF('Your Pay &amp; Benefits'!$C$12="HoH",7,4))))*INDEX('How This Works &amp; Sources'!$B$19:$J$26,0,IF('Your Pay &amp; Benefits'!$C$12="MFJ",1,IF('Your Pay &amp; Benefits'!$C$12="HoH",7,4))+2)))/'Your Pay &amp; Benefits'!$C$8-$AO34/'Your Pay &amp; Benefits'!$C$8)+$AR34+IF('Your Pay &amp; Benefits'!$C$89="Aggregate",MAX(0,IF('Your Pay &amp; Benefits'!$C$13,SUMPRODUCT((($AH34+$D34)&gt;INDEX('How This Works &amp; Sources'!$B$29:$J$36,0,IF('Your Pay &amp; Benefits'!$C$12="MFJ",1,IF('Your Pay &amp; Benefits'!$C$12="HoH",7,4))))*(($AH34+$D34)-INDEX('How This Works &amp; Sources'!$B$29:$J$36,0,IF('Your Pay &amp; Benefits'!$C$12="MFJ",1,IF('Your Pay &amp; Benefits'!$C$12="HoH",7,4))))*INDEX('How This Works &amp; Sources'!$B$29:$J$36,0,IF('Your Pay &amp; Benefits'!$C$12="MFJ",1,IF('Your Pay &amp; Benefits'!$C$12="HoH",7,4))+2)),SUMPRODUCT((($AH34+$D34)&gt;INDEX('How This Works &amp; Sources'!$B$19:$J$26,0,IF('Your Pay &amp; Benefits'!$C$12="MFJ",1,IF('Your Pay &amp; Benefits'!$C$12="HoH",7,4))))*(($AH34+$D34)-INDEX('How This Works &amp; Sources'!$B$19:$J$26,0,IF('Your Pay &amp; Benefits'!$C$12="MFJ",1,IF('Your Pay &amp; Benefits'!$C$12="HoH",7,4))))*INDEX('How This Works &amp; Sources'!$B$19:$J$26,0,IF('Your Pay &amp; Benefits'!$C$12="MFJ",1,IF('Your Pay &amp; Benefits'!$C$12="HoH",7,4))+2)))-IF('Your Pay &amp; Benefits'!$C$13,SUMPRODUCT(($AH34&gt;INDEX('How This Works &amp; Sources'!$B$29:$J$36,0,IF('Your Pay &amp; Benefits'!$C$12="MFJ",1,IF('Your Pay &amp; Benefits'!$C$12="HoH",7,4))))*($AH34-INDEX('How This Works &amp; Sources'!$B$29:$J$36,0,IF('Your Pay &amp; Benefits'!$C$12="MFJ",1,IF('Your Pay &amp; Benefits'!$C$12="HoH",7,4))))*INDEX('How This Works &amp; Sources'!$B$29:$J$36,0,IF('Your Pay &amp; Benefits'!$C$12="MFJ",1,IF('Your Pay &amp; Benefits'!$C$12="HoH",7,4))+2)),SUMPRODUCT(($AH34&gt;INDEX('How This Works &amp; Sources'!$B$19:$J$26,0,IF('Your Pay &amp; Benefits'!$C$12="MFJ",1,IF('Your Pay &amp; Benefits'!$C$12="HoH",7,4))))*($AH34-INDEX('How This Works &amp; Sources'!$B$19:$J$26,0,IF('Your Pay &amp; Benefits'!$C$12="MFJ",1,IF('Your Pay &amp; Benefits'!$C$12="HoH",7,4))))*INDEX('How This Works &amp; Sources'!$B$19:$J$26,0,IF('Your Pay &amp; Benefits'!$C$12="MFJ",1,IF('Your Pay &amp; Benefits'!$C$12="HoH",7,4))+2)))),'How This Works &amp; Sources'!$C$10*$D34),2)))</f>
      </c>
      <c r="Q34" s="7">
        <f>IF($B34="","",ROUND('How This Works &amp; Sources'!$C$4*MIN($N34,MAX(0,'How This Works &amp; Sources'!$C$3-($AX34+$AB33-$AW34))),2))</f>
      </c>
      <c r="R34" s="7">
        <f>IF($B34="","",ROUND('How This Works &amp; Sources'!$C$5*$N34,2))</f>
      </c>
      <c r="S34" s="7">
        <f>IF($B34="","",ROUND('How This Works &amp; Sources'!$C$6*MAX(0,MIN($N34,$AG33+$N34-'How This Works &amp; Sources'!$C$7)),2))</f>
      </c>
      <c r="T34" s="7">
        <f>IF($B34="","",IF('Your Pay &amp; Benefits'!$C$26,0,IF($AN34="CA",ROUND(IF($AI34&lt;=IF(($AS34+$AT34)&gt;=2,VLOOKUP($AN34,StateTables!$A$6:$AB$56,10,FALSE),VLOOKUP($AN34,StateTables!$A$6:$AB$56,9,FALSE)),0,MAX(0,SUMPRODUCT(($AJ34&gt;INDEX('How This Works &amp; Sources'!$B$39:$J$48,0,IF($AU34="Married",4,IF($AU34="Head of household",7,1))))*($AJ34-INDEX('How This Works &amp; Sources'!$B$39:$J$48,0,IF($AU34="Married",4,IF($AU34="Head of household",7,1))))*INDEX('How This Works &amp; Sources'!$B$39:$J$48,0,IF($AU34="Married",4,IF($AU34="Head of household",7,1))+2))-VLOOKUP($AN34,StateTables!$A$6:$AB$56,11,FALSE)*$AS34)/'Your Pay &amp; Benefits'!$C$8)+'Your Pay &amp; Benefits'!$C$25+VLOOKUP($AN34,StateTables!$A$6:$AB$56,13,FALSE)*$D34,2),IF(VLOOKUP($AN34,StateTables!$A$6:$AB$56,4,FALSE)="None",0,IF(ISNUMBER(SEARCH("MANUAL",VLOOKUP($AN34,StateTables!$A$6:$AB$56,5,FALSE))),'Your Pay &amp; Benefits'!$C$28,ROUND(MAX(0,$BA34+$BB34)/'Your Pay &amp; Benefits'!$C$8+'Your Pay &amp; Benefits'!$C$25+$BC34,2))))))</f>
      </c>
      <c r="U34" s="7">
        <f>IF($B34="","",IF(VLOOKUP($AN34,StateTables!$A$6:$AB$56,24,FALSE)="flatq",IF(OR(MONTH($B34)=1,MONTH($B34)=4,MONTH($B34)=7,MONTH($B34)=10),VLOOKUP($AN34,StateTables!$A$6:$AB$56,25,FALSE),0),IF(VLOOKUP($AN34,StateTables!$A$6:$AB$56,24,FALSE)="dbl",MIN(ROUND(0.005*$N34,2),ROUND(0.6*52/'Your Pay &amp; Benefits'!$C$8,2)),IF(OR(VLOOKUP($AN34,StateTables!$A$6:$AB$56,15,FALSE)="",VLOOKUP($AN34,StateTables!$A$6:$AB$56,15,FALSE)=0),0,ROUND(VLOOKUP($AN34,StateTables!$A$6:$AB$56,15,FALSE)*IF(OR(VLOOKUP($AN34,StateTables!$A$6:$AB$56,16,FALSE)="",VLOOKUP($AN34,StateTables!$A$6:$AB$56,16,FALSE)=0),$N34,MIN($N34,MAX(0,VLOOKUP($AN34,StateTables!$A$6:$AB$56,16,FALSE)-($AX34+$AB33-$AW34)))),2))))+IF(VLOOKUP($AN34,StateTables!$A$6:$AB$56,27,FALSE)="flatq",IF(OR(MONTH($B34)=1,MONTH($B34)=4,MONTH($B34)=7,MONTH($B34)=10),VLOOKUP($AN34,StateTables!$A$6:$AB$56,28,FALSE),0),IF(VLOOKUP($AN34,StateTables!$A$6:$AB$56,27,FALSE)="dbl",MIN(ROUND(0.005*$N34,2),ROUND(0.6*52/'Your Pay &amp; Benefits'!$C$8,2)),IF(OR(VLOOKUP($AN34,StateTables!$A$6:$AB$56,18,FALSE)="",VLOOKUP($AN34,StateTables!$A$6:$AB$56,18,FALSE)=0),0,ROUND(VLOOKUP($AN34,StateTables!$A$6:$AB$56,18,FALSE)*IF(OR(VLOOKUP($AN34,StateTables!$A$6:$AB$56,19,FALSE)="",VLOOKUP($AN34,StateTables!$A$6:$AB$56,19,FALSE)=0),$N34,MIN($N34,MAX(0,VLOOKUP($AN34,StateTables!$A$6:$AB$56,19,FALSE)-($AX34+$AB33-$AW34)))),2)))))</f>
      </c>
      <c r="V34" s="7">
        <f>IF($B34="","",IF($AN34="NY",IF('Your Pay &amp; Benefits'!$C$78,ROUND(SUMPRODUCT((MAX(0,($O34-$D34)*'Your Pay &amp; Benefits'!$C$8-(IF($AU34="Married",5500,5000)+1000*$AS34))&gt;INDEX('How This Works &amp; Sources'!$B$184:$J$198,0,4))*(MAX(0,($O34-$D34)*'Your Pay &amp; Benefits'!$C$8-(IF($AU34="Married",5500,5000)+1000*$AS34))-INDEX('How This Works &amp; Sources'!$B$184:$J$198,0,4))*INDEX('How This Works &amp; Sources'!$B$184:$J$198,0,4+2))/'Your Pay &amp; Benefits'!$C$8+0.0425*$D34,2),0)+IF('Your Pay &amp; Benefits'!$C$79="Resident",ROUND(0.1675*$T34,2),IF('Your Pay &amp; Benefits'!$C$79="Nonresident",ROUND(0.005*MAX(0,($O34-$D34)-(IF($AU34="Married",7950,7400)+1000*$AS34)/'Your Pay &amp; Benefits'!$C$8),2),0)),IF($AN34="PA",IF('Your Pay &amp; Benefits'!$C$80="None",'Your Pay &amp; Benefits'!$C$27+ROUND('Your Pay &amp; Benefits'!$C$81*($C34+$D34),2),ROUND(IF('Your Pay &amp; Benefits'!$C$80="Resident",IF($B34&lt;DATE(2026,7,1),0.0374,0.03735),IF($B34&lt;DATE(2026,7,1),0.0343,0.03425))*($C34+$D34),2)),IF($BF34=0,ROUND('Your Pay &amp; Benefits'!$C$81*($C34+$D34),2),'Your Pay &amp; Benefits'!$C$27+ROUND('Your Pay &amp; Benefits'!$C$81*($C34+$D34),2)))))</f>
      </c>
      <c r="W34" s="7">
        <f>IF($B34="","",IF($BF34=0,0,$BP34))</f>
      </c>
      <c r="X34" s="7">
        <f>IF($B34="","",SUM($E34:$K34)+$P34+$Q34+$R34+$S34+$T34+$U34+$V34+$W34)</f>
      </c>
      <c r="Y34" s="22">
        <f>IF($B34="","",$C34+$D34-$X34)</f>
      </c>
      <c r="Z34" s="7">
        <f>IF($B34="","",$Z33+$C34+$D34)</f>
      </c>
      <c r="AA34" s="7">
        <f>IF($B34="","",$AA33+$Y34)</f>
      </c>
      <c r="AB34" s="7">
        <f>IF($B34="","",$AB33+MIN($N34,MAX(0,'How This Works &amp; Sources'!$C$3-($AX34+$AB33-$AW34))))</f>
      </c>
      <c r="AC34" s="7">
        <f>IF($B34="","",$AC33+$E34+$F34)</f>
      </c>
      <c r="AD34" s="3">
        <f>IF($B34="","",IF(AND($AB33&lt;'How This Works &amp; Sources'!$C$3,$AB34&gt;='How This Works &amp; Sources'!$C$3),"★ Social Security maxed on this check — from the next check your net rises by about $"&amp;TEXT(ROUND('How This Works &amp; Sources'!$C$4*$N34,2),"#,##0.00")&amp;". ","")&amp;IF(AND($AC33&lt;'Your Pay &amp; Benefits'!$C$34,$AC34&gt;='Your Pay &amp; Benefits'!$C$34),"★ 401(k) reaches the $"&amp;TEXT('Your Pay &amp; Benefits'!$C$34,"#,##0")&amp;" cap on this check — deferrals stop and net pay rises. ","")&amp;IF(AND($AG33&lt;'How This Works &amp; Sources'!$C$7,$AG34&gt;='How This Works &amp; Sources'!$C$7),"★ Wages pass $200,000 — the 0.9% Additional Medicare Tax starts here. ","")&amp;IF(AND($BJ34&gt;0,$H34&gt;0,$BG33&lt;MIN($BJ34,'How This Works &amp; Sources'!$C$13),$BG33+$H34&gt;=MIN($BJ34,'How This Works &amp; Sources'!$C$13)),"★ Health FSA election is now fully deferred for the year. ",""))</f>
      </c>
      <c r="AE34" s="41" t="n"/>
      <c r="AF34" s="7">
        <f>IF(OR($B34="",$AE34=""),"",$AE34-$Y34)</f>
      </c>
      <c r="AG34" s="7">
        <f>IF($B34="","",$AG33+$N34)</f>
      </c>
      <c r="AH34" s="7">
        <f>IF($B34="","",MAX(0,($M34-$D34)*'Your Pay &amp; Benefits'!$C$8+$AP34-$AQ34-IF('Your Pay &amp; Benefits'!$C$13,0,IF('Your Pay &amp; Benefits'!$C$12="MFJ",'How This Works &amp; Sources'!$C$8,'How This Works &amp; Sources'!$C$9))))</f>
      </c>
      <c r="AI34" s="7">
        <f>IF($B34="","",$O34*'Your Pay &amp; Benefits'!$C$8)</f>
      </c>
      <c r="AJ34" s="7">
        <f>IF($B34="","",MAX(0,$AI34-VLOOKUP($AN34,StateTables!$A$6:$AB$56,12,FALSE)*$AT34-IF(($AS34+$AT34)&gt;=2,VLOOKUP($AN34,StateTables!$A$6:$AB$56,8,FALSE),VLOOKUP($AN34,StateTables!$A$6:$AB$56,7,FALSE))))</f>
      </c>
      <c r="AK34" s="7">
        <f>IF($B34="","",IFERROR(LOOKUP(2,1/(('Changes &amp; Events'!$C$6:$C$17="Salary change")*('Changes &amp; Events'!$B$6:$B$17&lt;=$B34)*('Changes &amp; Events'!$B$6:$B$17&lt;&gt;"")),'Changes &amp; Events'!$D$6:$D$17),IF('Your Pay &amp; Benefits'!$C$4="Annual salary",'Your Pay &amp; Benefits'!$C$5,'Your Pay &amp; Benefits'!$C$6)))</f>
      </c>
      <c r="AL34">
        <f>IF($B34="","",IFERROR(LOOKUP(2,1/(('Changes &amp; Events'!$C$6:$C$17="401(k) change")*('Changes &amp; Events'!$B$6:$B$17&lt;=$B34)*('Changes &amp; Events'!$B$6:$B$17&lt;&gt;"")),'Changes &amp; Events'!$D$6:$D$17),'Your Pay &amp; Benefits'!$C$30))</f>
      </c>
      <c r="AM34" s="7">
        <f>IF($B34="","",IFERROR(LOOKUP(2,1/(('Changes &amp; Events'!$C$6:$C$17="401(k) change")*('Changes &amp; Events'!$B$6:$B$17&lt;=$B34)*('Changes &amp; Events'!$B$6:$B$17&lt;&gt;"")),'Changes &amp; Events'!$E$6:$E$17),'Your Pay &amp; Benefits'!$D$31))</f>
      </c>
      <c r="AN34">
        <f>IF($B34="","",IFERROR(LOOKUP(2,1/(('Changes &amp; Events'!$C$6:$C$17="State move")*('Changes &amp; Events'!$B$6:$B$17&lt;=$B34)*('Changes &amp; Events'!$B$6:$B$17&lt;&gt;"")),'Changes &amp; Events'!$D$6:$D$17),'Your Pay &amp; Benefits'!$C$21))</f>
      </c>
      <c r="AO34" s="7">
        <f>IF($B34="","",IFERROR(LOOKUP(2,1/(('Changes &amp; Events'!$C$6:$C$17="W-4 change")*('Changes &amp; Events'!$B$6:$B$17&lt;=$B34)*('Changes &amp; Events'!$B$6:$B$17&lt;&gt;"")),'Changes &amp; Events'!$D$6:$D$17),'Your Pay &amp; Benefits'!$C$14))</f>
      </c>
      <c r="AP34" s="7">
        <f>IF($B34="","",IFERROR(LOOKUP(2,1/(('Changes &amp; Events'!$C$6:$C$17="W-4 change")*('Changes &amp; Events'!$B$6:$B$17&lt;=$B34)*('Changes &amp; Events'!$B$6:$B$17&lt;&gt;"")),'Changes &amp; Events'!$E$6:$E$17),'Your Pay &amp; Benefits'!$C$15))</f>
      </c>
      <c r="AQ34" s="7">
        <f>IF($B34="","",IFERROR(LOOKUP(2,1/(('Changes &amp; Events'!$C$6:$C$17="W-4 change")*('Changes &amp; Events'!$B$6:$B$17&lt;=$B34)*('Changes &amp; Events'!$B$6:$B$17&lt;&gt;"")),'Changes &amp; Events'!$F$6:$F$17),'Your Pay &amp; Benefits'!$C$16))</f>
      </c>
      <c r="AR34" s="7">
        <f>IF($B34="","",IFERROR(LOOKUP(2,1/(('Changes &amp; Events'!$C$6:$C$17="W-4 change")*('Changes &amp; Events'!$B$6:$B$17&lt;=$B34)*('Changes &amp; Events'!$B$6:$B$17&lt;&gt;"")),'Changes &amp; Events'!$G$6:$G$17),'Your Pay &amp; Benefits'!$C$17))</f>
      </c>
      <c r="AS34" s="6">
        <f>IF($B34="","",IFERROR(LOOKUP(2,1/((('Changes &amp; Events'!$C$6:$C$17="State move")+('Changes &amp; Events'!$C$6:$C$17="State cert change"))*('Changes &amp; Events'!$B$6:$B$17&lt;=$B34)*('Changes &amp; Events'!$B$6:$B$17&lt;&gt;"")),'Changes &amp; Events'!$F$6:$F$17),'Your Pay &amp; Benefits'!$C$23))</f>
      </c>
      <c r="AT34" s="6">
        <f>IF($B34="","",IFERROR(LOOKUP(2,1/((('Changes &amp; Events'!$C$6:$C$17="State move")+('Changes &amp; Events'!$C$6:$C$17="State cert change"))*('Changes &amp; Events'!$B$6:$B$17&lt;=$B34)*('Changes &amp; Events'!$B$6:$B$17&lt;&gt;"")),'Changes &amp; Events'!$G$6:$G$17),'Your Pay &amp; Benefits'!$C$24))</f>
      </c>
      <c r="AU34">
        <f>IF($B34="","",IFERROR(LOOKUP(2,1/(('Changes &amp; Events'!$C$6:$C$17="State move")*('Changes &amp; Events'!$B$6:$B$17&lt;=$B34)*('Changes &amp; Events'!$B$6:$B$17&lt;&gt;"")),'Changes &amp; Events'!$E$6:$E$17),'Your Pay &amp; Benefits'!$C$22))</f>
      </c>
      <c r="AV34" s="6">
        <f>IF($B34="","",1+COUNTIFS('Changes &amp; Events'!$C$6:$C$17,"Employer change",'Changes &amp; Events'!$B$6:$B$17,"&lt;="&amp;$B34,'Changes &amp; Events'!$B$6:$B$17,"&lt;&gt;"))</f>
      </c>
      <c r="AW34" s="7">
        <f>IF($B34="","",IF($AV34=1,'Your Pay &amp; Benefits'!$C$49,IF(IFERROR(MATCH(IFERROR(LOOKUP(2,1/(('Changes &amp; Events'!$C$6:$C$17="Employer change")*('Changes &amp; Events'!$B$6:$B$17&lt;=$B34)*('Changes &amp; Events'!$B$6:$B$17&lt;&gt;"")),'Changes &amp; Events'!$B$6:$B$17),""),$B$6:$B$68,1),1)&lt;=1,'Your Pay &amp; Benefits'!$C$49,INDEX($AB$6:$AB$68,MATCH(IFERROR(LOOKUP(2,1/(('Changes &amp; Events'!$C$6:$C$17="Employer change")*('Changes &amp; Events'!$B$6:$B$17&lt;=$B34)*('Changes &amp; Events'!$B$6:$B$17&lt;&gt;"")),'Changes &amp; Events'!$B$6:$B$17),""),$B$6:$B$68,1)-1))))</f>
      </c>
      <c r="AX34" s="7">
        <f>IF($B34="","",IF($AV34=1,'Your Pay &amp; Benefits'!$C$49,IFERROR(LOOKUP(2,1/(('Changes &amp; Events'!$C$6:$C$17="Employer change")*('Changes &amp; Events'!$B$6:$B$17&lt;=$B34)*('Changes &amp; Events'!$B$6:$B$17&lt;&gt;"")),'Changes &amp; Events'!$D$6:$D$17),0)))</f>
      </c>
      <c r="AY34" s="7">
        <f>IF($B34="","",($O34-$D34)*'Your Pay &amp; Benefits'!$C$8)</f>
      </c>
      <c r="AZ34" s="7">
        <f>IF($B34="","",IF($AN34="AL",MAX(0,$AY34-IF($AU34="Married",IF($AY34&lt;=25999,8500,MAX(5000,8500-175*CEILING(($AY34-25999)/500,1))),IF($AU34="Head of household",IF($AY34&lt;=25999,5200,MAX(2500,5200-135*CEILING(($AY34-25999)/500,1))),IF($AY34&lt;=25999,3000,MAX(2500,3000-25*CEILING(($AY34-25999)/500,1)))))-($P34-'How This Works &amp; Sources'!$C$10*$D34)*'Your Pay &amp; Benefits'!$C$8-IF(OR($AU34="Married",$AU34="Head of household"),3000,1500)-$AT34*IF($AY34&lt;=50000,1000,IF($AY34&lt;=100000,500,300))),IF($AN34="AR",IF(MAX(0,$AY34-2470)&lt;97701,INT(MAX(0,$AY34-2470)/100)*100+50,MAX(0,$AY34-2470)),IF($AN34="DE",MAX(0,$AI34-3250),IF($AN34="HI",MAX(0,$AI34-1144*$AS34-4350),IF($AN34="KS",MAX(0,$AI34-(9160*IF($AU34="Married",2,1)+2320*$AT34+IF($AU34="Head of household",2320,0))),IF($AN34="MD",MAX(0,$AI34-3400-3200*$AS34),IF($AN34="MN",MAX(0,$AY34-5300*$AS34),IF($AN34="MO",MAX(0,$AI34-IF($AU34="Head of household",24150,IF($AU34="Married",IF('Your Pay &amp; Benefits'!$C$83,16100,32200),16100))),IF($AN34="MT",$AY34,IF($AN34="ND",($C34+$L34)*'Your Pay &amp; Benefits'!$C$8,IF($AN34="NE",MAX(0,$AY34-2440*$AS34),IF($AN34="NJ",MAX(0,$AY34-1000*$AS34),IF($AN34="NY",MAX(0,$AY34-(IF($AU34="Married",7950,7400)+1000*$AS34)),IF($AN34="OH",MAX(0,$AY34-650*$AS34),IF($AN34="OK",MAX(0,$AY34-1000*$AS34),IF($AN34="RI",MAX(0,$AI34-1000*$AS34),IF($AN34="SC",MAX(0,$AI34-5000*$AS34-IF($AS34=0,0,MIN(0.1*$AI34,7500))),IF($AN34="VA",MAX(0,$AI34-IF($AU34="Married",17500,8750)-930*$AS34-800*$AT34),IF($AN34="VT",MAX(0,$AI34-5400*$AS34),IF($AN34="WI",MAX(0,$AI34-MAX(0,IF($AU34="Married",9461-0.2*MAX(0,$AI34-25727),6702-0.12*MAX(0,$AI34-17780)))-400*$AS34),IF($AN34="WV",MAX(0,$AI34-2000*$AS34),$AI34))))))))))))))))))))))</f>
      </c>
      <c r="BA34" s="7">
        <f>IF($B34="","",IF($BW34&lt;&gt;"",$BW34,IF($BX34&lt;&gt;"",$BX34,IF($BY34&lt;&gt;"",$BY34,0))))</f>
      </c>
      <c r="BB34" s="7">
        <f>IF($B34="","",IF($AN34="AR",-29*$AS34,IF($AN34="DE",-110*$AS34,IF($AN34="MD",$AZ34*'Your Pay &amp; Benefits'!$C$74,IF($AN34="AZ",'Your Pay &amp; Benefits'!$C$82*($M34-$D34)*'Your Pay &amp; Benefits'!$C$8,IF($AN34="CO",0.044*MAX(0,$AY34-IF($AU34="Married",10000,5000)),IF($AN34="IA",MAX(0,0.038*MAX(0,$AY34-IF($AU34="Head of household",19500,IF($AU34="Married",26000,13000)))-40*$AS34),IF($AN34="ID",0.053*MAX(0,$AY34-IF($AU34="Married",32000,16094)),IF($AN34="IL",0.0495*MAX(0,$AY34-(2925*$AS34+1000*$AT34)),IF($AN34="IN",(0.0295+'Your Pay &amp; Benefits'!$C$76)*MAX(0,$AY34-(1000*$AS34+1500*$AT34+3000*'Your Pay &amp; Benefits'!$C$86)),IF($AN34="KY",0.035*MAX(0,$AI34-3360),IF($AN34="LA",IF('Your Pay &amp; Benefits'!$C$84="0",0.0309*$AI34,0.0309*MAX(0,$AI34-IF('Your Pay &amp; Benefits'!$C$84="2",25750,12875))),IF($AN34="MA",0.05*MIN(MAX(0,$AY34-MIN(($BD33+$Q34+$R34+$S34),2000)-IF($AS34=0,0,IF($AS34=1,4400,1000*$AS34+3400))),1107750)+0.09*MAX(0,MAX(0,$AY34-MIN(($BD33+$Q34+$R34+$S34),2000)-IF($AS34=0,0,IF($AS34=1,4400,1000*$AS34+3400)))-1107750)-IF($AU34="Head of household",120,0)-110*'Your Pay &amp; Benefits'!$C$75,IF($AN34="MI",0.0425*MAX(0,$AY34-5900*$AS34),IF($AN34="MS",0.04*MAX(0,$AI34-IF($AU34="Head of household",3400,IF($AU34="Married",4600,2300))-'Your Pay &amp; Benefits'!$C$85-10000),IF($AN34="OR",IF(OR($AU34="Married",AND($AU34="Single",$AS34&gt;=3)),SUMPRODUCT((MAX(0,$AY34-MIN(($P34-'How This Works &amp; Sources'!$C$10*$D34)*'Your Pay &amp; Benefits'!$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Sources'!$B$211:$J$214,0,4))*(MAX(0,$AY34-MIN(($P34-'How This Works &amp; Sources'!$C$10*$D34)*'Your Pay &amp; Benefits'!$C$8,IF(OR($AU34="Married",AND($AU34="Single",$AS34&gt;=3)),IF($AY34&lt;250000,8750,IF($AY34&lt;260000,7000,IF($AY34&lt;270000,5250,IF($AY34&lt;280000,3500,IF($AY34&lt;290000,1750,0))))),IF($AY34&lt;125000,8750,IF($AY34&lt;130000,7000,IF($AY34&lt;135000,5250,IF($AY34&lt;140000,3500,IF($AY34&lt;145000,1750,0)))))))-IF(OR($AU34="Married",AND($AU34="Single",$AS34&gt;=3)),5820,2910))-INDEX('How This Works &amp; Sources'!$B$211:$J$214,0,4))*INDEX('How This Works &amp; Sources'!$B$211:$J$214,0,4+2)),SUMPRODUCT((MAX(0,$AY34-MIN(($P34-'How This Works &amp; Sources'!$C$10*$D34)*'Your Pay &amp; Benefits'!$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Sources'!$B$211:$J$214,0,1))*(MAX(0,$AY34-MIN(($P34-'How This Works &amp; Sources'!$C$10*$D34)*'Your Pay &amp; Benefits'!$C$8,IF(OR($AU34="Married",AND($AU34="Single",$AS34&gt;=3)),IF($AY34&lt;250000,8750,IF($AY34&lt;260000,7000,IF($AY34&lt;270000,5250,IF($AY34&lt;280000,3500,IF($AY34&lt;290000,1750,0))))),IF($AY34&lt;125000,8750,IF($AY34&lt;130000,7000,IF($AY34&lt;135000,5250,IF($AY34&lt;140000,3500,IF($AY34&lt;145000,1750,0)))))))-IF(OR($AU34="Married",AND($AU34="Single",$AS34&gt;=3)),5820,2910))-INDEX('How This Works &amp; Sources'!$B$211:$J$214,0,1))*INDEX('How This Works &amp; Sources'!$B$211:$J$214,0,1+2)))+263-263*IF(IF($AU34="Married",$AY34&gt;200000,$AY34&gt;100000),0,$AS34),IF($AN34="PA",0.0307*(($O34+$E34+$G34)*'Your Pay &amp; Benefits'!$C$8),IF($AN34="NY",IF($AU34="Married",IF($AZ34&gt;=2155350,0,IF($AZ34&gt;=1077550,0.48,IF($AZ34&gt;=373200,1.21,IF($AZ34&gt;=323200,0.21,IF($AZ34&gt;=211550,-0.19,IF($AZ34&gt;=157650,-2.8,IF($AZ34&gt;=107650,-0.8,IF($AZ34&gt;=96800,0.05,IF($AZ34&gt;=80650,-0.1,IF($AZ34&gt;=13900,0.4,IF($AZ34&gt;=11700,-0.3,IF($AZ34&gt;=8500,0.5,0)))))))))))),IF($AZ34&gt;=1077550,0,IF($AZ34&gt;=265400,4.29,IF($AZ34&gt;=215400,2.29,IF($AZ34&gt;=157650,2.29,IF($AZ34&gt;=107650,0.29,IF($AZ34&gt;=96800,0.05,IF($AZ34&gt;=80650,-0.1,IF($AZ34&gt;=13900,0.4,IF($AZ34&gt;=11700,-0.3,IF($AZ34&gt;=8500,0.5,0))))))))))),0))))))))))))))))))</f>
      </c>
      <c r="BC34" s="7">
        <f>IF($B34="","",IF($AN34="AL",0.05*$D34,IF($AN34="AR",0.039*$D34,IF($AN34="ID",0.053*$D34,IF($AN34="IN",(0.0295+'Your Pay &amp; Benefits'!$C$76)*$D34,IF($AN34="KS",0.05*$D34,IF($AN34="MA",0.09*MIN($D34,MAX(0,MAX(0,$AY34-MIN(($BD33+$Q34+$R34+$S34),2000)-IF($AS34=0,0,IF($AS34=1,4400,1000*$AS34+3400)))+$D34-1107750))+0.05*($D34-MIN($D34,MAX(0,MAX(0,$AY34-MIN(($BD33+$Q34+$R34+$S34),2000)-IF($AS34=0,0,IF($AS34=1,4400,1000*$AS34+3400)))+$D34-1107750))),IF($AN34="MD",(0.065+'Your Pay &amp; Benefits'!$C$74)*$D34,IF($AN34="MI",0.0425*$D34,IF($AN34="MN",0.0625*$D34,IF($AN34="MO",0.047*$D34,IF($AN34="MT",0.05*$D34,IF($AN34="ND",0.015*$D34,IF($AN34="NE",0.035*$D34,IF($AN34="NJ",IF('Your Pay &amp; Benefits'!$C$77="B",SUMPRODUCT(($D34*'Your Pay &amp; Benefits'!$C$8&gt;INDEX('How This Works &amp; Sources'!$B$155:$J$162,0,4))*($D34*'Your Pay &amp; Benefits'!$C$8-INDEX('How This Works &amp; Sources'!$B$155:$J$162,0,4))*INDEX('How This Works &amp; Sources'!$B$155:$J$162,0,4+2)),IF('Your Pay &amp; Benefits'!$C$77="C",SUMPRODUCT(($D34*'Your Pay &amp; Benefits'!$C$8&gt;INDEX('How This Works &amp; Sources'!$B$155:$J$162,0,7))*($D34*'Your Pay &amp; Benefits'!$C$8-INDEX('How This Works &amp; Sources'!$B$155:$J$162,0,7))*INDEX('How This Works &amp; Sources'!$B$155:$J$162,0,7+2)),IF('Your Pay &amp; Benefits'!$C$77="D",SUMPRODUCT(($D34*'Your Pay &amp; Benefits'!$C$8&gt;INDEX('How This Works &amp; Sources'!$B$167:$J$179,0,1))*($D34*'Your Pay &amp; Benefits'!$C$8-INDEX('How This Works &amp; Sources'!$B$167:$J$179,0,1))*INDEX('How This Works &amp; Sources'!$B$167:$J$179,0,1+2)),IF('Your Pay &amp; Benefits'!$C$77="E",SUMPRODUCT(($D34*'Your Pay &amp; Benefits'!$C$8&gt;INDEX('How This Works &amp; Sources'!$B$167:$J$179,0,4))*($D34*'Your Pay &amp; Benefits'!$C$8-INDEX('How This Works &amp; Sources'!$B$167:$J$179,0,4))*INDEX('How This Works &amp; Sources'!$B$167:$J$179,0,4+2)),SUMPRODUCT(($D34*'Your Pay &amp; Benefits'!$C$8&gt;INDEX('How This Works &amp; Sources'!$B$155:$J$162,0,1))*($D34*'Your Pay &amp; Benefits'!$C$8-INDEX('How This Works &amp; Sources'!$B$155:$J$162,0,1))*INDEX('How This Works &amp; Sources'!$B$155:$J$162,0,1+2))))))/'Your Pay &amp; Benefits'!$C$8,IF($AN34="NY",0.117*$D34,IF($AN34="OH",0.0275*$D34,IF($AN34="OK",0.045*$D34,IF($AN34="OR",0.08*$D34,IF($AN34="WI",IF($AY34&lt;12760,0.0354,IF($AY34&lt;25520,0.0465,IF($AY34&lt;280950,0.053,0.0765)))*$D34,0))))))))))))))))))))</f>
      </c>
      <c r="BD34" s="7">
        <f>IF($B34="","",$BD33+$Q34+$R34+$S34)</f>
      </c>
      <c r="BE34" s="6">
        <f>IF($B34="",$BE33,$BE33+$BF34)</f>
      </c>
      <c r="BF34" s="6">
        <f>IF($B34="","",IF(AND(IF(YEAR(IF('Your Pay &amp; Benefits'!$C$7="Weekly",'Your Pay &amp; Benefits'!$C$9+7*(($BE33+1)-1),IF('Your Pay &amp; Benefits'!$C$7="Biweekly",'Your Pay &amp; Benefits'!$C$9+14*(($BE33+1)-1),IF('Your Pay &amp; Benefits'!$C$7="Semimonthly",DATE(YEAR('Your Pay &amp; Benefits'!$C$9),MONTH('Your Pay &amp; Benefits'!$C$9)+INT((($BE33+1)-1)/2),MIN(DAY('Your Pay &amp; Benefits'!$C$9),DAY(EOMONTH(DATE(YEAR('Your Pay &amp; Benefits'!$C$9),MONTH('Your Pay &amp; Benefits'!$C$9)+INT((($BE33+1)-1)/2),1),0))))+IF(MOD(($BE33+1)-1,2)=1,15,0),EDATE('Your Pay &amp; Benefits'!$C$9,($BE33+1)-1)))))&lt;&gt;'Your Pay &amp; Benefits'!$C$10,"",IF('Your Pay &amp; Benefits'!$C$7="Weekly",'Your Pay &amp; Benefits'!$C$9+7*(($BE33+1)-1),IF('Your Pay &amp; Benefits'!$C$7="Biweekly",'Your Pay &amp; Benefits'!$C$9+14*(($BE33+1)-1),IF('Your Pay &amp; Benefits'!$C$7="Semimonthly",DATE(YEAR('Your Pay &amp; Benefits'!$C$9),MONTH('Your Pay &amp; Benefits'!$C$9)+INT((($BE33+1)-1)/2),MIN(DAY('Your Pay &amp; Benefits'!$C$9),DAY(EOMONTH(DATE(YEAR('Your Pay &amp; Benefits'!$C$9),MONTH('Your Pay &amp; Benefits'!$C$9)+INT((($BE33+1)-1)/2),1),0))))+IF(MOD(($BE33+1)-1,2)=1,15,0),EDATE('Your Pay &amp; Benefits'!$C$9,($BE33+1)-1)))))&lt;&gt;"",$B34=IF(YEAR(IF('Your Pay &amp; Benefits'!$C$7="Weekly",'Your Pay &amp; Benefits'!$C$9+7*(($BE33+1)-1),IF('Your Pay &amp; Benefits'!$C$7="Biweekly",'Your Pay &amp; Benefits'!$C$9+14*(($BE33+1)-1),IF('Your Pay &amp; Benefits'!$C$7="Semimonthly",DATE(YEAR('Your Pay &amp; Benefits'!$C$9),MONTH('Your Pay &amp; Benefits'!$C$9)+INT((($BE33+1)-1)/2),MIN(DAY('Your Pay &amp; Benefits'!$C$9),DAY(EOMONTH(DATE(YEAR('Your Pay &amp; Benefits'!$C$9),MONTH('Your Pay &amp; Benefits'!$C$9)+INT((($BE33+1)-1)/2),1),0))))+IF(MOD(($BE33+1)-1,2)=1,15,0),EDATE('Your Pay &amp; Benefits'!$C$9,($BE33+1)-1)))))&lt;&gt;'Your Pay &amp; Benefits'!$C$10,"",IF('Your Pay &amp; Benefits'!$C$7="Weekly",'Your Pay &amp; Benefits'!$C$9+7*(($BE33+1)-1),IF('Your Pay &amp; Benefits'!$C$7="Biweekly",'Your Pay &amp; Benefits'!$C$9+14*(($BE33+1)-1),IF('Your Pay &amp; Benefits'!$C$7="Semimonthly",DATE(YEAR('Your Pay &amp; Benefits'!$C$9),MONTH('Your Pay &amp; Benefits'!$C$9)+INT((($BE33+1)-1)/2),MIN(DAY('Your Pay &amp; Benefits'!$C$9),DAY(EOMONTH(DATE(YEAR('Your Pay &amp; Benefits'!$C$9),MONTH('Your Pay &amp; Benefits'!$C$9)+INT((($BE33+1)-1)/2),1),0))))+IF(MOD(($BE33+1)-1,2)=1,15,0),EDATE('Your Pay &amp; Benefits'!$C$9,($BE33+1)-1)))))),1,0))</f>
      </c>
      <c r="BG34" s="7">
        <f>IF($B34="","",$BG33+$H34)</f>
      </c>
      <c r="BH34" s="7">
        <f>IF($B34="","",$BH33+$I34)</f>
      </c>
      <c r="BI34" s="7">
        <f>IF($B34="","",$BI33+$G34)</f>
      </c>
      <c r="BJ34" s="7">
        <f>IF($B34="","",IFERROR(LOOKUP(2,1/(((('Changes &amp; Events'!$C$6:$C$17="Deduction start"))*('Changes &amp; Events'!$D$6:$D$17="Health FSA"))*('Changes &amp; Events'!$B$6:$B$17&lt;=$B34)*('Changes &amp; Events'!$B$6:$B$17&lt;&gt;"")),'Changes &amp; Events'!$E$6:$E$17),'Your Pay &amp; Benefits'!$D$38))</f>
      </c>
      <c r="BK34" s="7">
        <f>IF($B34="","",IFERROR(LOOKUP(2,1/(((('Changes &amp; Events'!$C$6:$C$17="Deduction start"))*('Changes &amp; Events'!$D$6:$D$17="Dependent-care FSA"))*('Changes &amp; Events'!$B$6:$B$17&lt;=$B34)*('Changes &amp; Events'!$B$6:$B$17&lt;&gt;"")),'Changes &amp; Events'!$E$6:$E$17),'Your Pay &amp; Benefits'!$D$39))</f>
      </c>
      <c r="BL34" s="7">
        <f>IF($B34="","",IFERROR(LOOKUP(2,1/(((('Changes &amp; Events'!$C$6:$C$17="Deduction start")+('Changes &amp; Events'!$C$6:$C$17="Deduction stop"))*('Changes &amp; Events'!$D$6:$D$17="HSA"))*('Changes &amp; Events'!$B$6:$B$17&lt;=$B34)*('Changes &amp; Events'!$B$6:$B$17&lt;&gt;"")),'Changes &amp; Events'!$I$6:$I$17),'Your Pay &amp; Benefits'!$D$35))</f>
      </c>
      <c r="BM34" s="7">
        <f>IF($B34="","",IFERROR(LOOKUP(2,1/(((('Changes &amp; Events'!$C$6:$C$17="Deduction start")+('Changes &amp; Events'!$C$6:$C$17="Deduction stop"))*('Changes &amp; Events'!$D$6:$D$17="Premiums"))*('Changes &amp; Events'!$B$6:$B$17&lt;=$B34)*('Changes &amp; Events'!$B$6:$B$17&lt;&gt;"")),'Changes &amp; Events'!$I$6:$I$17),'Your Pay &amp; Benefits'!$D$40+'Your Pay &amp; Benefits'!$D$41+'Your Pay &amp; Benefits'!$D$42))</f>
      </c>
      <c r="BN34" s="7">
        <f>IF($B34="","",IFERROR(LOOKUP(2,1/(((('Changes &amp; Events'!$C$6:$C$17="Deduction start")+('Changes &amp; Events'!$C$6:$C$17="Deduction stop"))*('Changes &amp; Events'!$D$6:$D$17="Commuter"))*('Changes &amp; Events'!$B$6:$B$17&lt;=$B34)*('Changes &amp; Events'!$B$6:$B$17&lt;&gt;"")),'Changes &amp; Events'!$I$6:$I$17),'Your Pay &amp; Benefits'!$D$43))</f>
      </c>
      <c r="BO34" s="7">
        <f>IF($B34="","",IFERROR(LOOKUP(2,1/(((('Changes &amp; Events'!$C$6:$C$17="Deduction start")+('Changes &amp; Events'!$C$6:$C$17="Deduction stop"))*('Changes &amp; Events'!$D$6:$D$17="Other pre-tax"))*('Changes &amp; Events'!$B$6:$B$17&lt;=$B34)*('Changes &amp; Events'!$B$6:$B$17&lt;&gt;"")),'Changes &amp; Events'!$I$6:$I$17),'Your Pay &amp; Benefits'!$D$44))</f>
      </c>
      <c r="BP34" s="7">
        <f>IF($B34="","",IFERROR(LOOKUP(2,1/(((('Changes &amp; Events'!$C$6:$C$17="Deduction start")+('Changes &amp; Events'!$C$6:$C$17="Deduction stop"))*('Changes &amp; Events'!$D$6:$D$17="Other post-tax"))*('Changes &amp; Events'!$B$6:$B$17&lt;=$B34)*('Changes &amp; Events'!$B$6:$B$17&lt;&gt;"")),'Changes &amp; Events'!$I$6:$I$17),'Your Pay &amp; Benefits'!$D$45))</f>
      </c>
      <c r="BQ34" s="6">
        <f>IF($B34="","",IFERROR(LOOKUP(2,1/(((('Changes &amp; Events'!$C$6:$C$17="Deduction start")+('Changes &amp; Events'!$C$6:$C$17="Deduction stop"))*('Changes &amp; Events'!$D$6:$D$17="Health FSA"))*('Changes &amp; Events'!$B$6:$B$17&lt;=$B34)*('Changes &amp; Events'!$B$6:$B$17&lt;&gt;"")),'Changes &amp; Events'!$J$6:$J$17),0))</f>
      </c>
      <c r="BR34" s="6">
        <f>IF($B34="","",IFERROR(LOOKUP(2,1/(((('Changes &amp; Events'!$C$6:$C$17="Deduction start")+('Changes &amp; Events'!$C$6:$C$17="Deduction stop"))*('Changes &amp; Events'!$D$6:$D$17="Dependent-care FSA"))*('Changes &amp; Events'!$B$6:$B$17&lt;=$B34)*('Changes &amp; Events'!$B$6:$B$17&lt;&gt;"")),'Changes &amp; Events'!$J$6:$J$17),0))</f>
      </c>
      <c r="BS34" s="6">
        <f>IF($B34="","",IF(SUMPRODUCT(('Changes &amp; Events'!$C$6:$C$17="Deduction start")*('Changes &amp; Events'!$B$6:$B$17&lt;=$B34)*('Changes &amp; Events'!$B$6:$B$17&lt;&gt;"")*('Changes &amp; Events'!$D$6:$D$17="Health FSA"))&gt;0,1,0))</f>
      </c>
      <c r="BT34" s="6">
        <f>IF($B34="","",IF(SUMPRODUCT(('Changes &amp; Events'!$C$6:$C$17="Deduction start")*('Changes &amp; Events'!$B$6:$B$17&lt;=$B34)*('Changes &amp; Events'!$B$6:$B$17&lt;&gt;"")*('Changes &amp; Events'!$D$6:$D$17="Dependent-care FSA"))&gt;0,1,0))</f>
      </c>
      <c r="BU34" s="24">
        <f>IF($B34="","",IF('Your Pay &amp; Benefits'!$C$13,SUMPRODUCT(($AH34&gt;=INDEX('How This Works &amp; Sources'!$B$29:$J$36,0,IF('Your Pay &amp; Benefits'!$C$12="MFJ",1,IF('Your Pay &amp; Benefits'!$C$12="HoH",7,4))))*INDEX('How This Works &amp; Sources'!$B$29:$J$36,0,IF('Your Pay &amp; Benefits'!$C$12="MFJ",1,IF('Your Pay &amp; Benefits'!$C$12="HoH",7,4))+2)),SUMPRODUCT(($AH34&gt;=INDEX('How This Works &amp; Sources'!$B$19:$J$26,0,IF('Your Pay &amp; Benefits'!$C$12="MFJ",1,IF('Your Pay &amp; Benefits'!$C$12="HoH",7,4))))*INDEX('How This Works &amp; Sources'!$B$19:$J$26,0,IF('Your Pay &amp; Benefits'!$C$12="MFJ",1,IF('Your Pay &amp; Benefits'!$C$12="HoH",7,4))+2))))</f>
      </c>
      <c r="BV34" s="24">
        <f>IF($B34="","",IF($BZ34&lt;&gt;"",$BZ34,IF($CA34&lt;&gt;"",$CA34,IF($CB34&lt;&gt;"",$CB34,IF($CC34&lt;&gt;"",$CC34,0)))))</f>
      </c>
      <c r="BW34" s="7">
        <f>IF($B34="","",IF($AN34="MD",IF(OR($AU34="Married",$AU34="Head of household"),SUMPRODUCT(($AZ34&gt;INDEX('How This Works &amp; Sources'!$B$114:$J$120,0,1))*($AZ34-INDEX('How This Works &amp; Sources'!$B$114:$J$120,0,1))*INDEX('How This Works &amp; Sources'!$B$114:$J$120,0,1+2)),SUMPRODUCT(($AZ34&gt;INDEX('How This Works &amp; Sources'!$B$103:$J$109,0,7))*($AZ34-INDEX('How This Works &amp; Sources'!$B$103:$J$109,0,7))*INDEX('How This Works &amp; Sources'!$B$103:$J$109,0,7+2))),IF($AN34="MO",SUMPRODUCT(($AZ34&gt;INDEX('How This Works &amp; Sources'!$B$125:$J$132,0,1))*($AZ34-INDEX('How This Works &amp; Sources'!$B$125:$J$132,0,1))*INDEX('How This Works &amp; Sources'!$B$125:$J$132,0,1+2)),IF($AN34="MT",IF($AU34="Head of household",SUMPRODUCT(($AZ34&gt;INDEX('How This Works &amp; Sources'!$B$137:$J$139,0,1))*($AZ34-INDEX('How This Works &amp; Sources'!$B$137:$J$139,0,1))*INDEX('How This Works &amp; Sources'!$B$137:$J$139,0,1+2)),IF($AU34="Married",SUMPRODUCT(($AZ34&gt;INDEX('How This Works &amp; Sources'!$B$125:$J$132,0,7))*($AZ34-INDEX('How This Works &amp; Sources'!$B$125:$J$132,0,7))*INDEX('How This Works &amp; Sources'!$B$125:$J$132,0,7+2)),SUMPRODUCT(($AZ34&gt;INDEX('How This Works &amp; Sources'!$B$125:$J$132,0,4))*($AZ34-INDEX('How This Works &amp; Sources'!$B$125:$J$132,0,4))*INDEX('How This Works &amp; Sources'!$B$125:$J$132,0,4+2)))),IF($AN34="ND",IF($AU34="Head of household",SUMPRODUCT(($AZ34&gt;INDEX('How This Works &amp; Sources'!$B$144:$J$150,0,1))*($AZ34-INDEX('How This Works &amp; Sources'!$B$144:$J$150,0,1))*INDEX('How This Works &amp; Sources'!$B$144:$J$150,0,1+2)),IF($AU34="Married",SUMPRODUCT(($AZ34&gt;INDEX('How This Works &amp; Sources'!$B$137:$J$139,0,7))*($AZ34-INDEX('How This Works &amp; Sources'!$B$137:$J$139,0,7))*INDEX('How This Works &amp; Sources'!$B$137:$J$139,0,7+2)),SUMPRODUCT(($AZ34&gt;INDEX('How This Works &amp; Sources'!$B$137:$J$139,0,4))*($AZ34-INDEX('How This Works &amp; Sources'!$B$137:$J$139,0,4))*INDEX('How This Works &amp; Sources'!$B$137:$J$139,0,4+2)))),IF($AN34="NJ",IF('Your Pay &amp; Benefits'!$C$77="B",SUMPRODUCT(($AZ34&gt;INDEX('How This Works &amp; Sources'!$B$155:$J$162,0,4))*($AZ34-INDEX('How This Works &amp; Sources'!$B$155:$J$162,0,4))*INDEX('How This Works &amp; Sources'!$B$155:$J$162,0,4+2)),IF('Your Pay &amp; Benefits'!$C$77="C",SUMPRODUCT(($AZ34&gt;INDEX('How This Works &amp; Sources'!$B$155:$J$162,0,7))*($AZ34-INDEX('How This Works &amp; Sources'!$B$155:$J$162,0,7))*INDEX('How This Works &amp; Sources'!$B$155:$J$162,0,7+2)),IF('Your Pay &amp; Benefits'!$C$77="D",SUMPRODUCT(($AZ34&gt;INDEX('How This Works &amp; Sources'!$B$167:$J$179,0,1))*($AZ34-INDEX('How This Works &amp; Sources'!$B$167:$J$179,0,1))*INDEX('How This Works &amp; Sources'!$B$167:$J$179,0,1+2)),IF('Your Pay &amp; Benefits'!$C$77="E",SUMPRODUCT(($AZ34&gt;INDEX('How This Works &amp; Sources'!$B$167:$J$179,0,4))*($AZ34-INDEX('How This Works &amp; Sources'!$B$167:$J$179,0,4))*INDEX('How This Works &amp; Sources'!$B$167:$J$179,0,4+2)),SUMPRODUCT(($AZ34&gt;INDEX('How This Works &amp; Sources'!$B$155:$J$162,0,1))*($AZ34-INDEX('How This Works &amp; Sources'!$B$155:$J$162,0,1))*INDEX('How This Works &amp; Sources'!$B$155:$J$162,0,1+2)))))),IF($AN34="NY",IF($AU34="Married",IF($AZ34&gt;=2155350,$AZ34*IF($AZ34&gt;25000000,0.117,IF($AZ34&gt;5000000,0.111,0.1045)),SUMPRODUCT(($AZ34&gt;INDEX('How This Works &amp; Sources'!$B$184:$J$198,0,1))*($AZ34-INDEX('How This Works &amp; Sources'!$B$184:$J$198,0,1))*INDEX('How This Works &amp; Sources'!$B$184:$J$198,0,1+2))),IF($AZ34&gt;=1077550,$AZ34*IF($AZ34&gt;25000000,0.117,IF($AZ34&gt;5000000,0.111,0.1045)),SUMPRODUCT(($AZ34&gt;INDEX('How This Works &amp; Sources'!$B$167:$J$179,0,7))*($AZ34-INDEX('How This Works &amp; Sources'!$B$167:$J$179,0,7))*INDEX('How This Works &amp; Sources'!$B$167:$J$179,0,7+2)))),"")))))))</f>
      </c>
      <c r="BX34" s="7">
        <f>IF($B34="","",IF($AN34="AL",IF(OR($AU34="Married",$AU34="Head of household"),SUMPRODUCT(($AZ34&gt;INDEX('How This Works &amp; Sources'!$B$82:$J$86,0,4))*($AZ34-INDEX('How This Works &amp; Sources'!$B$82:$J$86,0,4))*INDEX('How This Works &amp; Sources'!$B$82:$J$86,0,4+2)),SUMPRODUCT(($AZ34&gt;INDEX('How This Works &amp; Sources'!$B$82:$J$86,0,1))*($AZ34-INDEX('How This Works &amp; Sources'!$B$82:$J$86,0,1))*INDEX('How This Works &amp; Sources'!$B$82:$J$86,0,1+2))),IF($AN34="KS",IF($AU34="Married",SUMPRODUCT(($AZ34&gt;INDEX('How This Works &amp; Sources'!$B$103:$J$109,0,4))*($AZ34-INDEX('How This Works &amp; Sources'!$B$103:$J$109,0,4))*INDEX('How This Works &amp; Sources'!$B$103:$J$109,0,4+2)),SUMPRODUCT(($AZ34&gt;INDEX('How This Works &amp; Sources'!$B$103:$J$109,0,1))*($AZ34-INDEX('How This Works &amp; Sources'!$B$103:$J$109,0,1))*INDEX('How This Works &amp; Sources'!$B$103:$J$109,0,1+2))),IF($AN34="MN",IF($AU34="Married",SUMPRODUCT(($AZ34&gt;INDEX('How This Works &amp; Sources'!$B$114:$J$120,0,7))*($AZ34-INDEX('How This Works &amp; Sources'!$B$114:$J$120,0,7))*INDEX('How This Works &amp; Sources'!$B$114:$J$120,0,7+2)),SUMPRODUCT(($AZ34&gt;INDEX('How This Works &amp; Sources'!$B$114:$J$120,0,4))*($AZ34-INDEX('How This Works &amp; Sources'!$B$114:$J$120,0,4))*INDEX('How This Works &amp; Sources'!$B$114:$J$120,0,4+2))),IF($AN34="NE",MAX(IF($AU34="Married",SUMPRODUCT(($AZ34&gt;INDEX('How This Works &amp; Sources'!$B$144:$J$150,0,7))*($AZ34-INDEX('How This Works &amp; Sources'!$B$144:$J$150,0,7))*INDEX('How This Works &amp; Sources'!$B$144:$J$150,0,7+2)),SUMPRODUCT(($AZ34&gt;INDEX('How This Works &amp; Sources'!$B$144:$J$150,0,4))*($AZ34-INDEX('How This Works &amp; Sources'!$B$144:$J$150,0,4))*INDEX('How This Works &amp; Sources'!$B$144:$J$150,0,4+2))),0.015*$AZ34),IF($AN34="OH",IF($B34&gt;=DATE(2026,8,1),SUMPRODUCT(($AZ34&gt;INDEX('How This Works &amp; Sources'!$B$203:$J$206,0,1))*($AZ34-INDEX('How This Works &amp; Sources'!$B$203:$J$206,0,1))*INDEX('How This Works &amp; Sources'!$B$203:$J$206,0,1+2)),SUMPRODUCT(($AZ34&gt;INDEX('How This Works &amp; Sources'!$B$184:$J$198,0,7))*($AZ34-INDEX('How This Works &amp; Sources'!$B$184:$J$198,0,7))*INDEX('How This Works &amp; Sources'!$B$184:$J$198,0,7+2))),IF($AN34="OK",IF($AU34="Married",SUMPRODUCT(($AZ34&gt;INDEX('How This Works &amp; Sources'!$B$203:$J$206,0,7))*($AZ34-INDEX('How This Works &amp; Sources'!$B$203:$J$206,0,7))*INDEX('How This Works &amp; Sources'!$B$203:$J$206,0,7+2)),SUMPRODUCT(($AZ34&gt;INDEX('How This Works &amp; Sources'!$B$203:$J$206,0,4))*($AZ34-INDEX('How This Works &amp; Sources'!$B$203:$J$206,0,4))*INDEX('How This Works &amp; Sources'!$B$203:$J$206,0,4+2))),IF($AN34="RI",SUMPRODUCT(($AZ34&gt;INDEX('How This Works &amp; Sources'!$B$211:$J$214,0,7))*($AZ34-INDEX('How This Works &amp; Sources'!$B$211:$J$214,0,7))*INDEX('How This Works &amp; Sources'!$B$211:$J$214,0,7+2)),IF($AN34="VT",IF($AU34="Married",SUMPRODUCT(($AZ34&gt;INDEX('How This Works &amp; Sources'!$B$228:$J$232,0,1))*($AZ34-INDEX('How This Works &amp; Sources'!$B$228:$J$232,0,1))*INDEX('How This Works &amp; Sources'!$B$228:$J$232,0,1+2)),SUMPRODUCT(($AZ34&gt;INDEX('How This Works &amp; Sources'!$B$219:$J$223,0,7))*($AZ34-INDEX('How This Works &amp; Sources'!$B$219:$J$223,0,7))*INDEX('How This Works &amp; Sources'!$B$219:$J$223,0,7+2))),IF($AN34="WV",IF($AU34="Married",SUMPRODUCT(($AZ34&gt;INDEX('How This Works &amp; Sources'!$B$237:$J$241,0,7))*($AZ34-INDEX('How This Works &amp; Sources'!$B$237:$J$241,0,7))*INDEX('How This Works &amp; Sources'!$B$237:$J$241,0,7+2)),SUMPRODUCT(($AZ34&gt;INDEX('How This Works &amp; Sources'!$B$228:$J$232,0,7))*($AZ34-INDEX('How This Works &amp; Sources'!$B$228:$J$232,0,7))*INDEX('How This Works &amp; Sources'!$B$228:$J$232,0,7+2))),""))))))))))</f>
      </c>
      <c r="BY34" s="7">
        <f>IF($B34="","",IF($AN34="AR",SUMPRODUCT(($AZ34&gt;INDEX('How This Works &amp; Sources'!$B$82:$J$86,0,7))*($AZ34-INDEX('How This Works &amp; Sources'!$B$82:$J$86,0,7))*INDEX('How This Works &amp; Sources'!$B$82:$J$86,0,7+2)),IF($AN34="DE",SUMPRODUCT(($AZ34&gt;INDEX('How This Works &amp; Sources'!$B$91:$J$98,0,1))*($AZ34-INDEX('How This Works &amp; Sources'!$B$91:$J$98,0,1))*INDEX('How This Works &amp; Sources'!$B$91:$J$98,0,1+2)),IF($AN34="HI",IF($AU34="Married",SUMPRODUCT(($AZ34&gt;INDEX('How This Works &amp; Sources'!$B$91:$J$98,0,7))*($AZ34-INDEX('How This Works &amp; Sources'!$B$91:$J$98,0,7))*INDEX('How This Works &amp; Sources'!$B$91:$J$98,0,7+2)),SUMPRODUCT(($AZ34&gt;INDEX('How This Works &amp; Sources'!$B$91:$J$98,0,4))*($AZ34-INDEX('How This Works &amp; Sources'!$B$91:$J$98,0,4))*INDEX('How This Works &amp; Sources'!$B$91:$J$98,0,4+2))),IF($AN34="SC",SUMPRODUCT(($AZ34&gt;INDEX('How This Works &amp; Sources'!$B$219:$J$223,0,1))*($AZ34-INDEX('How This Works &amp; Sources'!$B$219:$J$223,0,1))*INDEX('How This Works &amp; Sources'!$B$219:$J$223,0,1+2)),IF($AN34="VA",SUMPRODUCT(($AZ34&gt;INDEX('How This Works &amp; Sources'!$B$219:$J$223,0,4))*($AZ34-INDEX('How This Works &amp; Sources'!$B$219:$J$223,0,4))*INDEX('How This Works &amp; Sources'!$B$219:$J$223,0,4+2)),IF($AN34="WI",SUMPRODUCT(($AZ34&gt;INDEX('How This Works &amp; Sources'!$B$228:$J$232,0,4))*($AZ34-INDEX('How This Works &amp; Sources'!$B$228:$J$232,0,4))*INDEX('How This Works &amp; Sources'!$B$228:$J$232,0,4+2)),"")))))))</f>
      </c>
      <c r="BZ34" s="24">
        <f>IF($B34="","",IF($AN34="NJ",IF('Your Pay &amp; Benefits'!$C$77="B",SUMPRODUCT(($AZ34&gt;=INDEX('How This Works &amp; Sources'!$B$155:$J$162,0,4))*INDEX('How This Works &amp; Sources'!$B$155:$J$162,0,4+2)),IF('Your Pay &amp; Benefits'!$C$77="C",SUMPRODUCT(($AZ34&gt;=INDEX('How This Works &amp; Sources'!$B$155:$J$162,0,7))*INDEX('How This Works &amp; Sources'!$B$155:$J$162,0,7+2)),IF('Your Pay &amp; Benefits'!$C$77="D",SUMPRODUCT(($AZ34&gt;=INDEX('How This Works &amp; Sources'!$B$167:$J$179,0,1))*INDEX('How This Works &amp; Sources'!$B$167:$J$179,0,1+2)),IF('Your Pay &amp; Benefits'!$C$77="E",SUMPRODUCT(($AZ34&gt;=INDEX('How This Works &amp; Sources'!$B$167:$J$179,0,4))*INDEX('How This Works &amp; Sources'!$B$167:$J$179,0,4+2)),SUMPRODUCT(($AZ34&gt;=INDEX('How This Works &amp; Sources'!$B$155:$J$162,0,1))*INDEX('How This Works &amp; Sources'!$B$155:$J$162,0,1+2)))))),IF($AN34="OR",IF(OR($AU34="Married",AND($AU34="Single",$AS34&gt;=3)),SUMPRODUCT((MAX(0,$AY34-MIN(($P34-'How This Works &amp; Sources'!$C$10*$D34)*'Your Pay &amp; Benefits'!$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Sources'!$B$211:$J$214,0,4))*INDEX('How This Works &amp; Sources'!$B$211:$J$214,0,4+2)),SUMPRODUCT((MAX(0,$AY34-MIN(($P34-'How This Works &amp; Sources'!$C$10*$D34)*'Your Pay &amp; Benefits'!$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Sources'!$B$211:$J$214,0,1))*INDEX('How This Works &amp; Sources'!$B$211:$J$214,0,1+2)))*IF(($P34-'How This Works &amp; Sources'!$C$10*$D34)*'Your Pay &amp; Benefits'!$C$8&gt;=IF(OR($AU34="Married",AND($AU34="Single",$AS34&gt;=3)),IF($AY34&lt;250000,8750,IF($AY34&lt;260000,7000,IF($AY34&lt;270000,5250,IF($AY34&lt;280000,3500,IF($AY34&lt;290000,1750,0))))),IF($AY34&lt;125000,8750,IF($AY34&lt;130000,7000,IF($AY34&lt;135000,5250,IF($AY34&lt;140000,3500,IF($AY34&lt;145000,1750,0)))))),1,1-IF('Your Pay &amp; Benefits'!$C$13,SUMPRODUCT(($AH34&gt;=INDEX('How This Works &amp; Sources'!$B$29:$J$36,0,IF('Your Pay &amp; Benefits'!$C$12="MFJ",1,IF('Your Pay &amp; Benefits'!$C$12="HoH",7,4))))*INDEX('How This Works &amp; Sources'!$B$29:$J$36,0,IF('Your Pay &amp; Benefits'!$C$12="MFJ",1,IF('Your Pay &amp; Benefits'!$C$12="HoH",7,4))+2)),SUMPRODUCT(($AH34&gt;=INDEX('How This Works &amp; Sources'!$B$19:$J$26,0,IF('Your Pay &amp; Benefits'!$C$12="MFJ",1,IF('Your Pay &amp; Benefits'!$C$12="HoH",7,4))))*INDEX('How This Works &amp; Sources'!$B$19:$J$26,0,IF('Your Pay &amp; Benefits'!$C$12="MFJ",1,IF('Your Pay &amp; Benefits'!$C$12="HoH",7,4))+2)))),IF($AN34="MI",IF($AY34&gt;5900*$AS34,0.0425,0),""))))</f>
      </c>
      <c r="CA34" s="24">
        <f>IF($B34="","",IF($AN34="AL",IF(OR($AU34="Married",$AU34="Head of household"),SUMPRODUCT(($AZ34&gt;=INDEX('How This Works &amp; Sources'!$B$82:$J$86,0,4))*INDEX('How This Works &amp; Sources'!$B$82:$J$86,0,4+2)),SUMPRODUCT(($AZ34&gt;=INDEX('How This Works &amp; Sources'!$B$82:$J$86,0,1))*INDEX('How This Works &amp; Sources'!$B$82:$J$86,0,1+2)))*(1-IF('Your Pay &amp; Benefits'!$C$13,SUMPRODUCT(($AH34&gt;=INDEX('How This Works &amp; Sources'!$B$29:$J$36,0,IF('Your Pay &amp; Benefits'!$C$12="MFJ",1,IF('Your Pay &amp; Benefits'!$C$12="HoH",7,4))))*INDEX('How This Works &amp; Sources'!$B$29:$J$36,0,IF('Your Pay &amp; Benefits'!$C$12="MFJ",1,IF('Your Pay &amp; Benefits'!$C$12="HoH",7,4))+2)),SUMPRODUCT(($AH34&gt;=INDEX('How This Works &amp; Sources'!$B$19:$J$26,0,IF('Your Pay &amp; Benefits'!$C$12="MFJ",1,IF('Your Pay &amp; Benefits'!$C$12="HoH",7,4))))*INDEX('How This Works &amp; Sources'!$B$19:$J$26,0,IF('Your Pay &amp; Benefits'!$C$12="MFJ",1,IF('Your Pay &amp; Benefits'!$C$12="HoH",7,4))+2)))),IF($AN34="KS",IF($AU34="Married",SUMPRODUCT(($AZ34&gt;=INDEX('How This Works &amp; Sources'!$B$103:$J$109,0,4))*INDEX('How This Works &amp; Sources'!$B$103:$J$109,0,4+2)),SUMPRODUCT(($AZ34&gt;=INDEX('How This Works &amp; Sources'!$B$103:$J$109,0,1))*INDEX('How This Works &amp; Sources'!$B$103:$J$109,0,1+2))),IF($AN34="MD",IF(OR($AU34="Married",$AU34="Head of household"),SUMPRODUCT(($AZ34&gt;=INDEX('How This Works &amp; Sources'!$B$114:$J$120,0,1))*INDEX('How This Works &amp; Sources'!$B$114:$J$120,0,1+2)),SUMPRODUCT(($AZ34&gt;=INDEX('How This Works &amp; Sources'!$B$103:$J$109,0,7))*INDEX('How This Works &amp; Sources'!$B$103:$J$109,0,7+2)))+'Your Pay &amp; Benefits'!$C$74,IF($AN34="MT",IF($AU34="Head of household",SUMPRODUCT(($AZ34&gt;=INDEX('How This Works &amp; Sources'!$B$137:$J$139,0,1))*INDEX('How This Works &amp; Sources'!$B$137:$J$139,0,1+2)),IF($AU34="Married",SUMPRODUCT(($AZ34&gt;=INDEX('How This Works &amp; Sources'!$B$125:$J$132,0,7))*INDEX('How This Works &amp; Sources'!$B$125:$J$132,0,7+2)),SUMPRODUCT(($AZ34&gt;=INDEX('How This Works &amp; Sources'!$B$125:$J$132,0,4))*INDEX('How This Works &amp; Sources'!$B$125:$J$132,0,4+2)))),IF($AN34="ND",IF($AU34="Head of household",SUMPRODUCT(($AZ34&gt;=INDEX('How This Works &amp; Sources'!$B$144:$J$150,0,1))*INDEX('How This Works &amp; Sources'!$B$144:$J$150,0,1+2)),IF($AU34="Married",SUMPRODUCT(($AZ34&gt;=INDEX('How This Works &amp; Sources'!$B$137:$J$139,0,7))*INDEX('How This Works &amp; Sources'!$B$137:$J$139,0,7+2)),SUMPRODUCT(($AZ34&gt;=INDEX('How This Works &amp; Sources'!$B$137:$J$139,0,4))*INDEX('How This Works &amp; Sources'!$B$137:$J$139,0,4+2)))),IF($AN34="NY",IF($AU34="Married",IF($AZ34&gt;=2155350,IF($AZ34&gt;25000000,0.117,IF($AZ34&gt;5000000,0.111,0.1045)),SUMPRODUCT(($AZ34&gt;=INDEX('How This Works &amp; Sources'!$B$184:$J$198,0,1))*INDEX('How This Works &amp; Sources'!$B$184:$J$198,0,1+2))),IF($AZ34&gt;=1077550,IF($AZ34&gt;25000000,0.117,IF($AZ34&gt;5000000,0.111,0.1045)),SUMPRODUCT(($AZ34&gt;=INDEX('How This Works &amp; Sources'!$B$167:$J$179,0,7))*INDEX('How This Works &amp; Sources'!$B$167:$J$179,0,7+2)))),"")))))))</f>
      </c>
      <c r="CB34" s="24">
        <f>IF($B34="","",IF($AN34="CA",SUMPRODUCT(($AJ34&gt;=INDEX('How This Works &amp; Sources'!$B$39:$J$48,0,IF($AU34="Married",4,IF($AU34="Head of household",7,1))))*INDEX('How This Works &amp; Sources'!$B$39:$J$48,0,IF($AU34="Married",4,IF($AU34="Head of household",7,1))+2)),IF($AN34="HI",IF($AU34="Married",SUMPRODUCT(($AZ34&gt;=INDEX('How This Works &amp; Sources'!$B$91:$J$98,0,7))*INDEX('How This Works &amp; Sources'!$B$91:$J$98,0,7+2)),SUMPRODUCT(($AZ34&gt;=INDEX('How This Works &amp; Sources'!$B$91:$J$98,0,4))*INDEX('How This Works &amp; Sources'!$B$91:$J$98,0,4+2))),IF($AN34="MN",IF($AU34="Married",SUMPRODUCT(($AZ34&gt;=INDEX('How This Works &amp; Sources'!$B$114:$J$120,0,7))*INDEX('How This Works &amp; Sources'!$B$114:$J$120,0,7+2)),SUMPRODUCT(($AZ34&gt;=INDEX('How This Works &amp; Sources'!$B$114:$J$120,0,4))*INDEX('How This Works &amp; Sources'!$B$114:$J$120,0,4+2))),IF($AN34="MO",SUMPRODUCT(($AZ34&gt;=INDEX('How This Works &amp; Sources'!$B$125:$J$132,0,1))*INDEX('How This Works &amp; Sources'!$B$125:$J$132,0,1+2)),IF($AN34="NE",MAX(IF($AU34="Married",SUMPRODUCT(($AZ34&gt;=INDEX('How This Works &amp; Sources'!$B$144:$J$150,0,7))*INDEX('How This Works &amp; Sources'!$B$144:$J$150,0,7+2)),SUMPRODUCT(($AZ34&gt;=INDEX('How This Works &amp; Sources'!$B$144:$J$150,0,4))*INDEX('How This Works &amp; Sources'!$B$144:$J$150,0,4+2))),0.015),IF($AN34="OH",IF($B34&gt;=DATE(2026,8,1),SUMPRODUCT(($AZ34&gt;=INDEX('How This Works &amp; Sources'!$B$203:$J$206,0,1))*INDEX('How This Works &amp; Sources'!$B$203:$J$206,0,1+2)),SUMPRODUCT(($AZ34&gt;=INDEX('How This Works &amp; Sources'!$B$184:$J$198,0,7))*INDEX('How This Works &amp; Sources'!$B$184:$J$198,0,7+2))),IF($AN34="OK",IF($AU34="Married",SUMPRODUCT(($AZ34&gt;=INDEX('How This Works &amp; Sources'!$B$203:$J$206,0,7))*INDEX('How This Works &amp; Sources'!$B$203:$J$206,0,7+2)),SUMPRODUCT(($AZ34&gt;=INDEX('How This Works &amp; Sources'!$B$203:$J$206,0,4))*INDEX('How This Works &amp; Sources'!$B$203:$J$206,0,4+2))),IF($AN34="RI",SUMPRODUCT(($AZ34&gt;=INDEX('How This Works &amp; Sources'!$B$211:$J$214,0,7))*INDEX('How This Works &amp; Sources'!$B$211:$J$214,0,7+2)),IF($AN34="SC",SUMPRODUCT(($AZ34&gt;=INDEX('How This Works &amp; Sources'!$B$219:$J$223,0,1))*INDEX('How This Works &amp; Sources'!$B$219:$J$223,0,1+2)),IF($AN34="VT",IF($AU34="Married",SUMPRODUCT(($AZ34&gt;=INDEX('How This Works &amp; Sources'!$B$228:$J$232,0,1))*INDEX('How This Works &amp; Sources'!$B$228:$J$232,0,1+2)),SUMPRODUCT(($AZ34&gt;=INDEX('How This Works &amp; Sources'!$B$219:$J$223,0,7))*INDEX('How This Works &amp; Sources'!$B$219:$J$223,0,7+2))),IF($AN34="WV",IF($AU34="Married",SUMPRODUCT(($AZ34&gt;=INDEX('How This Works &amp; Sources'!$B$237:$J$241,0,7))*INDEX('How This Works &amp; Sources'!$B$237:$J$241,0,7+2)),SUMPRODUCT(($AZ34&gt;=INDEX('How This Works &amp; Sources'!$B$228:$J$232,0,7))*INDEX('How This Works &amp; Sources'!$B$228:$J$232,0,7+2))),IF($AN34="IN",(0.0295+'Your Pay &amp; Benefits'!$C$76),"")))))))))))))</f>
      </c>
      <c r="CC34" s="24">
        <f>IF($B34="","",IF($AN34="AR",SUMPRODUCT(($AZ34&gt;=INDEX('How This Works &amp; Sources'!$B$82:$J$86,0,7))*INDEX('How This Works &amp; Sources'!$B$82:$J$86,0,7+2)),IF($AN34="DE",SUMPRODUCT(($AZ34&gt;=INDEX('How This Works &amp; Sources'!$B$91:$J$98,0,1))*INDEX('How This Works &amp; Sources'!$B$91:$J$98,0,1+2)),IF($AN34="VA",SUMPRODUCT(($AZ34&gt;=INDEX('How This Works &amp; Sources'!$B$219:$J$223,0,4))*INDEX('How This Works &amp; Sources'!$B$219:$J$223,0,4+2)),IF($AN34="WI",SUMPRODUCT(($AZ34&gt;=INDEX('How This Works &amp; Sources'!$B$228:$J$232,0,4))*INDEX('How This Works &amp; Sources'!$B$228:$J$232,0,4+2)),IF($AN34="AZ",'Your Pay &amp; Benefits'!$C$82,IF($AN34="CO",IF($AY34&gt;IF($AU34="Married",10000,5000),0.044,0),IF($AN34="IA",IF($AY34&gt;IF($AU34="Head of household",19500,IF($AU34="Married",26000,13000)),0.038,0),IF($AN34="ID",IF($AY34&gt;IF($AU34="Married",32000,16094),0.053,0),IF($AN34="IL",IF($AY34&gt;(2925*$AS34+1000*$AT34),0.0495,0),IF($AN34="KY",IF($AI34&gt;3360,0.035,0),IF($AN34="LA",0.0309,IF($AN34="MA",IF(MAX(0,$AY34-MIN(($BD33+$Q34+$R34+$S34),2000)-IF($AS34=0,0,IF($AS34=1,4400,1000*$AS34+3400)))&gt;=1107750,0.09,0.05),IF($AN34="MS",IF($AI34-IF($AU34="Head of household",3400,IF($AU34="Married",4600,2300))-'Your Pay &amp; Benefits'!$C$85&gt;10000,0.04,0),IF($AN34="PA",0.0307,"")))))))))))))))</f>
      </c>
      <c r="CD34" s="21">
        <f>IF(YEAR(IF('Your Pay &amp; Benefits'!$C$7="Weekly",'Your Pay &amp; Benefits'!$C$9+7*(($BE33+1)-1),IF('Your Pay &amp; Benefits'!$C$7="Biweekly",'Your Pay &amp; Benefits'!$C$9+14*(($BE33+1)-1),IF('Your Pay &amp; Benefits'!$C$7="Semimonthly",DATE(YEAR('Your Pay &amp; Benefits'!$C$9),MONTH('Your Pay &amp; Benefits'!$C$9)+INT((($BE33+1)-1)/2),MIN(DAY('Your Pay &amp; Benefits'!$C$9),DAY(EOMONTH(DATE(YEAR('Your Pay &amp; Benefits'!$C$9),MONTH('Your Pay &amp; Benefits'!$C$9)+INT((($BE33+1)-1)/2),1),0))))+IF(MOD(($BE33+1)-1,2)=1,15,0),EDATE('Your Pay &amp; Benefits'!$C$9,($BE33+1)-1)))))&lt;&gt;'Your Pay &amp; Benefits'!$C$10,"",IF('Your Pay &amp; Benefits'!$C$7="Weekly",'Your Pay &amp; Benefits'!$C$9+7*(($BE33+1)-1),IF('Your Pay &amp; Benefits'!$C$7="Biweekly",'Your Pay &amp; Benefits'!$C$9+14*(($BE33+1)-1),IF('Your Pay &amp; Benefits'!$C$7="Semimonthly",DATE(YEAR('Your Pay &amp; Benefits'!$C$9),MONTH('Your Pay &amp; Benefits'!$C$9)+INT((($BE33+1)-1)/2),MIN(DAY('Your Pay &amp; Benefits'!$C$9),DAY(EOMONTH(DATE(YEAR('Your Pay &amp; Benefits'!$C$9),MONTH('Your Pay &amp; Benefits'!$C$9)+INT((($BE33+1)-1)/2),1),0))))+IF(MOD(($BE33+1)-1,2)=1,15,0),EDATE('Your Pay &amp; Benefits'!$C$9,($BE33+1)-1)))))</f>
      </c>
      <c r="CE34" s="21">
        <f>IF(MIN(IF(AND('Your Pay &amp; Benefits'!$C$58&gt;MAX($B$6:$B33),'Your Pay &amp; Benefits'!$C$58&gt;=DATE('Your Pay &amp; Benefits'!$C$10,1,1),'Your Pay &amp; Benefits'!$C$58&lt;=DATE('Your Pay &amp; Benefits'!$C$10,12,31)),'Your Pay &amp; Benefits'!$C$58,999999),IF(AND('Your Pay &amp; Benefits'!$C$59&gt;MAX($B$6:$B33),'Your Pay &amp; Benefits'!$C$59&gt;=DATE('Your Pay &amp; Benefits'!$C$10,1,1),'Your Pay &amp; Benefits'!$C$59&lt;=DATE('Your Pay &amp; Benefits'!$C$10,12,31)),'Your Pay &amp; Benefits'!$C$59,999999),IF(AND('Your Pay &amp; Benefits'!$C$60&gt;MAX($B$6:$B33),'Your Pay &amp; Benefits'!$C$60&gt;=DATE('Your Pay &amp; Benefits'!$C$10,1,1),'Your Pay &amp; Benefits'!$C$60&lt;=DATE('Your Pay &amp; Benefits'!$C$10,12,31)),'Your Pay &amp; Benefits'!$C$60,999999),IF(AND('Your Pay &amp; Benefits'!$C$61&gt;MAX($B$6:$B33),'Your Pay &amp; Benefits'!$C$61&gt;=DATE('Your Pay &amp; Benefits'!$C$10,1,1),'Your Pay &amp; Benefits'!$C$61&lt;=DATE('Your Pay &amp; Benefits'!$C$10,12,31)),'Your Pay &amp; Benefits'!$C$61,999999),IF(AND('Your Pay &amp; Benefits'!$C$62&gt;MAX($B$6:$B33),'Your Pay &amp; Benefits'!$C$62&gt;=DATE('Your Pay &amp; Benefits'!$C$10,1,1),'Your Pay &amp; Benefits'!$C$62&lt;=DATE('Your Pay &amp; Benefits'!$C$10,12,31)),'Your Pay &amp; Benefits'!$C$62,999999),IF(AND('Your Pay &amp; Benefits'!$C$63&gt;MAX($B$6:$B33),'Your Pay &amp; Benefits'!$C$63&gt;=DATE('Your Pay &amp; Benefits'!$C$10,1,1),'Your Pay &amp; Benefits'!$C$63&lt;=DATE('Your Pay &amp; Benefits'!$C$10,12,31)),'Your Pay &amp; Benefits'!$C$63,999999),IF(AND('Your Pay &amp; Benefits'!$C$64&gt;MAX($B$6:$B33),'Your Pay &amp; Benefits'!$C$64&gt;=DATE('Your Pay &amp; Benefits'!$C$10,1,1),'Your Pay &amp; Benefits'!$C$64&lt;=DATE('Your Pay &amp; Benefits'!$C$10,12,31)),'Your Pay &amp; Benefits'!$C$64,999999),IF(AND('Your Pay &amp; Benefits'!$C$65&gt;MAX($B$6:$B33),'Your Pay &amp; Benefits'!$C$65&gt;=DATE('Your Pay &amp; Benefits'!$C$10,1,1),'Your Pay &amp; Benefits'!$C$65&lt;=DATE('Your Pay &amp; Benefits'!$C$10,12,31)),'Your Pay &amp; Benefits'!$C$65,999999),IF(AND('Your Pay &amp; Benefits'!$C$66&gt;MAX($B$6:$B33),'Your Pay &amp; Benefits'!$C$66&gt;=DATE('Your Pay &amp; Benefits'!$C$10,1,1),'Your Pay &amp; Benefits'!$C$66&lt;=DATE('Your Pay &amp; Benefits'!$C$10,12,31)),'Your Pay &amp; Benefits'!$C$66,999999),IF(AND('Your Pay &amp; Benefits'!$C$67&gt;MAX($B$6:$B33),'Your Pay &amp; Benefits'!$C$67&gt;=DATE('Your Pay &amp; Benefits'!$C$10,1,1),'Your Pay &amp; Benefits'!$C$67&lt;=DATE('Your Pay &amp; Benefits'!$C$10,12,31)),'Your Pay &amp; Benefits'!$C$67,999999))=999999,"",MIN(IF(AND('Your Pay &amp; Benefits'!$C$58&gt;MAX($B$6:$B33),'Your Pay &amp; Benefits'!$C$58&gt;=DATE('Your Pay &amp; Benefits'!$C$10,1,1),'Your Pay &amp; Benefits'!$C$58&lt;=DATE('Your Pay &amp; Benefits'!$C$10,12,31)),'Your Pay &amp; Benefits'!$C$58,999999),IF(AND('Your Pay &amp; Benefits'!$C$59&gt;MAX($B$6:$B33),'Your Pay &amp; Benefits'!$C$59&gt;=DATE('Your Pay &amp; Benefits'!$C$10,1,1),'Your Pay &amp; Benefits'!$C$59&lt;=DATE('Your Pay &amp; Benefits'!$C$10,12,31)),'Your Pay &amp; Benefits'!$C$59,999999),IF(AND('Your Pay &amp; Benefits'!$C$60&gt;MAX($B$6:$B33),'Your Pay &amp; Benefits'!$C$60&gt;=DATE('Your Pay &amp; Benefits'!$C$10,1,1),'Your Pay &amp; Benefits'!$C$60&lt;=DATE('Your Pay &amp; Benefits'!$C$10,12,31)),'Your Pay &amp; Benefits'!$C$60,999999),IF(AND('Your Pay &amp; Benefits'!$C$61&gt;MAX($B$6:$B33),'Your Pay &amp; Benefits'!$C$61&gt;=DATE('Your Pay &amp; Benefits'!$C$10,1,1),'Your Pay &amp; Benefits'!$C$61&lt;=DATE('Your Pay &amp; Benefits'!$C$10,12,31)),'Your Pay &amp; Benefits'!$C$61,999999),IF(AND('Your Pay &amp; Benefits'!$C$62&gt;MAX($B$6:$B33),'Your Pay &amp; Benefits'!$C$62&gt;=DATE('Your Pay &amp; Benefits'!$C$10,1,1),'Your Pay &amp; Benefits'!$C$62&lt;=DATE('Your Pay &amp; Benefits'!$C$10,12,31)),'Your Pay &amp; Benefits'!$C$62,999999),IF(AND('Your Pay &amp; Benefits'!$C$63&gt;MAX($B$6:$B33),'Your Pay &amp; Benefits'!$C$63&gt;=DATE('Your Pay &amp; Benefits'!$C$10,1,1),'Your Pay &amp; Benefits'!$C$63&lt;=DATE('Your Pay &amp; Benefits'!$C$10,12,31)),'Your Pay &amp; Benefits'!$C$63,999999),IF(AND('Your Pay &amp; Benefits'!$C$64&gt;MAX($B$6:$B33),'Your Pay &amp; Benefits'!$C$64&gt;=DATE('Your Pay &amp; Benefits'!$C$10,1,1),'Your Pay &amp; Benefits'!$C$64&lt;=DATE('Your Pay &amp; Benefits'!$C$10,12,31)),'Your Pay &amp; Benefits'!$C$64,999999),IF(AND('Your Pay &amp; Benefits'!$C$65&gt;MAX($B$6:$B33),'Your Pay &amp; Benefits'!$C$65&gt;=DATE('Your Pay &amp; Benefits'!$C$10,1,1),'Your Pay &amp; Benefits'!$C$65&lt;=DATE('Your Pay &amp; Benefits'!$C$10,12,31)),'Your Pay &amp; Benefits'!$C$65,999999),IF(AND('Your Pay &amp; Benefits'!$C$66&gt;MAX($B$6:$B33),'Your Pay &amp; Benefits'!$C$66&gt;=DATE('Your Pay &amp; Benefits'!$C$10,1,1),'Your Pay &amp; Benefits'!$C$66&lt;=DATE('Your Pay &amp; Benefits'!$C$10,12,31)),'Your Pay &amp; Benefits'!$C$66,999999),IF(AND('Your Pay &amp; Benefits'!$C$67&gt;MAX($B$6:$B33),'Your Pay &amp; Benefits'!$C$67&gt;=DATE('Your Pay &amp; Benefits'!$C$10,1,1),'Your Pay &amp; Benefits'!$C$67&lt;=DATE('Your Pay &amp; Benefits'!$C$10,12,31)),'Your Pay &amp; Benefits'!$C$67,999999)))</f>
      </c>
      <c r="CF34">
        <f>IF($B34="","",IF($D34=0,$Y34,""))</f>
      </c>
    </row>
    <row r="35">
      <c r="A35" t="n">
        <v>30</v>
      </c>
      <c r="B35" s="21">
        <f>IF(AND($CD35="",$CE35=""),"",IF($CE35="",$CD35,IF($CD35="",$CE35,MIN($CD35,$CE35))))</f>
      </c>
      <c r="C35" s="7">
        <f>IF($B35="","",IF($BF35=0,0,IF('Your Pay &amp; Benefits'!$C$4="Annual salary",ROUND($AK35/IF(AND('Your Pay &amp; Benefits'!$C$88="Actual paydays",MONTH('Your Pay &amp; Benefits'!$C$9)=1),MAX(1,MAX($BE$6:$BE$68)),'Your Pay &amp; Benefits'!$C$8),2),$AK35)))</f>
      </c>
      <c r="D35" s="7">
        <f>IF($B35="","",SUMIF('Your Pay &amp; Benefits'!$C$58:$C$67,$B35,'Your Pay &amp; Benefits'!$D$58:$D$67))</f>
      </c>
      <c r="E35" s="7">
        <f>IF($B35="","",ROUND(MAX(0,MIN(IF($AL35="Percent",$AM35*($C35+$D35),$AM35),MAX(0,'Your Pay &amp; Benefits'!$C$34-$AC34))),2))</f>
      </c>
      <c r="F35" s="7">
        <f>IF($B35="","",ROUND(MAX(0,MIN(IF('Your Pay &amp; Benefits'!$C$32="Percent",'Your Pay &amp; Benefits'!$D$32*($C35+$D35),'Your Pay &amp; Benefits'!$D$32),MAX(0,'Your Pay &amp; Benefits'!$C$34-$AC34-$E35))),2))</f>
      </c>
      <c r="G35" s="7">
        <f>IF($B35="","",IF($BF35=0,0,ROUND(MAX(0,MIN($BL35,'Your Pay &amp; Benefits'!$C$37-'Your Pay &amp; Benefits'!$C$54-$BI34)),2)))</f>
      </c>
      <c r="H35" s="7">
        <f>IF($B35="","",IF(OR($BF35=0,$BQ35=1),0,ROUND(MAX(0,MIN(IF($BS35=1,ROUND(MAX(0,MIN($BJ35,'How This Works &amp; Sources'!$C$13)-$BG34)/MAX(1,MAX($BE$6:$BE$68)-($BE34)),2),ROUND(MIN($BJ35,'How This Works &amp; Sources'!$C$13)/'Your Pay &amp; Benefits'!$C$8,2)),MIN($BJ35,'How This Works &amp; Sources'!$C$13)-$BG34)),2)))</f>
      </c>
      <c r="I35" s="7">
        <f>IF($B35="","",IF(OR($BF35=0,$BR35=1),0,ROUND(MAX(0,MIN(IF($BT35=1,ROUND(MAX(0,MIN($BK35,IF('Your Pay &amp; Benefits'!$C$12="MFJ",'How This Works &amp; Sources'!$C$14,'How This Works &amp; Sources'!$C$15))-$BH34)/MAX(1,MAX($BE$6:$BE$68)-($BE34)),2),ROUND(MIN($BK35,IF('Your Pay &amp; Benefits'!$C$12="MFJ",'How This Works &amp; Sources'!$C$14,'How This Works &amp; Sources'!$C$15))/'Your Pay &amp; Benefits'!$C$8,2)),MIN($BK35,IF('Your Pay &amp; Benefits'!$C$12="MFJ",'How This Works &amp; Sources'!$C$14,'How This Works &amp; Sources'!$C$15))-$BH34)),2)))</f>
      </c>
      <c r="J35" s="7">
        <f>IF($B35="","",IF($BF35=0,0,$BM35))</f>
      </c>
      <c r="K35" s="7">
        <f>IF($B35="","",IF($BF35=0,0,$BN35+$BO35))</f>
      </c>
      <c r="L35" s="7">
        <f>IF($B35="","",IF($BF35=0,0,'Your Pay &amp; Benefits'!$D$46))</f>
      </c>
      <c r="M35" s="7">
        <f>IF($B35="","",$C35+$D35+$L35-$E35-$G35-$H35-$I35-$J35-$K35)</f>
      </c>
      <c r="N35" s="7">
        <f>IF($B35="","",$C35+$D35+$L35-$G35-$H35-$I35-$J35-$K35)</f>
      </c>
      <c r="O35" s="7">
        <f>IF($B35="","",$C35+$D35+$L35-$E35-$H35-$I35-$J35-$K35-IF(OR($AN35="CA",$AN35="NJ"),0,$G35))</f>
      </c>
      <c r="P35" s="7">
        <f>IF($B35="","",IF('Your Pay &amp; Benefits'!$C$18,0,ROUND(MAX(0,IF('Your Pay &amp; Benefits'!$C$13,SUMPRODUCT(($AH35&gt;INDEX('How This Works &amp; Sources'!$B$29:$J$36,0,IF('Your Pay &amp; Benefits'!$C$12="MFJ",1,IF('Your Pay &amp; Benefits'!$C$12="HoH",7,4))))*($AH35-INDEX('How This Works &amp; Sources'!$B$29:$J$36,0,IF('Your Pay &amp; Benefits'!$C$12="MFJ",1,IF('Your Pay &amp; Benefits'!$C$12="HoH",7,4))))*INDEX('How This Works &amp; Sources'!$B$29:$J$36,0,IF('Your Pay &amp; Benefits'!$C$12="MFJ",1,IF('Your Pay &amp; Benefits'!$C$12="HoH",7,4))+2)),SUMPRODUCT(($AH35&gt;INDEX('How This Works &amp; Sources'!$B$19:$J$26,0,IF('Your Pay &amp; Benefits'!$C$12="MFJ",1,IF('Your Pay &amp; Benefits'!$C$12="HoH",7,4))))*($AH35-INDEX('How This Works &amp; Sources'!$B$19:$J$26,0,IF('Your Pay &amp; Benefits'!$C$12="MFJ",1,IF('Your Pay &amp; Benefits'!$C$12="HoH",7,4))))*INDEX('How This Works &amp; Sources'!$B$19:$J$26,0,IF('Your Pay &amp; Benefits'!$C$12="MFJ",1,IF('Your Pay &amp; Benefits'!$C$12="HoH",7,4))+2)))/'Your Pay &amp; Benefits'!$C$8-$AO35/'Your Pay &amp; Benefits'!$C$8)+$AR35+IF('Your Pay &amp; Benefits'!$C$89="Aggregate",MAX(0,IF('Your Pay &amp; Benefits'!$C$13,SUMPRODUCT((($AH35+$D35)&gt;INDEX('How This Works &amp; Sources'!$B$29:$J$36,0,IF('Your Pay &amp; Benefits'!$C$12="MFJ",1,IF('Your Pay &amp; Benefits'!$C$12="HoH",7,4))))*(($AH35+$D35)-INDEX('How This Works &amp; Sources'!$B$29:$J$36,0,IF('Your Pay &amp; Benefits'!$C$12="MFJ",1,IF('Your Pay &amp; Benefits'!$C$12="HoH",7,4))))*INDEX('How This Works &amp; Sources'!$B$29:$J$36,0,IF('Your Pay &amp; Benefits'!$C$12="MFJ",1,IF('Your Pay &amp; Benefits'!$C$12="HoH",7,4))+2)),SUMPRODUCT((($AH35+$D35)&gt;INDEX('How This Works &amp; Sources'!$B$19:$J$26,0,IF('Your Pay &amp; Benefits'!$C$12="MFJ",1,IF('Your Pay &amp; Benefits'!$C$12="HoH",7,4))))*(($AH35+$D35)-INDEX('How This Works &amp; Sources'!$B$19:$J$26,0,IF('Your Pay &amp; Benefits'!$C$12="MFJ",1,IF('Your Pay &amp; Benefits'!$C$12="HoH",7,4))))*INDEX('How This Works &amp; Sources'!$B$19:$J$26,0,IF('Your Pay &amp; Benefits'!$C$12="MFJ",1,IF('Your Pay &amp; Benefits'!$C$12="HoH",7,4))+2)))-IF('Your Pay &amp; Benefits'!$C$13,SUMPRODUCT(($AH35&gt;INDEX('How This Works &amp; Sources'!$B$29:$J$36,0,IF('Your Pay &amp; Benefits'!$C$12="MFJ",1,IF('Your Pay &amp; Benefits'!$C$12="HoH",7,4))))*($AH35-INDEX('How This Works &amp; Sources'!$B$29:$J$36,0,IF('Your Pay &amp; Benefits'!$C$12="MFJ",1,IF('Your Pay &amp; Benefits'!$C$12="HoH",7,4))))*INDEX('How This Works &amp; Sources'!$B$29:$J$36,0,IF('Your Pay &amp; Benefits'!$C$12="MFJ",1,IF('Your Pay &amp; Benefits'!$C$12="HoH",7,4))+2)),SUMPRODUCT(($AH35&gt;INDEX('How This Works &amp; Sources'!$B$19:$J$26,0,IF('Your Pay &amp; Benefits'!$C$12="MFJ",1,IF('Your Pay &amp; Benefits'!$C$12="HoH",7,4))))*($AH35-INDEX('How This Works &amp; Sources'!$B$19:$J$26,0,IF('Your Pay &amp; Benefits'!$C$12="MFJ",1,IF('Your Pay &amp; Benefits'!$C$12="HoH",7,4))))*INDEX('How This Works &amp; Sources'!$B$19:$J$26,0,IF('Your Pay &amp; Benefits'!$C$12="MFJ",1,IF('Your Pay &amp; Benefits'!$C$12="HoH",7,4))+2)))),'How This Works &amp; Sources'!$C$10*$D35),2)))</f>
      </c>
      <c r="Q35" s="7">
        <f>IF($B35="","",ROUND('How This Works &amp; Sources'!$C$4*MIN($N35,MAX(0,'How This Works &amp; Sources'!$C$3-($AX35+$AB34-$AW35))),2))</f>
      </c>
      <c r="R35" s="7">
        <f>IF($B35="","",ROUND('How This Works &amp; Sources'!$C$5*$N35,2))</f>
      </c>
      <c r="S35" s="7">
        <f>IF($B35="","",ROUND('How This Works &amp; Sources'!$C$6*MAX(0,MIN($N35,$AG34+$N35-'How This Works &amp; Sources'!$C$7)),2))</f>
      </c>
      <c r="T35" s="7">
        <f>IF($B35="","",IF('Your Pay &amp; Benefits'!$C$26,0,IF($AN35="CA",ROUND(IF($AI35&lt;=IF(($AS35+$AT35)&gt;=2,VLOOKUP($AN35,StateTables!$A$6:$AB$56,10,FALSE),VLOOKUP($AN35,StateTables!$A$6:$AB$56,9,FALSE)),0,MAX(0,SUMPRODUCT(($AJ35&gt;INDEX('How This Works &amp; Sources'!$B$39:$J$48,0,IF($AU35="Married",4,IF($AU35="Head of household",7,1))))*($AJ35-INDEX('How This Works &amp; Sources'!$B$39:$J$48,0,IF($AU35="Married",4,IF($AU35="Head of household",7,1))))*INDEX('How This Works &amp; Sources'!$B$39:$J$48,0,IF($AU35="Married",4,IF($AU35="Head of household",7,1))+2))-VLOOKUP($AN35,StateTables!$A$6:$AB$56,11,FALSE)*$AS35)/'Your Pay &amp; Benefits'!$C$8)+'Your Pay &amp; Benefits'!$C$25+VLOOKUP($AN35,StateTables!$A$6:$AB$56,13,FALSE)*$D35,2),IF(VLOOKUP($AN35,StateTables!$A$6:$AB$56,4,FALSE)="None",0,IF(ISNUMBER(SEARCH("MANUAL",VLOOKUP($AN35,StateTables!$A$6:$AB$56,5,FALSE))),'Your Pay &amp; Benefits'!$C$28,ROUND(MAX(0,$BA35+$BB35)/'Your Pay &amp; Benefits'!$C$8+'Your Pay &amp; Benefits'!$C$25+$BC35,2))))))</f>
      </c>
      <c r="U35" s="7">
        <f>IF($B35="","",IF(VLOOKUP($AN35,StateTables!$A$6:$AB$56,24,FALSE)="flatq",IF(OR(MONTH($B35)=1,MONTH($B35)=4,MONTH($B35)=7,MONTH($B35)=10),VLOOKUP($AN35,StateTables!$A$6:$AB$56,25,FALSE),0),IF(VLOOKUP($AN35,StateTables!$A$6:$AB$56,24,FALSE)="dbl",MIN(ROUND(0.005*$N35,2),ROUND(0.6*52/'Your Pay &amp; Benefits'!$C$8,2)),IF(OR(VLOOKUP($AN35,StateTables!$A$6:$AB$56,15,FALSE)="",VLOOKUP($AN35,StateTables!$A$6:$AB$56,15,FALSE)=0),0,ROUND(VLOOKUP($AN35,StateTables!$A$6:$AB$56,15,FALSE)*IF(OR(VLOOKUP($AN35,StateTables!$A$6:$AB$56,16,FALSE)="",VLOOKUP($AN35,StateTables!$A$6:$AB$56,16,FALSE)=0),$N35,MIN($N35,MAX(0,VLOOKUP($AN35,StateTables!$A$6:$AB$56,16,FALSE)-($AX35+$AB34-$AW35)))),2))))+IF(VLOOKUP($AN35,StateTables!$A$6:$AB$56,27,FALSE)="flatq",IF(OR(MONTH($B35)=1,MONTH($B35)=4,MONTH($B35)=7,MONTH($B35)=10),VLOOKUP($AN35,StateTables!$A$6:$AB$56,28,FALSE),0),IF(VLOOKUP($AN35,StateTables!$A$6:$AB$56,27,FALSE)="dbl",MIN(ROUND(0.005*$N35,2),ROUND(0.6*52/'Your Pay &amp; Benefits'!$C$8,2)),IF(OR(VLOOKUP($AN35,StateTables!$A$6:$AB$56,18,FALSE)="",VLOOKUP($AN35,StateTables!$A$6:$AB$56,18,FALSE)=0),0,ROUND(VLOOKUP($AN35,StateTables!$A$6:$AB$56,18,FALSE)*IF(OR(VLOOKUP($AN35,StateTables!$A$6:$AB$56,19,FALSE)="",VLOOKUP($AN35,StateTables!$A$6:$AB$56,19,FALSE)=0),$N35,MIN($N35,MAX(0,VLOOKUP($AN35,StateTables!$A$6:$AB$56,19,FALSE)-($AX35+$AB34-$AW35)))),2)))))</f>
      </c>
      <c r="V35" s="7">
        <f>IF($B35="","",IF($AN35="NY",IF('Your Pay &amp; Benefits'!$C$78,ROUND(SUMPRODUCT((MAX(0,($O35-$D35)*'Your Pay &amp; Benefits'!$C$8-(IF($AU35="Married",5500,5000)+1000*$AS35))&gt;INDEX('How This Works &amp; Sources'!$B$184:$J$198,0,4))*(MAX(0,($O35-$D35)*'Your Pay &amp; Benefits'!$C$8-(IF($AU35="Married",5500,5000)+1000*$AS35))-INDEX('How This Works &amp; Sources'!$B$184:$J$198,0,4))*INDEX('How This Works &amp; Sources'!$B$184:$J$198,0,4+2))/'Your Pay &amp; Benefits'!$C$8+0.0425*$D35,2),0)+IF('Your Pay &amp; Benefits'!$C$79="Resident",ROUND(0.1675*$T35,2),IF('Your Pay &amp; Benefits'!$C$79="Nonresident",ROUND(0.005*MAX(0,($O35-$D35)-(IF($AU35="Married",7950,7400)+1000*$AS35)/'Your Pay &amp; Benefits'!$C$8),2),0)),IF($AN35="PA",IF('Your Pay &amp; Benefits'!$C$80="None",'Your Pay &amp; Benefits'!$C$27+ROUND('Your Pay &amp; Benefits'!$C$81*($C35+$D35),2),ROUND(IF('Your Pay &amp; Benefits'!$C$80="Resident",IF($B35&lt;DATE(2026,7,1),0.0374,0.03735),IF($B35&lt;DATE(2026,7,1),0.0343,0.03425))*($C35+$D35),2)),IF($BF35=0,ROUND('Your Pay &amp; Benefits'!$C$81*($C35+$D35),2),'Your Pay &amp; Benefits'!$C$27+ROUND('Your Pay &amp; Benefits'!$C$81*($C35+$D35),2)))))</f>
      </c>
      <c r="W35" s="7">
        <f>IF($B35="","",IF($BF35=0,0,$BP35))</f>
      </c>
      <c r="X35" s="7">
        <f>IF($B35="","",SUM($E35:$K35)+$P35+$Q35+$R35+$S35+$T35+$U35+$V35+$W35)</f>
      </c>
      <c r="Y35" s="22">
        <f>IF($B35="","",$C35+$D35-$X35)</f>
      </c>
      <c r="Z35" s="7">
        <f>IF($B35="","",$Z34+$C35+$D35)</f>
      </c>
      <c r="AA35" s="7">
        <f>IF($B35="","",$AA34+$Y35)</f>
      </c>
      <c r="AB35" s="7">
        <f>IF($B35="","",$AB34+MIN($N35,MAX(0,'How This Works &amp; Sources'!$C$3-($AX35+$AB34-$AW35))))</f>
      </c>
      <c r="AC35" s="7">
        <f>IF($B35="","",$AC34+$E35+$F35)</f>
      </c>
      <c r="AD35" s="3">
        <f>IF($B35="","",IF(AND($AB34&lt;'How This Works &amp; Sources'!$C$3,$AB35&gt;='How This Works &amp; Sources'!$C$3),"★ Social Security maxed on this check — from the next check your net rises by about $"&amp;TEXT(ROUND('How This Works &amp; Sources'!$C$4*$N35,2),"#,##0.00")&amp;". ","")&amp;IF(AND($AC34&lt;'Your Pay &amp; Benefits'!$C$34,$AC35&gt;='Your Pay &amp; Benefits'!$C$34),"★ 401(k) reaches the $"&amp;TEXT('Your Pay &amp; Benefits'!$C$34,"#,##0")&amp;" cap on this check — deferrals stop and net pay rises. ","")&amp;IF(AND($AG34&lt;'How This Works &amp; Sources'!$C$7,$AG35&gt;='How This Works &amp; Sources'!$C$7),"★ Wages pass $200,000 — the 0.9% Additional Medicare Tax starts here. ","")&amp;IF(AND($BJ35&gt;0,$H35&gt;0,$BG34&lt;MIN($BJ35,'How This Works &amp; Sources'!$C$13),$BG34+$H35&gt;=MIN($BJ35,'How This Works &amp; Sources'!$C$13)),"★ Health FSA election is now fully deferred for the year. ",""))</f>
      </c>
      <c r="AE35" s="41" t="n"/>
      <c r="AF35" s="7">
        <f>IF(OR($B35="",$AE35=""),"",$AE35-$Y35)</f>
      </c>
      <c r="AG35" s="7">
        <f>IF($B35="","",$AG34+$N35)</f>
      </c>
      <c r="AH35" s="7">
        <f>IF($B35="","",MAX(0,($M35-$D35)*'Your Pay &amp; Benefits'!$C$8+$AP35-$AQ35-IF('Your Pay &amp; Benefits'!$C$13,0,IF('Your Pay &amp; Benefits'!$C$12="MFJ",'How This Works &amp; Sources'!$C$8,'How This Works &amp; Sources'!$C$9))))</f>
      </c>
      <c r="AI35" s="7">
        <f>IF($B35="","",$O35*'Your Pay &amp; Benefits'!$C$8)</f>
      </c>
      <c r="AJ35" s="7">
        <f>IF($B35="","",MAX(0,$AI35-VLOOKUP($AN35,StateTables!$A$6:$AB$56,12,FALSE)*$AT35-IF(($AS35+$AT35)&gt;=2,VLOOKUP($AN35,StateTables!$A$6:$AB$56,8,FALSE),VLOOKUP($AN35,StateTables!$A$6:$AB$56,7,FALSE))))</f>
      </c>
      <c r="AK35" s="7">
        <f>IF($B35="","",IFERROR(LOOKUP(2,1/(('Changes &amp; Events'!$C$6:$C$17="Salary change")*('Changes &amp; Events'!$B$6:$B$17&lt;=$B35)*('Changes &amp; Events'!$B$6:$B$17&lt;&gt;"")),'Changes &amp; Events'!$D$6:$D$17),IF('Your Pay &amp; Benefits'!$C$4="Annual salary",'Your Pay &amp; Benefits'!$C$5,'Your Pay &amp; Benefits'!$C$6)))</f>
      </c>
      <c r="AL35">
        <f>IF($B35="","",IFERROR(LOOKUP(2,1/(('Changes &amp; Events'!$C$6:$C$17="401(k) change")*('Changes &amp; Events'!$B$6:$B$17&lt;=$B35)*('Changes &amp; Events'!$B$6:$B$17&lt;&gt;"")),'Changes &amp; Events'!$D$6:$D$17),'Your Pay &amp; Benefits'!$C$30))</f>
      </c>
      <c r="AM35" s="7">
        <f>IF($B35="","",IFERROR(LOOKUP(2,1/(('Changes &amp; Events'!$C$6:$C$17="401(k) change")*('Changes &amp; Events'!$B$6:$B$17&lt;=$B35)*('Changes &amp; Events'!$B$6:$B$17&lt;&gt;"")),'Changes &amp; Events'!$E$6:$E$17),'Your Pay &amp; Benefits'!$D$31))</f>
      </c>
      <c r="AN35">
        <f>IF($B35="","",IFERROR(LOOKUP(2,1/(('Changes &amp; Events'!$C$6:$C$17="State move")*('Changes &amp; Events'!$B$6:$B$17&lt;=$B35)*('Changes &amp; Events'!$B$6:$B$17&lt;&gt;"")),'Changes &amp; Events'!$D$6:$D$17),'Your Pay &amp; Benefits'!$C$21))</f>
      </c>
      <c r="AO35" s="7">
        <f>IF($B35="","",IFERROR(LOOKUP(2,1/(('Changes &amp; Events'!$C$6:$C$17="W-4 change")*('Changes &amp; Events'!$B$6:$B$17&lt;=$B35)*('Changes &amp; Events'!$B$6:$B$17&lt;&gt;"")),'Changes &amp; Events'!$D$6:$D$17),'Your Pay &amp; Benefits'!$C$14))</f>
      </c>
      <c r="AP35" s="7">
        <f>IF($B35="","",IFERROR(LOOKUP(2,1/(('Changes &amp; Events'!$C$6:$C$17="W-4 change")*('Changes &amp; Events'!$B$6:$B$17&lt;=$B35)*('Changes &amp; Events'!$B$6:$B$17&lt;&gt;"")),'Changes &amp; Events'!$E$6:$E$17),'Your Pay &amp; Benefits'!$C$15))</f>
      </c>
      <c r="AQ35" s="7">
        <f>IF($B35="","",IFERROR(LOOKUP(2,1/(('Changes &amp; Events'!$C$6:$C$17="W-4 change")*('Changes &amp; Events'!$B$6:$B$17&lt;=$B35)*('Changes &amp; Events'!$B$6:$B$17&lt;&gt;"")),'Changes &amp; Events'!$F$6:$F$17),'Your Pay &amp; Benefits'!$C$16))</f>
      </c>
      <c r="AR35" s="7">
        <f>IF($B35="","",IFERROR(LOOKUP(2,1/(('Changes &amp; Events'!$C$6:$C$17="W-4 change")*('Changes &amp; Events'!$B$6:$B$17&lt;=$B35)*('Changes &amp; Events'!$B$6:$B$17&lt;&gt;"")),'Changes &amp; Events'!$G$6:$G$17),'Your Pay &amp; Benefits'!$C$17))</f>
      </c>
      <c r="AS35" s="6">
        <f>IF($B35="","",IFERROR(LOOKUP(2,1/((('Changes &amp; Events'!$C$6:$C$17="State move")+('Changes &amp; Events'!$C$6:$C$17="State cert change"))*('Changes &amp; Events'!$B$6:$B$17&lt;=$B35)*('Changes &amp; Events'!$B$6:$B$17&lt;&gt;"")),'Changes &amp; Events'!$F$6:$F$17),'Your Pay &amp; Benefits'!$C$23))</f>
      </c>
      <c r="AT35" s="6">
        <f>IF($B35="","",IFERROR(LOOKUP(2,1/((('Changes &amp; Events'!$C$6:$C$17="State move")+('Changes &amp; Events'!$C$6:$C$17="State cert change"))*('Changes &amp; Events'!$B$6:$B$17&lt;=$B35)*('Changes &amp; Events'!$B$6:$B$17&lt;&gt;"")),'Changes &amp; Events'!$G$6:$G$17),'Your Pay &amp; Benefits'!$C$24))</f>
      </c>
      <c r="AU35">
        <f>IF($B35="","",IFERROR(LOOKUP(2,1/(('Changes &amp; Events'!$C$6:$C$17="State move")*('Changes &amp; Events'!$B$6:$B$17&lt;=$B35)*('Changes &amp; Events'!$B$6:$B$17&lt;&gt;"")),'Changes &amp; Events'!$E$6:$E$17),'Your Pay &amp; Benefits'!$C$22))</f>
      </c>
      <c r="AV35" s="6">
        <f>IF($B35="","",1+COUNTIFS('Changes &amp; Events'!$C$6:$C$17,"Employer change",'Changes &amp; Events'!$B$6:$B$17,"&lt;="&amp;$B35,'Changes &amp; Events'!$B$6:$B$17,"&lt;&gt;"))</f>
      </c>
      <c r="AW35" s="7">
        <f>IF($B35="","",IF($AV35=1,'Your Pay &amp; Benefits'!$C$49,IF(IFERROR(MATCH(IFERROR(LOOKUP(2,1/(('Changes &amp; Events'!$C$6:$C$17="Employer change")*('Changes &amp; Events'!$B$6:$B$17&lt;=$B35)*('Changes &amp; Events'!$B$6:$B$17&lt;&gt;"")),'Changes &amp; Events'!$B$6:$B$17),""),$B$6:$B$68,1),1)&lt;=1,'Your Pay &amp; Benefits'!$C$49,INDEX($AB$6:$AB$68,MATCH(IFERROR(LOOKUP(2,1/(('Changes &amp; Events'!$C$6:$C$17="Employer change")*('Changes &amp; Events'!$B$6:$B$17&lt;=$B35)*('Changes &amp; Events'!$B$6:$B$17&lt;&gt;"")),'Changes &amp; Events'!$B$6:$B$17),""),$B$6:$B$68,1)-1))))</f>
      </c>
      <c r="AX35" s="7">
        <f>IF($B35="","",IF($AV35=1,'Your Pay &amp; Benefits'!$C$49,IFERROR(LOOKUP(2,1/(('Changes &amp; Events'!$C$6:$C$17="Employer change")*('Changes &amp; Events'!$B$6:$B$17&lt;=$B35)*('Changes &amp; Events'!$B$6:$B$17&lt;&gt;"")),'Changes &amp; Events'!$D$6:$D$17),0)))</f>
      </c>
      <c r="AY35" s="7">
        <f>IF($B35="","",($O35-$D35)*'Your Pay &amp; Benefits'!$C$8)</f>
      </c>
      <c r="AZ35" s="7">
        <f>IF($B35="","",IF($AN35="AL",MAX(0,$AY35-IF($AU35="Married",IF($AY35&lt;=25999,8500,MAX(5000,8500-175*CEILING(($AY35-25999)/500,1))),IF($AU35="Head of household",IF($AY35&lt;=25999,5200,MAX(2500,5200-135*CEILING(($AY35-25999)/500,1))),IF($AY35&lt;=25999,3000,MAX(2500,3000-25*CEILING(($AY35-25999)/500,1)))))-($P35-'How This Works &amp; Sources'!$C$10*$D35)*'Your Pay &amp; Benefits'!$C$8-IF(OR($AU35="Married",$AU35="Head of household"),3000,1500)-$AT35*IF($AY35&lt;=50000,1000,IF($AY35&lt;=100000,500,300))),IF($AN35="AR",IF(MAX(0,$AY35-2470)&lt;97701,INT(MAX(0,$AY35-2470)/100)*100+50,MAX(0,$AY35-2470)),IF($AN35="DE",MAX(0,$AI35-3250),IF($AN35="HI",MAX(0,$AI35-1144*$AS35-4350),IF($AN35="KS",MAX(0,$AI35-(9160*IF($AU35="Married",2,1)+2320*$AT35+IF($AU35="Head of household",2320,0))),IF($AN35="MD",MAX(0,$AI35-3400-3200*$AS35),IF($AN35="MN",MAX(0,$AY35-5300*$AS35),IF($AN35="MO",MAX(0,$AI35-IF($AU35="Head of household",24150,IF($AU35="Married",IF('Your Pay &amp; Benefits'!$C$83,16100,32200),16100))),IF($AN35="MT",$AY35,IF($AN35="ND",($C35+$L35)*'Your Pay &amp; Benefits'!$C$8,IF($AN35="NE",MAX(0,$AY35-2440*$AS35),IF($AN35="NJ",MAX(0,$AY35-1000*$AS35),IF($AN35="NY",MAX(0,$AY35-(IF($AU35="Married",7950,7400)+1000*$AS35)),IF($AN35="OH",MAX(0,$AY35-650*$AS35),IF($AN35="OK",MAX(0,$AY35-1000*$AS35),IF($AN35="RI",MAX(0,$AI35-1000*$AS35),IF($AN35="SC",MAX(0,$AI35-5000*$AS35-IF($AS35=0,0,MIN(0.1*$AI35,7500))),IF($AN35="VA",MAX(0,$AI35-IF($AU35="Married",17500,8750)-930*$AS35-800*$AT35),IF($AN35="VT",MAX(0,$AI35-5400*$AS35),IF($AN35="WI",MAX(0,$AI35-MAX(0,IF($AU35="Married",9461-0.2*MAX(0,$AI35-25727),6702-0.12*MAX(0,$AI35-17780)))-400*$AS35),IF($AN35="WV",MAX(0,$AI35-2000*$AS35),$AI35))))))))))))))))))))))</f>
      </c>
      <c r="BA35" s="7">
        <f>IF($B35="","",IF($BW35&lt;&gt;"",$BW35,IF($BX35&lt;&gt;"",$BX35,IF($BY35&lt;&gt;"",$BY35,0))))</f>
      </c>
      <c r="BB35" s="7">
        <f>IF($B35="","",IF($AN35="AR",-29*$AS35,IF($AN35="DE",-110*$AS35,IF($AN35="MD",$AZ35*'Your Pay &amp; Benefits'!$C$74,IF($AN35="AZ",'Your Pay &amp; Benefits'!$C$82*($M35-$D35)*'Your Pay &amp; Benefits'!$C$8,IF($AN35="CO",0.044*MAX(0,$AY35-IF($AU35="Married",10000,5000)),IF($AN35="IA",MAX(0,0.038*MAX(0,$AY35-IF($AU35="Head of household",19500,IF($AU35="Married",26000,13000)))-40*$AS35),IF($AN35="ID",0.053*MAX(0,$AY35-IF($AU35="Married",32000,16094)),IF($AN35="IL",0.0495*MAX(0,$AY35-(2925*$AS35+1000*$AT35)),IF($AN35="IN",(0.0295+'Your Pay &amp; Benefits'!$C$76)*MAX(0,$AY35-(1000*$AS35+1500*$AT35+3000*'Your Pay &amp; Benefits'!$C$86)),IF($AN35="KY",0.035*MAX(0,$AI35-3360),IF($AN35="LA",IF('Your Pay &amp; Benefits'!$C$84="0",0.0309*$AI35,0.0309*MAX(0,$AI35-IF('Your Pay &amp; Benefits'!$C$84="2",25750,12875))),IF($AN35="MA",0.05*MIN(MAX(0,$AY35-MIN(($BD34+$Q35+$R35+$S35),2000)-IF($AS35=0,0,IF($AS35=1,4400,1000*$AS35+3400))),1107750)+0.09*MAX(0,MAX(0,$AY35-MIN(($BD34+$Q35+$R35+$S35),2000)-IF($AS35=0,0,IF($AS35=1,4400,1000*$AS35+3400)))-1107750)-IF($AU35="Head of household",120,0)-110*'Your Pay &amp; Benefits'!$C$75,IF($AN35="MI",0.0425*MAX(0,$AY35-5900*$AS35),IF($AN35="MS",0.04*MAX(0,$AI35-IF($AU35="Head of household",3400,IF($AU35="Married",4600,2300))-'Your Pay &amp; Benefits'!$C$85-10000),IF($AN35="OR",IF(OR($AU35="Married",AND($AU35="Single",$AS35&gt;=3)),SUMPRODUCT((MAX(0,$AY35-MIN(($P35-'How This Works &amp; Sources'!$C$10*$D35)*'Your Pay &amp; Benefits'!$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Sources'!$B$211:$J$214,0,4))*(MAX(0,$AY35-MIN(($P35-'How This Works &amp; Sources'!$C$10*$D35)*'Your Pay &amp; Benefits'!$C$8,IF(OR($AU35="Married",AND($AU35="Single",$AS35&gt;=3)),IF($AY35&lt;250000,8750,IF($AY35&lt;260000,7000,IF($AY35&lt;270000,5250,IF($AY35&lt;280000,3500,IF($AY35&lt;290000,1750,0))))),IF($AY35&lt;125000,8750,IF($AY35&lt;130000,7000,IF($AY35&lt;135000,5250,IF($AY35&lt;140000,3500,IF($AY35&lt;145000,1750,0)))))))-IF(OR($AU35="Married",AND($AU35="Single",$AS35&gt;=3)),5820,2910))-INDEX('How This Works &amp; Sources'!$B$211:$J$214,0,4))*INDEX('How This Works &amp; Sources'!$B$211:$J$214,0,4+2)),SUMPRODUCT((MAX(0,$AY35-MIN(($P35-'How This Works &amp; Sources'!$C$10*$D35)*'Your Pay &amp; Benefits'!$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Sources'!$B$211:$J$214,0,1))*(MAX(0,$AY35-MIN(($P35-'How This Works &amp; Sources'!$C$10*$D35)*'Your Pay &amp; Benefits'!$C$8,IF(OR($AU35="Married",AND($AU35="Single",$AS35&gt;=3)),IF($AY35&lt;250000,8750,IF($AY35&lt;260000,7000,IF($AY35&lt;270000,5250,IF($AY35&lt;280000,3500,IF($AY35&lt;290000,1750,0))))),IF($AY35&lt;125000,8750,IF($AY35&lt;130000,7000,IF($AY35&lt;135000,5250,IF($AY35&lt;140000,3500,IF($AY35&lt;145000,1750,0)))))))-IF(OR($AU35="Married",AND($AU35="Single",$AS35&gt;=3)),5820,2910))-INDEX('How This Works &amp; Sources'!$B$211:$J$214,0,1))*INDEX('How This Works &amp; Sources'!$B$211:$J$214,0,1+2)))+263-263*IF(IF($AU35="Married",$AY35&gt;200000,$AY35&gt;100000),0,$AS35),IF($AN35="PA",0.0307*(($O35+$E35+$G35)*'Your Pay &amp; Benefits'!$C$8),IF($AN35="NY",IF($AU35="Married",IF($AZ35&gt;=2155350,0,IF($AZ35&gt;=1077550,0.48,IF($AZ35&gt;=373200,1.21,IF($AZ35&gt;=323200,0.21,IF($AZ35&gt;=211550,-0.19,IF($AZ35&gt;=157650,-2.8,IF($AZ35&gt;=107650,-0.8,IF($AZ35&gt;=96800,0.05,IF($AZ35&gt;=80650,-0.1,IF($AZ35&gt;=13900,0.4,IF($AZ35&gt;=11700,-0.3,IF($AZ35&gt;=8500,0.5,0)))))))))))),IF($AZ35&gt;=1077550,0,IF($AZ35&gt;=265400,4.29,IF($AZ35&gt;=215400,2.29,IF($AZ35&gt;=157650,2.29,IF($AZ35&gt;=107650,0.29,IF($AZ35&gt;=96800,0.05,IF($AZ35&gt;=80650,-0.1,IF($AZ35&gt;=13900,0.4,IF($AZ35&gt;=11700,-0.3,IF($AZ35&gt;=8500,0.5,0))))))))))),0))))))))))))))))))</f>
      </c>
      <c r="BC35" s="7">
        <f>IF($B35="","",IF($AN35="AL",0.05*$D35,IF($AN35="AR",0.039*$D35,IF($AN35="ID",0.053*$D35,IF($AN35="IN",(0.0295+'Your Pay &amp; Benefits'!$C$76)*$D35,IF($AN35="KS",0.05*$D35,IF($AN35="MA",0.09*MIN($D35,MAX(0,MAX(0,$AY35-MIN(($BD34+$Q35+$R35+$S35),2000)-IF($AS35=0,0,IF($AS35=1,4400,1000*$AS35+3400)))+$D35-1107750))+0.05*($D35-MIN($D35,MAX(0,MAX(0,$AY35-MIN(($BD34+$Q35+$R35+$S35),2000)-IF($AS35=0,0,IF($AS35=1,4400,1000*$AS35+3400)))+$D35-1107750))),IF($AN35="MD",(0.065+'Your Pay &amp; Benefits'!$C$74)*$D35,IF($AN35="MI",0.0425*$D35,IF($AN35="MN",0.0625*$D35,IF($AN35="MO",0.047*$D35,IF($AN35="MT",0.05*$D35,IF($AN35="ND",0.015*$D35,IF($AN35="NE",0.035*$D35,IF($AN35="NJ",IF('Your Pay &amp; Benefits'!$C$77="B",SUMPRODUCT(($D35*'Your Pay &amp; Benefits'!$C$8&gt;INDEX('How This Works &amp; Sources'!$B$155:$J$162,0,4))*($D35*'Your Pay &amp; Benefits'!$C$8-INDEX('How This Works &amp; Sources'!$B$155:$J$162,0,4))*INDEX('How This Works &amp; Sources'!$B$155:$J$162,0,4+2)),IF('Your Pay &amp; Benefits'!$C$77="C",SUMPRODUCT(($D35*'Your Pay &amp; Benefits'!$C$8&gt;INDEX('How This Works &amp; Sources'!$B$155:$J$162,0,7))*($D35*'Your Pay &amp; Benefits'!$C$8-INDEX('How This Works &amp; Sources'!$B$155:$J$162,0,7))*INDEX('How This Works &amp; Sources'!$B$155:$J$162,0,7+2)),IF('Your Pay &amp; Benefits'!$C$77="D",SUMPRODUCT(($D35*'Your Pay &amp; Benefits'!$C$8&gt;INDEX('How This Works &amp; Sources'!$B$167:$J$179,0,1))*($D35*'Your Pay &amp; Benefits'!$C$8-INDEX('How This Works &amp; Sources'!$B$167:$J$179,0,1))*INDEX('How This Works &amp; Sources'!$B$167:$J$179,0,1+2)),IF('Your Pay &amp; Benefits'!$C$77="E",SUMPRODUCT(($D35*'Your Pay &amp; Benefits'!$C$8&gt;INDEX('How This Works &amp; Sources'!$B$167:$J$179,0,4))*($D35*'Your Pay &amp; Benefits'!$C$8-INDEX('How This Works &amp; Sources'!$B$167:$J$179,0,4))*INDEX('How This Works &amp; Sources'!$B$167:$J$179,0,4+2)),SUMPRODUCT(($D35*'Your Pay &amp; Benefits'!$C$8&gt;INDEX('How This Works &amp; Sources'!$B$155:$J$162,0,1))*($D35*'Your Pay &amp; Benefits'!$C$8-INDEX('How This Works &amp; Sources'!$B$155:$J$162,0,1))*INDEX('How This Works &amp; Sources'!$B$155:$J$162,0,1+2))))))/'Your Pay &amp; Benefits'!$C$8,IF($AN35="NY",0.117*$D35,IF($AN35="OH",0.0275*$D35,IF($AN35="OK",0.045*$D35,IF($AN35="OR",0.08*$D35,IF($AN35="WI",IF($AY35&lt;12760,0.0354,IF($AY35&lt;25520,0.0465,IF($AY35&lt;280950,0.053,0.0765)))*$D35,0))))))))))))))))))))</f>
      </c>
      <c r="BD35" s="7">
        <f>IF($B35="","",$BD34+$Q35+$R35+$S35)</f>
      </c>
      <c r="BE35" s="6">
        <f>IF($B35="",$BE34,$BE34+$BF35)</f>
      </c>
      <c r="BF35" s="6">
        <f>IF($B35="","",IF(AND(IF(YEAR(IF('Your Pay &amp; Benefits'!$C$7="Weekly",'Your Pay &amp; Benefits'!$C$9+7*(($BE34+1)-1),IF('Your Pay &amp; Benefits'!$C$7="Biweekly",'Your Pay &amp; Benefits'!$C$9+14*(($BE34+1)-1),IF('Your Pay &amp; Benefits'!$C$7="Semimonthly",DATE(YEAR('Your Pay &amp; Benefits'!$C$9),MONTH('Your Pay &amp; Benefits'!$C$9)+INT((($BE34+1)-1)/2),MIN(DAY('Your Pay &amp; Benefits'!$C$9),DAY(EOMONTH(DATE(YEAR('Your Pay &amp; Benefits'!$C$9),MONTH('Your Pay &amp; Benefits'!$C$9)+INT((($BE34+1)-1)/2),1),0))))+IF(MOD(($BE34+1)-1,2)=1,15,0),EDATE('Your Pay &amp; Benefits'!$C$9,($BE34+1)-1)))))&lt;&gt;'Your Pay &amp; Benefits'!$C$10,"",IF('Your Pay &amp; Benefits'!$C$7="Weekly",'Your Pay &amp; Benefits'!$C$9+7*(($BE34+1)-1),IF('Your Pay &amp; Benefits'!$C$7="Biweekly",'Your Pay &amp; Benefits'!$C$9+14*(($BE34+1)-1),IF('Your Pay &amp; Benefits'!$C$7="Semimonthly",DATE(YEAR('Your Pay &amp; Benefits'!$C$9),MONTH('Your Pay &amp; Benefits'!$C$9)+INT((($BE34+1)-1)/2),MIN(DAY('Your Pay &amp; Benefits'!$C$9),DAY(EOMONTH(DATE(YEAR('Your Pay &amp; Benefits'!$C$9),MONTH('Your Pay &amp; Benefits'!$C$9)+INT((($BE34+1)-1)/2),1),0))))+IF(MOD(($BE34+1)-1,2)=1,15,0),EDATE('Your Pay &amp; Benefits'!$C$9,($BE34+1)-1)))))&lt;&gt;"",$B35=IF(YEAR(IF('Your Pay &amp; Benefits'!$C$7="Weekly",'Your Pay &amp; Benefits'!$C$9+7*(($BE34+1)-1),IF('Your Pay &amp; Benefits'!$C$7="Biweekly",'Your Pay &amp; Benefits'!$C$9+14*(($BE34+1)-1),IF('Your Pay &amp; Benefits'!$C$7="Semimonthly",DATE(YEAR('Your Pay &amp; Benefits'!$C$9),MONTH('Your Pay &amp; Benefits'!$C$9)+INT((($BE34+1)-1)/2),MIN(DAY('Your Pay &amp; Benefits'!$C$9),DAY(EOMONTH(DATE(YEAR('Your Pay &amp; Benefits'!$C$9),MONTH('Your Pay &amp; Benefits'!$C$9)+INT((($BE34+1)-1)/2),1),0))))+IF(MOD(($BE34+1)-1,2)=1,15,0),EDATE('Your Pay &amp; Benefits'!$C$9,($BE34+1)-1)))))&lt;&gt;'Your Pay &amp; Benefits'!$C$10,"",IF('Your Pay &amp; Benefits'!$C$7="Weekly",'Your Pay &amp; Benefits'!$C$9+7*(($BE34+1)-1),IF('Your Pay &amp; Benefits'!$C$7="Biweekly",'Your Pay &amp; Benefits'!$C$9+14*(($BE34+1)-1),IF('Your Pay &amp; Benefits'!$C$7="Semimonthly",DATE(YEAR('Your Pay &amp; Benefits'!$C$9),MONTH('Your Pay &amp; Benefits'!$C$9)+INT((($BE34+1)-1)/2),MIN(DAY('Your Pay &amp; Benefits'!$C$9),DAY(EOMONTH(DATE(YEAR('Your Pay &amp; Benefits'!$C$9),MONTH('Your Pay &amp; Benefits'!$C$9)+INT((($BE34+1)-1)/2),1),0))))+IF(MOD(($BE34+1)-1,2)=1,15,0),EDATE('Your Pay &amp; Benefits'!$C$9,($BE34+1)-1)))))),1,0))</f>
      </c>
      <c r="BG35" s="7">
        <f>IF($B35="","",$BG34+$H35)</f>
      </c>
      <c r="BH35" s="7">
        <f>IF($B35="","",$BH34+$I35)</f>
      </c>
      <c r="BI35" s="7">
        <f>IF($B35="","",$BI34+$G35)</f>
      </c>
      <c r="BJ35" s="7">
        <f>IF($B35="","",IFERROR(LOOKUP(2,1/(((('Changes &amp; Events'!$C$6:$C$17="Deduction start"))*('Changes &amp; Events'!$D$6:$D$17="Health FSA"))*('Changes &amp; Events'!$B$6:$B$17&lt;=$B35)*('Changes &amp; Events'!$B$6:$B$17&lt;&gt;"")),'Changes &amp; Events'!$E$6:$E$17),'Your Pay &amp; Benefits'!$D$38))</f>
      </c>
      <c r="BK35" s="7">
        <f>IF($B35="","",IFERROR(LOOKUP(2,1/(((('Changes &amp; Events'!$C$6:$C$17="Deduction start"))*('Changes &amp; Events'!$D$6:$D$17="Dependent-care FSA"))*('Changes &amp; Events'!$B$6:$B$17&lt;=$B35)*('Changes &amp; Events'!$B$6:$B$17&lt;&gt;"")),'Changes &amp; Events'!$E$6:$E$17),'Your Pay &amp; Benefits'!$D$39))</f>
      </c>
      <c r="BL35" s="7">
        <f>IF($B35="","",IFERROR(LOOKUP(2,1/(((('Changes &amp; Events'!$C$6:$C$17="Deduction start")+('Changes &amp; Events'!$C$6:$C$17="Deduction stop"))*('Changes &amp; Events'!$D$6:$D$17="HSA"))*('Changes &amp; Events'!$B$6:$B$17&lt;=$B35)*('Changes &amp; Events'!$B$6:$B$17&lt;&gt;"")),'Changes &amp; Events'!$I$6:$I$17),'Your Pay &amp; Benefits'!$D$35))</f>
      </c>
      <c r="BM35" s="7">
        <f>IF($B35="","",IFERROR(LOOKUP(2,1/(((('Changes &amp; Events'!$C$6:$C$17="Deduction start")+('Changes &amp; Events'!$C$6:$C$17="Deduction stop"))*('Changes &amp; Events'!$D$6:$D$17="Premiums"))*('Changes &amp; Events'!$B$6:$B$17&lt;=$B35)*('Changes &amp; Events'!$B$6:$B$17&lt;&gt;"")),'Changes &amp; Events'!$I$6:$I$17),'Your Pay &amp; Benefits'!$D$40+'Your Pay &amp; Benefits'!$D$41+'Your Pay &amp; Benefits'!$D$42))</f>
      </c>
      <c r="BN35" s="7">
        <f>IF($B35="","",IFERROR(LOOKUP(2,1/(((('Changes &amp; Events'!$C$6:$C$17="Deduction start")+('Changes &amp; Events'!$C$6:$C$17="Deduction stop"))*('Changes &amp; Events'!$D$6:$D$17="Commuter"))*('Changes &amp; Events'!$B$6:$B$17&lt;=$B35)*('Changes &amp; Events'!$B$6:$B$17&lt;&gt;"")),'Changes &amp; Events'!$I$6:$I$17),'Your Pay &amp; Benefits'!$D$43))</f>
      </c>
      <c r="BO35" s="7">
        <f>IF($B35="","",IFERROR(LOOKUP(2,1/(((('Changes &amp; Events'!$C$6:$C$17="Deduction start")+('Changes &amp; Events'!$C$6:$C$17="Deduction stop"))*('Changes &amp; Events'!$D$6:$D$17="Other pre-tax"))*('Changes &amp; Events'!$B$6:$B$17&lt;=$B35)*('Changes &amp; Events'!$B$6:$B$17&lt;&gt;"")),'Changes &amp; Events'!$I$6:$I$17),'Your Pay &amp; Benefits'!$D$44))</f>
      </c>
      <c r="BP35" s="7">
        <f>IF($B35="","",IFERROR(LOOKUP(2,1/(((('Changes &amp; Events'!$C$6:$C$17="Deduction start")+('Changes &amp; Events'!$C$6:$C$17="Deduction stop"))*('Changes &amp; Events'!$D$6:$D$17="Other post-tax"))*('Changes &amp; Events'!$B$6:$B$17&lt;=$B35)*('Changes &amp; Events'!$B$6:$B$17&lt;&gt;"")),'Changes &amp; Events'!$I$6:$I$17),'Your Pay &amp; Benefits'!$D$45))</f>
      </c>
      <c r="BQ35" s="6">
        <f>IF($B35="","",IFERROR(LOOKUP(2,1/(((('Changes &amp; Events'!$C$6:$C$17="Deduction start")+('Changes &amp; Events'!$C$6:$C$17="Deduction stop"))*('Changes &amp; Events'!$D$6:$D$17="Health FSA"))*('Changes &amp; Events'!$B$6:$B$17&lt;=$B35)*('Changes &amp; Events'!$B$6:$B$17&lt;&gt;"")),'Changes &amp; Events'!$J$6:$J$17),0))</f>
      </c>
      <c r="BR35" s="6">
        <f>IF($B35="","",IFERROR(LOOKUP(2,1/(((('Changes &amp; Events'!$C$6:$C$17="Deduction start")+('Changes &amp; Events'!$C$6:$C$17="Deduction stop"))*('Changes &amp; Events'!$D$6:$D$17="Dependent-care FSA"))*('Changes &amp; Events'!$B$6:$B$17&lt;=$B35)*('Changes &amp; Events'!$B$6:$B$17&lt;&gt;"")),'Changes &amp; Events'!$J$6:$J$17),0))</f>
      </c>
      <c r="BS35" s="6">
        <f>IF($B35="","",IF(SUMPRODUCT(('Changes &amp; Events'!$C$6:$C$17="Deduction start")*('Changes &amp; Events'!$B$6:$B$17&lt;=$B35)*('Changes &amp; Events'!$B$6:$B$17&lt;&gt;"")*('Changes &amp; Events'!$D$6:$D$17="Health FSA"))&gt;0,1,0))</f>
      </c>
      <c r="BT35" s="6">
        <f>IF($B35="","",IF(SUMPRODUCT(('Changes &amp; Events'!$C$6:$C$17="Deduction start")*('Changes &amp; Events'!$B$6:$B$17&lt;=$B35)*('Changes &amp; Events'!$B$6:$B$17&lt;&gt;"")*('Changes &amp; Events'!$D$6:$D$17="Dependent-care FSA"))&gt;0,1,0))</f>
      </c>
      <c r="BU35" s="24">
        <f>IF($B35="","",IF('Your Pay &amp; Benefits'!$C$13,SUMPRODUCT(($AH35&gt;=INDEX('How This Works &amp; Sources'!$B$29:$J$36,0,IF('Your Pay &amp; Benefits'!$C$12="MFJ",1,IF('Your Pay &amp; Benefits'!$C$12="HoH",7,4))))*INDEX('How This Works &amp; Sources'!$B$29:$J$36,0,IF('Your Pay &amp; Benefits'!$C$12="MFJ",1,IF('Your Pay &amp; Benefits'!$C$12="HoH",7,4))+2)),SUMPRODUCT(($AH35&gt;=INDEX('How This Works &amp; Sources'!$B$19:$J$26,0,IF('Your Pay &amp; Benefits'!$C$12="MFJ",1,IF('Your Pay &amp; Benefits'!$C$12="HoH",7,4))))*INDEX('How This Works &amp; Sources'!$B$19:$J$26,0,IF('Your Pay &amp; Benefits'!$C$12="MFJ",1,IF('Your Pay &amp; Benefits'!$C$12="HoH",7,4))+2))))</f>
      </c>
      <c r="BV35" s="24">
        <f>IF($B35="","",IF($BZ35&lt;&gt;"",$BZ35,IF($CA35&lt;&gt;"",$CA35,IF($CB35&lt;&gt;"",$CB35,IF($CC35&lt;&gt;"",$CC35,0)))))</f>
      </c>
      <c r="BW35" s="7">
        <f>IF($B35="","",IF($AN35="MD",IF(OR($AU35="Married",$AU35="Head of household"),SUMPRODUCT(($AZ35&gt;INDEX('How This Works &amp; Sources'!$B$114:$J$120,0,1))*($AZ35-INDEX('How This Works &amp; Sources'!$B$114:$J$120,0,1))*INDEX('How This Works &amp; Sources'!$B$114:$J$120,0,1+2)),SUMPRODUCT(($AZ35&gt;INDEX('How This Works &amp; Sources'!$B$103:$J$109,0,7))*($AZ35-INDEX('How This Works &amp; Sources'!$B$103:$J$109,0,7))*INDEX('How This Works &amp; Sources'!$B$103:$J$109,0,7+2))),IF($AN35="MO",SUMPRODUCT(($AZ35&gt;INDEX('How This Works &amp; Sources'!$B$125:$J$132,0,1))*($AZ35-INDEX('How This Works &amp; Sources'!$B$125:$J$132,0,1))*INDEX('How This Works &amp; Sources'!$B$125:$J$132,0,1+2)),IF($AN35="MT",IF($AU35="Head of household",SUMPRODUCT(($AZ35&gt;INDEX('How This Works &amp; Sources'!$B$137:$J$139,0,1))*($AZ35-INDEX('How This Works &amp; Sources'!$B$137:$J$139,0,1))*INDEX('How This Works &amp; Sources'!$B$137:$J$139,0,1+2)),IF($AU35="Married",SUMPRODUCT(($AZ35&gt;INDEX('How This Works &amp; Sources'!$B$125:$J$132,0,7))*($AZ35-INDEX('How This Works &amp; Sources'!$B$125:$J$132,0,7))*INDEX('How This Works &amp; Sources'!$B$125:$J$132,0,7+2)),SUMPRODUCT(($AZ35&gt;INDEX('How This Works &amp; Sources'!$B$125:$J$132,0,4))*($AZ35-INDEX('How This Works &amp; Sources'!$B$125:$J$132,0,4))*INDEX('How This Works &amp; Sources'!$B$125:$J$132,0,4+2)))),IF($AN35="ND",IF($AU35="Head of household",SUMPRODUCT(($AZ35&gt;INDEX('How This Works &amp; Sources'!$B$144:$J$150,0,1))*($AZ35-INDEX('How This Works &amp; Sources'!$B$144:$J$150,0,1))*INDEX('How This Works &amp; Sources'!$B$144:$J$150,0,1+2)),IF($AU35="Married",SUMPRODUCT(($AZ35&gt;INDEX('How This Works &amp; Sources'!$B$137:$J$139,0,7))*($AZ35-INDEX('How This Works &amp; Sources'!$B$137:$J$139,0,7))*INDEX('How This Works &amp; Sources'!$B$137:$J$139,0,7+2)),SUMPRODUCT(($AZ35&gt;INDEX('How This Works &amp; Sources'!$B$137:$J$139,0,4))*($AZ35-INDEX('How This Works &amp; Sources'!$B$137:$J$139,0,4))*INDEX('How This Works &amp; Sources'!$B$137:$J$139,0,4+2)))),IF($AN35="NJ",IF('Your Pay &amp; Benefits'!$C$77="B",SUMPRODUCT(($AZ35&gt;INDEX('How This Works &amp; Sources'!$B$155:$J$162,0,4))*($AZ35-INDEX('How This Works &amp; Sources'!$B$155:$J$162,0,4))*INDEX('How This Works &amp; Sources'!$B$155:$J$162,0,4+2)),IF('Your Pay &amp; Benefits'!$C$77="C",SUMPRODUCT(($AZ35&gt;INDEX('How This Works &amp; Sources'!$B$155:$J$162,0,7))*($AZ35-INDEX('How This Works &amp; Sources'!$B$155:$J$162,0,7))*INDEX('How This Works &amp; Sources'!$B$155:$J$162,0,7+2)),IF('Your Pay &amp; Benefits'!$C$77="D",SUMPRODUCT(($AZ35&gt;INDEX('How This Works &amp; Sources'!$B$167:$J$179,0,1))*($AZ35-INDEX('How This Works &amp; Sources'!$B$167:$J$179,0,1))*INDEX('How This Works &amp; Sources'!$B$167:$J$179,0,1+2)),IF('Your Pay &amp; Benefits'!$C$77="E",SUMPRODUCT(($AZ35&gt;INDEX('How This Works &amp; Sources'!$B$167:$J$179,0,4))*($AZ35-INDEX('How This Works &amp; Sources'!$B$167:$J$179,0,4))*INDEX('How This Works &amp; Sources'!$B$167:$J$179,0,4+2)),SUMPRODUCT(($AZ35&gt;INDEX('How This Works &amp; Sources'!$B$155:$J$162,0,1))*($AZ35-INDEX('How This Works &amp; Sources'!$B$155:$J$162,0,1))*INDEX('How This Works &amp; Sources'!$B$155:$J$162,0,1+2)))))),IF($AN35="NY",IF($AU35="Married",IF($AZ35&gt;=2155350,$AZ35*IF($AZ35&gt;25000000,0.117,IF($AZ35&gt;5000000,0.111,0.1045)),SUMPRODUCT(($AZ35&gt;INDEX('How This Works &amp; Sources'!$B$184:$J$198,0,1))*($AZ35-INDEX('How This Works &amp; Sources'!$B$184:$J$198,0,1))*INDEX('How This Works &amp; Sources'!$B$184:$J$198,0,1+2))),IF($AZ35&gt;=1077550,$AZ35*IF($AZ35&gt;25000000,0.117,IF($AZ35&gt;5000000,0.111,0.1045)),SUMPRODUCT(($AZ35&gt;INDEX('How This Works &amp; Sources'!$B$167:$J$179,0,7))*($AZ35-INDEX('How This Works &amp; Sources'!$B$167:$J$179,0,7))*INDEX('How This Works &amp; Sources'!$B$167:$J$179,0,7+2)))),"")))))))</f>
      </c>
      <c r="BX35" s="7">
        <f>IF($B35="","",IF($AN35="AL",IF(OR($AU35="Married",$AU35="Head of household"),SUMPRODUCT(($AZ35&gt;INDEX('How This Works &amp; Sources'!$B$82:$J$86,0,4))*($AZ35-INDEX('How This Works &amp; Sources'!$B$82:$J$86,0,4))*INDEX('How This Works &amp; Sources'!$B$82:$J$86,0,4+2)),SUMPRODUCT(($AZ35&gt;INDEX('How This Works &amp; Sources'!$B$82:$J$86,0,1))*($AZ35-INDEX('How This Works &amp; Sources'!$B$82:$J$86,0,1))*INDEX('How This Works &amp; Sources'!$B$82:$J$86,0,1+2))),IF($AN35="KS",IF($AU35="Married",SUMPRODUCT(($AZ35&gt;INDEX('How This Works &amp; Sources'!$B$103:$J$109,0,4))*($AZ35-INDEX('How This Works &amp; Sources'!$B$103:$J$109,0,4))*INDEX('How This Works &amp; Sources'!$B$103:$J$109,0,4+2)),SUMPRODUCT(($AZ35&gt;INDEX('How This Works &amp; Sources'!$B$103:$J$109,0,1))*($AZ35-INDEX('How This Works &amp; Sources'!$B$103:$J$109,0,1))*INDEX('How This Works &amp; Sources'!$B$103:$J$109,0,1+2))),IF($AN35="MN",IF($AU35="Married",SUMPRODUCT(($AZ35&gt;INDEX('How This Works &amp; Sources'!$B$114:$J$120,0,7))*($AZ35-INDEX('How This Works &amp; Sources'!$B$114:$J$120,0,7))*INDEX('How This Works &amp; Sources'!$B$114:$J$120,0,7+2)),SUMPRODUCT(($AZ35&gt;INDEX('How This Works &amp; Sources'!$B$114:$J$120,0,4))*($AZ35-INDEX('How This Works &amp; Sources'!$B$114:$J$120,0,4))*INDEX('How This Works &amp; Sources'!$B$114:$J$120,0,4+2))),IF($AN35="NE",MAX(IF($AU35="Married",SUMPRODUCT(($AZ35&gt;INDEX('How This Works &amp; Sources'!$B$144:$J$150,0,7))*($AZ35-INDEX('How This Works &amp; Sources'!$B$144:$J$150,0,7))*INDEX('How This Works &amp; Sources'!$B$144:$J$150,0,7+2)),SUMPRODUCT(($AZ35&gt;INDEX('How This Works &amp; Sources'!$B$144:$J$150,0,4))*($AZ35-INDEX('How This Works &amp; Sources'!$B$144:$J$150,0,4))*INDEX('How This Works &amp; Sources'!$B$144:$J$150,0,4+2))),0.015*$AZ35),IF($AN35="OH",IF($B35&gt;=DATE(2026,8,1),SUMPRODUCT(($AZ35&gt;INDEX('How This Works &amp; Sources'!$B$203:$J$206,0,1))*($AZ35-INDEX('How This Works &amp; Sources'!$B$203:$J$206,0,1))*INDEX('How This Works &amp; Sources'!$B$203:$J$206,0,1+2)),SUMPRODUCT(($AZ35&gt;INDEX('How This Works &amp; Sources'!$B$184:$J$198,0,7))*($AZ35-INDEX('How This Works &amp; Sources'!$B$184:$J$198,0,7))*INDEX('How This Works &amp; Sources'!$B$184:$J$198,0,7+2))),IF($AN35="OK",IF($AU35="Married",SUMPRODUCT(($AZ35&gt;INDEX('How This Works &amp; Sources'!$B$203:$J$206,0,7))*($AZ35-INDEX('How This Works &amp; Sources'!$B$203:$J$206,0,7))*INDEX('How This Works &amp; Sources'!$B$203:$J$206,0,7+2)),SUMPRODUCT(($AZ35&gt;INDEX('How This Works &amp; Sources'!$B$203:$J$206,0,4))*($AZ35-INDEX('How This Works &amp; Sources'!$B$203:$J$206,0,4))*INDEX('How This Works &amp; Sources'!$B$203:$J$206,0,4+2))),IF($AN35="RI",SUMPRODUCT(($AZ35&gt;INDEX('How This Works &amp; Sources'!$B$211:$J$214,0,7))*($AZ35-INDEX('How This Works &amp; Sources'!$B$211:$J$214,0,7))*INDEX('How This Works &amp; Sources'!$B$211:$J$214,0,7+2)),IF($AN35="VT",IF($AU35="Married",SUMPRODUCT(($AZ35&gt;INDEX('How This Works &amp; Sources'!$B$228:$J$232,0,1))*($AZ35-INDEX('How This Works &amp; Sources'!$B$228:$J$232,0,1))*INDEX('How This Works &amp; Sources'!$B$228:$J$232,0,1+2)),SUMPRODUCT(($AZ35&gt;INDEX('How This Works &amp; Sources'!$B$219:$J$223,0,7))*($AZ35-INDEX('How This Works &amp; Sources'!$B$219:$J$223,0,7))*INDEX('How This Works &amp; Sources'!$B$219:$J$223,0,7+2))),IF($AN35="WV",IF($AU35="Married",SUMPRODUCT(($AZ35&gt;INDEX('How This Works &amp; Sources'!$B$237:$J$241,0,7))*($AZ35-INDEX('How This Works &amp; Sources'!$B$237:$J$241,0,7))*INDEX('How This Works &amp; Sources'!$B$237:$J$241,0,7+2)),SUMPRODUCT(($AZ35&gt;INDEX('How This Works &amp; Sources'!$B$228:$J$232,0,7))*($AZ35-INDEX('How This Works &amp; Sources'!$B$228:$J$232,0,7))*INDEX('How This Works &amp; Sources'!$B$228:$J$232,0,7+2))),""))))))))))</f>
      </c>
      <c r="BY35" s="7">
        <f>IF($B35="","",IF($AN35="AR",SUMPRODUCT(($AZ35&gt;INDEX('How This Works &amp; Sources'!$B$82:$J$86,0,7))*($AZ35-INDEX('How This Works &amp; Sources'!$B$82:$J$86,0,7))*INDEX('How This Works &amp; Sources'!$B$82:$J$86,0,7+2)),IF($AN35="DE",SUMPRODUCT(($AZ35&gt;INDEX('How This Works &amp; Sources'!$B$91:$J$98,0,1))*($AZ35-INDEX('How This Works &amp; Sources'!$B$91:$J$98,0,1))*INDEX('How This Works &amp; Sources'!$B$91:$J$98,0,1+2)),IF($AN35="HI",IF($AU35="Married",SUMPRODUCT(($AZ35&gt;INDEX('How This Works &amp; Sources'!$B$91:$J$98,0,7))*($AZ35-INDEX('How This Works &amp; Sources'!$B$91:$J$98,0,7))*INDEX('How This Works &amp; Sources'!$B$91:$J$98,0,7+2)),SUMPRODUCT(($AZ35&gt;INDEX('How This Works &amp; Sources'!$B$91:$J$98,0,4))*($AZ35-INDEX('How This Works &amp; Sources'!$B$91:$J$98,0,4))*INDEX('How This Works &amp; Sources'!$B$91:$J$98,0,4+2))),IF($AN35="SC",SUMPRODUCT(($AZ35&gt;INDEX('How This Works &amp; Sources'!$B$219:$J$223,0,1))*($AZ35-INDEX('How This Works &amp; Sources'!$B$219:$J$223,0,1))*INDEX('How This Works &amp; Sources'!$B$219:$J$223,0,1+2)),IF($AN35="VA",SUMPRODUCT(($AZ35&gt;INDEX('How This Works &amp; Sources'!$B$219:$J$223,0,4))*($AZ35-INDEX('How This Works &amp; Sources'!$B$219:$J$223,0,4))*INDEX('How This Works &amp; Sources'!$B$219:$J$223,0,4+2)),IF($AN35="WI",SUMPRODUCT(($AZ35&gt;INDEX('How This Works &amp; Sources'!$B$228:$J$232,0,4))*($AZ35-INDEX('How This Works &amp; Sources'!$B$228:$J$232,0,4))*INDEX('How This Works &amp; Sources'!$B$228:$J$232,0,4+2)),"")))))))</f>
      </c>
      <c r="BZ35" s="24">
        <f>IF($B35="","",IF($AN35="NJ",IF('Your Pay &amp; Benefits'!$C$77="B",SUMPRODUCT(($AZ35&gt;=INDEX('How This Works &amp; Sources'!$B$155:$J$162,0,4))*INDEX('How This Works &amp; Sources'!$B$155:$J$162,0,4+2)),IF('Your Pay &amp; Benefits'!$C$77="C",SUMPRODUCT(($AZ35&gt;=INDEX('How This Works &amp; Sources'!$B$155:$J$162,0,7))*INDEX('How This Works &amp; Sources'!$B$155:$J$162,0,7+2)),IF('Your Pay &amp; Benefits'!$C$77="D",SUMPRODUCT(($AZ35&gt;=INDEX('How This Works &amp; Sources'!$B$167:$J$179,0,1))*INDEX('How This Works &amp; Sources'!$B$167:$J$179,0,1+2)),IF('Your Pay &amp; Benefits'!$C$77="E",SUMPRODUCT(($AZ35&gt;=INDEX('How This Works &amp; Sources'!$B$167:$J$179,0,4))*INDEX('How This Works &amp; Sources'!$B$167:$J$179,0,4+2)),SUMPRODUCT(($AZ35&gt;=INDEX('How This Works &amp; Sources'!$B$155:$J$162,0,1))*INDEX('How This Works &amp; Sources'!$B$155:$J$162,0,1+2)))))),IF($AN35="OR",IF(OR($AU35="Married",AND($AU35="Single",$AS35&gt;=3)),SUMPRODUCT((MAX(0,$AY35-MIN(($P35-'How This Works &amp; Sources'!$C$10*$D35)*'Your Pay &amp; Benefits'!$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Sources'!$B$211:$J$214,0,4))*INDEX('How This Works &amp; Sources'!$B$211:$J$214,0,4+2)),SUMPRODUCT((MAX(0,$AY35-MIN(($P35-'How This Works &amp; Sources'!$C$10*$D35)*'Your Pay &amp; Benefits'!$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Sources'!$B$211:$J$214,0,1))*INDEX('How This Works &amp; Sources'!$B$211:$J$214,0,1+2)))*IF(($P35-'How This Works &amp; Sources'!$C$10*$D35)*'Your Pay &amp; Benefits'!$C$8&gt;=IF(OR($AU35="Married",AND($AU35="Single",$AS35&gt;=3)),IF($AY35&lt;250000,8750,IF($AY35&lt;260000,7000,IF($AY35&lt;270000,5250,IF($AY35&lt;280000,3500,IF($AY35&lt;290000,1750,0))))),IF($AY35&lt;125000,8750,IF($AY35&lt;130000,7000,IF($AY35&lt;135000,5250,IF($AY35&lt;140000,3500,IF($AY35&lt;145000,1750,0)))))),1,1-IF('Your Pay &amp; Benefits'!$C$13,SUMPRODUCT(($AH35&gt;=INDEX('How This Works &amp; Sources'!$B$29:$J$36,0,IF('Your Pay &amp; Benefits'!$C$12="MFJ",1,IF('Your Pay &amp; Benefits'!$C$12="HoH",7,4))))*INDEX('How This Works &amp; Sources'!$B$29:$J$36,0,IF('Your Pay &amp; Benefits'!$C$12="MFJ",1,IF('Your Pay &amp; Benefits'!$C$12="HoH",7,4))+2)),SUMPRODUCT(($AH35&gt;=INDEX('How This Works &amp; Sources'!$B$19:$J$26,0,IF('Your Pay &amp; Benefits'!$C$12="MFJ",1,IF('Your Pay &amp; Benefits'!$C$12="HoH",7,4))))*INDEX('How This Works &amp; Sources'!$B$19:$J$26,0,IF('Your Pay &amp; Benefits'!$C$12="MFJ",1,IF('Your Pay &amp; Benefits'!$C$12="HoH",7,4))+2)))),IF($AN35="MI",IF($AY35&gt;5900*$AS35,0.0425,0),""))))</f>
      </c>
      <c r="CA35" s="24">
        <f>IF($B35="","",IF($AN35="AL",IF(OR($AU35="Married",$AU35="Head of household"),SUMPRODUCT(($AZ35&gt;=INDEX('How This Works &amp; Sources'!$B$82:$J$86,0,4))*INDEX('How This Works &amp; Sources'!$B$82:$J$86,0,4+2)),SUMPRODUCT(($AZ35&gt;=INDEX('How This Works &amp; Sources'!$B$82:$J$86,0,1))*INDEX('How This Works &amp; Sources'!$B$82:$J$86,0,1+2)))*(1-IF('Your Pay &amp; Benefits'!$C$13,SUMPRODUCT(($AH35&gt;=INDEX('How This Works &amp; Sources'!$B$29:$J$36,0,IF('Your Pay &amp; Benefits'!$C$12="MFJ",1,IF('Your Pay &amp; Benefits'!$C$12="HoH",7,4))))*INDEX('How This Works &amp; Sources'!$B$29:$J$36,0,IF('Your Pay &amp; Benefits'!$C$12="MFJ",1,IF('Your Pay &amp; Benefits'!$C$12="HoH",7,4))+2)),SUMPRODUCT(($AH35&gt;=INDEX('How This Works &amp; Sources'!$B$19:$J$26,0,IF('Your Pay &amp; Benefits'!$C$12="MFJ",1,IF('Your Pay &amp; Benefits'!$C$12="HoH",7,4))))*INDEX('How This Works &amp; Sources'!$B$19:$J$26,0,IF('Your Pay &amp; Benefits'!$C$12="MFJ",1,IF('Your Pay &amp; Benefits'!$C$12="HoH",7,4))+2)))),IF($AN35="KS",IF($AU35="Married",SUMPRODUCT(($AZ35&gt;=INDEX('How This Works &amp; Sources'!$B$103:$J$109,0,4))*INDEX('How This Works &amp; Sources'!$B$103:$J$109,0,4+2)),SUMPRODUCT(($AZ35&gt;=INDEX('How This Works &amp; Sources'!$B$103:$J$109,0,1))*INDEX('How This Works &amp; Sources'!$B$103:$J$109,0,1+2))),IF($AN35="MD",IF(OR($AU35="Married",$AU35="Head of household"),SUMPRODUCT(($AZ35&gt;=INDEX('How This Works &amp; Sources'!$B$114:$J$120,0,1))*INDEX('How This Works &amp; Sources'!$B$114:$J$120,0,1+2)),SUMPRODUCT(($AZ35&gt;=INDEX('How This Works &amp; Sources'!$B$103:$J$109,0,7))*INDEX('How This Works &amp; Sources'!$B$103:$J$109,0,7+2)))+'Your Pay &amp; Benefits'!$C$74,IF($AN35="MT",IF($AU35="Head of household",SUMPRODUCT(($AZ35&gt;=INDEX('How This Works &amp; Sources'!$B$137:$J$139,0,1))*INDEX('How This Works &amp; Sources'!$B$137:$J$139,0,1+2)),IF($AU35="Married",SUMPRODUCT(($AZ35&gt;=INDEX('How This Works &amp; Sources'!$B$125:$J$132,0,7))*INDEX('How This Works &amp; Sources'!$B$125:$J$132,0,7+2)),SUMPRODUCT(($AZ35&gt;=INDEX('How This Works &amp; Sources'!$B$125:$J$132,0,4))*INDEX('How This Works &amp; Sources'!$B$125:$J$132,0,4+2)))),IF($AN35="ND",IF($AU35="Head of household",SUMPRODUCT(($AZ35&gt;=INDEX('How This Works &amp; Sources'!$B$144:$J$150,0,1))*INDEX('How This Works &amp; Sources'!$B$144:$J$150,0,1+2)),IF($AU35="Married",SUMPRODUCT(($AZ35&gt;=INDEX('How This Works &amp; Sources'!$B$137:$J$139,0,7))*INDEX('How This Works &amp; Sources'!$B$137:$J$139,0,7+2)),SUMPRODUCT(($AZ35&gt;=INDEX('How This Works &amp; Sources'!$B$137:$J$139,0,4))*INDEX('How This Works &amp; Sources'!$B$137:$J$139,0,4+2)))),IF($AN35="NY",IF($AU35="Married",IF($AZ35&gt;=2155350,IF($AZ35&gt;25000000,0.117,IF($AZ35&gt;5000000,0.111,0.1045)),SUMPRODUCT(($AZ35&gt;=INDEX('How This Works &amp; Sources'!$B$184:$J$198,0,1))*INDEX('How This Works &amp; Sources'!$B$184:$J$198,0,1+2))),IF($AZ35&gt;=1077550,IF($AZ35&gt;25000000,0.117,IF($AZ35&gt;5000000,0.111,0.1045)),SUMPRODUCT(($AZ35&gt;=INDEX('How This Works &amp; Sources'!$B$167:$J$179,0,7))*INDEX('How This Works &amp; Sources'!$B$167:$J$179,0,7+2)))),"")))))))</f>
      </c>
      <c r="CB35" s="24">
        <f>IF($B35="","",IF($AN35="CA",SUMPRODUCT(($AJ35&gt;=INDEX('How This Works &amp; Sources'!$B$39:$J$48,0,IF($AU35="Married",4,IF($AU35="Head of household",7,1))))*INDEX('How This Works &amp; Sources'!$B$39:$J$48,0,IF($AU35="Married",4,IF($AU35="Head of household",7,1))+2)),IF($AN35="HI",IF($AU35="Married",SUMPRODUCT(($AZ35&gt;=INDEX('How This Works &amp; Sources'!$B$91:$J$98,0,7))*INDEX('How This Works &amp; Sources'!$B$91:$J$98,0,7+2)),SUMPRODUCT(($AZ35&gt;=INDEX('How This Works &amp; Sources'!$B$91:$J$98,0,4))*INDEX('How This Works &amp; Sources'!$B$91:$J$98,0,4+2))),IF($AN35="MN",IF($AU35="Married",SUMPRODUCT(($AZ35&gt;=INDEX('How This Works &amp; Sources'!$B$114:$J$120,0,7))*INDEX('How This Works &amp; Sources'!$B$114:$J$120,0,7+2)),SUMPRODUCT(($AZ35&gt;=INDEX('How This Works &amp; Sources'!$B$114:$J$120,0,4))*INDEX('How This Works &amp; Sources'!$B$114:$J$120,0,4+2))),IF($AN35="MO",SUMPRODUCT(($AZ35&gt;=INDEX('How This Works &amp; Sources'!$B$125:$J$132,0,1))*INDEX('How This Works &amp; Sources'!$B$125:$J$132,0,1+2)),IF($AN35="NE",MAX(IF($AU35="Married",SUMPRODUCT(($AZ35&gt;=INDEX('How This Works &amp; Sources'!$B$144:$J$150,0,7))*INDEX('How This Works &amp; Sources'!$B$144:$J$150,0,7+2)),SUMPRODUCT(($AZ35&gt;=INDEX('How This Works &amp; Sources'!$B$144:$J$150,0,4))*INDEX('How This Works &amp; Sources'!$B$144:$J$150,0,4+2))),0.015),IF($AN35="OH",IF($B35&gt;=DATE(2026,8,1),SUMPRODUCT(($AZ35&gt;=INDEX('How This Works &amp; Sources'!$B$203:$J$206,0,1))*INDEX('How This Works &amp; Sources'!$B$203:$J$206,0,1+2)),SUMPRODUCT(($AZ35&gt;=INDEX('How This Works &amp; Sources'!$B$184:$J$198,0,7))*INDEX('How This Works &amp; Sources'!$B$184:$J$198,0,7+2))),IF($AN35="OK",IF($AU35="Married",SUMPRODUCT(($AZ35&gt;=INDEX('How This Works &amp; Sources'!$B$203:$J$206,0,7))*INDEX('How This Works &amp; Sources'!$B$203:$J$206,0,7+2)),SUMPRODUCT(($AZ35&gt;=INDEX('How This Works &amp; Sources'!$B$203:$J$206,0,4))*INDEX('How This Works &amp; Sources'!$B$203:$J$206,0,4+2))),IF($AN35="RI",SUMPRODUCT(($AZ35&gt;=INDEX('How This Works &amp; Sources'!$B$211:$J$214,0,7))*INDEX('How This Works &amp; Sources'!$B$211:$J$214,0,7+2)),IF($AN35="SC",SUMPRODUCT(($AZ35&gt;=INDEX('How This Works &amp; Sources'!$B$219:$J$223,0,1))*INDEX('How This Works &amp; Sources'!$B$219:$J$223,0,1+2)),IF($AN35="VT",IF($AU35="Married",SUMPRODUCT(($AZ35&gt;=INDEX('How This Works &amp; Sources'!$B$228:$J$232,0,1))*INDEX('How This Works &amp; Sources'!$B$228:$J$232,0,1+2)),SUMPRODUCT(($AZ35&gt;=INDEX('How This Works &amp; Sources'!$B$219:$J$223,0,7))*INDEX('How This Works &amp; Sources'!$B$219:$J$223,0,7+2))),IF($AN35="WV",IF($AU35="Married",SUMPRODUCT(($AZ35&gt;=INDEX('How This Works &amp; Sources'!$B$237:$J$241,0,7))*INDEX('How This Works &amp; Sources'!$B$237:$J$241,0,7+2)),SUMPRODUCT(($AZ35&gt;=INDEX('How This Works &amp; Sources'!$B$228:$J$232,0,7))*INDEX('How This Works &amp; Sources'!$B$228:$J$232,0,7+2))),IF($AN35="IN",(0.0295+'Your Pay &amp; Benefits'!$C$76),"")))))))))))))</f>
      </c>
      <c r="CC35" s="24">
        <f>IF($B35="","",IF($AN35="AR",SUMPRODUCT(($AZ35&gt;=INDEX('How This Works &amp; Sources'!$B$82:$J$86,0,7))*INDEX('How This Works &amp; Sources'!$B$82:$J$86,0,7+2)),IF($AN35="DE",SUMPRODUCT(($AZ35&gt;=INDEX('How This Works &amp; Sources'!$B$91:$J$98,0,1))*INDEX('How This Works &amp; Sources'!$B$91:$J$98,0,1+2)),IF($AN35="VA",SUMPRODUCT(($AZ35&gt;=INDEX('How This Works &amp; Sources'!$B$219:$J$223,0,4))*INDEX('How This Works &amp; Sources'!$B$219:$J$223,0,4+2)),IF($AN35="WI",SUMPRODUCT(($AZ35&gt;=INDEX('How This Works &amp; Sources'!$B$228:$J$232,0,4))*INDEX('How This Works &amp; Sources'!$B$228:$J$232,0,4+2)),IF($AN35="AZ",'Your Pay &amp; Benefits'!$C$82,IF($AN35="CO",IF($AY35&gt;IF($AU35="Married",10000,5000),0.044,0),IF($AN35="IA",IF($AY35&gt;IF($AU35="Head of household",19500,IF($AU35="Married",26000,13000)),0.038,0),IF($AN35="ID",IF($AY35&gt;IF($AU35="Married",32000,16094),0.053,0),IF($AN35="IL",IF($AY35&gt;(2925*$AS35+1000*$AT35),0.0495,0),IF($AN35="KY",IF($AI35&gt;3360,0.035,0),IF($AN35="LA",0.0309,IF($AN35="MA",IF(MAX(0,$AY35-MIN(($BD34+$Q35+$R35+$S35),2000)-IF($AS35=0,0,IF($AS35=1,4400,1000*$AS35+3400)))&gt;=1107750,0.09,0.05),IF($AN35="MS",IF($AI35-IF($AU35="Head of household",3400,IF($AU35="Married",4600,2300))-'Your Pay &amp; Benefits'!$C$85&gt;10000,0.04,0),IF($AN35="PA",0.0307,"")))))))))))))))</f>
      </c>
      <c r="CD35" s="21">
        <f>IF(YEAR(IF('Your Pay &amp; Benefits'!$C$7="Weekly",'Your Pay &amp; Benefits'!$C$9+7*(($BE34+1)-1),IF('Your Pay &amp; Benefits'!$C$7="Biweekly",'Your Pay &amp; Benefits'!$C$9+14*(($BE34+1)-1),IF('Your Pay &amp; Benefits'!$C$7="Semimonthly",DATE(YEAR('Your Pay &amp; Benefits'!$C$9),MONTH('Your Pay &amp; Benefits'!$C$9)+INT((($BE34+1)-1)/2),MIN(DAY('Your Pay &amp; Benefits'!$C$9),DAY(EOMONTH(DATE(YEAR('Your Pay &amp; Benefits'!$C$9),MONTH('Your Pay &amp; Benefits'!$C$9)+INT((($BE34+1)-1)/2),1),0))))+IF(MOD(($BE34+1)-1,2)=1,15,0),EDATE('Your Pay &amp; Benefits'!$C$9,($BE34+1)-1)))))&lt;&gt;'Your Pay &amp; Benefits'!$C$10,"",IF('Your Pay &amp; Benefits'!$C$7="Weekly",'Your Pay &amp; Benefits'!$C$9+7*(($BE34+1)-1),IF('Your Pay &amp; Benefits'!$C$7="Biweekly",'Your Pay &amp; Benefits'!$C$9+14*(($BE34+1)-1),IF('Your Pay &amp; Benefits'!$C$7="Semimonthly",DATE(YEAR('Your Pay &amp; Benefits'!$C$9),MONTH('Your Pay &amp; Benefits'!$C$9)+INT((($BE34+1)-1)/2),MIN(DAY('Your Pay &amp; Benefits'!$C$9),DAY(EOMONTH(DATE(YEAR('Your Pay &amp; Benefits'!$C$9),MONTH('Your Pay &amp; Benefits'!$C$9)+INT((($BE34+1)-1)/2),1),0))))+IF(MOD(($BE34+1)-1,2)=1,15,0),EDATE('Your Pay &amp; Benefits'!$C$9,($BE34+1)-1)))))</f>
      </c>
      <c r="CE35" s="21">
        <f>IF(MIN(IF(AND('Your Pay &amp; Benefits'!$C$58&gt;MAX($B$6:$B34),'Your Pay &amp; Benefits'!$C$58&gt;=DATE('Your Pay &amp; Benefits'!$C$10,1,1),'Your Pay &amp; Benefits'!$C$58&lt;=DATE('Your Pay &amp; Benefits'!$C$10,12,31)),'Your Pay &amp; Benefits'!$C$58,999999),IF(AND('Your Pay &amp; Benefits'!$C$59&gt;MAX($B$6:$B34),'Your Pay &amp; Benefits'!$C$59&gt;=DATE('Your Pay &amp; Benefits'!$C$10,1,1),'Your Pay &amp; Benefits'!$C$59&lt;=DATE('Your Pay &amp; Benefits'!$C$10,12,31)),'Your Pay &amp; Benefits'!$C$59,999999),IF(AND('Your Pay &amp; Benefits'!$C$60&gt;MAX($B$6:$B34),'Your Pay &amp; Benefits'!$C$60&gt;=DATE('Your Pay &amp; Benefits'!$C$10,1,1),'Your Pay &amp; Benefits'!$C$60&lt;=DATE('Your Pay &amp; Benefits'!$C$10,12,31)),'Your Pay &amp; Benefits'!$C$60,999999),IF(AND('Your Pay &amp; Benefits'!$C$61&gt;MAX($B$6:$B34),'Your Pay &amp; Benefits'!$C$61&gt;=DATE('Your Pay &amp; Benefits'!$C$10,1,1),'Your Pay &amp; Benefits'!$C$61&lt;=DATE('Your Pay &amp; Benefits'!$C$10,12,31)),'Your Pay &amp; Benefits'!$C$61,999999),IF(AND('Your Pay &amp; Benefits'!$C$62&gt;MAX($B$6:$B34),'Your Pay &amp; Benefits'!$C$62&gt;=DATE('Your Pay &amp; Benefits'!$C$10,1,1),'Your Pay &amp; Benefits'!$C$62&lt;=DATE('Your Pay &amp; Benefits'!$C$10,12,31)),'Your Pay &amp; Benefits'!$C$62,999999),IF(AND('Your Pay &amp; Benefits'!$C$63&gt;MAX($B$6:$B34),'Your Pay &amp; Benefits'!$C$63&gt;=DATE('Your Pay &amp; Benefits'!$C$10,1,1),'Your Pay &amp; Benefits'!$C$63&lt;=DATE('Your Pay &amp; Benefits'!$C$10,12,31)),'Your Pay &amp; Benefits'!$C$63,999999),IF(AND('Your Pay &amp; Benefits'!$C$64&gt;MAX($B$6:$B34),'Your Pay &amp; Benefits'!$C$64&gt;=DATE('Your Pay &amp; Benefits'!$C$10,1,1),'Your Pay &amp; Benefits'!$C$64&lt;=DATE('Your Pay &amp; Benefits'!$C$10,12,31)),'Your Pay &amp; Benefits'!$C$64,999999),IF(AND('Your Pay &amp; Benefits'!$C$65&gt;MAX($B$6:$B34),'Your Pay &amp; Benefits'!$C$65&gt;=DATE('Your Pay &amp; Benefits'!$C$10,1,1),'Your Pay &amp; Benefits'!$C$65&lt;=DATE('Your Pay &amp; Benefits'!$C$10,12,31)),'Your Pay &amp; Benefits'!$C$65,999999),IF(AND('Your Pay &amp; Benefits'!$C$66&gt;MAX($B$6:$B34),'Your Pay &amp; Benefits'!$C$66&gt;=DATE('Your Pay &amp; Benefits'!$C$10,1,1),'Your Pay &amp; Benefits'!$C$66&lt;=DATE('Your Pay &amp; Benefits'!$C$10,12,31)),'Your Pay &amp; Benefits'!$C$66,999999),IF(AND('Your Pay &amp; Benefits'!$C$67&gt;MAX($B$6:$B34),'Your Pay &amp; Benefits'!$C$67&gt;=DATE('Your Pay &amp; Benefits'!$C$10,1,1),'Your Pay &amp; Benefits'!$C$67&lt;=DATE('Your Pay &amp; Benefits'!$C$10,12,31)),'Your Pay &amp; Benefits'!$C$67,999999))=999999,"",MIN(IF(AND('Your Pay &amp; Benefits'!$C$58&gt;MAX($B$6:$B34),'Your Pay &amp; Benefits'!$C$58&gt;=DATE('Your Pay &amp; Benefits'!$C$10,1,1),'Your Pay &amp; Benefits'!$C$58&lt;=DATE('Your Pay &amp; Benefits'!$C$10,12,31)),'Your Pay &amp; Benefits'!$C$58,999999),IF(AND('Your Pay &amp; Benefits'!$C$59&gt;MAX($B$6:$B34),'Your Pay &amp; Benefits'!$C$59&gt;=DATE('Your Pay &amp; Benefits'!$C$10,1,1),'Your Pay &amp; Benefits'!$C$59&lt;=DATE('Your Pay &amp; Benefits'!$C$10,12,31)),'Your Pay &amp; Benefits'!$C$59,999999),IF(AND('Your Pay &amp; Benefits'!$C$60&gt;MAX($B$6:$B34),'Your Pay &amp; Benefits'!$C$60&gt;=DATE('Your Pay &amp; Benefits'!$C$10,1,1),'Your Pay &amp; Benefits'!$C$60&lt;=DATE('Your Pay &amp; Benefits'!$C$10,12,31)),'Your Pay &amp; Benefits'!$C$60,999999),IF(AND('Your Pay &amp; Benefits'!$C$61&gt;MAX($B$6:$B34),'Your Pay &amp; Benefits'!$C$61&gt;=DATE('Your Pay &amp; Benefits'!$C$10,1,1),'Your Pay &amp; Benefits'!$C$61&lt;=DATE('Your Pay &amp; Benefits'!$C$10,12,31)),'Your Pay &amp; Benefits'!$C$61,999999),IF(AND('Your Pay &amp; Benefits'!$C$62&gt;MAX($B$6:$B34),'Your Pay &amp; Benefits'!$C$62&gt;=DATE('Your Pay &amp; Benefits'!$C$10,1,1),'Your Pay &amp; Benefits'!$C$62&lt;=DATE('Your Pay &amp; Benefits'!$C$10,12,31)),'Your Pay &amp; Benefits'!$C$62,999999),IF(AND('Your Pay &amp; Benefits'!$C$63&gt;MAX($B$6:$B34),'Your Pay &amp; Benefits'!$C$63&gt;=DATE('Your Pay &amp; Benefits'!$C$10,1,1),'Your Pay &amp; Benefits'!$C$63&lt;=DATE('Your Pay &amp; Benefits'!$C$10,12,31)),'Your Pay &amp; Benefits'!$C$63,999999),IF(AND('Your Pay &amp; Benefits'!$C$64&gt;MAX($B$6:$B34),'Your Pay &amp; Benefits'!$C$64&gt;=DATE('Your Pay &amp; Benefits'!$C$10,1,1),'Your Pay &amp; Benefits'!$C$64&lt;=DATE('Your Pay &amp; Benefits'!$C$10,12,31)),'Your Pay &amp; Benefits'!$C$64,999999),IF(AND('Your Pay &amp; Benefits'!$C$65&gt;MAX($B$6:$B34),'Your Pay &amp; Benefits'!$C$65&gt;=DATE('Your Pay &amp; Benefits'!$C$10,1,1),'Your Pay &amp; Benefits'!$C$65&lt;=DATE('Your Pay &amp; Benefits'!$C$10,12,31)),'Your Pay &amp; Benefits'!$C$65,999999),IF(AND('Your Pay &amp; Benefits'!$C$66&gt;MAX($B$6:$B34),'Your Pay &amp; Benefits'!$C$66&gt;=DATE('Your Pay &amp; Benefits'!$C$10,1,1),'Your Pay &amp; Benefits'!$C$66&lt;=DATE('Your Pay &amp; Benefits'!$C$10,12,31)),'Your Pay &amp; Benefits'!$C$66,999999),IF(AND('Your Pay &amp; Benefits'!$C$67&gt;MAX($B$6:$B34),'Your Pay &amp; Benefits'!$C$67&gt;=DATE('Your Pay &amp; Benefits'!$C$10,1,1),'Your Pay &amp; Benefits'!$C$67&lt;=DATE('Your Pay &amp; Benefits'!$C$10,12,31)),'Your Pay &amp; Benefits'!$C$67,999999)))</f>
      </c>
      <c r="CF35">
        <f>IF($B35="","",IF($D35=0,$Y35,""))</f>
      </c>
    </row>
    <row r="36">
      <c r="A36" t="n">
        <v>31</v>
      </c>
      <c r="B36" s="21">
        <f>IF(AND($CD36="",$CE36=""),"",IF($CE36="",$CD36,IF($CD36="",$CE36,MIN($CD36,$CE36))))</f>
      </c>
      <c r="C36" s="7">
        <f>IF($B36="","",IF($BF36=0,0,IF('Your Pay &amp; Benefits'!$C$4="Annual salary",ROUND($AK36/IF(AND('Your Pay &amp; Benefits'!$C$88="Actual paydays",MONTH('Your Pay &amp; Benefits'!$C$9)=1),MAX(1,MAX($BE$6:$BE$68)),'Your Pay &amp; Benefits'!$C$8),2),$AK36)))</f>
      </c>
      <c r="D36" s="7">
        <f>IF($B36="","",SUMIF('Your Pay &amp; Benefits'!$C$58:$C$67,$B36,'Your Pay &amp; Benefits'!$D$58:$D$67))</f>
      </c>
      <c r="E36" s="7">
        <f>IF($B36="","",ROUND(MAX(0,MIN(IF($AL36="Percent",$AM36*($C36+$D36),$AM36),MAX(0,'Your Pay &amp; Benefits'!$C$34-$AC35))),2))</f>
      </c>
      <c r="F36" s="7">
        <f>IF($B36="","",ROUND(MAX(0,MIN(IF('Your Pay &amp; Benefits'!$C$32="Percent",'Your Pay &amp; Benefits'!$D$32*($C36+$D36),'Your Pay &amp; Benefits'!$D$32),MAX(0,'Your Pay &amp; Benefits'!$C$34-$AC35-$E36))),2))</f>
      </c>
      <c r="G36" s="7">
        <f>IF($B36="","",IF($BF36=0,0,ROUND(MAX(0,MIN($BL36,'Your Pay &amp; Benefits'!$C$37-'Your Pay &amp; Benefits'!$C$54-$BI35)),2)))</f>
      </c>
      <c r="H36" s="7">
        <f>IF($B36="","",IF(OR($BF36=0,$BQ36=1),0,ROUND(MAX(0,MIN(IF($BS36=1,ROUND(MAX(0,MIN($BJ36,'How This Works &amp; Sources'!$C$13)-$BG35)/MAX(1,MAX($BE$6:$BE$68)-($BE35)),2),ROUND(MIN($BJ36,'How This Works &amp; Sources'!$C$13)/'Your Pay &amp; Benefits'!$C$8,2)),MIN($BJ36,'How This Works &amp; Sources'!$C$13)-$BG35)),2)))</f>
      </c>
      <c r="I36" s="7">
        <f>IF($B36="","",IF(OR($BF36=0,$BR36=1),0,ROUND(MAX(0,MIN(IF($BT36=1,ROUND(MAX(0,MIN($BK36,IF('Your Pay &amp; Benefits'!$C$12="MFJ",'How This Works &amp; Sources'!$C$14,'How This Works &amp; Sources'!$C$15))-$BH35)/MAX(1,MAX($BE$6:$BE$68)-($BE35)),2),ROUND(MIN($BK36,IF('Your Pay &amp; Benefits'!$C$12="MFJ",'How This Works &amp; Sources'!$C$14,'How This Works &amp; Sources'!$C$15))/'Your Pay &amp; Benefits'!$C$8,2)),MIN($BK36,IF('Your Pay &amp; Benefits'!$C$12="MFJ",'How This Works &amp; Sources'!$C$14,'How This Works &amp; Sources'!$C$15))-$BH35)),2)))</f>
      </c>
      <c r="J36" s="7">
        <f>IF($B36="","",IF($BF36=0,0,$BM36))</f>
      </c>
      <c r="K36" s="7">
        <f>IF($B36="","",IF($BF36=0,0,$BN36+$BO36))</f>
      </c>
      <c r="L36" s="7">
        <f>IF($B36="","",IF($BF36=0,0,'Your Pay &amp; Benefits'!$D$46))</f>
      </c>
      <c r="M36" s="7">
        <f>IF($B36="","",$C36+$D36+$L36-$E36-$G36-$H36-$I36-$J36-$K36)</f>
      </c>
      <c r="N36" s="7">
        <f>IF($B36="","",$C36+$D36+$L36-$G36-$H36-$I36-$J36-$K36)</f>
      </c>
      <c r="O36" s="7">
        <f>IF($B36="","",$C36+$D36+$L36-$E36-$H36-$I36-$J36-$K36-IF(OR($AN36="CA",$AN36="NJ"),0,$G36))</f>
      </c>
      <c r="P36" s="7">
        <f>IF($B36="","",IF('Your Pay &amp; Benefits'!$C$18,0,ROUND(MAX(0,IF('Your Pay &amp; Benefits'!$C$13,SUMPRODUCT(($AH36&gt;INDEX('How This Works &amp; Sources'!$B$29:$J$36,0,IF('Your Pay &amp; Benefits'!$C$12="MFJ",1,IF('Your Pay &amp; Benefits'!$C$12="HoH",7,4))))*($AH36-INDEX('How This Works &amp; Sources'!$B$29:$J$36,0,IF('Your Pay &amp; Benefits'!$C$12="MFJ",1,IF('Your Pay &amp; Benefits'!$C$12="HoH",7,4))))*INDEX('How This Works &amp; Sources'!$B$29:$J$36,0,IF('Your Pay &amp; Benefits'!$C$12="MFJ",1,IF('Your Pay &amp; Benefits'!$C$12="HoH",7,4))+2)),SUMPRODUCT(($AH36&gt;INDEX('How This Works &amp; Sources'!$B$19:$J$26,0,IF('Your Pay &amp; Benefits'!$C$12="MFJ",1,IF('Your Pay &amp; Benefits'!$C$12="HoH",7,4))))*($AH36-INDEX('How This Works &amp; Sources'!$B$19:$J$26,0,IF('Your Pay &amp; Benefits'!$C$12="MFJ",1,IF('Your Pay &amp; Benefits'!$C$12="HoH",7,4))))*INDEX('How This Works &amp; Sources'!$B$19:$J$26,0,IF('Your Pay &amp; Benefits'!$C$12="MFJ",1,IF('Your Pay &amp; Benefits'!$C$12="HoH",7,4))+2)))/'Your Pay &amp; Benefits'!$C$8-$AO36/'Your Pay &amp; Benefits'!$C$8)+$AR36+IF('Your Pay &amp; Benefits'!$C$89="Aggregate",MAX(0,IF('Your Pay &amp; Benefits'!$C$13,SUMPRODUCT((($AH36+$D36)&gt;INDEX('How This Works &amp; Sources'!$B$29:$J$36,0,IF('Your Pay &amp; Benefits'!$C$12="MFJ",1,IF('Your Pay &amp; Benefits'!$C$12="HoH",7,4))))*(($AH36+$D36)-INDEX('How This Works &amp; Sources'!$B$29:$J$36,0,IF('Your Pay &amp; Benefits'!$C$12="MFJ",1,IF('Your Pay &amp; Benefits'!$C$12="HoH",7,4))))*INDEX('How This Works &amp; Sources'!$B$29:$J$36,0,IF('Your Pay &amp; Benefits'!$C$12="MFJ",1,IF('Your Pay &amp; Benefits'!$C$12="HoH",7,4))+2)),SUMPRODUCT((($AH36+$D36)&gt;INDEX('How This Works &amp; Sources'!$B$19:$J$26,0,IF('Your Pay &amp; Benefits'!$C$12="MFJ",1,IF('Your Pay &amp; Benefits'!$C$12="HoH",7,4))))*(($AH36+$D36)-INDEX('How This Works &amp; Sources'!$B$19:$J$26,0,IF('Your Pay &amp; Benefits'!$C$12="MFJ",1,IF('Your Pay &amp; Benefits'!$C$12="HoH",7,4))))*INDEX('How This Works &amp; Sources'!$B$19:$J$26,0,IF('Your Pay &amp; Benefits'!$C$12="MFJ",1,IF('Your Pay &amp; Benefits'!$C$12="HoH",7,4))+2)))-IF('Your Pay &amp; Benefits'!$C$13,SUMPRODUCT(($AH36&gt;INDEX('How This Works &amp; Sources'!$B$29:$J$36,0,IF('Your Pay &amp; Benefits'!$C$12="MFJ",1,IF('Your Pay &amp; Benefits'!$C$12="HoH",7,4))))*($AH36-INDEX('How This Works &amp; Sources'!$B$29:$J$36,0,IF('Your Pay &amp; Benefits'!$C$12="MFJ",1,IF('Your Pay &amp; Benefits'!$C$12="HoH",7,4))))*INDEX('How This Works &amp; Sources'!$B$29:$J$36,0,IF('Your Pay &amp; Benefits'!$C$12="MFJ",1,IF('Your Pay &amp; Benefits'!$C$12="HoH",7,4))+2)),SUMPRODUCT(($AH36&gt;INDEX('How This Works &amp; Sources'!$B$19:$J$26,0,IF('Your Pay &amp; Benefits'!$C$12="MFJ",1,IF('Your Pay &amp; Benefits'!$C$12="HoH",7,4))))*($AH36-INDEX('How This Works &amp; Sources'!$B$19:$J$26,0,IF('Your Pay &amp; Benefits'!$C$12="MFJ",1,IF('Your Pay &amp; Benefits'!$C$12="HoH",7,4))))*INDEX('How This Works &amp; Sources'!$B$19:$J$26,0,IF('Your Pay &amp; Benefits'!$C$12="MFJ",1,IF('Your Pay &amp; Benefits'!$C$12="HoH",7,4))+2)))),'How This Works &amp; Sources'!$C$10*$D36),2)))</f>
      </c>
      <c r="Q36" s="7">
        <f>IF($B36="","",ROUND('How This Works &amp; Sources'!$C$4*MIN($N36,MAX(0,'How This Works &amp; Sources'!$C$3-($AX36+$AB35-$AW36))),2))</f>
      </c>
      <c r="R36" s="7">
        <f>IF($B36="","",ROUND('How This Works &amp; Sources'!$C$5*$N36,2))</f>
      </c>
      <c r="S36" s="7">
        <f>IF($B36="","",ROUND('How This Works &amp; Sources'!$C$6*MAX(0,MIN($N36,$AG35+$N36-'How This Works &amp; Sources'!$C$7)),2))</f>
      </c>
      <c r="T36" s="7">
        <f>IF($B36="","",IF('Your Pay &amp; Benefits'!$C$26,0,IF($AN36="CA",ROUND(IF($AI36&lt;=IF(($AS36+$AT36)&gt;=2,VLOOKUP($AN36,StateTables!$A$6:$AB$56,10,FALSE),VLOOKUP($AN36,StateTables!$A$6:$AB$56,9,FALSE)),0,MAX(0,SUMPRODUCT(($AJ36&gt;INDEX('How This Works &amp; Sources'!$B$39:$J$48,0,IF($AU36="Married",4,IF($AU36="Head of household",7,1))))*($AJ36-INDEX('How This Works &amp; Sources'!$B$39:$J$48,0,IF($AU36="Married",4,IF($AU36="Head of household",7,1))))*INDEX('How This Works &amp; Sources'!$B$39:$J$48,0,IF($AU36="Married",4,IF($AU36="Head of household",7,1))+2))-VLOOKUP($AN36,StateTables!$A$6:$AB$56,11,FALSE)*$AS36)/'Your Pay &amp; Benefits'!$C$8)+'Your Pay &amp; Benefits'!$C$25+VLOOKUP($AN36,StateTables!$A$6:$AB$56,13,FALSE)*$D36,2),IF(VLOOKUP($AN36,StateTables!$A$6:$AB$56,4,FALSE)="None",0,IF(ISNUMBER(SEARCH("MANUAL",VLOOKUP($AN36,StateTables!$A$6:$AB$56,5,FALSE))),'Your Pay &amp; Benefits'!$C$28,ROUND(MAX(0,$BA36+$BB36)/'Your Pay &amp; Benefits'!$C$8+'Your Pay &amp; Benefits'!$C$25+$BC36,2))))))</f>
      </c>
      <c r="U36" s="7">
        <f>IF($B36="","",IF(VLOOKUP($AN36,StateTables!$A$6:$AB$56,24,FALSE)="flatq",IF(OR(MONTH($B36)=1,MONTH($B36)=4,MONTH($B36)=7,MONTH($B36)=10),VLOOKUP($AN36,StateTables!$A$6:$AB$56,25,FALSE),0),IF(VLOOKUP($AN36,StateTables!$A$6:$AB$56,24,FALSE)="dbl",MIN(ROUND(0.005*$N36,2),ROUND(0.6*52/'Your Pay &amp; Benefits'!$C$8,2)),IF(OR(VLOOKUP($AN36,StateTables!$A$6:$AB$56,15,FALSE)="",VLOOKUP($AN36,StateTables!$A$6:$AB$56,15,FALSE)=0),0,ROUND(VLOOKUP($AN36,StateTables!$A$6:$AB$56,15,FALSE)*IF(OR(VLOOKUP($AN36,StateTables!$A$6:$AB$56,16,FALSE)="",VLOOKUP($AN36,StateTables!$A$6:$AB$56,16,FALSE)=0),$N36,MIN($N36,MAX(0,VLOOKUP($AN36,StateTables!$A$6:$AB$56,16,FALSE)-($AX36+$AB35-$AW36)))),2))))+IF(VLOOKUP($AN36,StateTables!$A$6:$AB$56,27,FALSE)="flatq",IF(OR(MONTH($B36)=1,MONTH($B36)=4,MONTH($B36)=7,MONTH($B36)=10),VLOOKUP($AN36,StateTables!$A$6:$AB$56,28,FALSE),0),IF(VLOOKUP($AN36,StateTables!$A$6:$AB$56,27,FALSE)="dbl",MIN(ROUND(0.005*$N36,2),ROUND(0.6*52/'Your Pay &amp; Benefits'!$C$8,2)),IF(OR(VLOOKUP($AN36,StateTables!$A$6:$AB$56,18,FALSE)="",VLOOKUP($AN36,StateTables!$A$6:$AB$56,18,FALSE)=0),0,ROUND(VLOOKUP($AN36,StateTables!$A$6:$AB$56,18,FALSE)*IF(OR(VLOOKUP($AN36,StateTables!$A$6:$AB$56,19,FALSE)="",VLOOKUP($AN36,StateTables!$A$6:$AB$56,19,FALSE)=0),$N36,MIN($N36,MAX(0,VLOOKUP($AN36,StateTables!$A$6:$AB$56,19,FALSE)-($AX36+$AB35-$AW36)))),2)))))</f>
      </c>
      <c r="V36" s="7">
        <f>IF($B36="","",IF($AN36="NY",IF('Your Pay &amp; Benefits'!$C$78,ROUND(SUMPRODUCT((MAX(0,($O36-$D36)*'Your Pay &amp; Benefits'!$C$8-(IF($AU36="Married",5500,5000)+1000*$AS36))&gt;INDEX('How This Works &amp; Sources'!$B$184:$J$198,0,4))*(MAX(0,($O36-$D36)*'Your Pay &amp; Benefits'!$C$8-(IF($AU36="Married",5500,5000)+1000*$AS36))-INDEX('How This Works &amp; Sources'!$B$184:$J$198,0,4))*INDEX('How This Works &amp; Sources'!$B$184:$J$198,0,4+2))/'Your Pay &amp; Benefits'!$C$8+0.0425*$D36,2),0)+IF('Your Pay &amp; Benefits'!$C$79="Resident",ROUND(0.1675*$T36,2),IF('Your Pay &amp; Benefits'!$C$79="Nonresident",ROUND(0.005*MAX(0,($O36-$D36)-(IF($AU36="Married",7950,7400)+1000*$AS36)/'Your Pay &amp; Benefits'!$C$8),2),0)),IF($AN36="PA",IF('Your Pay &amp; Benefits'!$C$80="None",'Your Pay &amp; Benefits'!$C$27+ROUND('Your Pay &amp; Benefits'!$C$81*($C36+$D36),2),ROUND(IF('Your Pay &amp; Benefits'!$C$80="Resident",IF($B36&lt;DATE(2026,7,1),0.0374,0.03735),IF($B36&lt;DATE(2026,7,1),0.0343,0.03425))*($C36+$D36),2)),IF($BF36=0,ROUND('Your Pay &amp; Benefits'!$C$81*($C36+$D36),2),'Your Pay &amp; Benefits'!$C$27+ROUND('Your Pay &amp; Benefits'!$C$81*($C36+$D36),2)))))</f>
      </c>
      <c r="W36" s="7">
        <f>IF($B36="","",IF($BF36=0,0,$BP36))</f>
      </c>
      <c r="X36" s="7">
        <f>IF($B36="","",SUM($E36:$K36)+$P36+$Q36+$R36+$S36+$T36+$U36+$V36+$W36)</f>
      </c>
      <c r="Y36" s="22">
        <f>IF($B36="","",$C36+$D36-$X36)</f>
      </c>
      <c r="Z36" s="7">
        <f>IF($B36="","",$Z35+$C36+$D36)</f>
      </c>
      <c r="AA36" s="7">
        <f>IF($B36="","",$AA35+$Y36)</f>
      </c>
      <c r="AB36" s="7">
        <f>IF($B36="","",$AB35+MIN($N36,MAX(0,'How This Works &amp; Sources'!$C$3-($AX36+$AB35-$AW36))))</f>
      </c>
      <c r="AC36" s="7">
        <f>IF($B36="","",$AC35+$E36+$F36)</f>
      </c>
      <c r="AD36" s="3">
        <f>IF($B36="","",IF(AND($AB35&lt;'How This Works &amp; Sources'!$C$3,$AB36&gt;='How This Works &amp; Sources'!$C$3),"★ Social Security maxed on this check — from the next check your net rises by about $"&amp;TEXT(ROUND('How This Works &amp; Sources'!$C$4*$N36,2),"#,##0.00")&amp;". ","")&amp;IF(AND($AC35&lt;'Your Pay &amp; Benefits'!$C$34,$AC36&gt;='Your Pay &amp; Benefits'!$C$34),"★ 401(k) reaches the $"&amp;TEXT('Your Pay &amp; Benefits'!$C$34,"#,##0")&amp;" cap on this check — deferrals stop and net pay rises. ","")&amp;IF(AND($AG35&lt;'How This Works &amp; Sources'!$C$7,$AG36&gt;='How This Works &amp; Sources'!$C$7),"★ Wages pass $200,000 — the 0.9% Additional Medicare Tax starts here. ","")&amp;IF(AND($BJ36&gt;0,$H36&gt;0,$BG35&lt;MIN($BJ36,'How This Works &amp; Sources'!$C$13),$BG35+$H36&gt;=MIN($BJ36,'How This Works &amp; Sources'!$C$13)),"★ Health FSA election is now fully deferred for the year. ",""))</f>
      </c>
      <c r="AE36" s="41" t="n"/>
      <c r="AF36" s="7">
        <f>IF(OR($B36="",$AE36=""),"",$AE36-$Y36)</f>
      </c>
      <c r="AG36" s="7">
        <f>IF($B36="","",$AG35+$N36)</f>
      </c>
      <c r="AH36" s="7">
        <f>IF($B36="","",MAX(0,($M36-$D36)*'Your Pay &amp; Benefits'!$C$8+$AP36-$AQ36-IF('Your Pay &amp; Benefits'!$C$13,0,IF('Your Pay &amp; Benefits'!$C$12="MFJ",'How This Works &amp; Sources'!$C$8,'How This Works &amp; Sources'!$C$9))))</f>
      </c>
      <c r="AI36" s="7">
        <f>IF($B36="","",$O36*'Your Pay &amp; Benefits'!$C$8)</f>
      </c>
      <c r="AJ36" s="7">
        <f>IF($B36="","",MAX(0,$AI36-VLOOKUP($AN36,StateTables!$A$6:$AB$56,12,FALSE)*$AT36-IF(($AS36+$AT36)&gt;=2,VLOOKUP($AN36,StateTables!$A$6:$AB$56,8,FALSE),VLOOKUP($AN36,StateTables!$A$6:$AB$56,7,FALSE))))</f>
      </c>
      <c r="AK36" s="7">
        <f>IF($B36="","",IFERROR(LOOKUP(2,1/(('Changes &amp; Events'!$C$6:$C$17="Salary change")*('Changes &amp; Events'!$B$6:$B$17&lt;=$B36)*('Changes &amp; Events'!$B$6:$B$17&lt;&gt;"")),'Changes &amp; Events'!$D$6:$D$17),IF('Your Pay &amp; Benefits'!$C$4="Annual salary",'Your Pay &amp; Benefits'!$C$5,'Your Pay &amp; Benefits'!$C$6)))</f>
      </c>
      <c r="AL36">
        <f>IF($B36="","",IFERROR(LOOKUP(2,1/(('Changes &amp; Events'!$C$6:$C$17="401(k) change")*('Changes &amp; Events'!$B$6:$B$17&lt;=$B36)*('Changes &amp; Events'!$B$6:$B$17&lt;&gt;"")),'Changes &amp; Events'!$D$6:$D$17),'Your Pay &amp; Benefits'!$C$30))</f>
      </c>
      <c r="AM36" s="7">
        <f>IF($B36="","",IFERROR(LOOKUP(2,1/(('Changes &amp; Events'!$C$6:$C$17="401(k) change")*('Changes &amp; Events'!$B$6:$B$17&lt;=$B36)*('Changes &amp; Events'!$B$6:$B$17&lt;&gt;"")),'Changes &amp; Events'!$E$6:$E$17),'Your Pay &amp; Benefits'!$D$31))</f>
      </c>
      <c r="AN36">
        <f>IF($B36="","",IFERROR(LOOKUP(2,1/(('Changes &amp; Events'!$C$6:$C$17="State move")*('Changes &amp; Events'!$B$6:$B$17&lt;=$B36)*('Changes &amp; Events'!$B$6:$B$17&lt;&gt;"")),'Changes &amp; Events'!$D$6:$D$17),'Your Pay &amp; Benefits'!$C$21))</f>
      </c>
      <c r="AO36" s="7">
        <f>IF($B36="","",IFERROR(LOOKUP(2,1/(('Changes &amp; Events'!$C$6:$C$17="W-4 change")*('Changes &amp; Events'!$B$6:$B$17&lt;=$B36)*('Changes &amp; Events'!$B$6:$B$17&lt;&gt;"")),'Changes &amp; Events'!$D$6:$D$17),'Your Pay &amp; Benefits'!$C$14))</f>
      </c>
      <c r="AP36" s="7">
        <f>IF($B36="","",IFERROR(LOOKUP(2,1/(('Changes &amp; Events'!$C$6:$C$17="W-4 change")*('Changes &amp; Events'!$B$6:$B$17&lt;=$B36)*('Changes &amp; Events'!$B$6:$B$17&lt;&gt;"")),'Changes &amp; Events'!$E$6:$E$17),'Your Pay &amp; Benefits'!$C$15))</f>
      </c>
      <c r="AQ36" s="7">
        <f>IF($B36="","",IFERROR(LOOKUP(2,1/(('Changes &amp; Events'!$C$6:$C$17="W-4 change")*('Changes &amp; Events'!$B$6:$B$17&lt;=$B36)*('Changes &amp; Events'!$B$6:$B$17&lt;&gt;"")),'Changes &amp; Events'!$F$6:$F$17),'Your Pay &amp; Benefits'!$C$16))</f>
      </c>
      <c r="AR36" s="7">
        <f>IF($B36="","",IFERROR(LOOKUP(2,1/(('Changes &amp; Events'!$C$6:$C$17="W-4 change")*('Changes &amp; Events'!$B$6:$B$17&lt;=$B36)*('Changes &amp; Events'!$B$6:$B$17&lt;&gt;"")),'Changes &amp; Events'!$G$6:$G$17),'Your Pay &amp; Benefits'!$C$17))</f>
      </c>
      <c r="AS36" s="6">
        <f>IF($B36="","",IFERROR(LOOKUP(2,1/((('Changes &amp; Events'!$C$6:$C$17="State move")+('Changes &amp; Events'!$C$6:$C$17="State cert change"))*('Changes &amp; Events'!$B$6:$B$17&lt;=$B36)*('Changes &amp; Events'!$B$6:$B$17&lt;&gt;"")),'Changes &amp; Events'!$F$6:$F$17),'Your Pay &amp; Benefits'!$C$23))</f>
      </c>
      <c r="AT36" s="6">
        <f>IF($B36="","",IFERROR(LOOKUP(2,1/((('Changes &amp; Events'!$C$6:$C$17="State move")+('Changes &amp; Events'!$C$6:$C$17="State cert change"))*('Changes &amp; Events'!$B$6:$B$17&lt;=$B36)*('Changes &amp; Events'!$B$6:$B$17&lt;&gt;"")),'Changes &amp; Events'!$G$6:$G$17),'Your Pay &amp; Benefits'!$C$24))</f>
      </c>
      <c r="AU36">
        <f>IF($B36="","",IFERROR(LOOKUP(2,1/(('Changes &amp; Events'!$C$6:$C$17="State move")*('Changes &amp; Events'!$B$6:$B$17&lt;=$B36)*('Changes &amp; Events'!$B$6:$B$17&lt;&gt;"")),'Changes &amp; Events'!$E$6:$E$17),'Your Pay &amp; Benefits'!$C$22))</f>
      </c>
      <c r="AV36" s="6">
        <f>IF($B36="","",1+COUNTIFS('Changes &amp; Events'!$C$6:$C$17,"Employer change",'Changes &amp; Events'!$B$6:$B$17,"&lt;="&amp;$B36,'Changes &amp; Events'!$B$6:$B$17,"&lt;&gt;"))</f>
      </c>
      <c r="AW36" s="7">
        <f>IF($B36="","",IF($AV36=1,'Your Pay &amp; Benefits'!$C$49,IF(IFERROR(MATCH(IFERROR(LOOKUP(2,1/(('Changes &amp; Events'!$C$6:$C$17="Employer change")*('Changes &amp; Events'!$B$6:$B$17&lt;=$B36)*('Changes &amp; Events'!$B$6:$B$17&lt;&gt;"")),'Changes &amp; Events'!$B$6:$B$17),""),$B$6:$B$68,1),1)&lt;=1,'Your Pay &amp; Benefits'!$C$49,INDEX($AB$6:$AB$68,MATCH(IFERROR(LOOKUP(2,1/(('Changes &amp; Events'!$C$6:$C$17="Employer change")*('Changes &amp; Events'!$B$6:$B$17&lt;=$B36)*('Changes &amp; Events'!$B$6:$B$17&lt;&gt;"")),'Changes &amp; Events'!$B$6:$B$17),""),$B$6:$B$68,1)-1))))</f>
      </c>
      <c r="AX36" s="7">
        <f>IF($B36="","",IF($AV36=1,'Your Pay &amp; Benefits'!$C$49,IFERROR(LOOKUP(2,1/(('Changes &amp; Events'!$C$6:$C$17="Employer change")*('Changes &amp; Events'!$B$6:$B$17&lt;=$B36)*('Changes &amp; Events'!$B$6:$B$17&lt;&gt;"")),'Changes &amp; Events'!$D$6:$D$17),0)))</f>
      </c>
      <c r="AY36" s="7">
        <f>IF($B36="","",($O36-$D36)*'Your Pay &amp; Benefits'!$C$8)</f>
      </c>
      <c r="AZ36" s="7">
        <f>IF($B36="","",IF($AN36="AL",MAX(0,$AY36-IF($AU36="Married",IF($AY36&lt;=25999,8500,MAX(5000,8500-175*CEILING(($AY36-25999)/500,1))),IF($AU36="Head of household",IF($AY36&lt;=25999,5200,MAX(2500,5200-135*CEILING(($AY36-25999)/500,1))),IF($AY36&lt;=25999,3000,MAX(2500,3000-25*CEILING(($AY36-25999)/500,1)))))-($P36-'How This Works &amp; Sources'!$C$10*$D36)*'Your Pay &amp; Benefits'!$C$8-IF(OR($AU36="Married",$AU36="Head of household"),3000,1500)-$AT36*IF($AY36&lt;=50000,1000,IF($AY36&lt;=100000,500,300))),IF($AN36="AR",IF(MAX(0,$AY36-2470)&lt;97701,INT(MAX(0,$AY36-2470)/100)*100+50,MAX(0,$AY36-2470)),IF($AN36="DE",MAX(0,$AI36-3250),IF($AN36="HI",MAX(0,$AI36-1144*$AS36-4350),IF($AN36="KS",MAX(0,$AI36-(9160*IF($AU36="Married",2,1)+2320*$AT36+IF($AU36="Head of household",2320,0))),IF($AN36="MD",MAX(0,$AI36-3400-3200*$AS36),IF($AN36="MN",MAX(0,$AY36-5300*$AS36),IF($AN36="MO",MAX(0,$AI36-IF($AU36="Head of household",24150,IF($AU36="Married",IF('Your Pay &amp; Benefits'!$C$83,16100,32200),16100))),IF($AN36="MT",$AY36,IF($AN36="ND",($C36+$L36)*'Your Pay &amp; Benefits'!$C$8,IF($AN36="NE",MAX(0,$AY36-2440*$AS36),IF($AN36="NJ",MAX(0,$AY36-1000*$AS36),IF($AN36="NY",MAX(0,$AY36-(IF($AU36="Married",7950,7400)+1000*$AS36)),IF($AN36="OH",MAX(0,$AY36-650*$AS36),IF($AN36="OK",MAX(0,$AY36-1000*$AS36),IF($AN36="RI",MAX(0,$AI36-1000*$AS36),IF($AN36="SC",MAX(0,$AI36-5000*$AS36-IF($AS36=0,0,MIN(0.1*$AI36,7500))),IF($AN36="VA",MAX(0,$AI36-IF($AU36="Married",17500,8750)-930*$AS36-800*$AT36),IF($AN36="VT",MAX(0,$AI36-5400*$AS36),IF($AN36="WI",MAX(0,$AI36-MAX(0,IF($AU36="Married",9461-0.2*MAX(0,$AI36-25727),6702-0.12*MAX(0,$AI36-17780)))-400*$AS36),IF($AN36="WV",MAX(0,$AI36-2000*$AS36),$AI36))))))))))))))))))))))</f>
      </c>
      <c r="BA36" s="7">
        <f>IF($B36="","",IF($BW36&lt;&gt;"",$BW36,IF($BX36&lt;&gt;"",$BX36,IF($BY36&lt;&gt;"",$BY36,0))))</f>
      </c>
      <c r="BB36" s="7">
        <f>IF($B36="","",IF($AN36="AR",-29*$AS36,IF($AN36="DE",-110*$AS36,IF($AN36="MD",$AZ36*'Your Pay &amp; Benefits'!$C$74,IF($AN36="AZ",'Your Pay &amp; Benefits'!$C$82*($M36-$D36)*'Your Pay &amp; Benefits'!$C$8,IF($AN36="CO",0.044*MAX(0,$AY36-IF($AU36="Married",10000,5000)),IF($AN36="IA",MAX(0,0.038*MAX(0,$AY36-IF($AU36="Head of household",19500,IF($AU36="Married",26000,13000)))-40*$AS36),IF($AN36="ID",0.053*MAX(0,$AY36-IF($AU36="Married",32000,16094)),IF($AN36="IL",0.0495*MAX(0,$AY36-(2925*$AS36+1000*$AT36)),IF($AN36="IN",(0.0295+'Your Pay &amp; Benefits'!$C$76)*MAX(0,$AY36-(1000*$AS36+1500*$AT36+3000*'Your Pay &amp; Benefits'!$C$86)),IF($AN36="KY",0.035*MAX(0,$AI36-3360),IF($AN36="LA",IF('Your Pay &amp; Benefits'!$C$84="0",0.0309*$AI36,0.0309*MAX(0,$AI36-IF('Your Pay &amp; Benefits'!$C$84="2",25750,12875))),IF($AN36="MA",0.05*MIN(MAX(0,$AY36-MIN(($BD35+$Q36+$R36+$S36),2000)-IF($AS36=0,0,IF($AS36=1,4400,1000*$AS36+3400))),1107750)+0.09*MAX(0,MAX(0,$AY36-MIN(($BD35+$Q36+$R36+$S36),2000)-IF($AS36=0,0,IF($AS36=1,4400,1000*$AS36+3400)))-1107750)-IF($AU36="Head of household",120,0)-110*'Your Pay &amp; Benefits'!$C$75,IF($AN36="MI",0.0425*MAX(0,$AY36-5900*$AS36),IF($AN36="MS",0.04*MAX(0,$AI36-IF($AU36="Head of household",3400,IF($AU36="Married",4600,2300))-'Your Pay &amp; Benefits'!$C$85-10000),IF($AN36="OR",IF(OR($AU36="Married",AND($AU36="Single",$AS36&gt;=3)),SUMPRODUCT((MAX(0,$AY36-MIN(($P36-'How This Works &amp; Sources'!$C$10*$D36)*'Your Pay &amp; Benefits'!$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Sources'!$B$211:$J$214,0,4))*(MAX(0,$AY36-MIN(($P36-'How This Works &amp; Sources'!$C$10*$D36)*'Your Pay &amp; Benefits'!$C$8,IF(OR($AU36="Married",AND($AU36="Single",$AS36&gt;=3)),IF($AY36&lt;250000,8750,IF($AY36&lt;260000,7000,IF($AY36&lt;270000,5250,IF($AY36&lt;280000,3500,IF($AY36&lt;290000,1750,0))))),IF($AY36&lt;125000,8750,IF($AY36&lt;130000,7000,IF($AY36&lt;135000,5250,IF($AY36&lt;140000,3500,IF($AY36&lt;145000,1750,0)))))))-IF(OR($AU36="Married",AND($AU36="Single",$AS36&gt;=3)),5820,2910))-INDEX('How This Works &amp; Sources'!$B$211:$J$214,0,4))*INDEX('How This Works &amp; Sources'!$B$211:$J$214,0,4+2)),SUMPRODUCT((MAX(0,$AY36-MIN(($P36-'How This Works &amp; Sources'!$C$10*$D36)*'Your Pay &amp; Benefits'!$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Sources'!$B$211:$J$214,0,1))*(MAX(0,$AY36-MIN(($P36-'How This Works &amp; Sources'!$C$10*$D36)*'Your Pay &amp; Benefits'!$C$8,IF(OR($AU36="Married",AND($AU36="Single",$AS36&gt;=3)),IF($AY36&lt;250000,8750,IF($AY36&lt;260000,7000,IF($AY36&lt;270000,5250,IF($AY36&lt;280000,3500,IF($AY36&lt;290000,1750,0))))),IF($AY36&lt;125000,8750,IF($AY36&lt;130000,7000,IF($AY36&lt;135000,5250,IF($AY36&lt;140000,3500,IF($AY36&lt;145000,1750,0)))))))-IF(OR($AU36="Married",AND($AU36="Single",$AS36&gt;=3)),5820,2910))-INDEX('How This Works &amp; Sources'!$B$211:$J$214,0,1))*INDEX('How This Works &amp; Sources'!$B$211:$J$214,0,1+2)))+263-263*IF(IF($AU36="Married",$AY36&gt;200000,$AY36&gt;100000),0,$AS36),IF($AN36="PA",0.0307*(($O36+$E36+$G36)*'Your Pay &amp; Benefits'!$C$8),IF($AN36="NY",IF($AU36="Married",IF($AZ36&gt;=2155350,0,IF($AZ36&gt;=1077550,0.48,IF($AZ36&gt;=373200,1.21,IF($AZ36&gt;=323200,0.21,IF($AZ36&gt;=211550,-0.19,IF($AZ36&gt;=157650,-2.8,IF($AZ36&gt;=107650,-0.8,IF($AZ36&gt;=96800,0.05,IF($AZ36&gt;=80650,-0.1,IF($AZ36&gt;=13900,0.4,IF($AZ36&gt;=11700,-0.3,IF($AZ36&gt;=8500,0.5,0)))))))))))),IF($AZ36&gt;=1077550,0,IF($AZ36&gt;=265400,4.29,IF($AZ36&gt;=215400,2.29,IF($AZ36&gt;=157650,2.29,IF($AZ36&gt;=107650,0.29,IF($AZ36&gt;=96800,0.05,IF($AZ36&gt;=80650,-0.1,IF($AZ36&gt;=13900,0.4,IF($AZ36&gt;=11700,-0.3,IF($AZ36&gt;=8500,0.5,0))))))))))),0))))))))))))))))))</f>
      </c>
      <c r="BC36" s="7">
        <f>IF($B36="","",IF($AN36="AL",0.05*$D36,IF($AN36="AR",0.039*$D36,IF($AN36="ID",0.053*$D36,IF($AN36="IN",(0.0295+'Your Pay &amp; Benefits'!$C$76)*$D36,IF($AN36="KS",0.05*$D36,IF($AN36="MA",0.09*MIN($D36,MAX(0,MAX(0,$AY36-MIN(($BD35+$Q36+$R36+$S36),2000)-IF($AS36=0,0,IF($AS36=1,4400,1000*$AS36+3400)))+$D36-1107750))+0.05*($D36-MIN($D36,MAX(0,MAX(0,$AY36-MIN(($BD35+$Q36+$R36+$S36),2000)-IF($AS36=0,0,IF($AS36=1,4400,1000*$AS36+3400)))+$D36-1107750))),IF($AN36="MD",(0.065+'Your Pay &amp; Benefits'!$C$74)*$D36,IF($AN36="MI",0.0425*$D36,IF($AN36="MN",0.0625*$D36,IF($AN36="MO",0.047*$D36,IF($AN36="MT",0.05*$D36,IF($AN36="ND",0.015*$D36,IF($AN36="NE",0.035*$D36,IF($AN36="NJ",IF('Your Pay &amp; Benefits'!$C$77="B",SUMPRODUCT(($D36*'Your Pay &amp; Benefits'!$C$8&gt;INDEX('How This Works &amp; Sources'!$B$155:$J$162,0,4))*($D36*'Your Pay &amp; Benefits'!$C$8-INDEX('How This Works &amp; Sources'!$B$155:$J$162,0,4))*INDEX('How This Works &amp; Sources'!$B$155:$J$162,0,4+2)),IF('Your Pay &amp; Benefits'!$C$77="C",SUMPRODUCT(($D36*'Your Pay &amp; Benefits'!$C$8&gt;INDEX('How This Works &amp; Sources'!$B$155:$J$162,0,7))*($D36*'Your Pay &amp; Benefits'!$C$8-INDEX('How This Works &amp; Sources'!$B$155:$J$162,0,7))*INDEX('How This Works &amp; Sources'!$B$155:$J$162,0,7+2)),IF('Your Pay &amp; Benefits'!$C$77="D",SUMPRODUCT(($D36*'Your Pay &amp; Benefits'!$C$8&gt;INDEX('How This Works &amp; Sources'!$B$167:$J$179,0,1))*($D36*'Your Pay &amp; Benefits'!$C$8-INDEX('How This Works &amp; Sources'!$B$167:$J$179,0,1))*INDEX('How This Works &amp; Sources'!$B$167:$J$179,0,1+2)),IF('Your Pay &amp; Benefits'!$C$77="E",SUMPRODUCT(($D36*'Your Pay &amp; Benefits'!$C$8&gt;INDEX('How This Works &amp; Sources'!$B$167:$J$179,0,4))*($D36*'Your Pay &amp; Benefits'!$C$8-INDEX('How This Works &amp; Sources'!$B$167:$J$179,0,4))*INDEX('How This Works &amp; Sources'!$B$167:$J$179,0,4+2)),SUMPRODUCT(($D36*'Your Pay &amp; Benefits'!$C$8&gt;INDEX('How This Works &amp; Sources'!$B$155:$J$162,0,1))*($D36*'Your Pay &amp; Benefits'!$C$8-INDEX('How This Works &amp; Sources'!$B$155:$J$162,0,1))*INDEX('How This Works &amp; Sources'!$B$155:$J$162,0,1+2))))))/'Your Pay &amp; Benefits'!$C$8,IF($AN36="NY",0.117*$D36,IF($AN36="OH",0.0275*$D36,IF($AN36="OK",0.045*$D36,IF($AN36="OR",0.08*$D36,IF($AN36="WI",IF($AY36&lt;12760,0.0354,IF($AY36&lt;25520,0.0465,IF($AY36&lt;280950,0.053,0.0765)))*$D36,0))))))))))))))))))))</f>
      </c>
      <c r="BD36" s="7">
        <f>IF($B36="","",$BD35+$Q36+$R36+$S36)</f>
      </c>
      <c r="BE36" s="6">
        <f>IF($B36="",$BE35,$BE35+$BF36)</f>
      </c>
      <c r="BF36" s="6">
        <f>IF($B36="","",IF(AND(IF(YEAR(IF('Your Pay &amp; Benefits'!$C$7="Weekly",'Your Pay &amp; Benefits'!$C$9+7*(($BE35+1)-1),IF('Your Pay &amp; Benefits'!$C$7="Biweekly",'Your Pay &amp; Benefits'!$C$9+14*(($BE35+1)-1),IF('Your Pay &amp; Benefits'!$C$7="Semimonthly",DATE(YEAR('Your Pay &amp; Benefits'!$C$9),MONTH('Your Pay &amp; Benefits'!$C$9)+INT((($BE35+1)-1)/2),MIN(DAY('Your Pay &amp; Benefits'!$C$9),DAY(EOMONTH(DATE(YEAR('Your Pay &amp; Benefits'!$C$9),MONTH('Your Pay &amp; Benefits'!$C$9)+INT((($BE35+1)-1)/2),1),0))))+IF(MOD(($BE35+1)-1,2)=1,15,0),EDATE('Your Pay &amp; Benefits'!$C$9,($BE35+1)-1)))))&lt;&gt;'Your Pay &amp; Benefits'!$C$10,"",IF('Your Pay &amp; Benefits'!$C$7="Weekly",'Your Pay &amp; Benefits'!$C$9+7*(($BE35+1)-1),IF('Your Pay &amp; Benefits'!$C$7="Biweekly",'Your Pay &amp; Benefits'!$C$9+14*(($BE35+1)-1),IF('Your Pay &amp; Benefits'!$C$7="Semimonthly",DATE(YEAR('Your Pay &amp; Benefits'!$C$9),MONTH('Your Pay &amp; Benefits'!$C$9)+INT((($BE35+1)-1)/2),MIN(DAY('Your Pay &amp; Benefits'!$C$9),DAY(EOMONTH(DATE(YEAR('Your Pay &amp; Benefits'!$C$9),MONTH('Your Pay &amp; Benefits'!$C$9)+INT((($BE35+1)-1)/2),1),0))))+IF(MOD(($BE35+1)-1,2)=1,15,0),EDATE('Your Pay &amp; Benefits'!$C$9,($BE35+1)-1)))))&lt;&gt;"",$B36=IF(YEAR(IF('Your Pay &amp; Benefits'!$C$7="Weekly",'Your Pay &amp; Benefits'!$C$9+7*(($BE35+1)-1),IF('Your Pay &amp; Benefits'!$C$7="Biweekly",'Your Pay &amp; Benefits'!$C$9+14*(($BE35+1)-1),IF('Your Pay &amp; Benefits'!$C$7="Semimonthly",DATE(YEAR('Your Pay &amp; Benefits'!$C$9),MONTH('Your Pay &amp; Benefits'!$C$9)+INT((($BE35+1)-1)/2),MIN(DAY('Your Pay &amp; Benefits'!$C$9),DAY(EOMONTH(DATE(YEAR('Your Pay &amp; Benefits'!$C$9),MONTH('Your Pay &amp; Benefits'!$C$9)+INT((($BE35+1)-1)/2),1),0))))+IF(MOD(($BE35+1)-1,2)=1,15,0),EDATE('Your Pay &amp; Benefits'!$C$9,($BE35+1)-1)))))&lt;&gt;'Your Pay &amp; Benefits'!$C$10,"",IF('Your Pay &amp; Benefits'!$C$7="Weekly",'Your Pay &amp; Benefits'!$C$9+7*(($BE35+1)-1),IF('Your Pay &amp; Benefits'!$C$7="Biweekly",'Your Pay &amp; Benefits'!$C$9+14*(($BE35+1)-1),IF('Your Pay &amp; Benefits'!$C$7="Semimonthly",DATE(YEAR('Your Pay &amp; Benefits'!$C$9),MONTH('Your Pay &amp; Benefits'!$C$9)+INT((($BE35+1)-1)/2),MIN(DAY('Your Pay &amp; Benefits'!$C$9),DAY(EOMONTH(DATE(YEAR('Your Pay &amp; Benefits'!$C$9),MONTH('Your Pay &amp; Benefits'!$C$9)+INT((($BE35+1)-1)/2),1),0))))+IF(MOD(($BE35+1)-1,2)=1,15,0),EDATE('Your Pay &amp; Benefits'!$C$9,($BE35+1)-1)))))),1,0))</f>
      </c>
      <c r="BG36" s="7">
        <f>IF($B36="","",$BG35+$H36)</f>
      </c>
      <c r="BH36" s="7">
        <f>IF($B36="","",$BH35+$I36)</f>
      </c>
      <c r="BI36" s="7">
        <f>IF($B36="","",$BI35+$G36)</f>
      </c>
      <c r="BJ36" s="7">
        <f>IF($B36="","",IFERROR(LOOKUP(2,1/(((('Changes &amp; Events'!$C$6:$C$17="Deduction start"))*('Changes &amp; Events'!$D$6:$D$17="Health FSA"))*('Changes &amp; Events'!$B$6:$B$17&lt;=$B36)*('Changes &amp; Events'!$B$6:$B$17&lt;&gt;"")),'Changes &amp; Events'!$E$6:$E$17),'Your Pay &amp; Benefits'!$D$38))</f>
      </c>
      <c r="BK36" s="7">
        <f>IF($B36="","",IFERROR(LOOKUP(2,1/(((('Changes &amp; Events'!$C$6:$C$17="Deduction start"))*('Changes &amp; Events'!$D$6:$D$17="Dependent-care FSA"))*('Changes &amp; Events'!$B$6:$B$17&lt;=$B36)*('Changes &amp; Events'!$B$6:$B$17&lt;&gt;"")),'Changes &amp; Events'!$E$6:$E$17),'Your Pay &amp; Benefits'!$D$39))</f>
      </c>
      <c r="BL36" s="7">
        <f>IF($B36="","",IFERROR(LOOKUP(2,1/(((('Changes &amp; Events'!$C$6:$C$17="Deduction start")+('Changes &amp; Events'!$C$6:$C$17="Deduction stop"))*('Changes &amp; Events'!$D$6:$D$17="HSA"))*('Changes &amp; Events'!$B$6:$B$17&lt;=$B36)*('Changes &amp; Events'!$B$6:$B$17&lt;&gt;"")),'Changes &amp; Events'!$I$6:$I$17),'Your Pay &amp; Benefits'!$D$35))</f>
      </c>
      <c r="BM36" s="7">
        <f>IF($B36="","",IFERROR(LOOKUP(2,1/(((('Changes &amp; Events'!$C$6:$C$17="Deduction start")+('Changes &amp; Events'!$C$6:$C$17="Deduction stop"))*('Changes &amp; Events'!$D$6:$D$17="Premiums"))*('Changes &amp; Events'!$B$6:$B$17&lt;=$B36)*('Changes &amp; Events'!$B$6:$B$17&lt;&gt;"")),'Changes &amp; Events'!$I$6:$I$17),'Your Pay &amp; Benefits'!$D$40+'Your Pay &amp; Benefits'!$D$41+'Your Pay &amp; Benefits'!$D$42))</f>
      </c>
      <c r="BN36" s="7">
        <f>IF($B36="","",IFERROR(LOOKUP(2,1/(((('Changes &amp; Events'!$C$6:$C$17="Deduction start")+('Changes &amp; Events'!$C$6:$C$17="Deduction stop"))*('Changes &amp; Events'!$D$6:$D$17="Commuter"))*('Changes &amp; Events'!$B$6:$B$17&lt;=$B36)*('Changes &amp; Events'!$B$6:$B$17&lt;&gt;"")),'Changes &amp; Events'!$I$6:$I$17),'Your Pay &amp; Benefits'!$D$43))</f>
      </c>
      <c r="BO36" s="7">
        <f>IF($B36="","",IFERROR(LOOKUP(2,1/(((('Changes &amp; Events'!$C$6:$C$17="Deduction start")+('Changes &amp; Events'!$C$6:$C$17="Deduction stop"))*('Changes &amp; Events'!$D$6:$D$17="Other pre-tax"))*('Changes &amp; Events'!$B$6:$B$17&lt;=$B36)*('Changes &amp; Events'!$B$6:$B$17&lt;&gt;"")),'Changes &amp; Events'!$I$6:$I$17),'Your Pay &amp; Benefits'!$D$44))</f>
      </c>
      <c r="BP36" s="7">
        <f>IF($B36="","",IFERROR(LOOKUP(2,1/(((('Changes &amp; Events'!$C$6:$C$17="Deduction start")+('Changes &amp; Events'!$C$6:$C$17="Deduction stop"))*('Changes &amp; Events'!$D$6:$D$17="Other post-tax"))*('Changes &amp; Events'!$B$6:$B$17&lt;=$B36)*('Changes &amp; Events'!$B$6:$B$17&lt;&gt;"")),'Changes &amp; Events'!$I$6:$I$17),'Your Pay &amp; Benefits'!$D$45))</f>
      </c>
      <c r="BQ36" s="6">
        <f>IF($B36="","",IFERROR(LOOKUP(2,1/(((('Changes &amp; Events'!$C$6:$C$17="Deduction start")+('Changes &amp; Events'!$C$6:$C$17="Deduction stop"))*('Changes &amp; Events'!$D$6:$D$17="Health FSA"))*('Changes &amp; Events'!$B$6:$B$17&lt;=$B36)*('Changes &amp; Events'!$B$6:$B$17&lt;&gt;"")),'Changes &amp; Events'!$J$6:$J$17),0))</f>
      </c>
      <c r="BR36" s="6">
        <f>IF($B36="","",IFERROR(LOOKUP(2,1/(((('Changes &amp; Events'!$C$6:$C$17="Deduction start")+('Changes &amp; Events'!$C$6:$C$17="Deduction stop"))*('Changes &amp; Events'!$D$6:$D$17="Dependent-care FSA"))*('Changes &amp; Events'!$B$6:$B$17&lt;=$B36)*('Changes &amp; Events'!$B$6:$B$17&lt;&gt;"")),'Changes &amp; Events'!$J$6:$J$17),0))</f>
      </c>
      <c r="BS36" s="6">
        <f>IF($B36="","",IF(SUMPRODUCT(('Changes &amp; Events'!$C$6:$C$17="Deduction start")*('Changes &amp; Events'!$B$6:$B$17&lt;=$B36)*('Changes &amp; Events'!$B$6:$B$17&lt;&gt;"")*('Changes &amp; Events'!$D$6:$D$17="Health FSA"))&gt;0,1,0))</f>
      </c>
      <c r="BT36" s="6">
        <f>IF($B36="","",IF(SUMPRODUCT(('Changes &amp; Events'!$C$6:$C$17="Deduction start")*('Changes &amp; Events'!$B$6:$B$17&lt;=$B36)*('Changes &amp; Events'!$B$6:$B$17&lt;&gt;"")*('Changes &amp; Events'!$D$6:$D$17="Dependent-care FSA"))&gt;0,1,0))</f>
      </c>
      <c r="BU36" s="24">
        <f>IF($B36="","",IF('Your Pay &amp; Benefits'!$C$13,SUMPRODUCT(($AH36&gt;=INDEX('How This Works &amp; Sources'!$B$29:$J$36,0,IF('Your Pay &amp; Benefits'!$C$12="MFJ",1,IF('Your Pay &amp; Benefits'!$C$12="HoH",7,4))))*INDEX('How This Works &amp; Sources'!$B$29:$J$36,0,IF('Your Pay &amp; Benefits'!$C$12="MFJ",1,IF('Your Pay &amp; Benefits'!$C$12="HoH",7,4))+2)),SUMPRODUCT(($AH36&gt;=INDEX('How This Works &amp; Sources'!$B$19:$J$26,0,IF('Your Pay &amp; Benefits'!$C$12="MFJ",1,IF('Your Pay &amp; Benefits'!$C$12="HoH",7,4))))*INDEX('How This Works &amp; Sources'!$B$19:$J$26,0,IF('Your Pay &amp; Benefits'!$C$12="MFJ",1,IF('Your Pay &amp; Benefits'!$C$12="HoH",7,4))+2))))</f>
      </c>
      <c r="BV36" s="24">
        <f>IF($B36="","",IF($BZ36&lt;&gt;"",$BZ36,IF($CA36&lt;&gt;"",$CA36,IF($CB36&lt;&gt;"",$CB36,IF($CC36&lt;&gt;"",$CC36,0)))))</f>
      </c>
      <c r="BW36" s="7">
        <f>IF($B36="","",IF($AN36="MD",IF(OR($AU36="Married",$AU36="Head of household"),SUMPRODUCT(($AZ36&gt;INDEX('How This Works &amp; Sources'!$B$114:$J$120,0,1))*($AZ36-INDEX('How This Works &amp; Sources'!$B$114:$J$120,0,1))*INDEX('How This Works &amp; Sources'!$B$114:$J$120,0,1+2)),SUMPRODUCT(($AZ36&gt;INDEX('How This Works &amp; Sources'!$B$103:$J$109,0,7))*($AZ36-INDEX('How This Works &amp; Sources'!$B$103:$J$109,0,7))*INDEX('How This Works &amp; Sources'!$B$103:$J$109,0,7+2))),IF($AN36="MO",SUMPRODUCT(($AZ36&gt;INDEX('How This Works &amp; Sources'!$B$125:$J$132,0,1))*($AZ36-INDEX('How This Works &amp; Sources'!$B$125:$J$132,0,1))*INDEX('How This Works &amp; Sources'!$B$125:$J$132,0,1+2)),IF($AN36="MT",IF($AU36="Head of household",SUMPRODUCT(($AZ36&gt;INDEX('How This Works &amp; Sources'!$B$137:$J$139,0,1))*($AZ36-INDEX('How This Works &amp; Sources'!$B$137:$J$139,0,1))*INDEX('How This Works &amp; Sources'!$B$137:$J$139,0,1+2)),IF($AU36="Married",SUMPRODUCT(($AZ36&gt;INDEX('How This Works &amp; Sources'!$B$125:$J$132,0,7))*($AZ36-INDEX('How This Works &amp; Sources'!$B$125:$J$132,0,7))*INDEX('How This Works &amp; Sources'!$B$125:$J$132,0,7+2)),SUMPRODUCT(($AZ36&gt;INDEX('How This Works &amp; Sources'!$B$125:$J$132,0,4))*($AZ36-INDEX('How This Works &amp; Sources'!$B$125:$J$132,0,4))*INDEX('How This Works &amp; Sources'!$B$125:$J$132,0,4+2)))),IF($AN36="ND",IF($AU36="Head of household",SUMPRODUCT(($AZ36&gt;INDEX('How This Works &amp; Sources'!$B$144:$J$150,0,1))*($AZ36-INDEX('How This Works &amp; Sources'!$B$144:$J$150,0,1))*INDEX('How This Works &amp; Sources'!$B$144:$J$150,0,1+2)),IF($AU36="Married",SUMPRODUCT(($AZ36&gt;INDEX('How This Works &amp; Sources'!$B$137:$J$139,0,7))*($AZ36-INDEX('How This Works &amp; Sources'!$B$137:$J$139,0,7))*INDEX('How This Works &amp; Sources'!$B$137:$J$139,0,7+2)),SUMPRODUCT(($AZ36&gt;INDEX('How This Works &amp; Sources'!$B$137:$J$139,0,4))*($AZ36-INDEX('How This Works &amp; Sources'!$B$137:$J$139,0,4))*INDEX('How This Works &amp; Sources'!$B$137:$J$139,0,4+2)))),IF($AN36="NJ",IF('Your Pay &amp; Benefits'!$C$77="B",SUMPRODUCT(($AZ36&gt;INDEX('How This Works &amp; Sources'!$B$155:$J$162,0,4))*($AZ36-INDEX('How This Works &amp; Sources'!$B$155:$J$162,0,4))*INDEX('How This Works &amp; Sources'!$B$155:$J$162,0,4+2)),IF('Your Pay &amp; Benefits'!$C$77="C",SUMPRODUCT(($AZ36&gt;INDEX('How This Works &amp; Sources'!$B$155:$J$162,0,7))*($AZ36-INDEX('How This Works &amp; Sources'!$B$155:$J$162,0,7))*INDEX('How This Works &amp; Sources'!$B$155:$J$162,0,7+2)),IF('Your Pay &amp; Benefits'!$C$77="D",SUMPRODUCT(($AZ36&gt;INDEX('How This Works &amp; Sources'!$B$167:$J$179,0,1))*($AZ36-INDEX('How This Works &amp; Sources'!$B$167:$J$179,0,1))*INDEX('How This Works &amp; Sources'!$B$167:$J$179,0,1+2)),IF('Your Pay &amp; Benefits'!$C$77="E",SUMPRODUCT(($AZ36&gt;INDEX('How This Works &amp; Sources'!$B$167:$J$179,0,4))*($AZ36-INDEX('How This Works &amp; Sources'!$B$167:$J$179,0,4))*INDEX('How This Works &amp; Sources'!$B$167:$J$179,0,4+2)),SUMPRODUCT(($AZ36&gt;INDEX('How This Works &amp; Sources'!$B$155:$J$162,0,1))*($AZ36-INDEX('How This Works &amp; Sources'!$B$155:$J$162,0,1))*INDEX('How This Works &amp; Sources'!$B$155:$J$162,0,1+2)))))),IF($AN36="NY",IF($AU36="Married",IF($AZ36&gt;=2155350,$AZ36*IF($AZ36&gt;25000000,0.117,IF($AZ36&gt;5000000,0.111,0.1045)),SUMPRODUCT(($AZ36&gt;INDEX('How This Works &amp; Sources'!$B$184:$J$198,0,1))*($AZ36-INDEX('How This Works &amp; Sources'!$B$184:$J$198,0,1))*INDEX('How This Works &amp; Sources'!$B$184:$J$198,0,1+2))),IF($AZ36&gt;=1077550,$AZ36*IF($AZ36&gt;25000000,0.117,IF($AZ36&gt;5000000,0.111,0.1045)),SUMPRODUCT(($AZ36&gt;INDEX('How This Works &amp; Sources'!$B$167:$J$179,0,7))*($AZ36-INDEX('How This Works &amp; Sources'!$B$167:$J$179,0,7))*INDEX('How This Works &amp; Sources'!$B$167:$J$179,0,7+2)))),"")))))))</f>
      </c>
      <c r="BX36" s="7">
        <f>IF($B36="","",IF($AN36="AL",IF(OR($AU36="Married",$AU36="Head of household"),SUMPRODUCT(($AZ36&gt;INDEX('How This Works &amp; Sources'!$B$82:$J$86,0,4))*($AZ36-INDEX('How This Works &amp; Sources'!$B$82:$J$86,0,4))*INDEX('How This Works &amp; Sources'!$B$82:$J$86,0,4+2)),SUMPRODUCT(($AZ36&gt;INDEX('How This Works &amp; Sources'!$B$82:$J$86,0,1))*($AZ36-INDEX('How This Works &amp; Sources'!$B$82:$J$86,0,1))*INDEX('How This Works &amp; Sources'!$B$82:$J$86,0,1+2))),IF($AN36="KS",IF($AU36="Married",SUMPRODUCT(($AZ36&gt;INDEX('How This Works &amp; Sources'!$B$103:$J$109,0,4))*($AZ36-INDEX('How This Works &amp; Sources'!$B$103:$J$109,0,4))*INDEX('How This Works &amp; Sources'!$B$103:$J$109,0,4+2)),SUMPRODUCT(($AZ36&gt;INDEX('How This Works &amp; Sources'!$B$103:$J$109,0,1))*($AZ36-INDEX('How This Works &amp; Sources'!$B$103:$J$109,0,1))*INDEX('How This Works &amp; Sources'!$B$103:$J$109,0,1+2))),IF($AN36="MN",IF($AU36="Married",SUMPRODUCT(($AZ36&gt;INDEX('How This Works &amp; Sources'!$B$114:$J$120,0,7))*($AZ36-INDEX('How This Works &amp; Sources'!$B$114:$J$120,0,7))*INDEX('How This Works &amp; Sources'!$B$114:$J$120,0,7+2)),SUMPRODUCT(($AZ36&gt;INDEX('How This Works &amp; Sources'!$B$114:$J$120,0,4))*($AZ36-INDEX('How This Works &amp; Sources'!$B$114:$J$120,0,4))*INDEX('How This Works &amp; Sources'!$B$114:$J$120,0,4+2))),IF($AN36="NE",MAX(IF($AU36="Married",SUMPRODUCT(($AZ36&gt;INDEX('How This Works &amp; Sources'!$B$144:$J$150,0,7))*($AZ36-INDEX('How This Works &amp; Sources'!$B$144:$J$150,0,7))*INDEX('How This Works &amp; Sources'!$B$144:$J$150,0,7+2)),SUMPRODUCT(($AZ36&gt;INDEX('How This Works &amp; Sources'!$B$144:$J$150,0,4))*($AZ36-INDEX('How This Works &amp; Sources'!$B$144:$J$150,0,4))*INDEX('How This Works &amp; Sources'!$B$144:$J$150,0,4+2))),0.015*$AZ36),IF($AN36="OH",IF($B36&gt;=DATE(2026,8,1),SUMPRODUCT(($AZ36&gt;INDEX('How This Works &amp; Sources'!$B$203:$J$206,0,1))*($AZ36-INDEX('How This Works &amp; Sources'!$B$203:$J$206,0,1))*INDEX('How This Works &amp; Sources'!$B$203:$J$206,0,1+2)),SUMPRODUCT(($AZ36&gt;INDEX('How This Works &amp; Sources'!$B$184:$J$198,0,7))*($AZ36-INDEX('How This Works &amp; Sources'!$B$184:$J$198,0,7))*INDEX('How This Works &amp; Sources'!$B$184:$J$198,0,7+2))),IF($AN36="OK",IF($AU36="Married",SUMPRODUCT(($AZ36&gt;INDEX('How This Works &amp; Sources'!$B$203:$J$206,0,7))*($AZ36-INDEX('How This Works &amp; Sources'!$B$203:$J$206,0,7))*INDEX('How This Works &amp; Sources'!$B$203:$J$206,0,7+2)),SUMPRODUCT(($AZ36&gt;INDEX('How This Works &amp; Sources'!$B$203:$J$206,0,4))*($AZ36-INDEX('How This Works &amp; Sources'!$B$203:$J$206,0,4))*INDEX('How This Works &amp; Sources'!$B$203:$J$206,0,4+2))),IF($AN36="RI",SUMPRODUCT(($AZ36&gt;INDEX('How This Works &amp; Sources'!$B$211:$J$214,0,7))*($AZ36-INDEX('How This Works &amp; Sources'!$B$211:$J$214,0,7))*INDEX('How This Works &amp; Sources'!$B$211:$J$214,0,7+2)),IF($AN36="VT",IF($AU36="Married",SUMPRODUCT(($AZ36&gt;INDEX('How This Works &amp; Sources'!$B$228:$J$232,0,1))*($AZ36-INDEX('How This Works &amp; Sources'!$B$228:$J$232,0,1))*INDEX('How This Works &amp; Sources'!$B$228:$J$232,0,1+2)),SUMPRODUCT(($AZ36&gt;INDEX('How This Works &amp; Sources'!$B$219:$J$223,0,7))*($AZ36-INDEX('How This Works &amp; Sources'!$B$219:$J$223,0,7))*INDEX('How This Works &amp; Sources'!$B$219:$J$223,0,7+2))),IF($AN36="WV",IF($AU36="Married",SUMPRODUCT(($AZ36&gt;INDEX('How This Works &amp; Sources'!$B$237:$J$241,0,7))*($AZ36-INDEX('How This Works &amp; Sources'!$B$237:$J$241,0,7))*INDEX('How This Works &amp; Sources'!$B$237:$J$241,0,7+2)),SUMPRODUCT(($AZ36&gt;INDEX('How This Works &amp; Sources'!$B$228:$J$232,0,7))*($AZ36-INDEX('How This Works &amp; Sources'!$B$228:$J$232,0,7))*INDEX('How This Works &amp; Sources'!$B$228:$J$232,0,7+2))),""))))))))))</f>
      </c>
      <c r="BY36" s="7">
        <f>IF($B36="","",IF($AN36="AR",SUMPRODUCT(($AZ36&gt;INDEX('How This Works &amp; Sources'!$B$82:$J$86,0,7))*($AZ36-INDEX('How This Works &amp; Sources'!$B$82:$J$86,0,7))*INDEX('How This Works &amp; Sources'!$B$82:$J$86,0,7+2)),IF($AN36="DE",SUMPRODUCT(($AZ36&gt;INDEX('How This Works &amp; Sources'!$B$91:$J$98,0,1))*($AZ36-INDEX('How This Works &amp; Sources'!$B$91:$J$98,0,1))*INDEX('How This Works &amp; Sources'!$B$91:$J$98,0,1+2)),IF($AN36="HI",IF($AU36="Married",SUMPRODUCT(($AZ36&gt;INDEX('How This Works &amp; Sources'!$B$91:$J$98,0,7))*($AZ36-INDEX('How This Works &amp; Sources'!$B$91:$J$98,0,7))*INDEX('How This Works &amp; Sources'!$B$91:$J$98,0,7+2)),SUMPRODUCT(($AZ36&gt;INDEX('How This Works &amp; Sources'!$B$91:$J$98,0,4))*($AZ36-INDEX('How This Works &amp; Sources'!$B$91:$J$98,0,4))*INDEX('How This Works &amp; Sources'!$B$91:$J$98,0,4+2))),IF($AN36="SC",SUMPRODUCT(($AZ36&gt;INDEX('How This Works &amp; Sources'!$B$219:$J$223,0,1))*($AZ36-INDEX('How This Works &amp; Sources'!$B$219:$J$223,0,1))*INDEX('How This Works &amp; Sources'!$B$219:$J$223,0,1+2)),IF($AN36="VA",SUMPRODUCT(($AZ36&gt;INDEX('How This Works &amp; Sources'!$B$219:$J$223,0,4))*($AZ36-INDEX('How This Works &amp; Sources'!$B$219:$J$223,0,4))*INDEX('How This Works &amp; Sources'!$B$219:$J$223,0,4+2)),IF($AN36="WI",SUMPRODUCT(($AZ36&gt;INDEX('How This Works &amp; Sources'!$B$228:$J$232,0,4))*($AZ36-INDEX('How This Works &amp; Sources'!$B$228:$J$232,0,4))*INDEX('How This Works &amp; Sources'!$B$228:$J$232,0,4+2)),"")))))))</f>
      </c>
      <c r="BZ36" s="24">
        <f>IF($B36="","",IF($AN36="NJ",IF('Your Pay &amp; Benefits'!$C$77="B",SUMPRODUCT(($AZ36&gt;=INDEX('How This Works &amp; Sources'!$B$155:$J$162,0,4))*INDEX('How This Works &amp; Sources'!$B$155:$J$162,0,4+2)),IF('Your Pay &amp; Benefits'!$C$77="C",SUMPRODUCT(($AZ36&gt;=INDEX('How This Works &amp; Sources'!$B$155:$J$162,0,7))*INDEX('How This Works &amp; Sources'!$B$155:$J$162,0,7+2)),IF('Your Pay &amp; Benefits'!$C$77="D",SUMPRODUCT(($AZ36&gt;=INDEX('How This Works &amp; Sources'!$B$167:$J$179,0,1))*INDEX('How This Works &amp; Sources'!$B$167:$J$179,0,1+2)),IF('Your Pay &amp; Benefits'!$C$77="E",SUMPRODUCT(($AZ36&gt;=INDEX('How This Works &amp; Sources'!$B$167:$J$179,0,4))*INDEX('How This Works &amp; Sources'!$B$167:$J$179,0,4+2)),SUMPRODUCT(($AZ36&gt;=INDEX('How This Works &amp; Sources'!$B$155:$J$162,0,1))*INDEX('How This Works &amp; Sources'!$B$155:$J$162,0,1+2)))))),IF($AN36="OR",IF(OR($AU36="Married",AND($AU36="Single",$AS36&gt;=3)),SUMPRODUCT((MAX(0,$AY36-MIN(($P36-'How This Works &amp; Sources'!$C$10*$D36)*'Your Pay &amp; Benefits'!$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Sources'!$B$211:$J$214,0,4))*INDEX('How This Works &amp; Sources'!$B$211:$J$214,0,4+2)),SUMPRODUCT((MAX(0,$AY36-MIN(($P36-'How This Works &amp; Sources'!$C$10*$D36)*'Your Pay &amp; Benefits'!$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Sources'!$B$211:$J$214,0,1))*INDEX('How This Works &amp; Sources'!$B$211:$J$214,0,1+2)))*IF(($P36-'How This Works &amp; Sources'!$C$10*$D36)*'Your Pay &amp; Benefits'!$C$8&gt;=IF(OR($AU36="Married",AND($AU36="Single",$AS36&gt;=3)),IF($AY36&lt;250000,8750,IF($AY36&lt;260000,7000,IF($AY36&lt;270000,5250,IF($AY36&lt;280000,3500,IF($AY36&lt;290000,1750,0))))),IF($AY36&lt;125000,8750,IF($AY36&lt;130000,7000,IF($AY36&lt;135000,5250,IF($AY36&lt;140000,3500,IF($AY36&lt;145000,1750,0)))))),1,1-IF('Your Pay &amp; Benefits'!$C$13,SUMPRODUCT(($AH36&gt;=INDEX('How This Works &amp; Sources'!$B$29:$J$36,0,IF('Your Pay &amp; Benefits'!$C$12="MFJ",1,IF('Your Pay &amp; Benefits'!$C$12="HoH",7,4))))*INDEX('How This Works &amp; Sources'!$B$29:$J$36,0,IF('Your Pay &amp; Benefits'!$C$12="MFJ",1,IF('Your Pay &amp; Benefits'!$C$12="HoH",7,4))+2)),SUMPRODUCT(($AH36&gt;=INDEX('How This Works &amp; Sources'!$B$19:$J$26,0,IF('Your Pay &amp; Benefits'!$C$12="MFJ",1,IF('Your Pay &amp; Benefits'!$C$12="HoH",7,4))))*INDEX('How This Works &amp; Sources'!$B$19:$J$26,0,IF('Your Pay &amp; Benefits'!$C$12="MFJ",1,IF('Your Pay &amp; Benefits'!$C$12="HoH",7,4))+2)))),IF($AN36="MI",IF($AY36&gt;5900*$AS36,0.0425,0),""))))</f>
      </c>
      <c r="CA36" s="24">
        <f>IF($B36="","",IF($AN36="AL",IF(OR($AU36="Married",$AU36="Head of household"),SUMPRODUCT(($AZ36&gt;=INDEX('How This Works &amp; Sources'!$B$82:$J$86,0,4))*INDEX('How This Works &amp; Sources'!$B$82:$J$86,0,4+2)),SUMPRODUCT(($AZ36&gt;=INDEX('How This Works &amp; Sources'!$B$82:$J$86,0,1))*INDEX('How This Works &amp; Sources'!$B$82:$J$86,0,1+2)))*(1-IF('Your Pay &amp; Benefits'!$C$13,SUMPRODUCT(($AH36&gt;=INDEX('How This Works &amp; Sources'!$B$29:$J$36,0,IF('Your Pay &amp; Benefits'!$C$12="MFJ",1,IF('Your Pay &amp; Benefits'!$C$12="HoH",7,4))))*INDEX('How This Works &amp; Sources'!$B$29:$J$36,0,IF('Your Pay &amp; Benefits'!$C$12="MFJ",1,IF('Your Pay &amp; Benefits'!$C$12="HoH",7,4))+2)),SUMPRODUCT(($AH36&gt;=INDEX('How This Works &amp; Sources'!$B$19:$J$26,0,IF('Your Pay &amp; Benefits'!$C$12="MFJ",1,IF('Your Pay &amp; Benefits'!$C$12="HoH",7,4))))*INDEX('How This Works &amp; Sources'!$B$19:$J$26,0,IF('Your Pay &amp; Benefits'!$C$12="MFJ",1,IF('Your Pay &amp; Benefits'!$C$12="HoH",7,4))+2)))),IF($AN36="KS",IF($AU36="Married",SUMPRODUCT(($AZ36&gt;=INDEX('How This Works &amp; Sources'!$B$103:$J$109,0,4))*INDEX('How This Works &amp; Sources'!$B$103:$J$109,0,4+2)),SUMPRODUCT(($AZ36&gt;=INDEX('How This Works &amp; Sources'!$B$103:$J$109,0,1))*INDEX('How This Works &amp; Sources'!$B$103:$J$109,0,1+2))),IF($AN36="MD",IF(OR($AU36="Married",$AU36="Head of household"),SUMPRODUCT(($AZ36&gt;=INDEX('How This Works &amp; Sources'!$B$114:$J$120,0,1))*INDEX('How This Works &amp; Sources'!$B$114:$J$120,0,1+2)),SUMPRODUCT(($AZ36&gt;=INDEX('How This Works &amp; Sources'!$B$103:$J$109,0,7))*INDEX('How This Works &amp; Sources'!$B$103:$J$109,0,7+2)))+'Your Pay &amp; Benefits'!$C$74,IF($AN36="MT",IF($AU36="Head of household",SUMPRODUCT(($AZ36&gt;=INDEX('How This Works &amp; Sources'!$B$137:$J$139,0,1))*INDEX('How This Works &amp; Sources'!$B$137:$J$139,0,1+2)),IF($AU36="Married",SUMPRODUCT(($AZ36&gt;=INDEX('How This Works &amp; Sources'!$B$125:$J$132,0,7))*INDEX('How This Works &amp; Sources'!$B$125:$J$132,0,7+2)),SUMPRODUCT(($AZ36&gt;=INDEX('How This Works &amp; Sources'!$B$125:$J$132,0,4))*INDEX('How This Works &amp; Sources'!$B$125:$J$132,0,4+2)))),IF($AN36="ND",IF($AU36="Head of household",SUMPRODUCT(($AZ36&gt;=INDEX('How This Works &amp; Sources'!$B$144:$J$150,0,1))*INDEX('How This Works &amp; Sources'!$B$144:$J$150,0,1+2)),IF($AU36="Married",SUMPRODUCT(($AZ36&gt;=INDEX('How This Works &amp; Sources'!$B$137:$J$139,0,7))*INDEX('How This Works &amp; Sources'!$B$137:$J$139,0,7+2)),SUMPRODUCT(($AZ36&gt;=INDEX('How This Works &amp; Sources'!$B$137:$J$139,0,4))*INDEX('How This Works &amp; Sources'!$B$137:$J$139,0,4+2)))),IF($AN36="NY",IF($AU36="Married",IF($AZ36&gt;=2155350,IF($AZ36&gt;25000000,0.117,IF($AZ36&gt;5000000,0.111,0.1045)),SUMPRODUCT(($AZ36&gt;=INDEX('How This Works &amp; Sources'!$B$184:$J$198,0,1))*INDEX('How This Works &amp; Sources'!$B$184:$J$198,0,1+2))),IF($AZ36&gt;=1077550,IF($AZ36&gt;25000000,0.117,IF($AZ36&gt;5000000,0.111,0.1045)),SUMPRODUCT(($AZ36&gt;=INDEX('How This Works &amp; Sources'!$B$167:$J$179,0,7))*INDEX('How This Works &amp; Sources'!$B$167:$J$179,0,7+2)))),"")))))))</f>
      </c>
      <c r="CB36" s="24">
        <f>IF($B36="","",IF($AN36="CA",SUMPRODUCT(($AJ36&gt;=INDEX('How This Works &amp; Sources'!$B$39:$J$48,0,IF($AU36="Married",4,IF($AU36="Head of household",7,1))))*INDEX('How This Works &amp; Sources'!$B$39:$J$48,0,IF($AU36="Married",4,IF($AU36="Head of household",7,1))+2)),IF($AN36="HI",IF($AU36="Married",SUMPRODUCT(($AZ36&gt;=INDEX('How This Works &amp; Sources'!$B$91:$J$98,0,7))*INDEX('How This Works &amp; Sources'!$B$91:$J$98,0,7+2)),SUMPRODUCT(($AZ36&gt;=INDEX('How This Works &amp; Sources'!$B$91:$J$98,0,4))*INDEX('How This Works &amp; Sources'!$B$91:$J$98,0,4+2))),IF($AN36="MN",IF($AU36="Married",SUMPRODUCT(($AZ36&gt;=INDEX('How This Works &amp; Sources'!$B$114:$J$120,0,7))*INDEX('How This Works &amp; Sources'!$B$114:$J$120,0,7+2)),SUMPRODUCT(($AZ36&gt;=INDEX('How This Works &amp; Sources'!$B$114:$J$120,0,4))*INDEX('How This Works &amp; Sources'!$B$114:$J$120,0,4+2))),IF($AN36="MO",SUMPRODUCT(($AZ36&gt;=INDEX('How This Works &amp; Sources'!$B$125:$J$132,0,1))*INDEX('How This Works &amp; Sources'!$B$125:$J$132,0,1+2)),IF($AN36="NE",MAX(IF($AU36="Married",SUMPRODUCT(($AZ36&gt;=INDEX('How This Works &amp; Sources'!$B$144:$J$150,0,7))*INDEX('How This Works &amp; Sources'!$B$144:$J$150,0,7+2)),SUMPRODUCT(($AZ36&gt;=INDEX('How This Works &amp; Sources'!$B$144:$J$150,0,4))*INDEX('How This Works &amp; Sources'!$B$144:$J$150,0,4+2))),0.015),IF($AN36="OH",IF($B36&gt;=DATE(2026,8,1),SUMPRODUCT(($AZ36&gt;=INDEX('How This Works &amp; Sources'!$B$203:$J$206,0,1))*INDEX('How This Works &amp; Sources'!$B$203:$J$206,0,1+2)),SUMPRODUCT(($AZ36&gt;=INDEX('How This Works &amp; Sources'!$B$184:$J$198,0,7))*INDEX('How This Works &amp; Sources'!$B$184:$J$198,0,7+2))),IF($AN36="OK",IF($AU36="Married",SUMPRODUCT(($AZ36&gt;=INDEX('How This Works &amp; Sources'!$B$203:$J$206,0,7))*INDEX('How This Works &amp; Sources'!$B$203:$J$206,0,7+2)),SUMPRODUCT(($AZ36&gt;=INDEX('How This Works &amp; Sources'!$B$203:$J$206,0,4))*INDEX('How This Works &amp; Sources'!$B$203:$J$206,0,4+2))),IF($AN36="RI",SUMPRODUCT(($AZ36&gt;=INDEX('How This Works &amp; Sources'!$B$211:$J$214,0,7))*INDEX('How This Works &amp; Sources'!$B$211:$J$214,0,7+2)),IF($AN36="SC",SUMPRODUCT(($AZ36&gt;=INDEX('How This Works &amp; Sources'!$B$219:$J$223,0,1))*INDEX('How This Works &amp; Sources'!$B$219:$J$223,0,1+2)),IF($AN36="VT",IF($AU36="Married",SUMPRODUCT(($AZ36&gt;=INDEX('How This Works &amp; Sources'!$B$228:$J$232,0,1))*INDEX('How This Works &amp; Sources'!$B$228:$J$232,0,1+2)),SUMPRODUCT(($AZ36&gt;=INDEX('How This Works &amp; Sources'!$B$219:$J$223,0,7))*INDEX('How This Works &amp; Sources'!$B$219:$J$223,0,7+2))),IF($AN36="WV",IF($AU36="Married",SUMPRODUCT(($AZ36&gt;=INDEX('How This Works &amp; Sources'!$B$237:$J$241,0,7))*INDEX('How This Works &amp; Sources'!$B$237:$J$241,0,7+2)),SUMPRODUCT(($AZ36&gt;=INDEX('How This Works &amp; Sources'!$B$228:$J$232,0,7))*INDEX('How This Works &amp; Sources'!$B$228:$J$232,0,7+2))),IF($AN36="IN",(0.0295+'Your Pay &amp; Benefits'!$C$76),"")))))))))))))</f>
      </c>
      <c r="CC36" s="24">
        <f>IF($B36="","",IF($AN36="AR",SUMPRODUCT(($AZ36&gt;=INDEX('How This Works &amp; Sources'!$B$82:$J$86,0,7))*INDEX('How This Works &amp; Sources'!$B$82:$J$86,0,7+2)),IF($AN36="DE",SUMPRODUCT(($AZ36&gt;=INDEX('How This Works &amp; Sources'!$B$91:$J$98,0,1))*INDEX('How This Works &amp; Sources'!$B$91:$J$98,0,1+2)),IF($AN36="VA",SUMPRODUCT(($AZ36&gt;=INDEX('How This Works &amp; Sources'!$B$219:$J$223,0,4))*INDEX('How This Works &amp; Sources'!$B$219:$J$223,0,4+2)),IF($AN36="WI",SUMPRODUCT(($AZ36&gt;=INDEX('How This Works &amp; Sources'!$B$228:$J$232,0,4))*INDEX('How This Works &amp; Sources'!$B$228:$J$232,0,4+2)),IF($AN36="AZ",'Your Pay &amp; Benefits'!$C$82,IF($AN36="CO",IF($AY36&gt;IF($AU36="Married",10000,5000),0.044,0),IF($AN36="IA",IF($AY36&gt;IF($AU36="Head of household",19500,IF($AU36="Married",26000,13000)),0.038,0),IF($AN36="ID",IF($AY36&gt;IF($AU36="Married",32000,16094),0.053,0),IF($AN36="IL",IF($AY36&gt;(2925*$AS36+1000*$AT36),0.0495,0),IF($AN36="KY",IF($AI36&gt;3360,0.035,0),IF($AN36="LA",0.0309,IF($AN36="MA",IF(MAX(0,$AY36-MIN(($BD35+$Q36+$R36+$S36),2000)-IF($AS36=0,0,IF($AS36=1,4400,1000*$AS36+3400)))&gt;=1107750,0.09,0.05),IF($AN36="MS",IF($AI36-IF($AU36="Head of household",3400,IF($AU36="Married",4600,2300))-'Your Pay &amp; Benefits'!$C$85&gt;10000,0.04,0),IF($AN36="PA",0.0307,"")))))))))))))))</f>
      </c>
      <c r="CD36" s="21">
        <f>IF(YEAR(IF('Your Pay &amp; Benefits'!$C$7="Weekly",'Your Pay &amp; Benefits'!$C$9+7*(($BE35+1)-1),IF('Your Pay &amp; Benefits'!$C$7="Biweekly",'Your Pay &amp; Benefits'!$C$9+14*(($BE35+1)-1),IF('Your Pay &amp; Benefits'!$C$7="Semimonthly",DATE(YEAR('Your Pay &amp; Benefits'!$C$9),MONTH('Your Pay &amp; Benefits'!$C$9)+INT((($BE35+1)-1)/2),MIN(DAY('Your Pay &amp; Benefits'!$C$9),DAY(EOMONTH(DATE(YEAR('Your Pay &amp; Benefits'!$C$9),MONTH('Your Pay &amp; Benefits'!$C$9)+INT((($BE35+1)-1)/2),1),0))))+IF(MOD(($BE35+1)-1,2)=1,15,0),EDATE('Your Pay &amp; Benefits'!$C$9,($BE35+1)-1)))))&lt;&gt;'Your Pay &amp; Benefits'!$C$10,"",IF('Your Pay &amp; Benefits'!$C$7="Weekly",'Your Pay &amp; Benefits'!$C$9+7*(($BE35+1)-1),IF('Your Pay &amp; Benefits'!$C$7="Biweekly",'Your Pay &amp; Benefits'!$C$9+14*(($BE35+1)-1),IF('Your Pay &amp; Benefits'!$C$7="Semimonthly",DATE(YEAR('Your Pay &amp; Benefits'!$C$9),MONTH('Your Pay &amp; Benefits'!$C$9)+INT((($BE35+1)-1)/2),MIN(DAY('Your Pay &amp; Benefits'!$C$9),DAY(EOMONTH(DATE(YEAR('Your Pay &amp; Benefits'!$C$9),MONTH('Your Pay &amp; Benefits'!$C$9)+INT((($BE35+1)-1)/2),1),0))))+IF(MOD(($BE35+1)-1,2)=1,15,0),EDATE('Your Pay &amp; Benefits'!$C$9,($BE35+1)-1)))))</f>
      </c>
      <c r="CE36" s="21">
        <f>IF(MIN(IF(AND('Your Pay &amp; Benefits'!$C$58&gt;MAX($B$6:$B35),'Your Pay &amp; Benefits'!$C$58&gt;=DATE('Your Pay &amp; Benefits'!$C$10,1,1),'Your Pay &amp; Benefits'!$C$58&lt;=DATE('Your Pay &amp; Benefits'!$C$10,12,31)),'Your Pay &amp; Benefits'!$C$58,999999),IF(AND('Your Pay &amp; Benefits'!$C$59&gt;MAX($B$6:$B35),'Your Pay &amp; Benefits'!$C$59&gt;=DATE('Your Pay &amp; Benefits'!$C$10,1,1),'Your Pay &amp; Benefits'!$C$59&lt;=DATE('Your Pay &amp; Benefits'!$C$10,12,31)),'Your Pay &amp; Benefits'!$C$59,999999),IF(AND('Your Pay &amp; Benefits'!$C$60&gt;MAX($B$6:$B35),'Your Pay &amp; Benefits'!$C$60&gt;=DATE('Your Pay &amp; Benefits'!$C$10,1,1),'Your Pay &amp; Benefits'!$C$60&lt;=DATE('Your Pay &amp; Benefits'!$C$10,12,31)),'Your Pay &amp; Benefits'!$C$60,999999),IF(AND('Your Pay &amp; Benefits'!$C$61&gt;MAX($B$6:$B35),'Your Pay &amp; Benefits'!$C$61&gt;=DATE('Your Pay &amp; Benefits'!$C$10,1,1),'Your Pay &amp; Benefits'!$C$61&lt;=DATE('Your Pay &amp; Benefits'!$C$10,12,31)),'Your Pay &amp; Benefits'!$C$61,999999),IF(AND('Your Pay &amp; Benefits'!$C$62&gt;MAX($B$6:$B35),'Your Pay &amp; Benefits'!$C$62&gt;=DATE('Your Pay &amp; Benefits'!$C$10,1,1),'Your Pay &amp; Benefits'!$C$62&lt;=DATE('Your Pay &amp; Benefits'!$C$10,12,31)),'Your Pay &amp; Benefits'!$C$62,999999),IF(AND('Your Pay &amp; Benefits'!$C$63&gt;MAX($B$6:$B35),'Your Pay &amp; Benefits'!$C$63&gt;=DATE('Your Pay &amp; Benefits'!$C$10,1,1),'Your Pay &amp; Benefits'!$C$63&lt;=DATE('Your Pay &amp; Benefits'!$C$10,12,31)),'Your Pay &amp; Benefits'!$C$63,999999),IF(AND('Your Pay &amp; Benefits'!$C$64&gt;MAX($B$6:$B35),'Your Pay &amp; Benefits'!$C$64&gt;=DATE('Your Pay &amp; Benefits'!$C$10,1,1),'Your Pay &amp; Benefits'!$C$64&lt;=DATE('Your Pay &amp; Benefits'!$C$10,12,31)),'Your Pay &amp; Benefits'!$C$64,999999),IF(AND('Your Pay &amp; Benefits'!$C$65&gt;MAX($B$6:$B35),'Your Pay &amp; Benefits'!$C$65&gt;=DATE('Your Pay &amp; Benefits'!$C$10,1,1),'Your Pay &amp; Benefits'!$C$65&lt;=DATE('Your Pay &amp; Benefits'!$C$10,12,31)),'Your Pay &amp; Benefits'!$C$65,999999),IF(AND('Your Pay &amp; Benefits'!$C$66&gt;MAX($B$6:$B35),'Your Pay &amp; Benefits'!$C$66&gt;=DATE('Your Pay &amp; Benefits'!$C$10,1,1),'Your Pay &amp; Benefits'!$C$66&lt;=DATE('Your Pay &amp; Benefits'!$C$10,12,31)),'Your Pay &amp; Benefits'!$C$66,999999),IF(AND('Your Pay &amp; Benefits'!$C$67&gt;MAX($B$6:$B35),'Your Pay &amp; Benefits'!$C$67&gt;=DATE('Your Pay &amp; Benefits'!$C$10,1,1),'Your Pay &amp; Benefits'!$C$67&lt;=DATE('Your Pay &amp; Benefits'!$C$10,12,31)),'Your Pay &amp; Benefits'!$C$67,999999))=999999,"",MIN(IF(AND('Your Pay &amp; Benefits'!$C$58&gt;MAX($B$6:$B35),'Your Pay &amp; Benefits'!$C$58&gt;=DATE('Your Pay &amp; Benefits'!$C$10,1,1),'Your Pay &amp; Benefits'!$C$58&lt;=DATE('Your Pay &amp; Benefits'!$C$10,12,31)),'Your Pay &amp; Benefits'!$C$58,999999),IF(AND('Your Pay &amp; Benefits'!$C$59&gt;MAX($B$6:$B35),'Your Pay &amp; Benefits'!$C$59&gt;=DATE('Your Pay &amp; Benefits'!$C$10,1,1),'Your Pay &amp; Benefits'!$C$59&lt;=DATE('Your Pay &amp; Benefits'!$C$10,12,31)),'Your Pay &amp; Benefits'!$C$59,999999),IF(AND('Your Pay &amp; Benefits'!$C$60&gt;MAX($B$6:$B35),'Your Pay &amp; Benefits'!$C$60&gt;=DATE('Your Pay &amp; Benefits'!$C$10,1,1),'Your Pay &amp; Benefits'!$C$60&lt;=DATE('Your Pay &amp; Benefits'!$C$10,12,31)),'Your Pay &amp; Benefits'!$C$60,999999),IF(AND('Your Pay &amp; Benefits'!$C$61&gt;MAX($B$6:$B35),'Your Pay &amp; Benefits'!$C$61&gt;=DATE('Your Pay &amp; Benefits'!$C$10,1,1),'Your Pay &amp; Benefits'!$C$61&lt;=DATE('Your Pay &amp; Benefits'!$C$10,12,31)),'Your Pay &amp; Benefits'!$C$61,999999),IF(AND('Your Pay &amp; Benefits'!$C$62&gt;MAX($B$6:$B35),'Your Pay &amp; Benefits'!$C$62&gt;=DATE('Your Pay &amp; Benefits'!$C$10,1,1),'Your Pay &amp; Benefits'!$C$62&lt;=DATE('Your Pay &amp; Benefits'!$C$10,12,31)),'Your Pay &amp; Benefits'!$C$62,999999),IF(AND('Your Pay &amp; Benefits'!$C$63&gt;MAX($B$6:$B35),'Your Pay &amp; Benefits'!$C$63&gt;=DATE('Your Pay &amp; Benefits'!$C$10,1,1),'Your Pay &amp; Benefits'!$C$63&lt;=DATE('Your Pay &amp; Benefits'!$C$10,12,31)),'Your Pay &amp; Benefits'!$C$63,999999),IF(AND('Your Pay &amp; Benefits'!$C$64&gt;MAX($B$6:$B35),'Your Pay &amp; Benefits'!$C$64&gt;=DATE('Your Pay &amp; Benefits'!$C$10,1,1),'Your Pay &amp; Benefits'!$C$64&lt;=DATE('Your Pay &amp; Benefits'!$C$10,12,31)),'Your Pay &amp; Benefits'!$C$64,999999),IF(AND('Your Pay &amp; Benefits'!$C$65&gt;MAX($B$6:$B35),'Your Pay &amp; Benefits'!$C$65&gt;=DATE('Your Pay &amp; Benefits'!$C$10,1,1),'Your Pay &amp; Benefits'!$C$65&lt;=DATE('Your Pay &amp; Benefits'!$C$10,12,31)),'Your Pay &amp; Benefits'!$C$65,999999),IF(AND('Your Pay &amp; Benefits'!$C$66&gt;MAX($B$6:$B35),'Your Pay &amp; Benefits'!$C$66&gt;=DATE('Your Pay &amp; Benefits'!$C$10,1,1),'Your Pay &amp; Benefits'!$C$66&lt;=DATE('Your Pay &amp; Benefits'!$C$10,12,31)),'Your Pay &amp; Benefits'!$C$66,999999),IF(AND('Your Pay &amp; Benefits'!$C$67&gt;MAX($B$6:$B35),'Your Pay &amp; Benefits'!$C$67&gt;=DATE('Your Pay &amp; Benefits'!$C$10,1,1),'Your Pay &amp; Benefits'!$C$67&lt;=DATE('Your Pay &amp; Benefits'!$C$10,12,31)),'Your Pay &amp; Benefits'!$C$67,999999)))</f>
      </c>
      <c r="CF36">
        <f>IF($B36="","",IF($D36=0,$Y36,""))</f>
      </c>
    </row>
    <row r="37">
      <c r="A37" t="n">
        <v>32</v>
      </c>
      <c r="B37" s="21">
        <f>IF(AND($CD37="",$CE37=""),"",IF($CE37="",$CD37,IF($CD37="",$CE37,MIN($CD37,$CE37))))</f>
      </c>
      <c r="C37" s="7">
        <f>IF($B37="","",IF($BF37=0,0,IF('Your Pay &amp; Benefits'!$C$4="Annual salary",ROUND($AK37/IF(AND('Your Pay &amp; Benefits'!$C$88="Actual paydays",MONTH('Your Pay &amp; Benefits'!$C$9)=1),MAX(1,MAX($BE$6:$BE$68)),'Your Pay &amp; Benefits'!$C$8),2),$AK37)))</f>
      </c>
      <c r="D37" s="7">
        <f>IF($B37="","",SUMIF('Your Pay &amp; Benefits'!$C$58:$C$67,$B37,'Your Pay &amp; Benefits'!$D$58:$D$67))</f>
      </c>
      <c r="E37" s="7">
        <f>IF($B37="","",ROUND(MAX(0,MIN(IF($AL37="Percent",$AM37*($C37+$D37),$AM37),MAX(0,'Your Pay &amp; Benefits'!$C$34-$AC36))),2))</f>
      </c>
      <c r="F37" s="7">
        <f>IF($B37="","",ROUND(MAX(0,MIN(IF('Your Pay &amp; Benefits'!$C$32="Percent",'Your Pay &amp; Benefits'!$D$32*($C37+$D37),'Your Pay &amp; Benefits'!$D$32),MAX(0,'Your Pay &amp; Benefits'!$C$34-$AC36-$E37))),2))</f>
      </c>
      <c r="G37" s="7">
        <f>IF($B37="","",IF($BF37=0,0,ROUND(MAX(0,MIN($BL37,'Your Pay &amp; Benefits'!$C$37-'Your Pay &amp; Benefits'!$C$54-$BI36)),2)))</f>
      </c>
      <c r="H37" s="7">
        <f>IF($B37="","",IF(OR($BF37=0,$BQ37=1),0,ROUND(MAX(0,MIN(IF($BS37=1,ROUND(MAX(0,MIN($BJ37,'How This Works &amp; Sources'!$C$13)-$BG36)/MAX(1,MAX($BE$6:$BE$68)-($BE36)),2),ROUND(MIN($BJ37,'How This Works &amp; Sources'!$C$13)/'Your Pay &amp; Benefits'!$C$8,2)),MIN($BJ37,'How This Works &amp; Sources'!$C$13)-$BG36)),2)))</f>
      </c>
      <c r="I37" s="7">
        <f>IF($B37="","",IF(OR($BF37=0,$BR37=1),0,ROUND(MAX(0,MIN(IF($BT37=1,ROUND(MAX(0,MIN($BK37,IF('Your Pay &amp; Benefits'!$C$12="MFJ",'How This Works &amp; Sources'!$C$14,'How This Works &amp; Sources'!$C$15))-$BH36)/MAX(1,MAX($BE$6:$BE$68)-($BE36)),2),ROUND(MIN($BK37,IF('Your Pay &amp; Benefits'!$C$12="MFJ",'How This Works &amp; Sources'!$C$14,'How This Works &amp; Sources'!$C$15))/'Your Pay &amp; Benefits'!$C$8,2)),MIN($BK37,IF('Your Pay &amp; Benefits'!$C$12="MFJ",'How This Works &amp; Sources'!$C$14,'How This Works &amp; Sources'!$C$15))-$BH36)),2)))</f>
      </c>
      <c r="J37" s="7">
        <f>IF($B37="","",IF($BF37=0,0,$BM37))</f>
      </c>
      <c r="K37" s="7">
        <f>IF($B37="","",IF($BF37=0,0,$BN37+$BO37))</f>
      </c>
      <c r="L37" s="7">
        <f>IF($B37="","",IF($BF37=0,0,'Your Pay &amp; Benefits'!$D$46))</f>
      </c>
      <c r="M37" s="7">
        <f>IF($B37="","",$C37+$D37+$L37-$E37-$G37-$H37-$I37-$J37-$K37)</f>
      </c>
      <c r="N37" s="7">
        <f>IF($B37="","",$C37+$D37+$L37-$G37-$H37-$I37-$J37-$K37)</f>
      </c>
      <c r="O37" s="7">
        <f>IF($B37="","",$C37+$D37+$L37-$E37-$H37-$I37-$J37-$K37-IF(OR($AN37="CA",$AN37="NJ"),0,$G37))</f>
      </c>
      <c r="P37" s="7">
        <f>IF($B37="","",IF('Your Pay &amp; Benefits'!$C$18,0,ROUND(MAX(0,IF('Your Pay &amp; Benefits'!$C$13,SUMPRODUCT(($AH37&gt;INDEX('How This Works &amp; Sources'!$B$29:$J$36,0,IF('Your Pay &amp; Benefits'!$C$12="MFJ",1,IF('Your Pay &amp; Benefits'!$C$12="HoH",7,4))))*($AH37-INDEX('How This Works &amp; Sources'!$B$29:$J$36,0,IF('Your Pay &amp; Benefits'!$C$12="MFJ",1,IF('Your Pay &amp; Benefits'!$C$12="HoH",7,4))))*INDEX('How This Works &amp; Sources'!$B$29:$J$36,0,IF('Your Pay &amp; Benefits'!$C$12="MFJ",1,IF('Your Pay &amp; Benefits'!$C$12="HoH",7,4))+2)),SUMPRODUCT(($AH37&gt;INDEX('How This Works &amp; Sources'!$B$19:$J$26,0,IF('Your Pay &amp; Benefits'!$C$12="MFJ",1,IF('Your Pay &amp; Benefits'!$C$12="HoH",7,4))))*($AH37-INDEX('How This Works &amp; Sources'!$B$19:$J$26,0,IF('Your Pay &amp; Benefits'!$C$12="MFJ",1,IF('Your Pay &amp; Benefits'!$C$12="HoH",7,4))))*INDEX('How This Works &amp; Sources'!$B$19:$J$26,0,IF('Your Pay &amp; Benefits'!$C$12="MFJ",1,IF('Your Pay &amp; Benefits'!$C$12="HoH",7,4))+2)))/'Your Pay &amp; Benefits'!$C$8-$AO37/'Your Pay &amp; Benefits'!$C$8)+$AR37+IF('Your Pay &amp; Benefits'!$C$89="Aggregate",MAX(0,IF('Your Pay &amp; Benefits'!$C$13,SUMPRODUCT((($AH37+$D37)&gt;INDEX('How This Works &amp; Sources'!$B$29:$J$36,0,IF('Your Pay &amp; Benefits'!$C$12="MFJ",1,IF('Your Pay &amp; Benefits'!$C$12="HoH",7,4))))*(($AH37+$D37)-INDEX('How This Works &amp; Sources'!$B$29:$J$36,0,IF('Your Pay &amp; Benefits'!$C$12="MFJ",1,IF('Your Pay &amp; Benefits'!$C$12="HoH",7,4))))*INDEX('How This Works &amp; Sources'!$B$29:$J$36,0,IF('Your Pay &amp; Benefits'!$C$12="MFJ",1,IF('Your Pay &amp; Benefits'!$C$12="HoH",7,4))+2)),SUMPRODUCT((($AH37+$D37)&gt;INDEX('How This Works &amp; Sources'!$B$19:$J$26,0,IF('Your Pay &amp; Benefits'!$C$12="MFJ",1,IF('Your Pay &amp; Benefits'!$C$12="HoH",7,4))))*(($AH37+$D37)-INDEX('How This Works &amp; Sources'!$B$19:$J$26,0,IF('Your Pay &amp; Benefits'!$C$12="MFJ",1,IF('Your Pay &amp; Benefits'!$C$12="HoH",7,4))))*INDEX('How This Works &amp; Sources'!$B$19:$J$26,0,IF('Your Pay &amp; Benefits'!$C$12="MFJ",1,IF('Your Pay &amp; Benefits'!$C$12="HoH",7,4))+2)))-IF('Your Pay &amp; Benefits'!$C$13,SUMPRODUCT(($AH37&gt;INDEX('How This Works &amp; Sources'!$B$29:$J$36,0,IF('Your Pay &amp; Benefits'!$C$12="MFJ",1,IF('Your Pay &amp; Benefits'!$C$12="HoH",7,4))))*($AH37-INDEX('How This Works &amp; Sources'!$B$29:$J$36,0,IF('Your Pay &amp; Benefits'!$C$12="MFJ",1,IF('Your Pay &amp; Benefits'!$C$12="HoH",7,4))))*INDEX('How This Works &amp; Sources'!$B$29:$J$36,0,IF('Your Pay &amp; Benefits'!$C$12="MFJ",1,IF('Your Pay &amp; Benefits'!$C$12="HoH",7,4))+2)),SUMPRODUCT(($AH37&gt;INDEX('How This Works &amp; Sources'!$B$19:$J$26,0,IF('Your Pay &amp; Benefits'!$C$12="MFJ",1,IF('Your Pay &amp; Benefits'!$C$12="HoH",7,4))))*($AH37-INDEX('How This Works &amp; Sources'!$B$19:$J$26,0,IF('Your Pay &amp; Benefits'!$C$12="MFJ",1,IF('Your Pay &amp; Benefits'!$C$12="HoH",7,4))))*INDEX('How This Works &amp; Sources'!$B$19:$J$26,0,IF('Your Pay &amp; Benefits'!$C$12="MFJ",1,IF('Your Pay &amp; Benefits'!$C$12="HoH",7,4))+2)))),'How This Works &amp; Sources'!$C$10*$D37),2)))</f>
      </c>
      <c r="Q37" s="7">
        <f>IF($B37="","",ROUND('How This Works &amp; Sources'!$C$4*MIN($N37,MAX(0,'How This Works &amp; Sources'!$C$3-($AX37+$AB36-$AW37))),2))</f>
      </c>
      <c r="R37" s="7">
        <f>IF($B37="","",ROUND('How This Works &amp; Sources'!$C$5*$N37,2))</f>
      </c>
      <c r="S37" s="7">
        <f>IF($B37="","",ROUND('How This Works &amp; Sources'!$C$6*MAX(0,MIN($N37,$AG36+$N37-'How This Works &amp; Sources'!$C$7)),2))</f>
      </c>
      <c r="T37" s="7">
        <f>IF($B37="","",IF('Your Pay &amp; Benefits'!$C$26,0,IF($AN37="CA",ROUND(IF($AI37&lt;=IF(($AS37+$AT37)&gt;=2,VLOOKUP($AN37,StateTables!$A$6:$AB$56,10,FALSE),VLOOKUP($AN37,StateTables!$A$6:$AB$56,9,FALSE)),0,MAX(0,SUMPRODUCT(($AJ37&gt;INDEX('How This Works &amp; Sources'!$B$39:$J$48,0,IF($AU37="Married",4,IF($AU37="Head of household",7,1))))*($AJ37-INDEX('How This Works &amp; Sources'!$B$39:$J$48,0,IF($AU37="Married",4,IF($AU37="Head of household",7,1))))*INDEX('How This Works &amp; Sources'!$B$39:$J$48,0,IF($AU37="Married",4,IF($AU37="Head of household",7,1))+2))-VLOOKUP($AN37,StateTables!$A$6:$AB$56,11,FALSE)*$AS37)/'Your Pay &amp; Benefits'!$C$8)+'Your Pay &amp; Benefits'!$C$25+VLOOKUP($AN37,StateTables!$A$6:$AB$56,13,FALSE)*$D37,2),IF(VLOOKUP($AN37,StateTables!$A$6:$AB$56,4,FALSE)="None",0,IF(ISNUMBER(SEARCH("MANUAL",VLOOKUP($AN37,StateTables!$A$6:$AB$56,5,FALSE))),'Your Pay &amp; Benefits'!$C$28,ROUND(MAX(0,$BA37+$BB37)/'Your Pay &amp; Benefits'!$C$8+'Your Pay &amp; Benefits'!$C$25+$BC37,2))))))</f>
      </c>
      <c r="U37" s="7">
        <f>IF($B37="","",IF(VLOOKUP($AN37,StateTables!$A$6:$AB$56,24,FALSE)="flatq",IF(OR(MONTH($B37)=1,MONTH($B37)=4,MONTH($B37)=7,MONTH($B37)=10),VLOOKUP($AN37,StateTables!$A$6:$AB$56,25,FALSE),0),IF(VLOOKUP($AN37,StateTables!$A$6:$AB$56,24,FALSE)="dbl",MIN(ROUND(0.005*$N37,2),ROUND(0.6*52/'Your Pay &amp; Benefits'!$C$8,2)),IF(OR(VLOOKUP($AN37,StateTables!$A$6:$AB$56,15,FALSE)="",VLOOKUP($AN37,StateTables!$A$6:$AB$56,15,FALSE)=0),0,ROUND(VLOOKUP($AN37,StateTables!$A$6:$AB$56,15,FALSE)*IF(OR(VLOOKUP($AN37,StateTables!$A$6:$AB$56,16,FALSE)="",VLOOKUP($AN37,StateTables!$A$6:$AB$56,16,FALSE)=0),$N37,MIN($N37,MAX(0,VLOOKUP($AN37,StateTables!$A$6:$AB$56,16,FALSE)-($AX37+$AB36-$AW37)))),2))))+IF(VLOOKUP($AN37,StateTables!$A$6:$AB$56,27,FALSE)="flatq",IF(OR(MONTH($B37)=1,MONTH($B37)=4,MONTH($B37)=7,MONTH($B37)=10),VLOOKUP($AN37,StateTables!$A$6:$AB$56,28,FALSE),0),IF(VLOOKUP($AN37,StateTables!$A$6:$AB$56,27,FALSE)="dbl",MIN(ROUND(0.005*$N37,2),ROUND(0.6*52/'Your Pay &amp; Benefits'!$C$8,2)),IF(OR(VLOOKUP($AN37,StateTables!$A$6:$AB$56,18,FALSE)="",VLOOKUP($AN37,StateTables!$A$6:$AB$56,18,FALSE)=0),0,ROUND(VLOOKUP($AN37,StateTables!$A$6:$AB$56,18,FALSE)*IF(OR(VLOOKUP($AN37,StateTables!$A$6:$AB$56,19,FALSE)="",VLOOKUP($AN37,StateTables!$A$6:$AB$56,19,FALSE)=0),$N37,MIN($N37,MAX(0,VLOOKUP($AN37,StateTables!$A$6:$AB$56,19,FALSE)-($AX37+$AB36-$AW37)))),2)))))</f>
      </c>
      <c r="V37" s="7">
        <f>IF($B37="","",IF($AN37="NY",IF('Your Pay &amp; Benefits'!$C$78,ROUND(SUMPRODUCT((MAX(0,($O37-$D37)*'Your Pay &amp; Benefits'!$C$8-(IF($AU37="Married",5500,5000)+1000*$AS37))&gt;INDEX('How This Works &amp; Sources'!$B$184:$J$198,0,4))*(MAX(0,($O37-$D37)*'Your Pay &amp; Benefits'!$C$8-(IF($AU37="Married",5500,5000)+1000*$AS37))-INDEX('How This Works &amp; Sources'!$B$184:$J$198,0,4))*INDEX('How This Works &amp; Sources'!$B$184:$J$198,0,4+2))/'Your Pay &amp; Benefits'!$C$8+0.0425*$D37,2),0)+IF('Your Pay &amp; Benefits'!$C$79="Resident",ROUND(0.1675*$T37,2),IF('Your Pay &amp; Benefits'!$C$79="Nonresident",ROUND(0.005*MAX(0,($O37-$D37)-(IF($AU37="Married",7950,7400)+1000*$AS37)/'Your Pay &amp; Benefits'!$C$8),2),0)),IF($AN37="PA",IF('Your Pay &amp; Benefits'!$C$80="None",'Your Pay &amp; Benefits'!$C$27+ROUND('Your Pay &amp; Benefits'!$C$81*($C37+$D37),2),ROUND(IF('Your Pay &amp; Benefits'!$C$80="Resident",IF($B37&lt;DATE(2026,7,1),0.0374,0.03735),IF($B37&lt;DATE(2026,7,1),0.0343,0.03425))*($C37+$D37),2)),IF($BF37=0,ROUND('Your Pay &amp; Benefits'!$C$81*($C37+$D37),2),'Your Pay &amp; Benefits'!$C$27+ROUND('Your Pay &amp; Benefits'!$C$81*($C37+$D37),2)))))</f>
      </c>
      <c r="W37" s="7">
        <f>IF($B37="","",IF($BF37=0,0,$BP37))</f>
      </c>
      <c r="X37" s="7">
        <f>IF($B37="","",SUM($E37:$K37)+$P37+$Q37+$R37+$S37+$T37+$U37+$V37+$W37)</f>
      </c>
      <c r="Y37" s="22">
        <f>IF($B37="","",$C37+$D37-$X37)</f>
      </c>
      <c r="Z37" s="7">
        <f>IF($B37="","",$Z36+$C37+$D37)</f>
      </c>
      <c r="AA37" s="7">
        <f>IF($B37="","",$AA36+$Y37)</f>
      </c>
      <c r="AB37" s="7">
        <f>IF($B37="","",$AB36+MIN($N37,MAX(0,'How This Works &amp; Sources'!$C$3-($AX37+$AB36-$AW37))))</f>
      </c>
      <c r="AC37" s="7">
        <f>IF($B37="","",$AC36+$E37+$F37)</f>
      </c>
      <c r="AD37" s="3">
        <f>IF($B37="","",IF(AND($AB36&lt;'How This Works &amp; Sources'!$C$3,$AB37&gt;='How This Works &amp; Sources'!$C$3),"★ Social Security maxed on this check — from the next check your net rises by about $"&amp;TEXT(ROUND('How This Works &amp; Sources'!$C$4*$N37,2),"#,##0.00")&amp;". ","")&amp;IF(AND($AC36&lt;'Your Pay &amp; Benefits'!$C$34,$AC37&gt;='Your Pay &amp; Benefits'!$C$34),"★ 401(k) reaches the $"&amp;TEXT('Your Pay &amp; Benefits'!$C$34,"#,##0")&amp;" cap on this check — deferrals stop and net pay rises. ","")&amp;IF(AND($AG36&lt;'How This Works &amp; Sources'!$C$7,$AG37&gt;='How This Works &amp; Sources'!$C$7),"★ Wages pass $200,000 — the 0.9% Additional Medicare Tax starts here. ","")&amp;IF(AND($BJ37&gt;0,$H37&gt;0,$BG36&lt;MIN($BJ37,'How This Works &amp; Sources'!$C$13),$BG36+$H37&gt;=MIN($BJ37,'How This Works &amp; Sources'!$C$13)),"★ Health FSA election is now fully deferred for the year. ",""))</f>
      </c>
      <c r="AE37" s="41" t="n"/>
      <c r="AF37" s="7">
        <f>IF(OR($B37="",$AE37=""),"",$AE37-$Y37)</f>
      </c>
      <c r="AG37" s="7">
        <f>IF($B37="","",$AG36+$N37)</f>
      </c>
      <c r="AH37" s="7">
        <f>IF($B37="","",MAX(0,($M37-$D37)*'Your Pay &amp; Benefits'!$C$8+$AP37-$AQ37-IF('Your Pay &amp; Benefits'!$C$13,0,IF('Your Pay &amp; Benefits'!$C$12="MFJ",'How This Works &amp; Sources'!$C$8,'How This Works &amp; Sources'!$C$9))))</f>
      </c>
      <c r="AI37" s="7">
        <f>IF($B37="","",$O37*'Your Pay &amp; Benefits'!$C$8)</f>
      </c>
      <c r="AJ37" s="7">
        <f>IF($B37="","",MAX(0,$AI37-VLOOKUP($AN37,StateTables!$A$6:$AB$56,12,FALSE)*$AT37-IF(($AS37+$AT37)&gt;=2,VLOOKUP($AN37,StateTables!$A$6:$AB$56,8,FALSE),VLOOKUP($AN37,StateTables!$A$6:$AB$56,7,FALSE))))</f>
      </c>
      <c r="AK37" s="7">
        <f>IF($B37="","",IFERROR(LOOKUP(2,1/(('Changes &amp; Events'!$C$6:$C$17="Salary change")*('Changes &amp; Events'!$B$6:$B$17&lt;=$B37)*('Changes &amp; Events'!$B$6:$B$17&lt;&gt;"")),'Changes &amp; Events'!$D$6:$D$17),IF('Your Pay &amp; Benefits'!$C$4="Annual salary",'Your Pay &amp; Benefits'!$C$5,'Your Pay &amp; Benefits'!$C$6)))</f>
      </c>
      <c r="AL37">
        <f>IF($B37="","",IFERROR(LOOKUP(2,1/(('Changes &amp; Events'!$C$6:$C$17="401(k) change")*('Changes &amp; Events'!$B$6:$B$17&lt;=$B37)*('Changes &amp; Events'!$B$6:$B$17&lt;&gt;"")),'Changes &amp; Events'!$D$6:$D$17),'Your Pay &amp; Benefits'!$C$30))</f>
      </c>
      <c r="AM37" s="7">
        <f>IF($B37="","",IFERROR(LOOKUP(2,1/(('Changes &amp; Events'!$C$6:$C$17="401(k) change")*('Changes &amp; Events'!$B$6:$B$17&lt;=$B37)*('Changes &amp; Events'!$B$6:$B$17&lt;&gt;"")),'Changes &amp; Events'!$E$6:$E$17),'Your Pay &amp; Benefits'!$D$31))</f>
      </c>
      <c r="AN37">
        <f>IF($B37="","",IFERROR(LOOKUP(2,1/(('Changes &amp; Events'!$C$6:$C$17="State move")*('Changes &amp; Events'!$B$6:$B$17&lt;=$B37)*('Changes &amp; Events'!$B$6:$B$17&lt;&gt;"")),'Changes &amp; Events'!$D$6:$D$17),'Your Pay &amp; Benefits'!$C$21))</f>
      </c>
      <c r="AO37" s="7">
        <f>IF($B37="","",IFERROR(LOOKUP(2,1/(('Changes &amp; Events'!$C$6:$C$17="W-4 change")*('Changes &amp; Events'!$B$6:$B$17&lt;=$B37)*('Changes &amp; Events'!$B$6:$B$17&lt;&gt;"")),'Changes &amp; Events'!$D$6:$D$17),'Your Pay &amp; Benefits'!$C$14))</f>
      </c>
      <c r="AP37" s="7">
        <f>IF($B37="","",IFERROR(LOOKUP(2,1/(('Changes &amp; Events'!$C$6:$C$17="W-4 change")*('Changes &amp; Events'!$B$6:$B$17&lt;=$B37)*('Changes &amp; Events'!$B$6:$B$17&lt;&gt;"")),'Changes &amp; Events'!$E$6:$E$17),'Your Pay &amp; Benefits'!$C$15))</f>
      </c>
      <c r="AQ37" s="7">
        <f>IF($B37="","",IFERROR(LOOKUP(2,1/(('Changes &amp; Events'!$C$6:$C$17="W-4 change")*('Changes &amp; Events'!$B$6:$B$17&lt;=$B37)*('Changes &amp; Events'!$B$6:$B$17&lt;&gt;"")),'Changes &amp; Events'!$F$6:$F$17),'Your Pay &amp; Benefits'!$C$16))</f>
      </c>
      <c r="AR37" s="7">
        <f>IF($B37="","",IFERROR(LOOKUP(2,1/(('Changes &amp; Events'!$C$6:$C$17="W-4 change")*('Changes &amp; Events'!$B$6:$B$17&lt;=$B37)*('Changes &amp; Events'!$B$6:$B$17&lt;&gt;"")),'Changes &amp; Events'!$G$6:$G$17),'Your Pay &amp; Benefits'!$C$17))</f>
      </c>
      <c r="AS37" s="6">
        <f>IF($B37="","",IFERROR(LOOKUP(2,1/((('Changes &amp; Events'!$C$6:$C$17="State move")+('Changes &amp; Events'!$C$6:$C$17="State cert change"))*('Changes &amp; Events'!$B$6:$B$17&lt;=$B37)*('Changes &amp; Events'!$B$6:$B$17&lt;&gt;"")),'Changes &amp; Events'!$F$6:$F$17),'Your Pay &amp; Benefits'!$C$23))</f>
      </c>
      <c r="AT37" s="6">
        <f>IF($B37="","",IFERROR(LOOKUP(2,1/((('Changes &amp; Events'!$C$6:$C$17="State move")+('Changes &amp; Events'!$C$6:$C$17="State cert change"))*('Changes &amp; Events'!$B$6:$B$17&lt;=$B37)*('Changes &amp; Events'!$B$6:$B$17&lt;&gt;"")),'Changes &amp; Events'!$G$6:$G$17),'Your Pay &amp; Benefits'!$C$24))</f>
      </c>
      <c r="AU37">
        <f>IF($B37="","",IFERROR(LOOKUP(2,1/(('Changes &amp; Events'!$C$6:$C$17="State move")*('Changes &amp; Events'!$B$6:$B$17&lt;=$B37)*('Changes &amp; Events'!$B$6:$B$17&lt;&gt;"")),'Changes &amp; Events'!$E$6:$E$17),'Your Pay &amp; Benefits'!$C$22))</f>
      </c>
      <c r="AV37" s="6">
        <f>IF($B37="","",1+COUNTIFS('Changes &amp; Events'!$C$6:$C$17,"Employer change",'Changes &amp; Events'!$B$6:$B$17,"&lt;="&amp;$B37,'Changes &amp; Events'!$B$6:$B$17,"&lt;&gt;"))</f>
      </c>
      <c r="AW37" s="7">
        <f>IF($B37="","",IF($AV37=1,'Your Pay &amp; Benefits'!$C$49,IF(IFERROR(MATCH(IFERROR(LOOKUP(2,1/(('Changes &amp; Events'!$C$6:$C$17="Employer change")*('Changes &amp; Events'!$B$6:$B$17&lt;=$B37)*('Changes &amp; Events'!$B$6:$B$17&lt;&gt;"")),'Changes &amp; Events'!$B$6:$B$17),""),$B$6:$B$68,1),1)&lt;=1,'Your Pay &amp; Benefits'!$C$49,INDEX($AB$6:$AB$68,MATCH(IFERROR(LOOKUP(2,1/(('Changes &amp; Events'!$C$6:$C$17="Employer change")*('Changes &amp; Events'!$B$6:$B$17&lt;=$B37)*('Changes &amp; Events'!$B$6:$B$17&lt;&gt;"")),'Changes &amp; Events'!$B$6:$B$17),""),$B$6:$B$68,1)-1))))</f>
      </c>
      <c r="AX37" s="7">
        <f>IF($B37="","",IF($AV37=1,'Your Pay &amp; Benefits'!$C$49,IFERROR(LOOKUP(2,1/(('Changes &amp; Events'!$C$6:$C$17="Employer change")*('Changes &amp; Events'!$B$6:$B$17&lt;=$B37)*('Changes &amp; Events'!$B$6:$B$17&lt;&gt;"")),'Changes &amp; Events'!$D$6:$D$17),0)))</f>
      </c>
      <c r="AY37" s="7">
        <f>IF($B37="","",($O37-$D37)*'Your Pay &amp; Benefits'!$C$8)</f>
      </c>
      <c r="AZ37" s="7">
        <f>IF($B37="","",IF($AN37="AL",MAX(0,$AY37-IF($AU37="Married",IF($AY37&lt;=25999,8500,MAX(5000,8500-175*CEILING(($AY37-25999)/500,1))),IF($AU37="Head of household",IF($AY37&lt;=25999,5200,MAX(2500,5200-135*CEILING(($AY37-25999)/500,1))),IF($AY37&lt;=25999,3000,MAX(2500,3000-25*CEILING(($AY37-25999)/500,1)))))-($P37-'How This Works &amp; Sources'!$C$10*$D37)*'Your Pay &amp; Benefits'!$C$8-IF(OR($AU37="Married",$AU37="Head of household"),3000,1500)-$AT37*IF($AY37&lt;=50000,1000,IF($AY37&lt;=100000,500,300))),IF($AN37="AR",IF(MAX(0,$AY37-2470)&lt;97701,INT(MAX(0,$AY37-2470)/100)*100+50,MAX(0,$AY37-2470)),IF($AN37="DE",MAX(0,$AI37-3250),IF($AN37="HI",MAX(0,$AI37-1144*$AS37-4350),IF($AN37="KS",MAX(0,$AI37-(9160*IF($AU37="Married",2,1)+2320*$AT37+IF($AU37="Head of household",2320,0))),IF($AN37="MD",MAX(0,$AI37-3400-3200*$AS37),IF($AN37="MN",MAX(0,$AY37-5300*$AS37),IF($AN37="MO",MAX(0,$AI37-IF($AU37="Head of household",24150,IF($AU37="Married",IF('Your Pay &amp; Benefits'!$C$83,16100,32200),16100))),IF($AN37="MT",$AY37,IF($AN37="ND",($C37+$L37)*'Your Pay &amp; Benefits'!$C$8,IF($AN37="NE",MAX(0,$AY37-2440*$AS37),IF($AN37="NJ",MAX(0,$AY37-1000*$AS37),IF($AN37="NY",MAX(0,$AY37-(IF($AU37="Married",7950,7400)+1000*$AS37)),IF($AN37="OH",MAX(0,$AY37-650*$AS37),IF($AN37="OK",MAX(0,$AY37-1000*$AS37),IF($AN37="RI",MAX(0,$AI37-1000*$AS37),IF($AN37="SC",MAX(0,$AI37-5000*$AS37-IF($AS37=0,0,MIN(0.1*$AI37,7500))),IF($AN37="VA",MAX(0,$AI37-IF($AU37="Married",17500,8750)-930*$AS37-800*$AT37),IF($AN37="VT",MAX(0,$AI37-5400*$AS37),IF($AN37="WI",MAX(0,$AI37-MAX(0,IF($AU37="Married",9461-0.2*MAX(0,$AI37-25727),6702-0.12*MAX(0,$AI37-17780)))-400*$AS37),IF($AN37="WV",MAX(0,$AI37-2000*$AS37),$AI37))))))))))))))))))))))</f>
      </c>
      <c r="BA37" s="7">
        <f>IF($B37="","",IF($BW37&lt;&gt;"",$BW37,IF($BX37&lt;&gt;"",$BX37,IF($BY37&lt;&gt;"",$BY37,0))))</f>
      </c>
      <c r="BB37" s="7">
        <f>IF($B37="","",IF($AN37="AR",-29*$AS37,IF($AN37="DE",-110*$AS37,IF($AN37="MD",$AZ37*'Your Pay &amp; Benefits'!$C$74,IF($AN37="AZ",'Your Pay &amp; Benefits'!$C$82*($M37-$D37)*'Your Pay &amp; Benefits'!$C$8,IF($AN37="CO",0.044*MAX(0,$AY37-IF($AU37="Married",10000,5000)),IF($AN37="IA",MAX(0,0.038*MAX(0,$AY37-IF($AU37="Head of household",19500,IF($AU37="Married",26000,13000)))-40*$AS37),IF($AN37="ID",0.053*MAX(0,$AY37-IF($AU37="Married",32000,16094)),IF($AN37="IL",0.0495*MAX(0,$AY37-(2925*$AS37+1000*$AT37)),IF($AN37="IN",(0.0295+'Your Pay &amp; Benefits'!$C$76)*MAX(0,$AY37-(1000*$AS37+1500*$AT37+3000*'Your Pay &amp; Benefits'!$C$86)),IF($AN37="KY",0.035*MAX(0,$AI37-3360),IF($AN37="LA",IF('Your Pay &amp; Benefits'!$C$84="0",0.0309*$AI37,0.0309*MAX(0,$AI37-IF('Your Pay &amp; Benefits'!$C$84="2",25750,12875))),IF($AN37="MA",0.05*MIN(MAX(0,$AY37-MIN(($BD36+$Q37+$R37+$S37),2000)-IF($AS37=0,0,IF($AS37=1,4400,1000*$AS37+3400))),1107750)+0.09*MAX(0,MAX(0,$AY37-MIN(($BD36+$Q37+$R37+$S37),2000)-IF($AS37=0,0,IF($AS37=1,4400,1000*$AS37+3400)))-1107750)-IF($AU37="Head of household",120,0)-110*'Your Pay &amp; Benefits'!$C$75,IF($AN37="MI",0.0425*MAX(0,$AY37-5900*$AS37),IF($AN37="MS",0.04*MAX(0,$AI37-IF($AU37="Head of household",3400,IF($AU37="Married",4600,2300))-'Your Pay &amp; Benefits'!$C$85-10000),IF($AN37="OR",IF(OR($AU37="Married",AND($AU37="Single",$AS37&gt;=3)),SUMPRODUCT((MAX(0,$AY37-MIN(($P37-'How This Works &amp; Sources'!$C$10*$D37)*'Your Pay &amp; Benefits'!$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Sources'!$B$211:$J$214,0,4))*(MAX(0,$AY37-MIN(($P37-'How This Works &amp; Sources'!$C$10*$D37)*'Your Pay &amp; Benefits'!$C$8,IF(OR($AU37="Married",AND($AU37="Single",$AS37&gt;=3)),IF($AY37&lt;250000,8750,IF($AY37&lt;260000,7000,IF($AY37&lt;270000,5250,IF($AY37&lt;280000,3500,IF($AY37&lt;290000,1750,0))))),IF($AY37&lt;125000,8750,IF($AY37&lt;130000,7000,IF($AY37&lt;135000,5250,IF($AY37&lt;140000,3500,IF($AY37&lt;145000,1750,0)))))))-IF(OR($AU37="Married",AND($AU37="Single",$AS37&gt;=3)),5820,2910))-INDEX('How This Works &amp; Sources'!$B$211:$J$214,0,4))*INDEX('How This Works &amp; Sources'!$B$211:$J$214,0,4+2)),SUMPRODUCT((MAX(0,$AY37-MIN(($P37-'How This Works &amp; Sources'!$C$10*$D37)*'Your Pay &amp; Benefits'!$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Sources'!$B$211:$J$214,0,1))*(MAX(0,$AY37-MIN(($P37-'How This Works &amp; Sources'!$C$10*$D37)*'Your Pay &amp; Benefits'!$C$8,IF(OR($AU37="Married",AND($AU37="Single",$AS37&gt;=3)),IF($AY37&lt;250000,8750,IF($AY37&lt;260000,7000,IF($AY37&lt;270000,5250,IF($AY37&lt;280000,3500,IF($AY37&lt;290000,1750,0))))),IF($AY37&lt;125000,8750,IF($AY37&lt;130000,7000,IF($AY37&lt;135000,5250,IF($AY37&lt;140000,3500,IF($AY37&lt;145000,1750,0)))))))-IF(OR($AU37="Married",AND($AU37="Single",$AS37&gt;=3)),5820,2910))-INDEX('How This Works &amp; Sources'!$B$211:$J$214,0,1))*INDEX('How This Works &amp; Sources'!$B$211:$J$214,0,1+2)))+263-263*IF(IF($AU37="Married",$AY37&gt;200000,$AY37&gt;100000),0,$AS37),IF($AN37="PA",0.0307*(($O37+$E37+$G37)*'Your Pay &amp; Benefits'!$C$8),IF($AN37="NY",IF($AU37="Married",IF($AZ37&gt;=2155350,0,IF($AZ37&gt;=1077550,0.48,IF($AZ37&gt;=373200,1.21,IF($AZ37&gt;=323200,0.21,IF($AZ37&gt;=211550,-0.19,IF($AZ37&gt;=157650,-2.8,IF($AZ37&gt;=107650,-0.8,IF($AZ37&gt;=96800,0.05,IF($AZ37&gt;=80650,-0.1,IF($AZ37&gt;=13900,0.4,IF($AZ37&gt;=11700,-0.3,IF($AZ37&gt;=8500,0.5,0)))))))))))),IF($AZ37&gt;=1077550,0,IF($AZ37&gt;=265400,4.29,IF($AZ37&gt;=215400,2.29,IF($AZ37&gt;=157650,2.29,IF($AZ37&gt;=107650,0.29,IF($AZ37&gt;=96800,0.05,IF($AZ37&gt;=80650,-0.1,IF($AZ37&gt;=13900,0.4,IF($AZ37&gt;=11700,-0.3,IF($AZ37&gt;=8500,0.5,0))))))))))),0))))))))))))))))))</f>
      </c>
      <c r="BC37" s="7">
        <f>IF($B37="","",IF($AN37="AL",0.05*$D37,IF($AN37="AR",0.039*$D37,IF($AN37="ID",0.053*$D37,IF($AN37="IN",(0.0295+'Your Pay &amp; Benefits'!$C$76)*$D37,IF($AN37="KS",0.05*$D37,IF($AN37="MA",0.09*MIN($D37,MAX(0,MAX(0,$AY37-MIN(($BD36+$Q37+$R37+$S37),2000)-IF($AS37=0,0,IF($AS37=1,4400,1000*$AS37+3400)))+$D37-1107750))+0.05*($D37-MIN($D37,MAX(0,MAX(0,$AY37-MIN(($BD36+$Q37+$R37+$S37),2000)-IF($AS37=0,0,IF($AS37=1,4400,1000*$AS37+3400)))+$D37-1107750))),IF($AN37="MD",(0.065+'Your Pay &amp; Benefits'!$C$74)*$D37,IF($AN37="MI",0.0425*$D37,IF($AN37="MN",0.0625*$D37,IF($AN37="MO",0.047*$D37,IF($AN37="MT",0.05*$D37,IF($AN37="ND",0.015*$D37,IF($AN37="NE",0.035*$D37,IF($AN37="NJ",IF('Your Pay &amp; Benefits'!$C$77="B",SUMPRODUCT(($D37*'Your Pay &amp; Benefits'!$C$8&gt;INDEX('How This Works &amp; Sources'!$B$155:$J$162,0,4))*($D37*'Your Pay &amp; Benefits'!$C$8-INDEX('How This Works &amp; Sources'!$B$155:$J$162,0,4))*INDEX('How This Works &amp; Sources'!$B$155:$J$162,0,4+2)),IF('Your Pay &amp; Benefits'!$C$77="C",SUMPRODUCT(($D37*'Your Pay &amp; Benefits'!$C$8&gt;INDEX('How This Works &amp; Sources'!$B$155:$J$162,0,7))*($D37*'Your Pay &amp; Benefits'!$C$8-INDEX('How This Works &amp; Sources'!$B$155:$J$162,0,7))*INDEX('How This Works &amp; Sources'!$B$155:$J$162,0,7+2)),IF('Your Pay &amp; Benefits'!$C$77="D",SUMPRODUCT(($D37*'Your Pay &amp; Benefits'!$C$8&gt;INDEX('How This Works &amp; Sources'!$B$167:$J$179,0,1))*($D37*'Your Pay &amp; Benefits'!$C$8-INDEX('How This Works &amp; Sources'!$B$167:$J$179,0,1))*INDEX('How This Works &amp; Sources'!$B$167:$J$179,0,1+2)),IF('Your Pay &amp; Benefits'!$C$77="E",SUMPRODUCT(($D37*'Your Pay &amp; Benefits'!$C$8&gt;INDEX('How This Works &amp; Sources'!$B$167:$J$179,0,4))*($D37*'Your Pay &amp; Benefits'!$C$8-INDEX('How This Works &amp; Sources'!$B$167:$J$179,0,4))*INDEX('How This Works &amp; Sources'!$B$167:$J$179,0,4+2)),SUMPRODUCT(($D37*'Your Pay &amp; Benefits'!$C$8&gt;INDEX('How This Works &amp; Sources'!$B$155:$J$162,0,1))*($D37*'Your Pay &amp; Benefits'!$C$8-INDEX('How This Works &amp; Sources'!$B$155:$J$162,0,1))*INDEX('How This Works &amp; Sources'!$B$155:$J$162,0,1+2))))))/'Your Pay &amp; Benefits'!$C$8,IF($AN37="NY",0.117*$D37,IF($AN37="OH",0.0275*$D37,IF($AN37="OK",0.045*$D37,IF($AN37="OR",0.08*$D37,IF($AN37="WI",IF($AY37&lt;12760,0.0354,IF($AY37&lt;25520,0.0465,IF($AY37&lt;280950,0.053,0.0765)))*$D37,0))))))))))))))))))))</f>
      </c>
      <c r="BD37" s="7">
        <f>IF($B37="","",$BD36+$Q37+$R37+$S37)</f>
      </c>
      <c r="BE37" s="6">
        <f>IF($B37="",$BE36,$BE36+$BF37)</f>
      </c>
      <c r="BF37" s="6">
        <f>IF($B37="","",IF(AND(IF(YEAR(IF('Your Pay &amp; Benefits'!$C$7="Weekly",'Your Pay &amp; Benefits'!$C$9+7*(($BE36+1)-1),IF('Your Pay &amp; Benefits'!$C$7="Biweekly",'Your Pay &amp; Benefits'!$C$9+14*(($BE36+1)-1),IF('Your Pay &amp; Benefits'!$C$7="Semimonthly",DATE(YEAR('Your Pay &amp; Benefits'!$C$9),MONTH('Your Pay &amp; Benefits'!$C$9)+INT((($BE36+1)-1)/2),MIN(DAY('Your Pay &amp; Benefits'!$C$9),DAY(EOMONTH(DATE(YEAR('Your Pay &amp; Benefits'!$C$9),MONTH('Your Pay &amp; Benefits'!$C$9)+INT((($BE36+1)-1)/2),1),0))))+IF(MOD(($BE36+1)-1,2)=1,15,0),EDATE('Your Pay &amp; Benefits'!$C$9,($BE36+1)-1)))))&lt;&gt;'Your Pay &amp; Benefits'!$C$10,"",IF('Your Pay &amp; Benefits'!$C$7="Weekly",'Your Pay &amp; Benefits'!$C$9+7*(($BE36+1)-1),IF('Your Pay &amp; Benefits'!$C$7="Biweekly",'Your Pay &amp; Benefits'!$C$9+14*(($BE36+1)-1),IF('Your Pay &amp; Benefits'!$C$7="Semimonthly",DATE(YEAR('Your Pay &amp; Benefits'!$C$9),MONTH('Your Pay &amp; Benefits'!$C$9)+INT((($BE36+1)-1)/2),MIN(DAY('Your Pay &amp; Benefits'!$C$9),DAY(EOMONTH(DATE(YEAR('Your Pay &amp; Benefits'!$C$9),MONTH('Your Pay &amp; Benefits'!$C$9)+INT((($BE36+1)-1)/2),1),0))))+IF(MOD(($BE36+1)-1,2)=1,15,0),EDATE('Your Pay &amp; Benefits'!$C$9,($BE36+1)-1)))))&lt;&gt;"",$B37=IF(YEAR(IF('Your Pay &amp; Benefits'!$C$7="Weekly",'Your Pay &amp; Benefits'!$C$9+7*(($BE36+1)-1),IF('Your Pay &amp; Benefits'!$C$7="Biweekly",'Your Pay &amp; Benefits'!$C$9+14*(($BE36+1)-1),IF('Your Pay &amp; Benefits'!$C$7="Semimonthly",DATE(YEAR('Your Pay &amp; Benefits'!$C$9),MONTH('Your Pay &amp; Benefits'!$C$9)+INT((($BE36+1)-1)/2),MIN(DAY('Your Pay &amp; Benefits'!$C$9),DAY(EOMONTH(DATE(YEAR('Your Pay &amp; Benefits'!$C$9),MONTH('Your Pay &amp; Benefits'!$C$9)+INT((($BE36+1)-1)/2),1),0))))+IF(MOD(($BE36+1)-1,2)=1,15,0),EDATE('Your Pay &amp; Benefits'!$C$9,($BE36+1)-1)))))&lt;&gt;'Your Pay &amp; Benefits'!$C$10,"",IF('Your Pay &amp; Benefits'!$C$7="Weekly",'Your Pay &amp; Benefits'!$C$9+7*(($BE36+1)-1),IF('Your Pay &amp; Benefits'!$C$7="Biweekly",'Your Pay &amp; Benefits'!$C$9+14*(($BE36+1)-1),IF('Your Pay &amp; Benefits'!$C$7="Semimonthly",DATE(YEAR('Your Pay &amp; Benefits'!$C$9),MONTH('Your Pay &amp; Benefits'!$C$9)+INT((($BE36+1)-1)/2),MIN(DAY('Your Pay &amp; Benefits'!$C$9),DAY(EOMONTH(DATE(YEAR('Your Pay &amp; Benefits'!$C$9),MONTH('Your Pay &amp; Benefits'!$C$9)+INT((($BE36+1)-1)/2),1),0))))+IF(MOD(($BE36+1)-1,2)=1,15,0),EDATE('Your Pay &amp; Benefits'!$C$9,($BE36+1)-1)))))),1,0))</f>
      </c>
      <c r="BG37" s="7">
        <f>IF($B37="","",$BG36+$H37)</f>
      </c>
      <c r="BH37" s="7">
        <f>IF($B37="","",$BH36+$I37)</f>
      </c>
      <c r="BI37" s="7">
        <f>IF($B37="","",$BI36+$G37)</f>
      </c>
      <c r="BJ37" s="7">
        <f>IF($B37="","",IFERROR(LOOKUP(2,1/(((('Changes &amp; Events'!$C$6:$C$17="Deduction start"))*('Changes &amp; Events'!$D$6:$D$17="Health FSA"))*('Changes &amp; Events'!$B$6:$B$17&lt;=$B37)*('Changes &amp; Events'!$B$6:$B$17&lt;&gt;"")),'Changes &amp; Events'!$E$6:$E$17),'Your Pay &amp; Benefits'!$D$38))</f>
      </c>
      <c r="BK37" s="7">
        <f>IF($B37="","",IFERROR(LOOKUP(2,1/(((('Changes &amp; Events'!$C$6:$C$17="Deduction start"))*('Changes &amp; Events'!$D$6:$D$17="Dependent-care FSA"))*('Changes &amp; Events'!$B$6:$B$17&lt;=$B37)*('Changes &amp; Events'!$B$6:$B$17&lt;&gt;"")),'Changes &amp; Events'!$E$6:$E$17),'Your Pay &amp; Benefits'!$D$39))</f>
      </c>
      <c r="BL37" s="7">
        <f>IF($B37="","",IFERROR(LOOKUP(2,1/(((('Changes &amp; Events'!$C$6:$C$17="Deduction start")+('Changes &amp; Events'!$C$6:$C$17="Deduction stop"))*('Changes &amp; Events'!$D$6:$D$17="HSA"))*('Changes &amp; Events'!$B$6:$B$17&lt;=$B37)*('Changes &amp; Events'!$B$6:$B$17&lt;&gt;"")),'Changes &amp; Events'!$I$6:$I$17),'Your Pay &amp; Benefits'!$D$35))</f>
      </c>
      <c r="BM37" s="7">
        <f>IF($B37="","",IFERROR(LOOKUP(2,1/(((('Changes &amp; Events'!$C$6:$C$17="Deduction start")+('Changes &amp; Events'!$C$6:$C$17="Deduction stop"))*('Changes &amp; Events'!$D$6:$D$17="Premiums"))*('Changes &amp; Events'!$B$6:$B$17&lt;=$B37)*('Changes &amp; Events'!$B$6:$B$17&lt;&gt;"")),'Changes &amp; Events'!$I$6:$I$17),'Your Pay &amp; Benefits'!$D$40+'Your Pay &amp; Benefits'!$D$41+'Your Pay &amp; Benefits'!$D$42))</f>
      </c>
      <c r="BN37" s="7">
        <f>IF($B37="","",IFERROR(LOOKUP(2,1/(((('Changes &amp; Events'!$C$6:$C$17="Deduction start")+('Changes &amp; Events'!$C$6:$C$17="Deduction stop"))*('Changes &amp; Events'!$D$6:$D$17="Commuter"))*('Changes &amp; Events'!$B$6:$B$17&lt;=$B37)*('Changes &amp; Events'!$B$6:$B$17&lt;&gt;"")),'Changes &amp; Events'!$I$6:$I$17),'Your Pay &amp; Benefits'!$D$43))</f>
      </c>
      <c r="BO37" s="7">
        <f>IF($B37="","",IFERROR(LOOKUP(2,1/(((('Changes &amp; Events'!$C$6:$C$17="Deduction start")+('Changes &amp; Events'!$C$6:$C$17="Deduction stop"))*('Changes &amp; Events'!$D$6:$D$17="Other pre-tax"))*('Changes &amp; Events'!$B$6:$B$17&lt;=$B37)*('Changes &amp; Events'!$B$6:$B$17&lt;&gt;"")),'Changes &amp; Events'!$I$6:$I$17),'Your Pay &amp; Benefits'!$D$44))</f>
      </c>
      <c r="BP37" s="7">
        <f>IF($B37="","",IFERROR(LOOKUP(2,1/(((('Changes &amp; Events'!$C$6:$C$17="Deduction start")+('Changes &amp; Events'!$C$6:$C$17="Deduction stop"))*('Changes &amp; Events'!$D$6:$D$17="Other post-tax"))*('Changes &amp; Events'!$B$6:$B$17&lt;=$B37)*('Changes &amp; Events'!$B$6:$B$17&lt;&gt;"")),'Changes &amp; Events'!$I$6:$I$17),'Your Pay &amp; Benefits'!$D$45))</f>
      </c>
      <c r="BQ37" s="6">
        <f>IF($B37="","",IFERROR(LOOKUP(2,1/(((('Changes &amp; Events'!$C$6:$C$17="Deduction start")+('Changes &amp; Events'!$C$6:$C$17="Deduction stop"))*('Changes &amp; Events'!$D$6:$D$17="Health FSA"))*('Changes &amp; Events'!$B$6:$B$17&lt;=$B37)*('Changes &amp; Events'!$B$6:$B$17&lt;&gt;"")),'Changes &amp; Events'!$J$6:$J$17),0))</f>
      </c>
      <c r="BR37" s="6">
        <f>IF($B37="","",IFERROR(LOOKUP(2,1/(((('Changes &amp; Events'!$C$6:$C$17="Deduction start")+('Changes &amp; Events'!$C$6:$C$17="Deduction stop"))*('Changes &amp; Events'!$D$6:$D$17="Dependent-care FSA"))*('Changes &amp; Events'!$B$6:$B$17&lt;=$B37)*('Changes &amp; Events'!$B$6:$B$17&lt;&gt;"")),'Changes &amp; Events'!$J$6:$J$17),0))</f>
      </c>
      <c r="BS37" s="6">
        <f>IF($B37="","",IF(SUMPRODUCT(('Changes &amp; Events'!$C$6:$C$17="Deduction start")*('Changes &amp; Events'!$B$6:$B$17&lt;=$B37)*('Changes &amp; Events'!$B$6:$B$17&lt;&gt;"")*('Changes &amp; Events'!$D$6:$D$17="Health FSA"))&gt;0,1,0))</f>
      </c>
      <c r="BT37" s="6">
        <f>IF($B37="","",IF(SUMPRODUCT(('Changes &amp; Events'!$C$6:$C$17="Deduction start")*('Changes &amp; Events'!$B$6:$B$17&lt;=$B37)*('Changes &amp; Events'!$B$6:$B$17&lt;&gt;"")*('Changes &amp; Events'!$D$6:$D$17="Dependent-care FSA"))&gt;0,1,0))</f>
      </c>
      <c r="BU37" s="24">
        <f>IF($B37="","",IF('Your Pay &amp; Benefits'!$C$13,SUMPRODUCT(($AH37&gt;=INDEX('How This Works &amp; Sources'!$B$29:$J$36,0,IF('Your Pay &amp; Benefits'!$C$12="MFJ",1,IF('Your Pay &amp; Benefits'!$C$12="HoH",7,4))))*INDEX('How This Works &amp; Sources'!$B$29:$J$36,0,IF('Your Pay &amp; Benefits'!$C$12="MFJ",1,IF('Your Pay &amp; Benefits'!$C$12="HoH",7,4))+2)),SUMPRODUCT(($AH37&gt;=INDEX('How This Works &amp; Sources'!$B$19:$J$26,0,IF('Your Pay &amp; Benefits'!$C$12="MFJ",1,IF('Your Pay &amp; Benefits'!$C$12="HoH",7,4))))*INDEX('How This Works &amp; Sources'!$B$19:$J$26,0,IF('Your Pay &amp; Benefits'!$C$12="MFJ",1,IF('Your Pay &amp; Benefits'!$C$12="HoH",7,4))+2))))</f>
      </c>
      <c r="BV37" s="24">
        <f>IF($B37="","",IF($BZ37&lt;&gt;"",$BZ37,IF($CA37&lt;&gt;"",$CA37,IF($CB37&lt;&gt;"",$CB37,IF($CC37&lt;&gt;"",$CC37,0)))))</f>
      </c>
      <c r="BW37" s="7">
        <f>IF($B37="","",IF($AN37="MD",IF(OR($AU37="Married",$AU37="Head of household"),SUMPRODUCT(($AZ37&gt;INDEX('How This Works &amp; Sources'!$B$114:$J$120,0,1))*($AZ37-INDEX('How This Works &amp; Sources'!$B$114:$J$120,0,1))*INDEX('How This Works &amp; Sources'!$B$114:$J$120,0,1+2)),SUMPRODUCT(($AZ37&gt;INDEX('How This Works &amp; Sources'!$B$103:$J$109,0,7))*($AZ37-INDEX('How This Works &amp; Sources'!$B$103:$J$109,0,7))*INDEX('How This Works &amp; Sources'!$B$103:$J$109,0,7+2))),IF($AN37="MO",SUMPRODUCT(($AZ37&gt;INDEX('How This Works &amp; Sources'!$B$125:$J$132,0,1))*($AZ37-INDEX('How This Works &amp; Sources'!$B$125:$J$132,0,1))*INDEX('How This Works &amp; Sources'!$B$125:$J$132,0,1+2)),IF($AN37="MT",IF($AU37="Head of household",SUMPRODUCT(($AZ37&gt;INDEX('How This Works &amp; Sources'!$B$137:$J$139,0,1))*($AZ37-INDEX('How This Works &amp; Sources'!$B$137:$J$139,0,1))*INDEX('How This Works &amp; Sources'!$B$137:$J$139,0,1+2)),IF($AU37="Married",SUMPRODUCT(($AZ37&gt;INDEX('How This Works &amp; Sources'!$B$125:$J$132,0,7))*($AZ37-INDEX('How This Works &amp; Sources'!$B$125:$J$132,0,7))*INDEX('How This Works &amp; Sources'!$B$125:$J$132,0,7+2)),SUMPRODUCT(($AZ37&gt;INDEX('How This Works &amp; Sources'!$B$125:$J$132,0,4))*($AZ37-INDEX('How This Works &amp; Sources'!$B$125:$J$132,0,4))*INDEX('How This Works &amp; Sources'!$B$125:$J$132,0,4+2)))),IF($AN37="ND",IF($AU37="Head of household",SUMPRODUCT(($AZ37&gt;INDEX('How This Works &amp; Sources'!$B$144:$J$150,0,1))*($AZ37-INDEX('How This Works &amp; Sources'!$B$144:$J$150,0,1))*INDEX('How This Works &amp; Sources'!$B$144:$J$150,0,1+2)),IF($AU37="Married",SUMPRODUCT(($AZ37&gt;INDEX('How This Works &amp; Sources'!$B$137:$J$139,0,7))*($AZ37-INDEX('How This Works &amp; Sources'!$B$137:$J$139,0,7))*INDEX('How This Works &amp; Sources'!$B$137:$J$139,0,7+2)),SUMPRODUCT(($AZ37&gt;INDEX('How This Works &amp; Sources'!$B$137:$J$139,0,4))*($AZ37-INDEX('How This Works &amp; Sources'!$B$137:$J$139,0,4))*INDEX('How This Works &amp; Sources'!$B$137:$J$139,0,4+2)))),IF($AN37="NJ",IF('Your Pay &amp; Benefits'!$C$77="B",SUMPRODUCT(($AZ37&gt;INDEX('How This Works &amp; Sources'!$B$155:$J$162,0,4))*($AZ37-INDEX('How This Works &amp; Sources'!$B$155:$J$162,0,4))*INDEX('How This Works &amp; Sources'!$B$155:$J$162,0,4+2)),IF('Your Pay &amp; Benefits'!$C$77="C",SUMPRODUCT(($AZ37&gt;INDEX('How This Works &amp; Sources'!$B$155:$J$162,0,7))*($AZ37-INDEX('How This Works &amp; Sources'!$B$155:$J$162,0,7))*INDEX('How This Works &amp; Sources'!$B$155:$J$162,0,7+2)),IF('Your Pay &amp; Benefits'!$C$77="D",SUMPRODUCT(($AZ37&gt;INDEX('How This Works &amp; Sources'!$B$167:$J$179,0,1))*($AZ37-INDEX('How This Works &amp; Sources'!$B$167:$J$179,0,1))*INDEX('How This Works &amp; Sources'!$B$167:$J$179,0,1+2)),IF('Your Pay &amp; Benefits'!$C$77="E",SUMPRODUCT(($AZ37&gt;INDEX('How This Works &amp; Sources'!$B$167:$J$179,0,4))*($AZ37-INDEX('How This Works &amp; Sources'!$B$167:$J$179,0,4))*INDEX('How This Works &amp; Sources'!$B$167:$J$179,0,4+2)),SUMPRODUCT(($AZ37&gt;INDEX('How This Works &amp; Sources'!$B$155:$J$162,0,1))*($AZ37-INDEX('How This Works &amp; Sources'!$B$155:$J$162,0,1))*INDEX('How This Works &amp; Sources'!$B$155:$J$162,0,1+2)))))),IF($AN37="NY",IF($AU37="Married",IF($AZ37&gt;=2155350,$AZ37*IF($AZ37&gt;25000000,0.117,IF($AZ37&gt;5000000,0.111,0.1045)),SUMPRODUCT(($AZ37&gt;INDEX('How This Works &amp; Sources'!$B$184:$J$198,0,1))*($AZ37-INDEX('How This Works &amp; Sources'!$B$184:$J$198,0,1))*INDEX('How This Works &amp; Sources'!$B$184:$J$198,0,1+2))),IF($AZ37&gt;=1077550,$AZ37*IF($AZ37&gt;25000000,0.117,IF($AZ37&gt;5000000,0.111,0.1045)),SUMPRODUCT(($AZ37&gt;INDEX('How This Works &amp; Sources'!$B$167:$J$179,0,7))*($AZ37-INDEX('How This Works &amp; Sources'!$B$167:$J$179,0,7))*INDEX('How This Works &amp; Sources'!$B$167:$J$179,0,7+2)))),"")))))))</f>
      </c>
      <c r="BX37" s="7">
        <f>IF($B37="","",IF($AN37="AL",IF(OR($AU37="Married",$AU37="Head of household"),SUMPRODUCT(($AZ37&gt;INDEX('How This Works &amp; Sources'!$B$82:$J$86,0,4))*($AZ37-INDEX('How This Works &amp; Sources'!$B$82:$J$86,0,4))*INDEX('How This Works &amp; Sources'!$B$82:$J$86,0,4+2)),SUMPRODUCT(($AZ37&gt;INDEX('How This Works &amp; Sources'!$B$82:$J$86,0,1))*($AZ37-INDEX('How This Works &amp; Sources'!$B$82:$J$86,0,1))*INDEX('How This Works &amp; Sources'!$B$82:$J$86,0,1+2))),IF($AN37="KS",IF($AU37="Married",SUMPRODUCT(($AZ37&gt;INDEX('How This Works &amp; Sources'!$B$103:$J$109,0,4))*($AZ37-INDEX('How This Works &amp; Sources'!$B$103:$J$109,0,4))*INDEX('How This Works &amp; Sources'!$B$103:$J$109,0,4+2)),SUMPRODUCT(($AZ37&gt;INDEX('How This Works &amp; Sources'!$B$103:$J$109,0,1))*($AZ37-INDEX('How This Works &amp; Sources'!$B$103:$J$109,0,1))*INDEX('How This Works &amp; Sources'!$B$103:$J$109,0,1+2))),IF($AN37="MN",IF($AU37="Married",SUMPRODUCT(($AZ37&gt;INDEX('How This Works &amp; Sources'!$B$114:$J$120,0,7))*($AZ37-INDEX('How This Works &amp; Sources'!$B$114:$J$120,0,7))*INDEX('How This Works &amp; Sources'!$B$114:$J$120,0,7+2)),SUMPRODUCT(($AZ37&gt;INDEX('How This Works &amp; Sources'!$B$114:$J$120,0,4))*($AZ37-INDEX('How This Works &amp; Sources'!$B$114:$J$120,0,4))*INDEX('How This Works &amp; Sources'!$B$114:$J$120,0,4+2))),IF($AN37="NE",MAX(IF($AU37="Married",SUMPRODUCT(($AZ37&gt;INDEX('How This Works &amp; Sources'!$B$144:$J$150,0,7))*($AZ37-INDEX('How This Works &amp; Sources'!$B$144:$J$150,0,7))*INDEX('How This Works &amp; Sources'!$B$144:$J$150,0,7+2)),SUMPRODUCT(($AZ37&gt;INDEX('How This Works &amp; Sources'!$B$144:$J$150,0,4))*($AZ37-INDEX('How This Works &amp; Sources'!$B$144:$J$150,0,4))*INDEX('How This Works &amp; Sources'!$B$144:$J$150,0,4+2))),0.015*$AZ37),IF($AN37="OH",IF($B37&gt;=DATE(2026,8,1),SUMPRODUCT(($AZ37&gt;INDEX('How This Works &amp; Sources'!$B$203:$J$206,0,1))*($AZ37-INDEX('How This Works &amp; Sources'!$B$203:$J$206,0,1))*INDEX('How This Works &amp; Sources'!$B$203:$J$206,0,1+2)),SUMPRODUCT(($AZ37&gt;INDEX('How This Works &amp; Sources'!$B$184:$J$198,0,7))*($AZ37-INDEX('How This Works &amp; Sources'!$B$184:$J$198,0,7))*INDEX('How This Works &amp; Sources'!$B$184:$J$198,0,7+2))),IF($AN37="OK",IF($AU37="Married",SUMPRODUCT(($AZ37&gt;INDEX('How This Works &amp; Sources'!$B$203:$J$206,0,7))*($AZ37-INDEX('How This Works &amp; Sources'!$B$203:$J$206,0,7))*INDEX('How This Works &amp; Sources'!$B$203:$J$206,0,7+2)),SUMPRODUCT(($AZ37&gt;INDEX('How This Works &amp; Sources'!$B$203:$J$206,0,4))*($AZ37-INDEX('How This Works &amp; Sources'!$B$203:$J$206,0,4))*INDEX('How This Works &amp; Sources'!$B$203:$J$206,0,4+2))),IF($AN37="RI",SUMPRODUCT(($AZ37&gt;INDEX('How This Works &amp; Sources'!$B$211:$J$214,0,7))*($AZ37-INDEX('How This Works &amp; Sources'!$B$211:$J$214,0,7))*INDEX('How This Works &amp; Sources'!$B$211:$J$214,0,7+2)),IF($AN37="VT",IF($AU37="Married",SUMPRODUCT(($AZ37&gt;INDEX('How This Works &amp; Sources'!$B$228:$J$232,0,1))*($AZ37-INDEX('How This Works &amp; Sources'!$B$228:$J$232,0,1))*INDEX('How This Works &amp; Sources'!$B$228:$J$232,0,1+2)),SUMPRODUCT(($AZ37&gt;INDEX('How This Works &amp; Sources'!$B$219:$J$223,0,7))*($AZ37-INDEX('How This Works &amp; Sources'!$B$219:$J$223,0,7))*INDEX('How This Works &amp; Sources'!$B$219:$J$223,0,7+2))),IF($AN37="WV",IF($AU37="Married",SUMPRODUCT(($AZ37&gt;INDEX('How This Works &amp; Sources'!$B$237:$J$241,0,7))*($AZ37-INDEX('How This Works &amp; Sources'!$B$237:$J$241,0,7))*INDEX('How This Works &amp; Sources'!$B$237:$J$241,0,7+2)),SUMPRODUCT(($AZ37&gt;INDEX('How This Works &amp; Sources'!$B$228:$J$232,0,7))*($AZ37-INDEX('How This Works &amp; Sources'!$B$228:$J$232,0,7))*INDEX('How This Works &amp; Sources'!$B$228:$J$232,0,7+2))),""))))))))))</f>
      </c>
      <c r="BY37" s="7">
        <f>IF($B37="","",IF($AN37="AR",SUMPRODUCT(($AZ37&gt;INDEX('How This Works &amp; Sources'!$B$82:$J$86,0,7))*($AZ37-INDEX('How This Works &amp; Sources'!$B$82:$J$86,0,7))*INDEX('How This Works &amp; Sources'!$B$82:$J$86,0,7+2)),IF($AN37="DE",SUMPRODUCT(($AZ37&gt;INDEX('How This Works &amp; Sources'!$B$91:$J$98,0,1))*($AZ37-INDEX('How This Works &amp; Sources'!$B$91:$J$98,0,1))*INDEX('How This Works &amp; Sources'!$B$91:$J$98,0,1+2)),IF($AN37="HI",IF($AU37="Married",SUMPRODUCT(($AZ37&gt;INDEX('How This Works &amp; Sources'!$B$91:$J$98,0,7))*($AZ37-INDEX('How This Works &amp; Sources'!$B$91:$J$98,0,7))*INDEX('How This Works &amp; Sources'!$B$91:$J$98,0,7+2)),SUMPRODUCT(($AZ37&gt;INDEX('How This Works &amp; Sources'!$B$91:$J$98,0,4))*($AZ37-INDEX('How This Works &amp; Sources'!$B$91:$J$98,0,4))*INDEX('How This Works &amp; Sources'!$B$91:$J$98,0,4+2))),IF($AN37="SC",SUMPRODUCT(($AZ37&gt;INDEX('How This Works &amp; Sources'!$B$219:$J$223,0,1))*($AZ37-INDEX('How This Works &amp; Sources'!$B$219:$J$223,0,1))*INDEX('How This Works &amp; Sources'!$B$219:$J$223,0,1+2)),IF($AN37="VA",SUMPRODUCT(($AZ37&gt;INDEX('How This Works &amp; Sources'!$B$219:$J$223,0,4))*($AZ37-INDEX('How This Works &amp; Sources'!$B$219:$J$223,0,4))*INDEX('How This Works &amp; Sources'!$B$219:$J$223,0,4+2)),IF($AN37="WI",SUMPRODUCT(($AZ37&gt;INDEX('How This Works &amp; Sources'!$B$228:$J$232,0,4))*($AZ37-INDEX('How This Works &amp; Sources'!$B$228:$J$232,0,4))*INDEX('How This Works &amp; Sources'!$B$228:$J$232,0,4+2)),"")))))))</f>
      </c>
      <c r="BZ37" s="24">
        <f>IF($B37="","",IF($AN37="NJ",IF('Your Pay &amp; Benefits'!$C$77="B",SUMPRODUCT(($AZ37&gt;=INDEX('How This Works &amp; Sources'!$B$155:$J$162,0,4))*INDEX('How This Works &amp; Sources'!$B$155:$J$162,0,4+2)),IF('Your Pay &amp; Benefits'!$C$77="C",SUMPRODUCT(($AZ37&gt;=INDEX('How This Works &amp; Sources'!$B$155:$J$162,0,7))*INDEX('How This Works &amp; Sources'!$B$155:$J$162,0,7+2)),IF('Your Pay &amp; Benefits'!$C$77="D",SUMPRODUCT(($AZ37&gt;=INDEX('How This Works &amp; Sources'!$B$167:$J$179,0,1))*INDEX('How This Works &amp; Sources'!$B$167:$J$179,0,1+2)),IF('Your Pay &amp; Benefits'!$C$77="E",SUMPRODUCT(($AZ37&gt;=INDEX('How This Works &amp; Sources'!$B$167:$J$179,0,4))*INDEX('How This Works &amp; Sources'!$B$167:$J$179,0,4+2)),SUMPRODUCT(($AZ37&gt;=INDEX('How This Works &amp; Sources'!$B$155:$J$162,0,1))*INDEX('How This Works &amp; Sources'!$B$155:$J$162,0,1+2)))))),IF($AN37="OR",IF(OR($AU37="Married",AND($AU37="Single",$AS37&gt;=3)),SUMPRODUCT((MAX(0,$AY37-MIN(($P37-'How This Works &amp; Sources'!$C$10*$D37)*'Your Pay &amp; Benefits'!$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Sources'!$B$211:$J$214,0,4))*INDEX('How This Works &amp; Sources'!$B$211:$J$214,0,4+2)),SUMPRODUCT((MAX(0,$AY37-MIN(($P37-'How This Works &amp; Sources'!$C$10*$D37)*'Your Pay &amp; Benefits'!$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Sources'!$B$211:$J$214,0,1))*INDEX('How This Works &amp; Sources'!$B$211:$J$214,0,1+2)))*IF(($P37-'How This Works &amp; Sources'!$C$10*$D37)*'Your Pay &amp; Benefits'!$C$8&gt;=IF(OR($AU37="Married",AND($AU37="Single",$AS37&gt;=3)),IF($AY37&lt;250000,8750,IF($AY37&lt;260000,7000,IF($AY37&lt;270000,5250,IF($AY37&lt;280000,3500,IF($AY37&lt;290000,1750,0))))),IF($AY37&lt;125000,8750,IF($AY37&lt;130000,7000,IF($AY37&lt;135000,5250,IF($AY37&lt;140000,3500,IF($AY37&lt;145000,1750,0)))))),1,1-IF('Your Pay &amp; Benefits'!$C$13,SUMPRODUCT(($AH37&gt;=INDEX('How This Works &amp; Sources'!$B$29:$J$36,0,IF('Your Pay &amp; Benefits'!$C$12="MFJ",1,IF('Your Pay &amp; Benefits'!$C$12="HoH",7,4))))*INDEX('How This Works &amp; Sources'!$B$29:$J$36,0,IF('Your Pay &amp; Benefits'!$C$12="MFJ",1,IF('Your Pay &amp; Benefits'!$C$12="HoH",7,4))+2)),SUMPRODUCT(($AH37&gt;=INDEX('How This Works &amp; Sources'!$B$19:$J$26,0,IF('Your Pay &amp; Benefits'!$C$12="MFJ",1,IF('Your Pay &amp; Benefits'!$C$12="HoH",7,4))))*INDEX('How This Works &amp; Sources'!$B$19:$J$26,0,IF('Your Pay &amp; Benefits'!$C$12="MFJ",1,IF('Your Pay &amp; Benefits'!$C$12="HoH",7,4))+2)))),IF($AN37="MI",IF($AY37&gt;5900*$AS37,0.0425,0),""))))</f>
      </c>
      <c r="CA37" s="24">
        <f>IF($B37="","",IF($AN37="AL",IF(OR($AU37="Married",$AU37="Head of household"),SUMPRODUCT(($AZ37&gt;=INDEX('How This Works &amp; Sources'!$B$82:$J$86,0,4))*INDEX('How This Works &amp; Sources'!$B$82:$J$86,0,4+2)),SUMPRODUCT(($AZ37&gt;=INDEX('How This Works &amp; Sources'!$B$82:$J$86,0,1))*INDEX('How This Works &amp; Sources'!$B$82:$J$86,0,1+2)))*(1-IF('Your Pay &amp; Benefits'!$C$13,SUMPRODUCT(($AH37&gt;=INDEX('How This Works &amp; Sources'!$B$29:$J$36,0,IF('Your Pay &amp; Benefits'!$C$12="MFJ",1,IF('Your Pay &amp; Benefits'!$C$12="HoH",7,4))))*INDEX('How This Works &amp; Sources'!$B$29:$J$36,0,IF('Your Pay &amp; Benefits'!$C$12="MFJ",1,IF('Your Pay &amp; Benefits'!$C$12="HoH",7,4))+2)),SUMPRODUCT(($AH37&gt;=INDEX('How This Works &amp; Sources'!$B$19:$J$26,0,IF('Your Pay &amp; Benefits'!$C$12="MFJ",1,IF('Your Pay &amp; Benefits'!$C$12="HoH",7,4))))*INDEX('How This Works &amp; Sources'!$B$19:$J$26,0,IF('Your Pay &amp; Benefits'!$C$12="MFJ",1,IF('Your Pay &amp; Benefits'!$C$12="HoH",7,4))+2)))),IF($AN37="KS",IF($AU37="Married",SUMPRODUCT(($AZ37&gt;=INDEX('How This Works &amp; Sources'!$B$103:$J$109,0,4))*INDEX('How This Works &amp; Sources'!$B$103:$J$109,0,4+2)),SUMPRODUCT(($AZ37&gt;=INDEX('How This Works &amp; Sources'!$B$103:$J$109,0,1))*INDEX('How This Works &amp; Sources'!$B$103:$J$109,0,1+2))),IF($AN37="MD",IF(OR($AU37="Married",$AU37="Head of household"),SUMPRODUCT(($AZ37&gt;=INDEX('How This Works &amp; Sources'!$B$114:$J$120,0,1))*INDEX('How This Works &amp; Sources'!$B$114:$J$120,0,1+2)),SUMPRODUCT(($AZ37&gt;=INDEX('How This Works &amp; Sources'!$B$103:$J$109,0,7))*INDEX('How This Works &amp; Sources'!$B$103:$J$109,0,7+2)))+'Your Pay &amp; Benefits'!$C$74,IF($AN37="MT",IF($AU37="Head of household",SUMPRODUCT(($AZ37&gt;=INDEX('How This Works &amp; Sources'!$B$137:$J$139,0,1))*INDEX('How This Works &amp; Sources'!$B$137:$J$139,0,1+2)),IF($AU37="Married",SUMPRODUCT(($AZ37&gt;=INDEX('How This Works &amp; Sources'!$B$125:$J$132,0,7))*INDEX('How This Works &amp; Sources'!$B$125:$J$132,0,7+2)),SUMPRODUCT(($AZ37&gt;=INDEX('How This Works &amp; Sources'!$B$125:$J$132,0,4))*INDEX('How This Works &amp; Sources'!$B$125:$J$132,0,4+2)))),IF($AN37="ND",IF($AU37="Head of household",SUMPRODUCT(($AZ37&gt;=INDEX('How This Works &amp; Sources'!$B$144:$J$150,0,1))*INDEX('How This Works &amp; Sources'!$B$144:$J$150,0,1+2)),IF($AU37="Married",SUMPRODUCT(($AZ37&gt;=INDEX('How This Works &amp; Sources'!$B$137:$J$139,0,7))*INDEX('How This Works &amp; Sources'!$B$137:$J$139,0,7+2)),SUMPRODUCT(($AZ37&gt;=INDEX('How This Works &amp; Sources'!$B$137:$J$139,0,4))*INDEX('How This Works &amp; Sources'!$B$137:$J$139,0,4+2)))),IF($AN37="NY",IF($AU37="Married",IF($AZ37&gt;=2155350,IF($AZ37&gt;25000000,0.117,IF($AZ37&gt;5000000,0.111,0.1045)),SUMPRODUCT(($AZ37&gt;=INDEX('How This Works &amp; Sources'!$B$184:$J$198,0,1))*INDEX('How This Works &amp; Sources'!$B$184:$J$198,0,1+2))),IF($AZ37&gt;=1077550,IF($AZ37&gt;25000000,0.117,IF($AZ37&gt;5000000,0.111,0.1045)),SUMPRODUCT(($AZ37&gt;=INDEX('How This Works &amp; Sources'!$B$167:$J$179,0,7))*INDEX('How This Works &amp; Sources'!$B$167:$J$179,0,7+2)))),"")))))))</f>
      </c>
      <c r="CB37" s="24">
        <f>IF($B37="","",IF($AN37="CA",SUMPRODUCT(($AJ37&gt;=INDEX('How This Works &amp; Sources'!$B$39:$J$48,0,IF($AU37="Married",4,IF($AU37="Head of household",7,1))))*INDEX('How This Works &amp; Sources'!$B$39:$J$48,0,IF($AU37="Married",4,IF($AU37="Head of household",7,1))+2)),IF($AN37="HI",IF($AU37="Married",SUMPRODUCT(($AZ37&gt;=INDEX('How This Works &amp; Sources'!$B$91:$J$98,0,7))*INDEX('How This Works &amp; Sources'!$B$91:$J$98,0,7+2)),SUMPRODUCT(($AZ37&gt;=INDEX('How This Works &amp; Sources'!$B$91:$J$98,0,4))*INDEX('How This Works &amp; Sources'!$B$91:$J$98,0,4+2))),IF($AN37="MN",IF($AU37="Married",SUMPRODUCT(($AZ37&gt;=INDEX('How This Works &amp; Sources'!$B$114:$J$120,0,7))*INDEX('How This Works &amp; Sources'!$B$114:$J$120,0,7+2)),SUMPRODUCT(($AZ37&gt;=INDEX('How This Works &amp; Sources'!$B$114:$J$120,0,4))*INDEX('How This Works &amp; Sources'!$B$114:$J$120,0,4+2))),IF($AN37="MO",SUMPRODUCT(($AZ37&gt;=INDEX('How This Works &amp; Sources'!$B$125:$J$132,0,1))*INDEX('How This Works &amp; Sources'!$B$125:$J$132,0,1+2)),IF($AN37="NE",MAX(IF($AU37="Married",SUMPRODUCT(($AZ37&gt;=INDEX('How This Works &amp; Sources'!$B$144:$J$150,0,7))*INDEX('How This Works &amp; Sources'!$B$144:$J$150,0,7+2)),SUMPRODUCT(($AZ37&gt;=INDEX('How This Works &amp; Sources'!$B$144:$J$150,0,4))*INDEX('How This Works &amp; Sources'!$B$144:$J$150,0,4+2))),0.015),IF($AN37="OH",IF($B37&gt;=DATE(2026,8,1),SUMPRODUCT(($AZ37&gt;=INDEX('How This Works &amp; Sources'!$B$203:$J$206,0,1))*INDEX('How This Works &amp; Sources'!$B$203:$J$206,0,1+2)),SUMPRODUCT(($AZ37&gt;=INDEX('How This Works &amp; Sources'!$B$184:$J$198,0,7))*INDEX('How This Works &amp; Sources'!$B$184:$J$198,0,7+2))),IF($AN37="OK",IF($AU37="Married",SUMPRODUCT(($AZ37&gt;=INDEX('How This Works &amp; Sources'!$B$203:$J$206,0,7))*INDEX('How This Works &amp; Sources'!$B$203:$J$206,0,7+2)),SUMPRODUCT(($AZ37&gt;=INDEX('How This Works &amp; Sources'!$B$203:$J$206,0,4))*INDEX('How This Works &amp; Sources'!$B$203:$J$206,0,4+2))),IF($AN37="RI",SUMPRODUCT(($AZ37&gt;=INDEX('How This Works &amp; Sources'!$B$211:$J$214,0,7))*INDEX('How This Works &amp; Sources'!$B$211:$J$214,0,7+2)),IF($AN37="SC",SUMPRODUCT(($AZ37&gt;=INDEX('How This Works &amp; Sources'!$B$219:$J$223,0,1))*INDEX('How This Works &amp; Sources'!$B$219:$J$223,0,1+2)),IF($AN37="VT",IF($AU37="Married",SUMPRODUCT(($AZ37&gt;=INDEX('How This Works &amp; Sources'!$B$228:$J$232,0,1))*INDEX('How This Works &amp; Sources'!$B$228:$J$232,0,1+2)),SUMPRODUCT(($AZ37&gt;=INDEX('How This Works &amp; Sources'!$B$219:$J$223,0,7))*INDEX('How This Works &amp; Sources'!$B$219:$J$223,0,7+2))),IF($AN37="WV",IF($AU37="Married",SUMPRODUCT(($AZ37&gt;=INDEX('How This Works &amp; Sources'!$B$237:$J$241,0,7))*INDEX('How This Works &amp; Sources'!$B$237:$J$241,0,7+2)),SUMPRODUCT(($AZ37&gt;=INDEX('How This Works &amp; Sources'!$B$228:$J$232,0,7))*INDEX('How This Works &amp; Sources'!$B$228:$J$232,0,7+2))),IF($AN37="IN",(0.0295+'Your Pay &amp; Benefits'!$C$76),"")))))))))))))</f>
      </c>
      <c r="CC37" s="24">
        <f>IF($B37="","",IF($AN37="AR",SUMPRODUCT(($AZ37&gt;=INDEX('How This Works &amp; Sources'!$B$82:$J$86,0,7))*INDEX('How This Works &amp; Sources'!$B$82:$J$86,0,7+2)),IF($AN37="DE",SUMPRODUCT(($AZ37&gt;=INDEX('How This Works &amp; Sources'!$B$91:$J$98,0,1))*INDEX('How This Works &amp; Sources'!$B$91:$J$98,0,1+2)),IF($AN37="VA",SUMPRODUCT(($AZ37&gt;=INDEX('How This Works &amp; Sources'!$B$219:$J$223,0,4))*INDEX('How This Works &amp; Sources'!$B$219:$J$223,0,4+2)),IF($AN37="WI",SUMPRODUCT(($AZ37&gt;=INDEX('How This Works &amp; Sources'!$B$228:$J$232,0,4))*INDEX('How This Works &amp; Sources'!$B$228:$J$232,0,4+2)),IF($AN37="AZ",'Your Pay &amp; Benefits'!$C$82,IF($AN37="CO",IF($AY37&gt;IF($AU37="Married",10000,5000),0.044,0),IF($AN37="IA",IF($AY37&gt;IF($AU37="Head of household",19500,IF($AU37="Married",26000,13000)),0.038,0),IF($AN37="ID",IF($AY37&gt;IF($AU37="Married",32000,16094),0.053,0),IF($AN37="IL",IF($AY37&gt;(2925*$AS37+1000*$AT37),0.0495,0),IF($AN37="KY",IF($AI37&gt;3360,0.035,0),IF($AN37="LA",0.0309,IF($AN37="MA",IF(MAX(0,$AY37-MIN(($BD36+$Q37+$R37+$S37),2000)-IF($AS37=0,0,IF($AS37=1,4400,1000*$AS37+3400)))&gt;=1107750,0.09,0.05),IF($AN37="MS",IF($AI37-IF($AU37="Head of household",3400,IF($AU37="Married",4600,2300))-'Your Pay &amp; Benefits'!$C$85&gt;10000,0.04,0),IF($AN37="PA",0.0307,"")))))))))))))))</f>
      </c>
      <c r="CD37" s="21">
        <f>IF(YEAR(IF('Your Pay &amp; Benefits'!$C$7="Weekly",'Your Pay &amp; Benefits'!$C$9+7*(($BE36+1)-1),IF('Your Pay &amp; Benefits'!$C$7="Biweekly",'Your Pay &amp; Benefits'!$C$9+14*(($BE36+1)-1),IF('Your Pay &amp; Benefits'!$C$7="Semimonthly",DATE(YEAR('Your Pay &amp; Benefits'!$C$9),MONTH('Your Pay &amp; Benefits'!$C$9)+INT((($BE36+1)-1)/2),MIN(DAY('Your Pay &amp; Benefits'!$C$9),DAY(EOMONTH(DATE(YEAR('Your Pay &amp; Benefits'!$C$9),MONTH('Your Pay &amp; Benefits'!$C$9)+INT((($BE36+1)-1)/2),1),0))))+IF(MOD(($BE36+1)-1,2)=1,15,0),EDATE('Your Pay &amp; Benefits'!$C$9,($BE36+1)-1)))))&lt;&gt;'Your Pay &amp; Benefits'!$C$10,"",IF('Your Pay &amp; Benefits'!$C$7="Weekly",'Your Pay &amp; Benefits'!$C$9+7*(($BE36+1)-1),IF('Your Pay &amp; Benefits'!$C$7="Biweekly",'Your Pay &amp; Benefits'!$C$9+14*(($BE36+1)-1),IF('Your Pay &amp; Benefits'!$C$7="Semimonthly",DATE(YEAR('Your Pay &amp; Benefits'!$C$9),MONTH('Your Pay &amp; Benefits'!$C$9)+INT((($BE36+1)-1)/2),MIN(DAY('Your Pay &amp; Benefits'!$C$9),DAY(EOMONTH(DATE(YEAR('Your Pay &amp; Benefits'!$C$9),MONTH('Your Pay &amp; Benefits'!$C$9)+INT((($BE36+1)-1)/2),1),0))))+IF(MOD(($BE36+1)-1,2)=1,15,0),EDATE('Your Pay &amp; Benefits'!$C$9,($BE36+1)-1)))))</f>
      </c>
      <c r="CE37" s="21">
        <f>IF(MIN(IF(AND('Your Pay &amp; Benefits'!$C$58&gt;MAX($B$6:$B36),'Your Pay &amp; Benefits'!$C$58&gt;=DATE('Your Pay &amp; Benefits'!$C$10,1,1),'Your Pay &amp; Benefits'!$C$58&lt;=DATE('Your Pay &amp; Benefits'!$C$10,12,31)),'Your Pay &amp; Benefits'!$C$58,999999),IF(AND('Your Pay &amp; Benefits'!$C$59&gt;MAX($B$6:$B36),'Your Pay &amp; Benefits'!$C$59&gt;=DATE('Your Pay &amp; Benefits'!$C$10,1,1),'Your Pay &amp; Benefits'!$C$59&lt;=DATE('Your Pay &amp; Benefits'!$C$10,12,31)),'Your Pay &amp; Benefits'!$C$59,999999),IF(AND('Your Pay &amp; Benefits'!$C$60&gt;MAX($B$6:$B36),'Your Pay &amp; Benefits'!$C$60&gt;=DATE('Your Pay &amp; Benefits'!$C$10,1,1),'Your Pay &amp; Benefits'!$C$60&lt;=DATE('Your Pay &amp; Benefits'!$C$10,12,31)),'Your Pay &amp; Benefits'!$C$60,999999),IF(AND('Your Pay &amp; Benefits'!$C$61&gt;MAX($B$6:$B36),'Your Pay &amp; Benefits'!$C$61&gt;=DATE('Your Pay &amp; Benefits'!$C$10,1,1),'Your Pay &amp; Benefits'!$C$61&lt;=DATE('Your Pay &amp; Benefits'!$C$10,12,31)),'Your Pay &amp; Benefits'!$C$61,999999),IF(AND('Your Pay &amp; Benefits'!$C$62&gt;MAX($B$6:$B36),'Your Pay &amp; Benefits'!$C$62&gt;=DATE('Your Pay &amp; Benefits'!$C$10,1,1),'Your Pay &amp; Benefits'!$C$62&lt;=DATE('Your Pay &amp; Benefits'!$C$10,12,31)),'Your Pay &amp; Benefits'!$C$62,999999),IF(AND('Your Pay &amp; Benefits'!$C$63&gt;MAX($B$6:$B36),'Your Pay &amp; Benefits'!$C$63&gt;=DATE('Your Pay &amp; Benefits'!$C$10,1,1),'Your Pay &amp; Benefits'!$C$63&lt;=DATE('Your Pay &amp; Benefits'!$C$10,12,31)),'Your Pay &amp; Benefits'!$C$63,999999),IF(AND('Your Pay &amp; Benefits'!$C$64&gt;MAX($B$6:$B36),'Your Pay &amp; Benefits'!$C$64&gt;=DATE('Your Pay &amp; Benefits'!$C$10,1,1),'Your Pay &amp; Benefits'!$C$64&lt;=DATE('Your Pay &amp; Benefits'!$C$10,12,31)),'Your Pay &amp; Benefits'!$C$64,999999),IF(AND('Your Pay &amp; Benefits'!$C$65&gt;MAX($B$6:$B36),'Your Pay &amp; Benefits'!$C$65&gt;=DATE('Your Pay &amp; Benefits'!$C$10,1,1),'Your Pay &amp; Benefits'!$C$65&lt;=DATE('Your Pay &amp; Benefits'!$C$10,12,31)),'Your Pay &amp; Benefits'!$C$65,999999),IF(AND('Your Pay &amp; Benefits'!$C$66&gt;MAX($B$6:$B36),'Your Pay &amp; Benefits'!$C$66&gt;=DATE('Your Pay &amp; Benefits'!$C$10,1,1),'Your Pay &amp; Benefits'!$C$66&lt;=DATE('Your Pay &amp; Benefits'!$C$10,12,31)),'Your Pay &amp; Benefits'!$C$66,999999),IF(AND('Your Pay &amp; Benefits'!$C$67&gt;MAX($B$6:$B36),'Your Pay &amp; Benefits'!$C$67&gt;=DATE('Your Pay &amp; Benefits'!$C$10,1,1),'Your Pay &amp; Benefits'!$C$67&lt;=DATE('Your Pay &amp; Benefits'!$C$10,12,31)),'Your Pay &amp; Benefits'!$C$67,999999))=999999,"",MIN(IF(AND('Your Pay &amp; Benefits'!$C$58&gt;MAX($B$6:$B36),'Your Pay &amp; Benefits'!$C$58&gt;=DATE('Your Pay &amp; Benefits'!$C$10,1,1),'Your Pay &amp; Benefits'!$C$58&lt;=DATE('Your Pay &amp; Benefits'!$C$10,12,31)),'Your Pay &amp; Benefits'!$C$58,999999),IF(AND('Your Pay &amp; Benefits'!$C$59&gt;MAX($B$6:$B36),'Your Pay &amp; Benefits'!$C$59&gt;=DATE('Your Pay &amp; Benefits'!$C$10,1,1),'Your Pay &amp; Benefits'!$C$59&lt;=DATE('Your Pay &amp; Benefits'!$C$10,12,31)),'Your Pay &amp; Benefits'!$C$59,999999),IF(AND('Your Pay &amp; Benefits'!$C$60&gt;MAX($B$6:$B36),'Your Pay &amp; Benefits'!$C$60&gt;=DATE('Your Pay &amp; Benefits'!$C$10,1,1),'Your Pay &amp; Benefits'!$C$60&lt;=DATE('Your Pay &amp; Benefits'!$C$10,12,31)),'Your Pay &amp; Benefits'!$C$60,999999),IF(AND('Your Pay &amp; Benefits'!$C$61&gt;MAX($B$6:$B36),'Your Pay &amp; Benefits'!$C$61&gt;=DATE('Your Pay &amp; Benefits'!$C$10,1,1),'Your Pay &amp; Benefits'!$C$61&lt;=DATE('Your Pay &amp; Benefits'!$C$10,12,31)),'Your Pay &amp; Benefits'!$C$61,999999),IF(AND('Your Pay &amp; Benefits'!$C$62&gt;MAX($B$6:$B36),'Your Pay &amp; Benefits'!$C$62&gt;=DATE('Your Pay &amp; Benefits'!$C$10,1,1),'Your Pay &amp; Benefits'!$C$62&lt;=DATE('Your Pay &amp; Benefits'!$C$10,12,31)),'Your Pay &amp; Benefits'!$C$62,999999),IF(AND('Your Pay &amp; Benefits'!$C$63&gt;MAX($B$6:$B36),'Your Pay &amp; Benefits'!$C$63&gt;=DATE('Your Pay &amp; Benefits'!$C$10,1,1),'Your Pay &amp; Benefits'!$C$63&lt;=DATE('Your Pay &amp; Benefits'!$C$10,12,31)),'Your Pay &amp; Benefits'!$C$63,999999),IF(AND('Your Pay &amp; Benefits'!$C$64&gt;MAX($B$6:$B36),'Your Pay &amp; Benefits'!$C$64&gt;=DATE('Your Pay &amp; Benefits'!$C$10,1,1),'Your Pay &amp; Benefits'!$C$64&lt;=DATE('Your Pay &amp; Benefits'!$C$10,12,31)),'Your Pay &amp; Benefits'!$C$64,999999),IF(AND('Your Pay &amp; Benefits'!$C$65&gt;MAX($B$6:$B36),'Your Pay &amp; Benefits'!$C$65&gt;=DATE('Your Pay &amp; Benefits'!$C$10,1,1),'Your Pay &amp; Benefits'!$C$65&lt;=DATE('Your Pay &amp; Benefits'!$C$10,12,31)),'Your Pay &amp; Benefits'!$C$65,999999),IF(AND('Your Pay &amp; Benefits'!$C$66&gt;MAX($B$6:$B36),'Your Pay &amp; Benefits'!$C$66&gt;=DATE('Your Pay &amp; Benefits'!$C$10,1,1),'Your Pay &amp; Benefits'!$C$66&lt;=DATE('Your Pay &amp; Benefits'!$C$10,12,31)),'Your Pay &amp; Benefits'!$C$66,999999),IF(AND('Your Pay &amp; Benefits'!$C$67&gt;MAX($B$6:$B36),'Your Pay &amp; Benefits'!$C$67&gt;=DATE('Your Pay &amp; Benefits'!$C$10,1,1),'Your Pay &amp; Benefits'!$C$67&lt;=DATE('Your Pay &amp; Benefits'!$C$10,12,31)),'Your Pay &amp; Benefits'!$C$67,999999)))</f>
      </c>
      <c r="CF37">
        <f>IF($B37="","",IF($D37=0,$Y37,""))</f>
      </c>
    </row>
    <row r="38">
      <c r="A38" t="n">
        <v>33</v>
      </c>
      <c r="B38" s="21">
        <f>IF(AND($CD38="",$CE38=""),"",IF($CE38="",$CD38,IF($CD38="",$CE38,MIN($CD38,$CE38))))</f>
      </c>
      <c r="C38" s="7">
        <f>IF($B38="","",IF($BF38=0,0,IF('Your Pay &amp; Benefits'!$C$4="Annual salary",ROUND($AK38/IF(AND('Your Pay &amp; Benefits'!$C$88="Actual paydays",MONTH('Your Pay &amp; Benefits'!$C$9)=1),MAX(1,MAX($BE$6:$BE$68)),'Your Pay &amp; Benefits'!$C$8),2),$AK38)))</f>
      </c>
      <c r="D38" s="7">
        <f>IF($B38="","",SUMIF('Your Pay &amp; Benefits'!$C$58:$C$67,$B38,'Your Pay &amp; Benefits'!$D$58:$D$67))</f>
      </c>
      <c r="E38" s="7">
        <f>IF($B38="","",ROUND(MAX(0,MIN(IF($AL38="Percent",$AM38*($C38+$D38),$AM38),MAX(0,'Your Pay &amp; Benefits'!$C$34-$AC37))),2))</f>
      </c>
      <c r="F38" s="7">
        <f>IF($B38="","",ROUND(MAX(0,MIN(IF('Your Pay &amp; Benefits'!$C$32="Percent",'Your Pay &amp; Benefits'!$D$32*($C38+$D38),'Your Pay &amp; Benefits'!$D$32),MAX(0,'Your Pay &amp; Benefits'!$C$34-$AC37-$E38))),2))</f>
      </c>
      <c r="G38" s="7">
        <f>IF($B38="","",IF($BF38=0,0,ROUND(MAX(0,MIN($BL38,'Your Pay &amp; Benefits'!$C$37-'Your Pay &amp; Benefits'!$C$54-$BI37)),2)))</f>
      </c>
      <c r="H38" s="7">
        <f>IF($B38="","",IF(OR($BF38=0,$BQ38=1),0,ROUND(MAX(0,MIN(IF($BS38=1,ROUND(MAX(0,MIN($BJ38,'How This Works &amp; Sources'!$C$13)-$BG37)/MAX(1,MAX($BE$6:$BE$68)-($BE37)),2),ROUND(MIN($BJ38,'How This Works &amp; Sources'!$C$13)/'Your Pay &amp; Benefits'!$C$8,2)),MIN($BJ38,'How This Works &amp; Sources'!$C$13)-$BG37)),2)))</f>
      </c>
      <c r="I38" s="7">
        <f>IF($B38="","",IF(OR($BF38=0,$BR38=1),0,ROUND(MAX(0,MIN(IF($BT38=1,ROUND(MAX(0,MIN($BK38,IF('Your Pay &amp; Benefits'!$C$12="MFJ",'How This Works &amp; Sources'!$C$14,'How This Works &amp; Sources'!$C$15))-$BH37)/MAX(1,MAX($BE$6:$BE$68)-($BE37)),2),ROUND(MIN($BK38,IF('Your Pay &amp; Benefits'!$C$12="MFJ",'How This Works &amp; Sources'!$C$14,'How This Works &amp; Sources'!$C$15))/'Your Pay &amp; Benefits'!$C$8,2)),MIN($BK38,IF('Your Pay &amp; Benefits'!$C$12="MFJ",'How This Works &amp; Sources'!$C$14,'How This Works &amp; Sources'!$C$15))-$BH37)),2)))</f>
      </c>
      <c r="J38" s="7">
        <f>IF($B38="","",IF($BF38=0,0,$BM38))</f>
      </c>
      <c r="K38" s="7">
        <f>IF($B38="","",IF($BF38=0,0,$BN38+$BO38))</f>
      </c>
      <c r="L38" s="7">
        <f>IF($B38="","",IF($BF38=0,0,'Your Pay &amp; Benefits'!$D$46))</f>
      </c>
      <c r="M38" s="7">
        <f>IF($B38="","",$C38+$D38+$L38-$E38-$G38-$H38-$I38-$J38-$K38)</f>
      </c>
      <c r="N38" s="7">
        <f>IF($B38="","",$C38+$D38+$L38-$G38-$H38-$I38-$J38-$K38)</f>
      </c>
      <c r="O38" s="7">
        <f>IF($B38="","",$C38+$D38+$L38-$E38-$H38-$I38-$J38-$K38-IF(OR($AN38="CA",$AN38="NJ"),0,$G38))</f>
      </c>
      <c r="P38" s="7">
        <f>IF($B38="","",IF('Your Pay &amp; Benefits'!$C$18,0,ROUND(MAX(0,IF('Your Pay &amp; Benefits'!$C$13,SUMPRODUCT(($AH38&gt;INDEX('How This Works &amp; Sources'!$B$29:$J$36,0,IF('Your Pay &amp; Benefits'!$C$12="MFJ",1,IF('Your Pay &amp; Benefits'!$C$12="HoH",7,4))))*($AH38-INDEX('How This Works &amp; Sources'!$B$29:$J$36,0,IF('Your Pay &amp; Benefits'!$C$12="MFJ",1,IF('Your Pay &amp; Benefits'!$C$12="HoH",7,4))))*INDEX('How This Works &amp; Sources'!$B$29:$J$36,0,IF('Your Pay &amp; Benefits'!$C$12="MFJ",1,IF('Your Pay &amp; Benefits'!$C$12="HoH",7,4))+2)),SUMPRODUCT(($AH38&gt;INDEX('How This Works &amp; Sources'!$B$19:$J$26,0,IF('Your Pay &amp; Benefits'!$C$12="MFJ",1,IF('Your Pay &amp; Benefits'!$C$12="HoH",7,4))))*($AH38-INDEX('How This Works &amp; Sources'!$B$19:$J$26,0,IF('Your Pay &amp; Benefits'!$C$12="MFJ",1,IF('Your Pay &amp; Benefits'!$C$12="HoH",7,4))))*INDEX('How This Works &amp; Sources'!$B$19:$J$26,0,IF('Your Pay &amp; Benefits'!$C$12="MFJ",1,IF('Your Pay &amp; Benefits'!$C$12="HoH",7,4))+2)))/'Your Pay &amp; Benefits'!$C$8-$AO38/'Your Pay &amp; Benefits'!$C$8)+$AR38+IF('Your Pay &amp; Benefits'!$C$89="Aggregate",MAX(0,IF('Your Pay &amp; Benefits'!$C$13,SUMPRODUCT((($AH38+$D38)&gt;INDEX('How This Works &amp; Sources'!$B$29:$J$36,0,IF('Your Pay &amp; Benefits'!$C$12="MFJ",1,IF('Your Pay &amp; Benefits'!$C$12="HoH",7,4))))*(($AH38+$D38)-INDEX('How This Works &amp; Sources'!$B$29:$J$36,0,IF('Your Pay &amp; Benefits'!$C$12="MFJ",1,IF('Your Pay &amp; Benefits'!$C$12="HoH",7,4))))*INDEX('How This Works &amp; Sources'!$B$29:$J$36,0,IF('Your Pay &amp; Benefits'!$C$12="MFJ",1,IF('Your Pay &amp; Benefits'!$C$12="HoH",7,4))+2)),SUMPRODUCT((($AH38+$D38)&gt;INDEX('How This Works &amp; Sources'!$B$19:$J$26,0,IF('Your Pay &amp; Benefits'!$C$12="MFJ",1,IF('Your Pay &amp; Benefits'!$C$12="HoH",7,4))))*(($AH38+$D38)-INDEX('How This Works &amp; Sources'!$B$19:$J$26,0,IF('Your Pay &amp; Benefits'!$C$12="MFJ",1,IF('Your Pay &amp; Benefits'!$C$12="HoH",7,4))))*INDEX('How This Works &amp; Sources'!$B$19:$J$26,0,IF('Your Pay &amp; Benefits'!$C$12="MFJ",1,IF('Your Pay &amp; Benefits'!$C$12="HoH",7,4))+2)))-IF('Your Pay &amp; Benefits'!$C$13,SUMPRODUCT(($AH38&gt;INDEX('How This Works &amp; Sources'!$B$29:$J$36,0,IF('Your Pay &amp; Benefits'!$C$12="MFJ",1,IF('Your Pay &amp; Benefits'!$C$12="HoH",7,4))))*($AH38-INDEX('How This Works &amp; Sources'!$B$29:$J$36,0,IF('Your Pay &amp; Benefits'!$C$12="MFJ",1,IF('Your Pay &amp; Benefits'!$C$12="HoH",7,4))))*INDEX('How This Works &amp; Sources'!$B$29:$J$36,0,IF('Your Pay &amp; Benefits'!$C$12="MFJ",1,IF('Your Pay &amp; Benefits'!$C$12="HoH",7,4))+2)),SUMPRODUCT(($AH38&gt;INDEX('How This Works &amp; Sources'!$B$19:$J$26,0,IF('Your Pay &amp; Benefits'!$C$12="MFJ",1,IF('Your Pay &amp; Benefits'!$C$12="HoH",7,4))))*($AH38-INDEX('How This Works &amp; Sources'!$B$19:$J$26,0,IF('Your Pay &amp; Benefits'!$C$12="MFJ",1,IF('Your Pay &amp; Benefits'!$C$12="HoH",7,4))))*INDEX('How This Works &amp; Sources'!$B$19:$J$26,0,IF('Your Pay &amp; Benefits'!$C$12="MFJ",1,IF('Your Pay &amp; Benefits'!$C$12="HoH",7,4))+2)))),'How This Works &amp; Sources'!$C$10*$D38),2)))</f>
      </c>
      <c r="Q38" s="7">
        <f>IF($B38="","",ROUND('How This Works &amp; Sources'!$C$4*MIN($N38,MAX(0,'How This Works &amp; Sources'!$C$3-($AX38+$AB37-$AW38))),2))</f>
      </c>
      <c r="R38" s="7">
        <f>IF($B38="","",ROUND('How This Works &amp; Sources'!$C$5*$N38,2))</f>
      </c>
      <c r="S38" s="7">
        <f>IF($B38="","",ROUND('How This Works &amp; Sources'!$C$6*MAX(0,MIN($N38,$AG37+$N38-'How This Works &amp; Sources'!$C$7)),2))</f>
      </c>
      <c r="T38" s="7">
        <f>IF($B38="","",IF('Your Pay &amp; Benefits'!$C$26,0,IF($AN38="CA",ROUND(IF($AI38&lt;=IF(($AS38+$AT38)&gt;=2,VLOOKUP($AN38,StateTables!$A$6:$AB$56,10,FALSE),VLOOKUP($AN38,StateTables!$A$6:$AB$56,9,FALSE)),0,MAX(0,SUMPRODUCT(($AJ38&gt;INDEX('How This Works &amp; Sources'!$B$39:$J$48,0,IF($AU38="Married",4,IF($AU38="Head of household",7,1))))*($AJ38-INDEX('How This Works &amp; Sources'!$B$39:$J$48,0,IF($AU38="Married",4,IF($AU38="Head of household",7,1))))*INDEX('How This Works &amp; Sources'!$B$39:$J$48,0,IF($AU38="Married",4,IF($AU38="Head of household",7,1))+2))-VLOOKUP($AN38,StateTables!$A$6:$AB$56,11,FALSE)*$AS38)/'Your Pay &amp; Benefits'!$C$8)+'Your Pay &amp; Benefits'!$C$25+VLOOKUP($AN38,StateTables!$A$6:$AB$56,13,FALSE)*$D38,2),IF(VLOOKUP($AN38,StateTables!$A$6:$AB$56,4,FALSE)="None",0,IF(ISNUMBER(SEARCH("MANUAL",VLOOKUP($AN38,StateTables!$A$6:$AB$56,5,FALSE))),'Your Pay &amp; Benefits'!$C$28,ROUND(MAX(0,$BA38+$BB38)/'Your Pay &amp; Benefits'!$C$8+'Your Pay &amp; Benefits'!$C$25+$BC38,2))))))</f>
      </c>
      <c r="U38" s="7">
        <f>IF($B38="","",IF(VLOOKUP($AN38,StateTables!$A$6:$AB$56,24,FALSE)="flatq",IF(OR(MONTH($B38)=1,MONTH($B38)=4,MONTH($B38)=7,MONTH($B38)=10),VLOOKUP($AN38,StateTables!$A$6:$AB$56,25,FALSE),0),IF(VLOOKUP($AN38,StateTables!$A$6:$AB$56,24,FALSE)="dbl",MIN(ROUND(0.005*$N38,2),ROUND(0.6*52/'Your Pay &amp; Benefits'!$C$8,2)),IF(OR(VLOOKUP($AN38,StateTables!$A$6:$AB$56,15,FALSE)="",VLOOKUP($AN38,StateTables!$A$6:$AB$56,15,FALSE)=0),0,ROUND(VLOOKUP($AN38,StateTables!$A$6:$AB$56,15,FALSE)*IF(OR(VLOOKUP($AN38,StateTables!$A$6:$AB$56,16,FALSE)="",VLOOKUP($AN38,StateTables!$A$6:$AB$56,16,FALSE)=0),$N38,MIN($N38,MAX(0,VLOOKUP($AN38,StateTables!$A$6:$AB$56,16,FALSE)-($AX38+$AB37-$AW38)))),2))))+IF(VLOOKUP($AN38,StateTables!$A$6:$AB$56,27,FALSE)="flatq",IF(OR(MONTH($B38)=1,MONTH($B38)=4,MONTH($B38)=7,MONTH($B38)=10),VLOOKUP($AN38,StateTables!$A$6:$AB$56,28,FALSE),0),IF(VLOOKUP($AN38,StateTables!$A$6:$AB$56,27,FALSE)="dbl",MIN(ROUND(0.005*$N38,2),ROUND(0.6*52/'Your Pay &amp; Benefits'!$C$8,2)),IF(OR(VLOOKUP($AN38,StateTables!$A$6:$AB$56,18,FALSE)="",VLOOKUP($AN38,StateTables!$A$6:$AB$56,18,FALSE)=0),0,ROUND(VLOOKUP($AN38,StateTables!$A$6:$AB$56,18,FALSE)*IF(OR(VLOOKUP($AN38,StateTables!$A$6:$AB$56,19,FALSE)="",VLOOKUP($AN38,StateTables!$A$6:$AB$56,19,FALSE)=0),$N38,MIN($N38,MAX(0,VLOOKUP($AN38,StateTables!$A$6:$AB$56,19,FALSE)-($AX38+$AB37-$AW38)))),2)))))</f>
      </c>
      <c r="V38" s="7">
        <f>IF($B38="","",IF($AN38="NY",IF('Your Pay &amp; Benefits'!$C$78,ROUND(SUMPRODUCT((MAX(0,($O38-$D38)*'Your Pay &amp; Benefits'!$C$8-(IF($AU38="Married",5500,5000)+1000*$AS38))&gt;INDEX('How This Works &amp; Sources'!$B$184:$J$198,0,4))*(MAX(0,($O38-$D38)*'Your Pay &amp; Benefits'!$C$8-(IF($AU38="Married",5500,5000)+1000*$AS38))-INDEX('How This Works &amp; Sources'!$B$184:$J$198,0,4))*INDEX('How This Works &amp; Sources'!$B$184:$J$198,0,4+2))/'Your Pay &amp; Benefits'!$C$8+0.0425*$D38,2),0)+IF('Your Pay &amp; Benefits'!$C$79="Resident",ROUND(0.1675*$T38,2),IF('Your Pay &amp; Benefits'!$C$79="Nonresident",ROUND(0.005*MAX(0,($O38-$D38)-(IF($AU38="Married",7950,7400)+1000*$AS38)/'Your Pay &amp; Benefits'!$C$8),2),0)),IF($AN38="PA",IF('Your Pay &amp; Benefits'!$C$80="None",'Your Pay &amp; Benefits'!$C$27+ROUND('Your Pay &amp; Benefits'!$C$81*($C38+$D38),2),ROUND(IF('Your Pay &amp; Benefits'!$C$80="Resident",IF($B38&lt;DATE(2026,7,1),0.0374,0.03735),IF($B38&lt;DATE(2026,7,1),0.0343,0.03425))*($C38+$D38),2)),IF($BF38=0,ROUND('Your Pay &amp; Benefits'!$C$81*($C38+$D38),2),'Your Pay &amp; Benefits'!$C$27+ROUND('Your Pay &amp; Benefits'!$C$81*($C38+$D38),2)))))</f>
      </c>
      <c r="W38" s="7">
        <f>IF($B38="","",IF($BF38=0,0,$BP38))</f>
      </c>
      <c r="X38" s="7">
        <f>IF($B38="","",SUM($E38:$K38)+$P38+$Q38+$R38+$S38+$T38+$U38+$V38+$W38)</f>
      </c>
      <c r="Y38" s="22">
        <f>IF($B38="","",$C38+$D38-$X38)</f>
      </c>
      <c r="Z38" s="7">
        <f>IF($B38="","",$Z37+$C38+$D38)</f>
      </c>
      <c r="AA38" s="7">
        <f>IF($B38="","",$AA37+$Y38)</f>
      </c>
      <c r="AB38" s="7">
        <f>IF($B38="","",$AB37+MIN($N38,MAX(0,'How This Works &amp; Sources'!$C$3-($AX38+$AB37-$AW38))))</f>
      </c>
      <c r="AC38" s="7">
        <f>IF($B38="","",$AC37+$E38+$F38)</f>
      </c>
      <c r="AD38" s="3">
        <f>IF($B38="","",IF(AND($AB37&lt;'How This Works &amp; Sources'!$C$3,$AB38&gt;='How This Works &amp; Sources'!$C$3),"★ Social Security maxed on this check — from the next check your net rises by about $"&amp;TEXT(ROUND('How This Works &amp; Sources'!$C$4*$N38,2),"#,##0.00")&amp;". ","")&amp;IF(AND($AC37&lt;'Your Pay &amp; Benefits'!$C$34,$AC38&gt;='Your Pay &amp; Benefits'!$C$34),"★ 401(k) reaches the $"&amp;TEXT('Your Pay &amp; Benefits'!$C$34,"#,##0")&amp;" cap on this check — deferrals stop and net pay rises. ","")&amp;IF(AND($AG37&lt;'How This Works &amp; Sources'!$C$7,$AG38&gt;='How This Works &amp; Sources'!$C$7),"★ Wages pass $200,000 — the 0.9% Additional Medicare Tax starts here. ","")&amp;IF(AND($BJ38&gt;0,$H38&gt;0,$BG37&lt;MIN($BJ38,'How This Works &amp; Sources'!$C$13),$BG37+$H38&gt;=MIN($BJ38,'How This Works &amp; Sources'!$C$13)),"★ Health FSA election is now fully deferred for the year. ",""))</f>
      </c>
      <c r="AE38" s="41" t="n"/>
      <c r="AF38" s="7">
        <f>IF(OR($B38="",$AE38=""),"",$AE38-$Y38)</f>
      </c>
      <c r="AG38" s="7">
        <f>IF($B38="","",$AG37+$N38)</f>
      </c>
      <c r="AH38" s="7">
        <f>IF($B38="","",MAX(0,($M38-$D38)*'Your Pay &amp; Benefits'!$C$8+$AP38-$AQ38-IF('Your Pay &amp; Benefits'!$C$13,0,IF('Your Pay &amp; Benefits'!$C$12="MFJ",'How This Works &amp; Sources'!$C$8,'How This Works &amp; Sources'!$C$9))))</f>
      </c>
      <c r="AI38" s="7">
        <f>IF($B38="","",$O38*'Your Pay &amp; Benefits'!$C$8)</f>
      </c>
      <c r="AJ38" s="7">
        <f>IF($B38="","",MAX(0,$AI38-VLOOKUP($AN38,StateTables!$A$6:$AB$56,12,FALSE)*$AT38-IF(($AS38+$AT38)&gt;=2,VLOOKUP($AN38,StateTables!$A$6:$AB$56,8,FALSE),VLOOKUP($AN38,StateTables!$A$6:$AB$56,7,FALSE))))</f>
      </c>
      <c r="AK38" s="7">
        <f>IF($B38="","",IFERROR(LOOKUP(2,1/(('Changes &amp; Events'!$C$6:$C$17="Salary change")*('Changes &amp; Events'!$B$6:$B$17&lt;=$B38)*('Changes &amp; Events'!$B$6:$B$17&lt;&gt;"")),'Changes &amp; Events'!$D$6:$D$17),IF('Your Pay &amp; Benefits'!$C$4="Annual salary",'Your Pay &amp; Benefits'!$C$5,'Your Pay &amp; Benefits'!$C$6)))</f>
      </c>
      <c r="AL38">
        <f>IF($B38="","",IFERROR(LOOKUP(2,1/(('Changes &amp; Events'!$C$6:$C$17="401(k) change")*('Changes &amp; Events'!$B$6:$B$17&lt;=$B38)*('Changes &amp; Events'!$B$6:$B$17&lt;&gt;"")),'Changes &amp; Events'!$D$6:$D$17),'Your Pay &amp; Benefits'!$C$30))</f>
      </c>
      <c r="AM38" s="7">
        <f>IF($B38="","",IFERROR(LOOKUP(2,1/(('Changes &amp; Events'!$C$6:$C$17="401(k) change")*('Changes &amp; Events'!$B$6:$B$17&lt;=$B38)*('Changes &amp; Events'!$B$6:$B$17&lt;&gt;"")),'Changes &amp; Events'!$E$6:$E$17),'Your Pay &amp; Benefits'!$D$31))</f>
      </c>
      <c r="AN38">
        <f>IF($B38="","",IFERROR(LOOKUP(2,1/(('Changes &amp; Events'!$C$6:$C$17="State move")*('Changes &amp; Events'!$B$6:$B$17&lt;=$B38)*('Changes &amp; Events'!$B$6:$B$17&lt;&gt;"")),'Changes &amp; Events'!$D$6:$D$17),'Your Pay &amp; Benefits'!$C$21))</f>
      </c>
      <c r="AO38" s="7">
        <f>IF($B38="","",IFERROR(LOOKUP(2,1/(('Changes &amp; Events'!$C$6:$C$17="W-4 change")*('Changes &amp; Events'!$B$6:$B$17&lt;=$B38)*('Changes &amp; Events'!$B$6:$B$17&lt;&gt;"")),'Changes &amp; Events'!$D$6:$D$17),'Your Pay &amp; Benefits'!$C$14))</f>
      </c>
      <c r="AP38" s="7">
        <f>IF($B38="","",IFERROR(LOOKUP(2,1/(('Changes &amp; Events'!$C$6:$C$17="W-4 change")*('Changes &amp; Events'!$B$6:$B$17&lt;=$B38)*('Changes &amp; Events'!$B$6:$B$17&lt;&gt;"")),'Changes &amp; Events'!$E$6:$E$17),'Your Pay &amp; Benefits'!$C$15))</f>
      </c>
      <c r="AQ38" s="7">
        <f>IF($B38="","",IFERROR(LOOKUP(2,1/(('Changes &amp; Events'!$C$6:$C$17="W-4 change")*('Changes &amp; Events'!$B$6:$B$17&lt;=$B38)*('Changes &amp; Events'!$B$6:$B$17&lt;&gt;"")),'Changes &amp; Events'!$F$6:$F$17),'Your Pay &amp; Benefits'!$C$16))</f>
      </c>
      <c r="AR38" s="7">
        <f>IF($B38="","",IFERROR(LOOKUP(2,1/(('Changes &amp; Events'!$C$6:$C$17="W-4 change")*('Changes &amp; Events'!$B$6:$B$17&lt;=$B38)*('Changes &amp; Events'!$B$6:$B$17&lt;&gt;"")),'Changes &amp; Events'!$G$6:$G$17),'Your Pay &amp; Benefits'!$C$17))</f>
      </c>
      <c r="AS38" s="6">
        <f>IF($B38="","",IFERROR(LOOKUP(2,1/((('Changes &amp; Events'!$C$6:$C$17="State move")+('Changes &amp; Events'!$C$6:$C$17="State cert change"))*('Changes &amp; Events'!$B$6:$B$17&lt;=$B38)*('Changes &amp; Events'!$B$6:$B$17&lt;&gt;"")),'Changes &amp; Events'!$F$6:$F$17),'Your Pay &amp; Benefits'!$C$23))</f>
      </c>
      <c r="AT38" s="6">
        <f>IF($B38="","",IFERROR(LOOKUP(2,1/((('Changes &amp; Events'!$C$6:$C$17="State move")+('Changes &amp; Events'!$C$6:$C$17="State cert change"))*('Changes &amp; Events'!$B$6:$B$17&lt;=$B38)*('Changes &amp; Events'!$B$6:$B$17&lt;&gt;"")),'Changes &amp; Events'!$G$6:$G$17),'Your Pay &amp; Benefits'!$C$24))</f>
      </c>
      <c r="AU38">
        <f>IF($B38="","",IFERROR(LOOKUP(2,1/(('Changes &amp; Events'!$C$6:$C$17="State move")*('Changes &amp; Events'!$B$6:$B$17&lt;=$B38)*('Changes &amp; Events'!$B$6:$B$17&lt;&gt;"")),'Changes &amp; Events'!$E$6:$E$17),'Your Pay &amp; Benefits'!$C$22))</f>
      </c>
      <c r="AV38" s="6">
        <f>IF($B38="","",1+COUNTIFS('Changes &amp; Events'!$C$6:$C$17,"Employer change",'Changes &amp; Events'!$B$6:$B$17,"&lt;="&amp;$B38,'Changes &amp; Events'!$B$6:$B$17,"&lt;&gt;"))</f>
      </c>
      <c r="AW38" s="7">
        <f>IF($B38="","",IF($AV38=1,'Your Pay &amp; Benefits'!$C$49,IF(IFERROR(MATCH(IFERROR(LOOKUP(2,1/(('Changes &amp; Events'!$C$6:$C$17="Employer change")*('Changes &amp; Events'!$B$6:$B$17&lt;=$B38)*('Changes &amp; Events'!$B$6:$B$17&lt;&gt;"")),'Changes &amp; Events'!$B$6:$B$17),""),$B$6:$B$68,1),1)&lt;=1,'Your Pay &amp; Benefits'!$C$49,INDEX($AB$6:$AB$68,MATCH(IFERROR(LOOKUP(2,1/(('Changes &amp; Events'!$C$6:$C$17="Employer change")*('Changes &amp; Events'!$B$6:$B$17&lt;=$B38)*('Changes &amp; Events'!$B$6:$B$17&lt;&gt;"")),'Changes &amp; Events'!$B$6:$B$17),""),$B$6:$B$68,1)-1))))</f>
      </c>
      <c r="AX38" s="7">
        <f>IF($B38="","",IF($AV38=1,'Your Pay &amp; Benefits'!$C$49,IFERROR(LOOKUP(2,1/(('Changes &amp; Events'!$C$6:$C$17="Employer change")*('Changes &amp; Events'!$B$6:$B$17&lt;=$B38)*('Changes &amp; Events'!$B$6:$B$17&lt;&gt;"")),'Changes &amp; Events'!$D$6:$D$17),0)))</f>
      </c>
      <c r="AY38" s="7">
        <f>IF($B38="","",($O38-$D38)*'Your Pay &amp; Benefits'!$C$8)</f>
      </c>
      <c r="AZ38" s="7">
        <f>IF($B38="","",IF($AN38="AL",MAX(0,$AY38-IF($AU38="Married",IF($AY38&lt;=25999,8500,MAX(5000,8500-175*CEILING(($AY38-25999)/500,1))),IF($AU38="Head of household",IF($AY38&lt;=25999,5200,MAX(2500,5200-135*CEILING(($AY38-25999)/500,1))),IF($AY38&lt;=25999,3000,MAX(2500,3000-25*CEILING(($AY38-25999)/500,1)))))-($P38-'How This Works &amp; Sources'!$C$10*$D38)*'Your Pay &amp; Benefits'!$C$8-IF(OR($AU38="Married",$AU38="Head of household"),3000,1500)-$AT38*IF($AY38&lt;=50000,1000,IF($AY38&lt;=100000,500,300))),IF($AN38="AR",IF(MAX(0,$AY38-2470)&lt;97701,INT(MAX(0,$AY38-2470)/100)*100+50,MAX(0,$AY38-2470)),IF($AN38="DE",MAX(0,$AI38-3250),IF($AN38="HI",MAX(0,$AI38-1144*$AS38-4350),IF($AN38="KS",MAX(0,$AI38-(9160*IF($AU38="Married",2,1)+2320*$AT38+IF($AU38="Head of household",2320,0))),IF($AN38="MD",MAX(0,$AI38-3400-3200*$AS38),IF($AN38="MN",MAX(0,$AY38-5300*$AS38),IF($AN38="MO",MAX(0,$AI38-IF($AU38="Head of household",24150,IF($AU38="Married",IF('Your Pay &amp; Benefits'!$C$83,16100,32200),16100))),IF($AN38="MT",$AY38,IF($AN38="ND",($C38+$L38)*'Your Pay &amp; Benefits'!$C$8,IF($AN38="NE",MAX(0,$AY38-2440*$AS38),IF($AN38="NJ",MAX(0,$AY38-1000*$AS38),IF($AN38="NY",MAX(0,$AY38-(IF($AU38="Married",7950,7400)+1000*$AS38)),IF($AN38="OH",MAX(0,$AY38-650*$AS38),IF($AN38="OK",MAX(0,$AY38-1000*$AS38),IF($AN38="RI",MAX(0,$AI38-1000*$AS38),IF($AN38="SC",MAX(0,$AI38-5000*$AS38-IF($AS38=0,0,MIN(0.1*$AI38,7500))),IF($AN38="VA",MAX(0,$AI38-IF($AU38="Married",17500,8750)-930*$AS38-800*$AT38),IF($AN38="VT",MAX(0,$AI38-5400*$AS38),IF($AN38="WI",MAX(0,$AI38-MAX(0,IF($AU38="Married",9461-0.2*MAX(0,$AI38-25727),6702-0.12*MAX(0,$AI38-17780)))-400*$AS38),IF($AN38="WV",MAX(0,$AI38-2000*$AS38),$AI38))))))))))))))))))))))</f>
      </c>
      <c r="BA38" s="7">
        <f>IF($B38="","",IF($BW38&lt;&gt;"",$BW38,IF($BX38&lt;&gt;"",$BX38,IF($BY38&lt;&gt;"",$BY38,0))))</f>
      </c>
      <c r="BB38" s="7">
        <f>IF($B38="","",IF($AN38="AR",-29*$AS38,IF($AN38="DE",-110*$AS38,IF($AN38="MD",$AZ38*'Your Pay &amp; Benefits'!$C$74,IF($AN38="AZ",'Your Pay &amp; Benefits'!$C$82*($M38-$D38)*'Your Pay &amp; Benefits'!$C$8,IF($AN38="CO",0.044*MAX(0,$AY38-IF($AU38="Married",10000,5000)),IF($AN38="IA",MAX(0,0.038*MAX(0,$AY38-IF($AU38="Head of household",19500,IF($AU38="Married",26000,13000)))-40*$AS38),IF($AN38="ID",0.053*MAX(0,$AY38-IF($AU38="Married",32000,16094)),IF($AN38="IL",0.0495*MAX(0,$AY38-(2925*$AS38+1000*$AT38)),IF($AN38="IN",(0.0295+'Your Pay &amp; Benefits'!$C$76)*MAX(0,$AY38-(1000*$AS38+1500*$AT38+3000*'Your Pay &amp; Benefits'!$C$86)),IF($AN38="KY",0.035*MAX(0,$AI38-3360),IF($AN38="LA",IF('Your Pay &amp; Benefits'!$C$84="0",0.0309*$AI38,0.0309*MAX(0,$AI38-IF('Your Pay &amp; Benefits'!$C$84="2",25750,12875))),IF($AN38="MA",0.05*MIN(MAX(0,$AY38-MIN(($BD37+$Q38+$R38+$S38),2000)-IF($AS38=0,0,IF($AS38=1,4400,1000*$AS38+3400))),1107750)+0.09*MAX(0,MAX(0,$AY38-MIN(($BD37+$Q38+$R38+$S38),2000)-IF($AS38=0,0,IF($AS38=1,4400,1000*$AS38+3400)))-1107750)-IF($AU38="Head of household",120,0)-110*'Your Pay &amp; Benefits'!$C$75,IF($AN38="MI",0.0425*MAX(0,$AY38-5900*$AS38),IF($AN38="MS",0.04*MAX(0,$AI38-IF($AU38="Head of household",3400,IF($AU38="Married",4600,2300))-'Your Pay &amp; Benefits'!$C$85-10000),IF($AN38="OR",IF(OR($AU38="Married",AND($AU38="Single",$AS38&gt;=3)),SUMPRODUCT((MAX(0,$AY38-MIN(($P38-'How This Works &amp; Sources'!$C$10*$D38)*'Your Pay &amp; Benefits'!$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Sources'!$B$211:$J$214,0,4))*(MAX(0,$AY38-MIN(($P38-'How This Works &amp; Sources'!$C$10*$D38)*'Your Pay &amp; Benefits'!$C$8,IF(OR($AU38="Married",AND($AU38="Single",$AS38&gt;=3)),IF($AY38&lt;250000,8750,IF($AY38&lt;260000,7000,IF($AY38&lt;270000,5250,IF($AY38&lt;280000,3500,IF($AY38&lt;290000,1750,0))))),IF($AY38&lt;125000,8750,IF($AY38&lt;130000,7000,IF($AY38&lt;135000,5250,IF($AY38&lt;140000,3500,IF($AY38&lt;145000,1750,0)))))))-IF(OR($AU38="Married",AND($AU38="Single",$AS38&gt;=3)),5820,2910))-INDEX('How This Works &amp; Sources'!$B$211:$J$214,0,4))*INDEX('How This Works &amp; Sources'!$B$211:$J$214,0,4+2)),SUMPRODUCT((MAX(0,$AY38-MIN(($P38-'How This Works &amp; Sources'!$C$10*$D38)*'Your Pay &amp; Benefits'!$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Sources'!$B$211:$J$214,0,1))*(MAX(0,$AY38-MIN(($P38-'How This Works &amp; Sources'!$C$10*$D38)*'Your Pay &amp; Benefits'!$C$8,IF(OR($AU38="Married",AND($AU38="Single",$AS38&gt;=3)),IF($AY38&lt;250000,8750,IF($AY38&lt;260000,7000,IF($AY38&lt;270000,5250,IF($AY38&lt;280000,3500,IF($AY38&lt;290000,1750,0))))),IF($AY38&lt;125000,8750,IF($AY38&lt;130000,7000,IF($AY38&lt;135000,5250,IF($AY38&lt;140000,3500,IF($AY38&lt;145000,1750,0)))))))-IF(OR($AU38="Married",AND($AU38="Single",$AS38&gt;=3)),5820,2910))-INDEX('How This Works &amp; Sources'!$B$211:$J$214,0,1))*INDEX('How This Works &amp; Sources'!$B$211:$J$214,0,1+2)))+263-263*IF(IF($AU38="Married",$AY38&gt;200000,$AY38&gt;100000),0,$AS38),IF($AN38="PA",0.0307*(($O38+$E38+$G38)*'Your Pay &amp; Benefits'!$C$8),IF($AN38="NY",IF($AU38="Married",IF($AZ38&gt;=2155350,0,IF($AZ38&gt;=1077550,0.48,IF($AZ38&gt;=373200,1.21,IF($AZ38&gt;=323200,0.21,IF($AZ38&gt;=211550,-0.19,IF($AZ38&gt;=157650,-2.8,IF($AZ38&gt;=107650,-0.8,IF($AZ38&gt;=96800,0.05,IF($AZ38&gt;=80650,-0.1,IF($AZ38&gt;=13900,0.4,IF($AZ38&gt;=11700,-0.3,IF($AZ38&gt;=8500,0.5,0)))))))))))),IF($AZ38&gt;=1077550,0,IF($AZ38&gt;=265400,4.29,IF($AZ38&gt;=215400,2.29,IF($AZ38&gt;=157650,2.29,IF($AZ38&gt;=107650,0.29,IF($AZ38&gt;=96800,0.05,IF($AZ38&gt;=80650,-0.1,IF($AZ38&gt;=13900,0.4,IF($AZ38&gt;=11700,-0.3,IF($AZ38&gt;=8500,0.5,0))))))))))),0))))))))))))))))))</f>
      </c>
      <c r="BC38" s="7">
        <f>IF($B38="","",IF($AN38="AL",0.05*$D38,IF($AN38="AR",0.039*$D38,IF($AN38="ID",0.053*$D38,IF($AN38="IN",(0.0295+'Your Pay &amp; Benefits'!$C$76)*$D38,IF($AN38="KS",0.05*$D38,IF($AN38="MA",0.09*MIN($D38,MAX(0,MAX(0,$AY38-MIN(($BD37+$Q38+$R38+$S38),2000)-IF($AS38=0,0,IF($AS38=1,4400,1000*$AS38+3400)))+$D38-1107750))+0.05*($D38-MIN($D38,MAX(0,MAX(0,$AY38-MIN(($BD37+$Q38+$R38+$S38),2000)-IF($AS38=0,0,IF($AS38=1,4400,1000*$AS38+3400)))+$D38-1107750))),IF($AN38="MD",(0.065+'Your Pay &amp; Benefits'!$C$74)*$D38,IF($AN38="MI",0.0425*$D38,IF($AN38="MN",0.0625*$D38,IF($AN38="MO",0.047*$D38,IF($AN38="MT",0.05*$D38,IF($AN38="ND",0.015*$D38,IF($AN38="NE",0.035*$D38,IF($AN38="NJ",IF('Your Pay &amp; Benefits'!$C$77="B",SUMPRODUCT(($D38*'Your Pay &amp; Benefits'!$C$8&gt;INDEX('How This Works &amp; Sources'!$B$155:$J$162,0,4))*($D38*'Your Pay &amp; Benefits'!$C$8-INDEX('How This Works &amp; Sources'!$B$155:$J$162,0,4))*INDEX('How This Works &amp; Sources'!$B$155:$J$162,0,4+2)),IF('Your Pay &amp; Benefits'!$C$77="C",SUMPRODUCT(($D38*'Your Pay &amp; Benefits'!$C$8&gt;INDEX('How This Works &amp; Sources'!$B$155:$J$162,0,7))*($D38*'Your Pay &amp; Benefits'!$C$8-INDEX('How This Works &amp; Sources'!$B$155:$J$162,0,7))*INDEX('How This Works &amp; Sources'!$B$155:$J$162,0,7+2)),IF('Your Pay &amp; Benefits'!$C$77="D",SUMPRODUCT(($D38*'Your Pay &amp; Benefits'!$C$8&gt;INDEX('How This Works &amp; Sources'!$B$167:$J$179,0,1))*($D38*'Your Pay &amp; Benefits'!$C$8-INDEX('How This Works &amp; Sources'!$B$167:$J$179,0,1))*INDEX('How This Works &amp; Sources'!$B$167:$J$179,0,1+2)),IF('Your Pay &amp; Benefits'!$C$77="E",SUMPRODUCT(($D38*'Your Pay &amp; Benefits'!$C$8&gt;INDEX('How This Works &amp; Sources'!$B$167:$J$179,0,4))*($D38*'Your Pay &amp; Benefits'!$C$8-INDEX('How This Works &amp; Sources'!$B$167:$J$179,0,4))*INDEX('How This Works &amp; Sources'!$B$167:$J$179,0,4+2)),SUMPRODUCT(($D38*'Your Pay &amp; Benefits'!$C$8&gt;INDEX('How This Works &amp; Sources'!$B$155:$J$162,0,1))*($D38*'Your Pay &amp; Benefits'!$C$8-INDEX('How This Works &amp; Sources'!$B$155:$J$162,0,1))*INDEX('How This Works &amp; Sources'!$B$155:$J$162,0,1+2))))))/'Your Pay &amp; Benefits'!$C$8,IF($AN38="NY",0.117*$D38,IF($AN38="OH",0.0275*$D38,IF($AN38="OK",0.045*$D38,IF($AN38="OR",0.08*$D38,IF($AN38="WI",IF($AY38&lt;12760,0.0354,IF($AY38&lt;25520,0.0465,IF($AY38&lt;280950,0.053,0.0765)))*$D38,0))))))))))))))))))))</f>
      </c>
      <c r="BD38" s="7">
        <f>IF($B38="","",$BD37+$Q38+$R38+$S38)</f>
      </c>
      <c r="BE38" s="6">
        <f>IF($B38="",$BE37,$BE37+$BF38)</f>
      </c>
      <c r="BF38" s="6">
        <f>IF($B38="","",IF(AND(IF(YEAR(IF('Your Pay &amp; Benefits'!$C$7="Weekly",'Your Pay &amp; Benefits'!$C$9+7*(($BE37+1)-1),IF('Your Pay &amp; Benefits'!$C$7="Biweekly",'Your Pay &amp; Benefits'!$C$9+14*(($BE37+1)-1),IF('Your Pay &amp; Benefits'!$C$7="Semimonthly",DATE(YEAR('Your Pay &amp; Benefits'!$C$9),MONTH('Your Pay &amp; Benefits'!$C$9)+INT((($BE37+1)-1)/2),MIN(DAY('Your Pay &amp; Benefits'!$C$9),DAY(EOMONTH(DATE(YEAR('Your Pay &amp; Benefits'!$C$9),MONTH('Your Pay &amp; Benefits'!$C$9)+INT((($BE37+1)-1)/2),1),0))))+IF(MOD(($BE37+1)-1,2)=1,15,0),EDATE('Your Pay &amp; Benefits'!$C$9,($BE37+1)-1)))))&lt;&gt;'Your Pay &amp; Benefits'!$C$10,"",IF('Your Pay &amp; Benefits'!$C$7="Weekly",'Your Pay &amp; Benefits'!$C$9+7*(($BE37+1)-1),IF('Your Pay &amp; Benefits'!$C$7="Biweekly",'Your Pay &amp; Benefits'!$C$9+14*(($BE37+1)-1),IF('Your Pay &amp; Benefits'!$C$7="Semimonthly",DATE(YEAR('Your Pay &amp; Benefits'!$C$9),MONTH('Your Pay &amp; Benefits'!$C$9)+INT((($BE37+1)-1)/2),MIN(DAY('Your Pay &amp; Benefits'!$C$9),DAY(EOMONTH(DATE(YEAR('Your Pay &amp; Benefits'!$C$9),MONTH('Your Pay &amp; Benefits'!$C$9)+INT((($BE37+1)-1)/2),1),0))))+IF(MOD(($BE37+1)-1,2)=1,15,0),EDATE('Your Pay &amp; Benefits'!$C$9,($BE37+1)-1)))))&lt;&gt;"",$B38=IF(YEAR(IF('Your Pay &amp; Benefits'!$C$7="Weekly",'Your Pay &amp; Benefits'!$C$9+7*(($BE37+1)-1),IF('Your Pay &amp; Benefits'!$C$7="Biweekly",'Your Pay &amp; Benefits'!$C$9+14*(($BE37+1)-1),IF('Your Pay &amp; Benefits'!$C$7="Semimonthly",DATE(YEAR('Your Pay &amp; Benefits'!$C$9),MONTH('Your Pay &amp; Benefits'!$C$9)+INT((($BE37+1)-1)/2),MIN(DAY('Your Pay &amp; Benefits'!$C$9),DAY(EOMONTH(DATE(YEAR('Your Pay &amp; Benefits'!$C$9),MONTH('Your Pay &amp; Benefits'!$C$9)+INT((($BE37+1)-1)/2),1),0))))+IF(MOD(($BE37+1)-1,2)=1,15,0),EDATE('Your Pay &amp; Benefits'!$C$9,($BE37+1)-1)))))&lt;&gt;'Your Pay &amp; Benefits'!$C$10,"",IF('Your Pay &amp; Benefits'!$C$7="Weekly",'Your Pay &amp; Benefits'!$C$9+7*(($BE37+1)-1),IF('Your Pay &amp; Benefits'!$C$7="Biweekly",'Your Pay &amp; Benefits'!$C$9+14*(($BE37+1)-1),IF('Your Pay &amp; Benefits'!$C$7="Semimonthly",DATE(YEAR('Your Pay &amp; Benefits'!$C$9),MONTH('Your Pay &amp; Benefits'!$C$9)+INT((($BE37+1)-1)/2),MIN(DAY('Your Pay &amp; Benefits'!$C$9),DAY(EOMONTH(DATE(YEAR('Your Pay &amp; Benefits'!$C$9),MONTH('Your Pay &amp; Benefits'!$C$9)+INT((($BE37+1)-1)/2),1),0))))+IF(MOD(($BE37+1)-1,2)=1,15,0),EDATE('Your Pay &amp; Benefits'!$C$9,($BE37+1)-1)))))),1,0))</f>
      </c>
      <c r="BG38" s="7">
        <f>IF($B38="","",$BG37+$H38)</f>
      </c>
      <c r="BH38" s="7">
        <f>IF($B38="","",$BH37+$I38)</f>
      </c>
      <c r="BI38" s="7">
        <f>IF($B38="","",$BI37+$G38)</f>
      </c>
      <c r="BJ38" s="7">
        <f>IF($B38="","",IFERROR(LOOKUP(2,1/(((('Changes &amp; Events'!$C$6:$C$17="Deduction start"))*('Changes &amp; Events'!$D$6:$D$17="Health FSA"))*('Changes &amp; Events'!$B$6:$B$17&lt;=$B38)*('Changes &amp; Events'!$B$6:$B$17&lt;&gt;"")),'Changes &amp; Events'!$E$6:$E$17),'Your Pay &amp; Benefits'!$D$38))</f>
      </c>
      <c r="BK38" s="7">
        <f>IF($B38="","",IFERROR(LOOKUP(2,1/(((('Changes &amp; Events'!$C$6:$C$17="Deduction start"))*('Changes &amp; Events'!$D$6:$D$17="Dependent-care FSA"))*('Changes &amp; Events'!$B$6:$B$17&lt;=$B38)*('Changes &amp; Events'!$B$6:$B$17&lt;&gt;"")),'Changes &amp; Events'!$E$6:$E$17),'Your Pay &amp; Benefits'!$D$39))</f>
      </c>
      <c r="BL38" s="7">
        <f>IF($B38="","",IFERROR(LOOKUP(2,1/(((('Changes &amp; Events'!$C$6:$C$17="Deduction start")+('Changes &amp; Events'!$C$6:$C$17="Deduction stop"))*('Changes &amp; Events'!$D$6:$D$17="HSA"))*('Changes &amp; Events'!$B$6:$B$17&lt;=$B38)*('Changes &amp; Events'!$B$6:$B$17&lt;&gt;"")),'Changes &amp; Events'!$I$6:$I$17),'Your Pay &amp; Benefits'!$D$35))</f>
      </c>
      <c r="BM38" s="7">
        <f>IF($B38="","",IFERROR(LOOKUP(2,1/(((('Changes &amp; Events'!$C$6:$C$17="Deduction start")+('Changes &amp; Events'!$C$6:$C$17="Deduction stop"))*('Changes &amp; Events'!$D$6:$D$17="Premiums"))*('Changes &amp; Events'!$B$6:$B$17&lt;=$B38)*('Changes &amp; Events'!$B$6:$B$17&lt;&gt;"")),'Changes &amp; Events'!$I$6:$I$17),'Your Pay &amp; Benefits'!$D$40+'Your Pay &amp; Benefits'!$D$41+'Your Pay &amp; Benefits'!$D$42))</f>
      </c>
      <c r="BN38" s="7">
        <f>IF($B38="","",IFERROR(LOOKUP(2,1/(((('Changes &amp; Events'!$C$6:$C$17="Deduction start")+('Changes &amp; Events'!$C$6:$C$17="Deduction stop"))*('Changes &amp; Events'!$D$6:$D$17="Commuter"))*('Changes &amp; Events'!$B$6:$B$17&lt;=$B38)*('Changes &amp; Events'!$B$6:$B$17&lt;&gt;"")),'Changes &amp; Events'!$I$6:$I$17),'Your Pay &amp; Benefits'!$D$43))</f>
      </c>
      <c r="BO38" s="7">
        <f>IF($B38="","",IFERROR(LOOKUP(2,1/(((('Changes &amp; Events'!$C$6:$C$17="Deduction start")+('Changes &amp; Events'!$C$6:$C$17="Deduction stop"))*('Changes &amp; Events'!$D$6:$D$17="Other pre-tax"))*('Changes &amp; Events'!$B$6:$B$17&lt;=$B38)*('Changes &amp; Events'!$B$6:$B$17&lt;&gt;"")),'Changes &amp; Events'!$I$6:$I$17),'Your Pay &amp; Benefits'!$D$44))</f>
      </c>
      <c r="BP38" s="7">
        <f>IF($B38="","",IFERROR(LOOKUP(2,1/(((('Changes &amp; Events'!$C$6:$C$17="Deduction start")+('Changes &amp; Events'!$C$6:$C$17="Deduction stop"))*('Changes &amp; Events'!$D$6:$D$17="Other post-tax"))*('Changes &amp; Events'!$B$6:$B$17&lt;=$B38)*('Changes &amp; Events'!$B$6:$B$17&lt;&gt;"")),'Changes &amp; Events'!$I$6:$I$17),'Your Pay &amp; Benefits'!$D$45))</f>
      </c>
      <c r="BQ38" s="6">
        <f>IF($B38="","",IFERROR(LOOKUP(2,1/(((('Changes &amp; Events'!$C$6:$C$17="Deduction start")+('Changes &amp; Events'!$C$6:$C$17="Deduction stop"))*('Changes &amp; Events'!$D$6:$D$17="Health FSA"))*('Changes &amp; Events'!$B$6:$B$17&lt;=$B38)*('Changes &amp; Events'!$B$6:$B$17&lt;&gt;"")),'Changes &amp; Events'!$J$6:$J$17),0))</f>
      </c>
      <c r="BR38" s="6">
        <f>IF($B38="","",IFERROR(LOOKUP(2,1/(((('Changes &amp; Events'!$C$6:$C$17="Deduction start")+('Changes &amp; Events'!$C$6:$C$17="Deduction stop"))*('Changes &amp; Events'!$D$6:$D$17="Dependent-care FSA"))*('Changes &amp; Events'!$B$6:$B$17&lt;=$B38)*('Changes &amp; Events'!$B$6:$B$17&lt;&gt;"")),'Changes &amp; Events'!$J$6:$J$17),0))</f>
      </c>
      <c r="BS38" s="6">
        <f>IF($B38="","",IF(SUMPRODUCT(('Changes &amp; Events'!$C$6:$C$17="Deduction start")*('Changes &amp; Events'!$B$6:$B$17&lt;=$B38)*('Changes &amp; Events'!$B$6:$B$17&lt;&gt;"")*('Changes &amp; Events'!$D$6:$D$17="Health FSA"))&gt;0,1,0))</f>
      </c>
      <c r="BT38" s="6">
        <f>IF($B38="","",IF(SUMPRODUCT(('Changes &amp; Events'!$C$6:$C$17="Deduction start")*('Changes &amp; Events'!$B$6:$B$17&lt;=$B38)*('Changes &amp; Events'!$B$6:$B$17&lt;&gt;"")*('Changes &amp; Events'!$D$6:$D$17="Dependent-care FSA"))&gt;0,1,0))</f>
      </c>
      <c r="BU38" s="24">
        <f>IF($B38="","",IF('Your Pay &amp; Benefits'!$C$13,SUMPRODUCT(($AH38&gt;=INDEX('How This Works &amp; Sources'!$B$29:$J$36,0,IF('Your Pay &amp; Benefits'!$C$12="MFJ",1,IF('Your Pay &amp; Benefits'!$C$12="HoH",7,4))))*INDEX('How This Works &amp; Sources'!$B$29:$J$36,0,IF('Your Pay &amp; Benefits'!$C$12="MFJ",1,IF('Your Pay &amp; Benefits'!$C$12="HoH",7,4))+2)),SUMPRODUCT(($AH38&gt;=INDEX('How This Works &amp; Sources'!$B$19:$J$26,0,IF('Your Pay &amp; Benefits'!$C$12="MFJ",1,IF('Your Pay &amp; Benefits'!$C$12="HoH",7,4))))*INDEX('How This Works &amp; Sources'!$B$19:$J$26,0,IF('Your Pay &amp; Benefits'!$C$12="MFJ",1,IF('Your Pay &amp; Benefits'!$C$12="HoH",7,4))+2))))</f>
      </c>
      <c r="BV38" s="24">
        <f>IF($B38="","",IF($BZ38&lt;&gt;"",$BZ38,IF($CA38&lt;&gt;"",$CA38,IF($CB38&lt;&gt;"",$CB38,IF($CC38&lt;&gt;"",$CC38,0)))))</f>
      </c>
      <c r="BW38" s="7">
        <f>IF($B38="","",IF($AN38="MD",IF(OR($AU38="Married",$AU38="Head of household"),SUMPRODUCT(($AZ38&gt;INDEX('How This Works &amp; Sources'!$B$114:$J$120,0,1))*($AZ38-INDEX('How This Works &amp; Sources'!$B$114:$J$120,0,1))*INDEX('How This Works &amp; Sources'!$B$114:$J$120,0,1+2)),SUMPRODUCT(($AZ38&gt;INDEX('How This Works &amp; Sources'!$B$103:$J$109,0,7))*($AZ38-INDEX('How This Works &amp; Sources'!$B$103:$J$109,0,7))*INDEX('How This Works &amp; Sources'!$B$103:$J$109,0,7+2))),IF($AN38="MO",SUMPRODUCT(($AZ38&gt;INDEX('How This Works &amp; Sources'!$B$125:$J$132,0,1))*($AZ38-INDEX('How This Works &amp; Sources'!$B$125:$J$132,0,1))*INDEX('How This Works &amp; Sources'!$B$125:$J$132,0,1+2)),IF($AN38="MT",IF($AU38="Head of household",SUMPRODUCT(($AZ38&gt;INDEX('How This Works &amp; Sources'!$B$137:$J$139,0,1))*($AZ38-INDEX('How This Works &amp; Sources'!$B$137:$J$139,0,1))*INDEX('How This Works &amp; Sources'!$B$137:$J$139,0,1+2)),IF($AU38="Married",SUMPRODUCT(($AZ38&gt;INDEX('How This Works &amp; Sources'!$B$125:$J$132,0,7))*($AZ38-INDEX('How This Works &amp; Sources'!$B$125:$J$132,0,7))*INDEX('How This Works &amp; Sources'!$B$125:$J$132,0,7+2)),SUMPRODUCT(($AZ38&gt;INDEX('How This Works &amp; Sources'!$B$125:$J$132,0,4))*($AZ38-INDEX('How This Works &amp; Sources'!$B$125:$J$132,0,4))*INDEX('How This Works &amp; Sources'!$B$125:$J$132,0,4+2)))),IF($AN38="ND",IF($AU38="Head of household",SUMPRODUCT(($AZ38&gt;INDEX('How This Works &amp; Sources'!$B$144:$J$150,0,1))*($AZ38-INDEX('How This Works &amp; Sources'!$B$144:$J$150,0,1))*INDEX('How This Works &amp; Sources'!$B$144:$J$150,0,1+2)),IF($AU38="Married",SUMPRODUCT(($AZ38&gt;INDEX('How This Works &amp; Sources'!$B$137:$J$139,0,7))*($AZ38-INDEX('How This Works &amp; Sources'!$B$137:$J$139,0,7))*INDEX('How This Works &amp; Sources'!$B$137:$J$139,0,7+2)),SUMPRODUCT(($AZ38&gt;INDEX('How This Works &amp; Sources'!$B$137:$J$139,0,4))*($AZ38-INDEX('How This Works &amp; Sources'!$B$137:$J$139,0,4))*INDEX('How This Works &amp; Sources'!$B$137:$J$139,0,4+2)))),IF($AN38="NJ",IF('Your Pay &amp; Benefits'!$C$77="B",SUMPRODUCT(($AZ38&gt;INDEX('How This Works &amp; Sources'!$B$155:$J$162,0,4))*($AZ38-INDEX('How This Works &amp; Sources'!$B$155:$J$162,0,4))*INDEX('How This Works &amp; Sources'!$B$155:$J$162,0,4+2)),IF('Your Pay &amp; Benefits'!$C$77="C",SUMPRODUCT(($AZ38&gt;INDEX('How This Works &amp; Sources'!$B$155:$J$162,0,7))*($AZ38-INDEX('How This Works &amp; Sources'!$B$155:$J$162,0,7))*INDEX('How This Works &amp; Sources'!$B$155:$J$162,0,7+2)),IF('Your Pay &amp; Benefits'!$C$77="D",SUMPRODUCT(($AZ38&gt;INDEX('How This Works &amp; Sources'!$B$167:$J$179,0,1))*($AZ38-INDEX('How This Works &amp; Sources'!$B$167:$J$179,0,1))*INDEX('How This Works &amp; Sources'!$B$167:$J$179,0,1+2)),IF('Your Pay &amp; Benefits'!$C$77="E",SUMPRODUCT(($AZ38&gt;INDEX('How This Works &amp; Sources'!$B$167:$J$179,0,4))*($AZ38-INDEX('How This Works &amp; Sources'!$B$167:$J$179,0,4))*INDEX('How This Works &amp; Sources'!$B$167:$J$179,0,4+2)),SUMPRODUCT(($AZ38&gt;INDEX('How This Works &amp; Sources'!$B$155:$J$162,0,1))*($AZ38-INDEX('How This Works &amp; Sources'!$B$155:$J$162,0,1))*INDEX('How This Works &amp; Sources'!$B$155:$J$162,0,1+2)))))),IF($AN38="NY",IF($AU38="Married",IF($AZ38&gt;=2155350,$AZ38*IF($AZ38&gt;25000000,0.117,IF($AZ38&gt;5000000,0.111,0.1045)),SUMPRODUCT(($AZ38&gt;INDEX('How This Works &amp; Sources'!$B$184:$J$198,0,1))*($AZ38-INDEX('How This Works &amp; Sources'!$B$184:$J$198,0,1))*INDEX('How This Works &amp; Sources'!$B$184:$J$198,0,1+2))),IF($AZ38&gt;=1077550,$AZ38*IF($AZ38&gt;25000000,0.117,IF($AZ38&gt;5000000,0.111,0.1045)),SUMPRODUCT(($AZ38&gt;INDEX('How This Works &amp; Sources'!$B$167:$J$179,0,7))*($AZ38-INDEX('How This Works &amp; Sources'!$B$167:$J$179,0,7))*INDEX('How This Works &amp; Sources'!$B$167:$J$179,0,7+2)))),"")))))))</f>
      </c>
      <c r="BX38" s="7">
        <f>IF($B38="","",IF($AN38="AL",IF(OR($AU38="Married",$AU38="Head of household"),SUMPRODUCT(($AZ38&gt;INDEX('How This Works &amp; Sources'!$B$82:$J$86,0,4))*($AZ38-INDEX('How This Works &amp; Sources'!$B$82:$J$86,0,4))*INDEX('How This Works &amp; Sources'!$B$82:$J$86,0,4+2)),SUMPRODUCT(($AZ38&gt;INDEX('How This Works &amp; Sources'!$B$82:$J$86,0,1))*($AZ38-INDEX('How This Works &amp; Sources'!$B$82:$J$86,0,1))*INDEX('How This Works &amp; Sources'!$B$82:$J$86,0,1+2))),IF($AN38="KS",IF($AU38="Married",SUMPRODUCT(($AZ38&gt;INDEX('How This Works &amp; Sources'!$B$103:$J$109,0,4))*($AZ38-INDEX('How This Works &amp; Sources'!$B$103:$J$109,0,4))*INDEX('How This Works &amp; Sources'!$B$103:$J$109,0,4+2)),SUMPRODUCT(($AZ38&gt;INDEX('How This Works &amp; Sources'!$B$103:$J$109,0,1))*($AZ38-INDEX('How This Works &amp; Sources'!$B$103:$J$109,0,1))*INDEX('How This Works &amp; Sources'!$B$103:$J$109,0,1+2))),IF($AN38="MN",IF($AU38="Married",SUMPRODUCT(($AZ38&gt;INDEX('How This Works &amp; Sources'!$B$114:$J$120,0,7))*($AZ38-INDEX('How This Works &amp; Sources'!$B$114:$J$120,0,7))*INDEX('How This Works &amp; Sources'!$B$114:$J$120,0,7+2)),SUMPRODUCT(($AZ38&gt;INDEX('How This Works &amp; Sources'!$B$114:$J$120,0,4))*($AZ38-INDEX('How This Works &amp; Sources'!$B$114:$J$120,0,4))*INDEX('How This Works &amp; Sources'!$B$114:$J$120,0,4+2))),IF($AN38="NE",MAX(IF($AU38="Married",SUMPRODUCT(($AZ38&gt;INDEX('How This Works &amp; Sources'!$B$144:$J$150,0,7))*($AZ38-INDEX('How This Works &amp; Sources'!$B$144:$J$150,0,7))*INDEX('How This Works &amp; Sources'!$B$144:$J$150,0,7+2)),SUMPRODUCT(($AZ38&gt;INDEX('How This Works &amp; Sources'!$B$144:$J$150,0,4))*($AZ38-INDEX('How This Works &amp; Sources'!$B$144:$J$150,0,4))*INDEX('How This Works &amp; Sources'!$B$144:$J$150,0,4+2))),0.015*$AZ38),IF($AN38="OH",IF($B38&gt;=DATE(2026,8,1),SUMPRODUCT(($AZ38&gt;INDEX('How This Works &amp; Sources'!$B$203:$J$206,0,1))*($AZ38-INDEX('How This Works &amp; Sources'!$B$203:$J$206,0,1))*INDEX('How This Works &amp; Sources'!$B$203:$J$206,0,1+2)),SUMPRODUCT(($AZ38&gt;INDEX('How This Works &amp; Sources'!$B$184:$J$198,0,7))*($AZ38-INDEX('How This Works &amp; Sources'!$B$184:$J$198,0,7))*INDEX('How This Works &amp; Sources'!$B$184:$J$198,0,7+2))),IF($AN38="OK",IF($AU38="Married",SUMPRODUCT(($AZ38&gt;INDEX('How This Works &amp; Sources'!$B$203:$J$206,0,7))*($AZ38-INDEX('How This Works &amp; Sources'!$B$203:$J$206,0,7))*INDEX('How This Works &amp; Sources'!$B$203:$J$206,0,7+2)),SUMPRODUCT(($AZ38&gt;INDEX('How This Works &amp; Sources'!$B$203:$J$206,0,4))*($AZ38-INDEX('How This Works &amp; Sources'!$B$203:$J$206,0,4))*INDEX('How This Works &amp; Sources'!$B$203:$J$206,0,4+2))),IF($AN38="RI",SUMPRODUCT(($AZ38&gt;INDEX('How This Works &amp; Sources'!$B$211:$J$214,0,7))*($AZ38-INDEX('How This Works &amp; Sources'!$B$211:$J$214,0,7))*INDEX('How This Works &amp; Sources'!$B$211:$J$214,0,7+2)),IF($AN38="VT",IF($AU38="Married",SUMPRODUCT(($AZ38&gt;INDEX('How This Works &amp; Sources'!$B$228:$J$232,0,1))*($AZ38-INDEX('How This Works &amp; Sources'!$B$228:$J$232,0,1))*INDEX('How This Works &amp; Sources'!$B$228:$J$232,0,1+2)),SUMPRODUCT(($AZ38&gt;INDEX('How This Works &amp; Sources'!$B$219:$J$223,0,7))*($AZ38-INDEX('How This Works &amp; Sources'!$B$219:$J$223,0,7))*INDEX('How This Works &amp; Sources'!$B$219:$J$223,0,7+2))),IF($AN38="WV",IF($AU38="Married",SUMPRODUCT(($AZ38&gt;INDEX('How This Works &amp; Sources'!$B$237:$J$241,0,7))*($AZ38-INDEX('How This Works &amp; Sources'!$B$237:$J$241,0,7))*INDEX('How This Works &amp; Sources'!$B$237:$J$241,0,7+2)),SUMPRODUCT(($AZ38&gt;INDEX('How This Works &amp; Sources'!$B$228:$J$232,0,7))*($AZ38-INDEX('How This Works &amp; Sources'!$B$228:$J$232,0,7))*INDEX('How This Works &amp; Sources'!$B$228:$J$232,0,7+2))),""))))))))))</f>
      </c>
      <c r="BY38" s="7">
        <f>IF($B38="","",IF($AN38="AR",SUMPRODUCT(($AZ38&gt;INDEX('How This Works &amp; Sources'!$B$82:$J$86,0,7))*($AZ38-INDEX('How This Works &amp; Sources'!$B$82:$J$86,0,7))*INDEX('How This Works &amp; Sources'!$B$82:$J$86,0,7+2)),IF($AN38="DE",SUMPRODUCT(($AZ38&gt;INDEX('How This Works &amp; Sources'!$B$91:$J$98,0,1))*($AZ38-INDEX('How This Works &amp; Sources'!$B$91:$J$98,0,1))*INDEX('How This Works &amp; Sources'!$B$91:$J$98,0,1+2)),IF($AN38="HI",IF($AU38="Married",SUMPRODUCT(($AZ38&gt;INDEX('How This Works &amp; Sources'!$B$91:$J$98,0,7))*($AZ38-INDEX('How This Works &amp; Sources'!$B$91:$J$98,0,7))*INDEX('How This Works &amp; Sources'!$B$91:$J$98,0,7+2)),SUMPRODUCT(($AZ38&gt;INDEX('How This Works &amp; Sources'!$B$91:$J$98,0,4))*($AZ38-INDEX('How This Works &amp; Sources'!$B$91:$J$98,0,4))*INDEX('How This Works &amp; Sources'!$B$91:$J$98,0,4+2))),IF($AN38="SC",SUMPRODUCT(($AZ38&gt;INDEX('How This Works &amp; Sources'!$B$219:$J$223,0,1))*($AZ38-INDEX('How This Works &amp; Sources'!$B$219:$J$223,0,1))*INDEX('How This Works &amp; Sources'!$B$219:$J$223,0,1+2)),IF($AN38="VA",SUMPRODUCT(($AZ38&gt;INDEX('How This Works &amp; Sources'!$B$219:$J$223,0,4))*($AZ38-INDEX('How This Works &amp; Sources'!$B$219:$J$223,0,4))*INDEX('How This Works &amp; Sources'!$B$219:$J$223,0,4+2)),IF($AN38="WI",SUMPRODUCT(($AZ38&gt;INDEX('How This Works &amp; Sources'!$B$228:$J$232,0,4))*($AZ38-INDEX('How This Works &amp; Sources'!$B$228:$J$232,0,4))*INDEX('How This Works &amp; Sources'!$B$228:$J$232,0,4+2)),"")))))))</f>
      </c>
      <c r="BZ38" s="24">
        <f>IF($B38="","",IF($AN38="NJ",IF('Your Pay &amp; Benefits'!$C$77="B",SUMPRODUCT(($AZ38&gt;=INDEX('How This Works &amp; Sources'!$B$155:$J$162,0,4))*INDEX('How This Works &amp; Sources'!$B$155:$J$162,0,4+2)),IF('Your Pay &amp; Benefits'!$C$77="C",SUMPRODUCT(($AZ38&gt;=INDEX('How This Works &amp; Sources'!$B$155:$J$162,0,7))*INDEX('How This Works &amp; Sources'!$B$155:$J$162,0,7+2)),IF('Your Pay &amp; Benefits'!$C$77="D",SUMPRODUCT(($AZ38&gt;=INDEX('How This Works &amp; Sources'!$B$167:$J$179,0,1))*INDEX('How This Works &amp; Sources'!$B$167:$J$179,0,1+2)),IF('Your Pay &amp; Benefits'!$C$77="E",SUMPRODUCT(($AZ38&gt;=INDEX('How This Works &amp; Sources'!$B$167:$J$179,0,4))*INDEX('How This Works &amp; Sources'!$B$167:$J$179,0,4+2)),SUMPRODUCT(($AZ38&gt;=INDEX('How This Works &amp; Sources'!$B$155:$J$162,0,1))*INDEX('How This Works &amp; Sources'!$B$155:$J$162,0,1+2)))))),IF($AN38="OR",IF(OR($AU38="Married",AND($AU38="Single",$AS38&gt;=3)),SUMPRODUCT((MAX(0,$AY38-MIN(($P38-'How This Works &amp; Sources'!$C$10*$D38)*'Your Pay &amp; Benefits'!$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Sources'!$B$211:$J$214,0,4))*INDEX('How This Works &amp; Sources'!$B$211:$J$214,0,4+2)),SUMPRODUCT((MAX(0,$AY38-MIN(($P38-'How This Works &amp; Sources'!$C$10*$D38)*'Your Pay &amp; Benefits'!$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Sources'!$B$211:$J$214,0,1))*INDEX('How This Works &amp; Sources'!$B$211:$J$214,0,1+2)))*IF(($P38-'How This Works &amp; Sources'!$C$10*$D38)*'Your Pay &amp; Benefits'!$C$8&gt;=IF(OR($AU38="Married",AND($AU38="Single",$AS38&gt;=3)),IF($AY38&lt;250000,8750,IF($AY38&lt;260000,7000,IF($AY38&lt;270000,5250,IF($AY38&lt;280000,3500,IF($AY38&lt;290000,1750,0))))),IF($AY38&lt;125000,8750,IF($AY38&lt;130000,7000,IF($AY38&lt;135000,5250,IF($AY38&lt;140000,3500,IF($AY38&lt;145000,1750,0)))))),1,1-IF('Your Pay &amp; Benefits'!$C$13,SUMPRODUCT(($AH38&gt;=INDEX('How This Works &amp; Sources'!$B$29:$J$36,0,IF('Your Pay &amp; Benefits'!$C$12="MFJ",1,IF('Your Pay &amp; Benefits'!$C$12="HoH",7,4))))*INDEX('How This Works &amp; Sources'!$B$29:$J$36,0,IF('Your Pay &amp; Benefits'!$C$12="MFJ",1,IF('Your Pay &amp; Benefits'!$C$12="HoH",7,4))+2)),SUMPRODUCT(($AH38&gt;=INDEX('How This Works &amp; Sources'!$B$19:$J$26,0,IF('Your Pay &amp; Benefits'!$C$12="MFJ",1,IF('Your Pay &amp; Benefits'!$C$12="HoH",7,4))))*INDEX('How This Works &amp; Sources'!$B$19:$J$26,0,IF('Your Pay &amp; Benefits'!$C$12="MFJ",1,IF('Your Pay &amp; Benefits'!$C$12="HoH",7,4))+2)))),IF($AN38="MI",IF($AY38&gt;5900*$AS38,0.0425,0),""))))</f>
      </c>
      <c r="CA38" s="24">
        <f>IF($B38="","",IF($AN38="AL",IF(OR($AU38="Married",$AU38="Head of household"),SUMPRODUCT(($AZ38&gt;=INDEX('How This Works &amp; Sources'!$B$82:$J$86,0,4))*INDEX('How This Works &amp; Sources'!$B$82:$J$86,0,4+2)),SUMPRODUCT(($AZ38&gt;=INDEX('How This Works &amp; Sources'!$B$82:$J$86,0,1))*INDEX('How This Works &amp; Sources'!$B$82:$J$86,0,1+2)))*(1-IF('Your Pay &amp; Benefits'!$C$13,SUMPRODUCT(($AH38&gt;=INDEX('How This Works &amp; Sources'!$B$29:$J$36,0,IF('Your Pay &amp; Benefits'!$C$12="MFJ",1,IF('Your Pay &amp; Benefits'!$C$12="HoH",7,4))))*INDEX('How This Works &amp; Sources'!$B$29:$J$36,0,IF('Your Pay &amp; Benefits'!$C$12="MFJ",1,IF('Your Pay &amp; Benefits'!$C$12="HoH",7,4))+2)),SUMPRODUCT(($AH38&gt;=INDEX('How This Works &amp; Sources'!$B$19:$J$26,0,IF('Your Pay &amp; Benefits'!$C$12="MFJ",1,IF('Your Pay &amp; Benefits'!$C$12="HoH",7,4))))*INDEX('How This Works &amp; Sources'!$B$19:$J$26,0,IF('Your Pay &amp; Benefits'!$C$12="MFJ",1,IF('Your Pay &amp; Benefits'!$C$12="HoH",7,4))+2)))),IF($AN38="KS",IF($AU38="Married",SUMPRODUCT(($AZ38&gt;=INDEX('How This Works &amp; Sources'!$B$103:$J$109,0,4))*INDEX('How This Works &amp; Sources'!$B$103:$J$109,0,4+2)),SUMPRODUCT(($AZ38&gt;=INDEX('How This Works &amp; Sources'!$B$103:$J$109,0,1))*INDEX('How This Works &amp; Sources'!$B$103:$J$109,0,1+2))),IF($AN38="MD",IF(OR($AU38="Married",$AU38="Head of household"),SUMPRODUCT(($AZ38&gt;=INDEX('How This Works &amp; Sources'!$B$114:$J$120,0,1))*INDEX('How This Works &amp; Sources'!$B$114:$J$120,0,1+2)),SUMPRODUCT(($AZ38&gt;=INDEX('How This Works &amp; Sources'!$B$103:$J$109,0,7))*INDEX('How This Works &amp; Sources'!$B$103:$J$109,0,7+2)))+'Your Pay &amp; Benefits'!$C$74,IF($AN38="MT",IF($AU38="Head of household",SUMPRODUCT(($AZ38&gt;=INDEX('How This Works &amp; Sources'!$B$137:$J$139,0,1))*INDEX('How This Works &amp; Sources'!$B$137:$J$139,0,1+2)),IF($AU38="Married",SUMPRODUCT(($AZ38&gt;=INDEX('How This Works &amp; Sources'!$B$125:$J$132,0,7))*INDEX('How This Works &amp; Sources'!$B$125:$J$132,0,7+2)),SUMPRODUCT(($AZ38&gt;=INDEX('How This Works &amp; Sources'!$B$125:$J$132,0,4))*INDEX('How This Works &amp; Sources'!$B$125:$J$132,0,4+2)))),IF($AN38="ND",IF($AU38="Head of household",SUMPRODUCT(($AZ38&gt;=INDEX('How This Works &amp; Sources'!$B$144:$J$150,0,1))*INDEX('How This Works &amp; Sources'!$B$144:$J$150,0,1+2)),IF($AU38="Married",SUMPRODUCT(($AZ38&gt;=INDEX('How This Works &amp; Sources'!$B$137:$J$139,0,7))*INDEX('How This Works &amp; Sources'!$B$137:$J$139,0,7+2)),SUMPRODUCT(($AZ38&gt;=INDEX('How This Works &amp; Sources'!$B$137:$J$139,0,4))*INDEX('How This Works &amp; Sources'!$B$137:$J$139,0,4+2)))),IF($AN38="NY",IF($AU38="Married",IF($AZ38&gt;=2155350,IF($AZ38&gt;25000000,0.117,IF($AZ38&gt;5000000,0.111,0.1045)),SUMPRODUCT(($AZ38&gt;=INDEX('How This Works &amp; Sources'!$B$184:$J$198,0,1))*INDEX('How This Works &amp; Sources'!$B$184:$J$198,0,1+2))),IF($AZ38&gt;=1077550,IF($AZ38&gt;25000000,0.117,IF($AZ38&gt;5000000,0.111,0.1045)),SUMPRODUCT(($AZ38&gt;=INDEX('How This Works &amp; Sources'!$B$167:$J$179,0,7))*INDEX('How This Works &amp; Sources'!$B$167:$J$179,0,7+2)))),"")))))))</f>
      </c>
      <c r="CB38" s="24">
        <f>IF($B38="","",IF($AN38="CA",SUMPRODUCT(($AJ38&gt;=INDEX('How This Works &amp; Sources'!$B$39:$J$48,0,IF($AU38="Married",4,IF($AU38="Head of household",7,1))))*INDEX('How This Works &amp; Sources'!$B$39:$J$48,0,IF($AU38="Married",4,IF($AU38="Head of household",7,1))+2)),IF($AN38="HI",IF($AU38="Married",SUMPRODUCT(($AZ38&gt;=INDEX('How This Works &amp; Sources'!$B$91:$J$98,0,7))*INDEX('How This Works &amp; Sources'!$B$91:$J$98,0,7+2)),SUMPRODUCT(($AZ38&gt;=INDEX('How This Works &amp; Sources'!$B$91:$J$98,0,4))*INDEX('How This Works &amp; Sources'!$B$91:$J$98,0,4+2))),IF($AN38="MN",IF($AU38="Married",SUMPRODUCT(($AZ38&gt;=INDEX('How This Works &amp; Sources'!$B$114:$J$120,0,7))*INDEX('How This Works &amp; Sources'!$B$114:$J$120,0,7+2)),SUMPRODUCT(($AZ38&gt;=INDEX('How This Works &amp; Sources'!$B$114:$J$120,0,4))*INDEX('How This Works &amp; Sources'!$B$114:$J$120,0,4+2))),IF($AN38="MO",SUMPRODUCT(($AZ38&gt;=INDEX('How This Works &amp; Sources'!$B$125:$J$132,0,1))*INDEX('How This Works &amp; Sources'!$B$125:$J$132,0,1+2)),IF($AN38="NE",MAX(IF($AU38="Married",SUMPRODUCT(($AZ38&gt;=INDEX('How This Works &amp; Sources'!$B$144:$J$150,0,7))*INDEX('How This Works &amp; Sources'!$B$144:$J$150,0,7+2)),SUMPRODUCT(($AZ38&gt;=INDEX('How This Works &amp; Sources'!$B$144:$J$150,0,4))*INDEX('How This Works &amp; Sources'!$B$144:$J$150,0,4+2))),0.015),IF($AN38="OH",IF($B38&gt;=DATE(2026,8,1),SUMPRODUCT(($AZ38&gt;=INDEX('How This Works &amp; Sources'!$B$203:$J$206,0,1))*INDEX('How This Works &amp; Sources'!$B$203:$J$206,0,1+2)),SUMPRODUCT(($AZ38&gt;=INDEX('How This Works &amp; Sources'!$B$184:$J$198,0,7))*INDEX('How This Works &amp; Sources'!$B$184:$J$198,0,7+2))),IF($AN38="OK",IF($AU38="Married",SUMPRODUCT(($AZ38&gt;=INDEX('How This Works &amp; Sources'!$B$203:$J$206,0,7))*INDEX('How This Works &amp; Sources'!$B$203:$J$206,0,7+2)),SUMPRODUCT(($AZ38&gt;=INDEX('How This Works &amp; Sources'!$B$203:$J$206,0,4))*INDEX('How This Works &amp; Sources'!$B$203:$J$206,0,4+2))),IF($AN38="RI",SUMPRODUCT(($AZ38&gt;=INDEX('How This Works &amp; Sources'!$B$211:$J$214,0,7))*INDEX('How This Works &amp; Sources'!$B$211:$J$214,0,7+2)),IF($AN38="SC",SUMPRODUCT(($AZ38&gt;=INDEX('How This Works &amp; Sources'!$B$219:$J$223,0,1))*INDEX('How This Works &amp; Sources'!$B$219:$J$223,0,1+2)),IF($AN38="VT",IF($AU38="Married",SUMPRODUCT(($AZ38&gt;=INDEX('How This Works &amp; Sources'!$B$228:$J$232,0,1))*INDEX('How This Works &amp; Sources'!$B$228:$J$232,0,1+2)),SUMPRODUCT(($AZ38&gt;=INDEX('How This Works &amp; Sources'!$B$219:$J$223,0,7))*INDEX('How This Works &amp; Sources'!$B$219:$J$223,0,7+2))),IF($AN38="WV",IF($AU38="Married",SUMPRODUCT(($AZ38&gt;=INDEX('How This Works &amp; Sources'!$B$237:$J$241,0,7))*INDEX('How This Works &amp; Sources'!$B$237:$J$241,0,7+2)),SUMPRODUCT(($AZ38&gt;=INDEX('How This Works &amp; Sources'!$B$228:$J$232,0,7))*INDEX('How This Works &amp; Sources'!$B$228:$J$232,0,7+2))),IF($AN38="IN",(0.0295+'Your Pay &amp; Benefits'!$C$76),"")))))))))))))</f>
      </c>
      <c r="CC38" s="24">
        <f>IF($B38="","",IF($AN38="AR",SUMPRODUCT(($AZ38&gt;=INDEX('How This Works &amp; Sources'!$B$82:$J$86,0,7))*INDEX('How This Works &amp; Sources'!$B$82:$J$86,0,7+2)),IF($AN38="DE",SUMPRODUCT(($AZ38&gt;=INDEX('How This Works &amp; Sources'!$B$91:$J$98,0,1))*INDEX('How This Works &amp; Sources'!$B$91:$J$98,0,1+2)),IF($AN38="VA",SUMPRODUCT(($AZ38&gt;=INDEX('How This Works &amp; Sources'!$B$219:$J$223,0,4))*INDEX('How This Works &amp; Sources'!$B$219:$J$223,0,4+2)),IF($AN38="WI",SUMPRODUCT(($AZ38&gt;=INDEX('How This Works &amp; Sources'!$B$228:$J$232,0,4))*INDEX('How This Works &amp; Sources'!$B$228:$J$232,0,4+2)),IF($AN38="AZ",'Your Pay &amp; Benefits'!$C$82,IF($AN38="CO",IF($AY38&gt;IF($AU38="Married",10000,5000),0.044,0),IF($AN38="IA",IF($AY38&gt;IF($AU38="Head of household",19500,IF($AU38="Married",26000,13000)),0.038,0),IF($AN38="ID",IF($AY38&gt;IF($AU38="Married",32000,16094),0.053,0),IF($AN38="IL",IF($AY38&gt;(2925*$AS38+1000*$AT38),0.0495,0),IF($AN38="KY",IF($AI38&gt;3360,0.035,0),IF($AN38="LA",0.0309,IF($AN38="MA",IF(MAX(0,$AY38-MIN(($BD37+$Q38+$R38+$S38),2000)-IF($AS38=0,0,IF($AS38=1,4400,1000*$AS38+3400)))&gt;=1107750,0.09,0.05),IF($AN38="MS",IF($AI38-IF($AU38="Head of household",3400,IF($AU38="Married",4600,2300))-'Your Pay &amp; Benefits'!$C$85&gt;10000,0.04,0),IF($AN38="PA",0.0307,"")))))))))))))))</f>
      </c>
      <c r="CD38" s="21">
        <f>IF(YEAR(IF('Your Pay &amp; Benefits'!$C$7="Weekly",'Your Pay &amp; Benefits'!$C$9+7*(($BE37+1)-1),IF('Your Pay &amp; Benefits'!$C$7="Biweekly",'Your Pay &amp; Benefits'!$C$9+14*(($BE37+1)-1),IF('Your Pay &amp; Benefits'!$C$7="Semimonthly",DATE(YEAR('Your Pay &amp; Benefits'!$C$9),MONTH('Your Pay &amp; Benefits'!$C$9)+INT((($BE37+1)-1)/2),MIN(DAY('Your Pay &amp; Benefits'!$C$9),DAY(EOMONTH(DATE(YEAR('Your Pay &amp; Benefits'!$C$9),MONTH('Your Pay &amp; Benefits'!$C$9)+INT((($BE37+1)-1)/2),1),0))))+IF(MOD(($BE37+1)-1,2)=1,15,0),EDATE('Your Pay &amp; Benefits'!$C$9,($BE37+1)-1)))))&lt;&gt;'Your Pay &amp; Benefits'!$C$10,"",IF('Your Pay &amp; Benefits'!$C$7="Weekly",'Your Pay &amp; Benefits'!$C$9+7*(($BE37+1)-1),IF('Your Pay &amp; Benefits'!$C$7="Biweekly",'Your Pay &amp; Benefits'!$C$9+14*(($BE37+1)-1),IF('Your Pay &amp; Benefits'!$C$7="Semimonthly",DATE(YEAR('Your Pay &amp; Benefits'!$C$9),MONTH('Your Pay &amp; Benefits'!$C$9)+INT((($BE37+1)-1)/2),MIN(DAY('Your Pay &amp; Benefits'!$C$9),DAY(EOMONTH(DATE(YEAR('Your Pay &amp; Benefits'!$C$9),MONTH('Your Pay &amp; Benefits'!$C$9)+INT((($BE37+1)-1)/2),1),0))))+IF(MOD(($BE37+1)-1,2)=1,15,0),EDATE('Your Pay &amp; Benefits'!$C$9,($BE37+1)-1)))))</f>
      </c>
      <c r="CE38" s="21">
        <f>IF(MIN(IF(AND('Your Pay &amp; Benefits'!$C$58&gt;MAX($B$6:$B37),'Your Pay &amp; Benefits'!$C$58&gt;=DATE('Your Pay &amp; Benefits'!$C$10,1,1),'Your Pay &amp; Benefits'!$C$58&lt;=DATE('Your Pay &amp; Benefits'!$C$10,12,31)),'Your Pay &amp; Benefits'!$C$58,999999),IF(AND('Your Pay &amp; Benefits'!$C$59&gt;MAX($B$6:$B37),'Your Pay &amp; Benefits'!$C$59&gt;=DATE('Your Pay &amp; Benefits'!$C$10,1,1),'Your Pay &amp; Benefits'!$C$59&lt;=DATE('Your Pay &amp; Benefits'!$C$10,12,31)),'Your Pay &amp; Benefits'!$C$59,999999),IF(AND('Your Pay &amp; Benefits'!$C$60&gt;MAX($B$6:$B37),'Your Pay &amp; Benefits'!$C$60&gt;=DATE('Your Pay &amp; Benefits'!$C$10,1,1),'Your Pay &amp; Benefits'!$C$60&lt;=DATE('Your Pay &amp; Benefits'!$C$10,12,31)),'Your Pay &amp; Benefits'!$C$60,999999),IF(AND('Your Pay &amp; Benefits'!$C$61&gt;MAX($B$6:$B37),'Your Pay &amp; Benefits'!$C$61&gt;=DATE('Your Pay &amp; Benefits'!$C$10,1,1),'Your Pay &amp; Benefits'!$C$61&lt;=DATE('Your Pay &amp; Benefits'!$C$10,12,31)),'Your Pay &amp; Benefits'!$C$61,999999),IF(AND('Your Pay &amp; Benefits'!$C$62&gt;MAX($B$6:$B37),'Your Pay &amp; Benefits'!$C$62&gt;=DATE('Your Pay &amp; Benefits'!$C$10,1,1),'Your Pay &amp; Benefits'!$C$62&lt;=DATE('Your Pay &amp; Benefits'!$C$10,12,31)),'Your Pay &amp; Benefits'!$C$62,999999),IF(AND('Your Pay &amp; Benefits'!$C$63&gt;MAX($B$6:$B37),'Your Pay &amp; Benefits'!$C$63&gt;=DATE('Your Pay &amp; Benefits'!$C$10,1,1),'Your Pay &amp; Benefits'!$C$63&lt;=DATE('Your Pay &amp; Benefits'!$C$10,12,31)),'Your Pay &amp; Benefits'!$C$63,999999),IF(AND('Your Pay &amp; Benefits'!$C$64&gt;MAX($B$6:$B37),'Your Pay &amp; Benefits'!$C$64&gt;=DATE('Your Pay &amp; Benefits'!$C$10,1,1),'Your Pay &amp; Benefits'!$C$64&lt;=DATE('Your Pay &amp; Benefits'!$C$10,12,31)),'Your Pay &amp; Benefits'!$C$64,999999),IF(AND('Your Pay &amp; Benefits'!$C$65&gt;MAX($B$6:$B37),'Your Pay &amp; Benefits'!$C$65&gt;=DATE('Your Pay &amp; Benefits'!$C$10,1,1),'Your Pay &amp; Benefits'!$C$65&lt;=DATE('Your Pay &amp; Benefits'!$C$10,12,31)),'Your Pay &amp; Benefits'!$C$65,999999),IF(AND('Your Pay &amp; Benefits'!$C$66&gt;MAX($B$6:$B37),'Your Pay &amp; Benefits'!$C$66&gt;=DATE('Your Pay &amp; Benefits'!$C$10,1,1),'Your Pay &amp; Benefits'!$C$66&lt;=DATE('Your Pay &amp; Benefits'!$C$10,12,31)),'Your Pay &amp; Benefits'!$C$66,999999),IF(AND('Your Pay &amp; Benefits'!$C$67&gt;MAX($B$6:$B37),'Your Pay &amp; Benefits'!$C$67&gt;=DATE('Your Pay &amp; Benefits'!$C$10,1,1),'Your Pay &amp; Benefits'!$C$67&lt;=DATE('Your Pay &amp; Benefits'!$C$10,12,31)),'Your Pay &amp; Benefits'!$C$67,999999))=999999,"",MIN(IF(AND('Your Pay &amp; Benefits'!$C$58&gt;MAX($B$6:$B37),'Your Pay &amp; Benefits'!$C$58&gt;=DATE('Your Pay &amp; Benefits'!$C$10,1,1),'Your Pay &amp; Benefits'!$C$58&lt;=DATE('Your Pay &amp; Benefits'!$C$10,12,31)),'Your Pay &amp; Benefits'!$C$58,999999),IF(AND('Your Pay &amp; Benefits'!$C$59&gt;MAX($B$6:$B37),'Your Pay &amp; Benefits'!$C$59&gt;=DATE('Your Pay &amp; Benefits'!$C$10,1,1),'Your Pay &amp; Benefits'!$C$59&lt;=DATE('Your Pay &amp; Benefits'!$C$10,12,31)),'Your Pay &amp; Benefits'!$C$59,999999),IF(AND('Your Pay &amp; Benefits'!$C$60&gt;MAX($B$6:$B37),'Your Pay &amp; Benefits'!$C$60&gt;=DATE('Your Pay &amp; Benefits'!$C$10,1,1),'Your Pay &amp; Benefits'!$C$60&lt;=DATE('Your Pay &amp; Benefits'!$C$10,12,31)),'Your Pay &amp; Benefits'!$C$60,999999),IF(AND('Your Pay &amp; Benefits'!$C$61&gt;MAX($B$6:$B37),'Your Pay &amp; Benefits'!$C$61&gt;=DATE('Your Pay &amp; Benefits'!$C$10,1,1),'Your Pay &amp; Benefits'!$C$61&lt;=DATE('Your Pay &amp; Benefits'!$C$10,12,31)),'Your Pay &amp; Benefits'!$C$61,999999),IF(AND('Your Pay &amp; Benefits'!$C$62&gt;MAX($B$6:$B37),'Your Pay &amp; Benefits'!$C$62&gt;=DATE('Your Pay &amp; Benefits'!$C$10,1,1),'Your Pay &amp; Benefits'!$C$62&lt;=DATE('Your Pay &amp; Benefits'!$C$10,12,31)),'Your Pay &amp; Benefits'!$C$62,999999),IF(AND('Your Pay &amp; Benefits'!$C$63&gt;MAX($B$6:$B37),'Your Pay &amp; Benefits'!$C$63&gt;=DATE('Your Pay &amp; Benefits'!$C$10,1,1),'Your Pay &amp; Benefits'!$C$63&lt;=DATE('Your Pay &amp; Benefits'!$C$10,12,31)),'Your Pay &amp; Benefits'!$C$63,999999),IF(AND('Your Pay &amp; Benefits'!$C$64&gt;MAX($B$6:$B37),'Your Pay &amp; Benefits'!$C$64&gt;=DATE('Your Pay &amp; Benefits'!$C$10,1,1),'Your Pay &amp; Benefits'!$C$64&lt;=DATE('Your Pay &amp; Benefits'!$C$10,12,31)),'Your Pay &amp; Benefits'!$C$64,999999),IF(AND('Your Pay &amp; Benefits'!$C$65&gt;MAX($B$6:$B37),'Your Pay &amp; Benefits'!$C$65&gt;=DATE('Your Pay &amp; Benefits'!$C$10,1,1),'Your Pay &amp; Benefits'!$C$65&lt;=DATE('Your Pay &amp; Benefits'!$C$10,12,31)),'Your Pay &amp; Benefits'!$C$65,999999),IF(AND('Your Pay &amp; Benefits'!$C$66&gt;MAX($B$6:$B37),'Your Pay &amp; Benefits'!$C$66&gt;=DATE('Your Pay &amp; Benefits'!$C$10,1,1),'Your Pay &amp; Benefits'!$C$66&lt;=DATE('Your Pay &amp; Benefits'!$C$10,12,31)),'Your Pay &amp; Benefits'!$C$66,999999),IF(AND('Your Pay &amp; Benefits'!$C$67&gt;MAX($B$6:$B37),'Your Pay &amp; Benefits'!$C$67&gt;=DATE('Your Pay &amp; Benefits'!$C$10,1,1),'Your Pay &amp; Benefits'!$C$67&lt;=DATE('Your Pay &amp; Benefits'!$C$10,12,31)),'Your Pay &amp; Benefits'!$C$67,999999)))</f>
      </c>
      <c r="CF38">
        <f>IF($B38="","",IF($D38=0,$Y38,""))</f>
      </c>
    </row>
    <row r="39">
      <c r="A39" t="n">
        <v>34</v>
      </c>
      <c r="B39" s="21">
        <f>IF(AND($CD39="",$CE39=""),"",IF($CE39="",$CD39,IF($CD39="",$CE39,MIN($CD39,$CE39))))</f>
      </c>
      <c r="C39" s="7">
        <f>IF($B39="","",IF($BF39=0,0,IF('Your Pay &amp; Benefits'!$C$4="Annual salary",ROUND($AK39/IF(AND('Your Pay &amp; Benefits'!$C$88="Actual paydays",MONTH('Your Pay &amp; Benefits'!$C$9)=1),MAX(1,MAX($BE$6:$BE$68)),'Your Pay &amp; Benefits'!$C$8),2),$AK39)))</f>
      </c>
      <c r="D39" s="7">
        <f>IF($B39="","",SUMIF('Your Pay &amp; Benefits'!$C$58:$C$67,$B39,'Your Pay &amp; Benefits'!$D$58:$D$67))</f>
      </c>
      <c r="E39" s="7">
        <f>IF($B39="","",ROUND(MAX(0,MIN(IF($AL39="Percent",$AM39*($C39+$D39),$AM39),MAX(0,'Your Pay &amp; Benefits'!$C$34-$AC38))),2))</f>
      </c>
      <c r="F39" s="7">
        <f>IF($B39="","",ROUND(MAX(0,MIN(IF('Your Pay &amp; Benefits'!$C$32="Percent",'Your Pay &amp; Benefits'!$D$32*($C39+$D39),'Your Pay &amp; Benefits'!$D$32),MAX(0,'Your Pay &amp; Benefits'!$C$34-$AC38-$E39))),2))</f>
      </c>
      <c r="G39" s="7">
        <f>IF($B39="","",IF($BF39=0,0,ROUND(MAX(0,MIN($BL39,'Your Pay &amp; Benefits'!$C$37-'Your Pay &amp; Benefits'!$C$54-$BI38)),2)))</f>
      </c>
      <c r="H39" s="7">
        <f>IF($B39="","",IF(OR($BF39=0,$BQ39=1),0,ROUND(MAX(0,MIN(IF($BS39=1,ROUND(MAX(0,MIN($BJ39,'How This Works &amp; Sources'!$C$13)-$BG38)/MAX(1,MAX($BE$6:$BE$68)-($BE38)),2),ROUND(MIN($BJ39,'How This Works &amp; Sources'!$C$13)/'Your Pay &amp; Benefits'!$C$8,2)),MIN($BJ39,'How This Works &amp; Sources'!$C$13)-$BG38)),2)))</f>
      </c>
      <c r="I39" s="7">
        <f>IF($B39="","",IF(OR($BF39=0,$BR39=1),0,ROUND(MAX(0,MIN(IF($BT39=1,ROUND(MAX(0,MIN($BK39,IF('Your Pay &amp; Benefits'!$C$12="MFJ",'How This Works &amp; Sources'!$C$14,'How This Works &amp; Sources'!$C$15))-$BH38)/MAX(1,MAX($BE$6:$BE$68)-($BE38)),2),ROUND(MIN($BK39,IF('Your Pay &amp; Benefits'!$C$12="MFJ",'How This Works &amp; Sources'!$C$14,'How This Works &amp; Sources'!$C$15))/'Your Pay &amp; Benefits'!$C$8,2)),MIN($BK39,IF('Your Pay &amp; Benefits'!$C$12="MFJ",'How This Works &amp; Sources'!$C$14,'How This Works &amp; Sources'!$C$15))-$BH38)),2)))</f>
      </c>
      <c r="J39" s="7">
        <f>IF($B39="","",IF($BF39=0,0,$BM39))</f>
      </c>
      <c r="K39" s="7">
        <f>IF($B39="","",IF($BF39=0,0,$BN39+$BO39))</f>
      </c>
      <c r="L39" s="7">
        <f>IF($B39="","",IF($BF39=0,0,'Your Pay &amp; Benefits'!$D$46))</f>
      </c>
      <c r="M39" s="7">
        <f>IF($B39="","",$C39+$D39+$L39-$E39-$G39-$H39-$I39-$J39-$K39)</f>
      </c>
      <c r="N39" s="7">
        <f>IF($B39="","",$C39+$D39+$L39-$G39-$H39-$I39-$J39-$K39)</f>
      </c>
      <c r="O39" s="7">
        <f>IF($B39="","",$C39+$D39+$L39-$E39-$H39-$I39-$J39-$K39-IF(OR($AN39="CA",$AN39="NJ"),0,$G39))</f>
      </c>
      <c r="P39" s="7">
        <f>IF($B39="","",IF('Your Pay &amp; Benefits'!$C$18,0,ROUND(MAX(0,IF('Your Pay &amp; Benefits'!$C$13,SUMPRODUCT(($AH39&gt;INDEX('How This Works &amp; Sources'!$B$29:$J$36,0,IF('Your Pay &amp; Benefits'!$C$12="MFJ",1,IF('Your Pay &amp; Benefits'!$C$12="HoH",7,4))))*($AH39-INDEX('How This Works &amp; Sources'!$B$29:$J$36,0,IF('Your Pay &amp; Benefits'!$C$12="MFJ",1,IF('Your Pay &amp; Benefits'!$C$12="HoH",7,4))))*INDEX('How This Works &amp; Sources'!$B$29:$J$36,0,IF('Your Pay &amp; Benefits'!$C$12="MFJ",1,IF('Your Pay &amp; Benefits'!$C$12="HoH",7,4))+2)),SUMPRODUCT(($AH39&gt;INDEX('How This Works &amp; Sources'!$B$19:$J$26,0,IF('Your Pay &amp; Benefits'!$C$12="MFJ",1,IF('Your Pay &amp; Benefits'!$C$12="HoH",7,4))))*($AH39-INDEX('How This Works &amp; Sources'!$B$19:$J$26,0,IF('Your Pay &amp; Benefits'!$C$12="MFJ",1,IF('Your Pay &amp; Benefits'!$C$12="HoH",7,4))))*INDEX('How This Works &amp; Sources'!$B$19:$J$26,0,IF('Your Pay &amp; Benefits'!$C$12="MFJ",1,IF('Your Pay &amp; Benefits'!$C$12="HoH",7,4))+2)))/'Your Pay &amp; Benefits'!$C$8-$AO39/'Your Pay &amp; Benefits'!$C$8)+$AR39+IF('Your Pay &amp; Benefits'!$C$89="Aggregate",MAX(0,IF('Your Pay &amp; Benefits'!$C$13,SUMPRODUCT((($AH39+$D39)&gt;INDEX('How This Works &amp; Sources'!$B$29:$J$36,0,IF('Your Pay &amp; Benefits'!$C$12="MFJ",1,IF('Your Pay &amp; Benefits'!$C$12="HoH",7,4))))*(($AH39+$D39)-INDEX('How This Works &amp; Sources'!$B$29:$J$36,0,IF('Your Pay &amp; Benefits'!$C$12="MFJ",1,IF('Your Pay &amp; Benefits'!$C$12="HoH",7,4))))*INDEX('How This Works &amp; Sources'!$B$29:$J$36,0,IF('Your Pay &amp; Benefits'!$C$12="MFJ",1,IF('Your Pay &amp; Benefits'!$C$12="HoH",7,4))+2)),SUMPRODUCT((($AH39+$D39)&gt;INDEX('How This Works &amp; Sources'!$B$19:$J$26,0,IF('Your Pay &amp; Benefits'!$C$12="MFJ",1,IF('Your Pay &amp; Benefits'!$C$12="HoH",7,4))))*(($AH39+$D39)-INDEX('How This Works &amp; Sources'!$B$19:$J$26,0,IF('Your Pay &amp; Benefits'!$C$12="MFJ",1,IF('Your Pay &amp; Benefits'!$C$12="HoH",7,4))))*INDEX('How This Works &amp; Sources'!$B$19:$J$26,0,IF('Your Pay &amp; Benefits'!$C$12="MFJ",1,IF('Your Pay &amp; Benefits'!$C$12="HoH",7,4))+2)))-IF('Your Pay &amp; Benefits'!$C$13,SUMPRODUCT(($AH39&gt;INDEX('How This Works &amp; Sources'!$B$29:$J$36,0,IF('Your Pay &amp; Benefits'!$C$12="MFJ",1,IF('Your Pay &amp; Benefits'!$C$12="HoH",7,4))))*($AH39-INDEX('How This Works &amp; Sources'!$B$29:$J$36,0,IF('Your Pay &amp; Benefits'!$C$12="MFJ",1,IF('Your Pay &amp; Benefits'!$C$12="HoH",7,4))))*INDEX('How This Works &amp; Sources'!$B$29:$J$36,0,IF('Your Pay &amp; Benefits'!$C$12="MFJ",1,IF('Your Pay &amp; Benefits'!$C$12="HoH",7,4))+2)),SUMPRODUCT(($AH39&gt;INDEX('How This Works &amp; Sources'!$B$19:$J$26,0,IF('Your Pay &amp; Benefits'!$C$12="MFJ",1,IF('Your Pay &amp; Benefits'!$C$12="HoH",7,4))))*($AH39-INDEX('How This Works &amp; Sources'!$B$19:$J$26,0,IF('Your Pay &amp; Benefits'!$C$12="MFJ",1,IF('Your Pay &amp; Benefits'!$C$12="HoH",7,4))))*INDEX('How This Works &amp; Sources'!$B$19:$J$26,0,IF('Your Pay &amp; Benefits'!$C$12="MFJ",1,IF('Your Pay &amp; Benefits'!$C$12="HoH",7,4))+2)))),'How This Works &amp; Sources'!$C$10*$D39),2)))</f>
      </c>
      <c r="Q39" s="7">
        <f>IF($B39="","",ROUND('How This Works &amp; Sources'!$C$4*MIN($N39,MAX(0,'How This Works &amp; Sources'!$C$3-($AX39+$AB38-$AW39))),2))</f>
      </c>
      <c r="R39" s="7">
        <f>IF($B39="","",ROUND('How This Works &amp; Sources'!$C$5*$N39,2))</f>
      </c>
      <c r="S39" s="7">
        <f>IF($B39="","",ROUND('How This Works &amp; Sources'!$C$6*MAX(0,MIN($N39,$AG38+$N39-'How This Works &amp; Sources'!$C$7)),2))</f>
      </c>
      <c r="T39" s="7">
        <f>IF($B39="","",IF('Your Pay &amp; Benefits'!$C$26,0,IF($AN39="CA",ROUND(IF($AI39&lt;=IF(($AS39+$AT39)&gt;=2,VLOOKUP($AN39,StateTables!$A$6:$AB$56,10,FALSE),VLOOKUP($AN39,StateTables!$A$6:$AB$56,9,FALSE)),0,MAX(0,SUMPRODUCT(($AJ39&gt;INDEX('How This Works &amp; Sources'!$B$39:$J$48,0,IF($AU39="Married",4,IF($AU39="Head of household",7,1))))*($AJ39-INDEX('How This Works &amp; Sources'!$B$39:$J$48,0,IF($AU39="Married",4,IF($AU39="Head of household",7,1))))*INDEX('How This Works &amp; Sources'!$B$39:$J$48,0,IF($AU39="Married",4,IF($AU39="Head of household",7,1))+2))-VLOOKUP($AN39,StateTables!$A$6:$AB$56,11,FALSE)*$AS39)/'Your Pay &amp; Benefits'!$C$8)+'Your Pay &amp; Benefits'!$C$25+VLOOKUP($AN39,StateTables!$A$6:$AB$56,13,FALSE)*$D39,2),IF(VLOOKUP($AN39,StateTables!$A$6:$AB$56,4,FALSE)="None",0,IF(ISNUMBER(SEARCH("MANUAL",VLOOKUP($AN39,StateTables!$A$6:$AB$56,5,FALSE))),'Your Pay &amp; Benefits'!$C$28,ROUND(MAX(0,$BA39+$BB39)/'Your Pay &amp; Benefits'!$C$8+'Your Pay &amp; Benefits'!$C$25+$BC39,2))))))</f>
      </c>
      <c r="U39" s="7">
        <f>IF($B39="","",IF(VLOOKUP($AN39,StateTables!$A$6:$AB$56,24,FALSE)="flatq",IF(OR(MONTH($B39)=1,MONTH($B39)=4,MONTH($B39)=7,MONTH($B39)=10),VLOOKUP($AN39,StateTables!$A$6:$AB$56,25,FALSE),0),IF(VLOOKUP($AN39,StateTables!$A$6:$AB$56,24,FALSE)="dbl",MIN(ROUND(0.005*$N39,2),ROUND(0.6*52/'Your Pay &amp; Benefits'!$C$8,2)),IF(OR(VLOOKUP($AN39,StateTables!$A$6:$AB$56,15,FALSE)="",VLOOKUP($AN39,StateTables!$A$6:$AB$56,15,FALSE)=0),0,ROUND(VLOOKUP($AN39,StateTables!$A$6:$AB$56,15,FALSE)*IF(OR(VLOOKUP($AN39,StateTables!$A$6:$AB$56,16,FALSE)="",VLOOKUP($AN39,StateTables!$A$6:$AB$56,16,FALSE)=0),$N39,MIN($N39,MAX(0,VLOOKUP($AN39,StateTables!$A$6:$AB$56,16,FALSE)-($AX39+$AB38-$AW39)))),2))))+IF(VLOOKUP($AN39,StateTables!$A$6:$AB$56,27,FALSE)="flatq",IF(OR(MONTH($B39)=1,MONTH($B39)=4,MONTH($B39)=7,MONTH($B39)=10),VLOOKUP($AN39,StateTables!$A$6:$AB$56,28,FALSE),0),IF(VLOOKUP($AN39,StateTables!$A$6:$AB$56,27,FALSE)="dbl",MIN(ROUND(0.005*$N39,2),ROUND(0.6*52/'Your Pay &amp; Benefits'!$C$8,2)),IF(OR(VLOOKUP($AN39,StateTables!$A$6:$AB$56,18,FALSE)="",VLOOKUP($AN39,StateTables!$A$6:$AB$56,18,FALSE)=0),0,ROUND(VLOOKUP($AN39,StateTables!$A$6:$AB$56,18,FALSE)*IF(OR(VLOOKUP($AN39,StateTables!$A$6:$AB$56,19,FALSE)="",VLOOKUP($AN39,StateTables!$A$6:$AB$56,19,FALSE)=0),$N39,MIN($N39,MAX(0,VLOOKUP($AN39,StateTables!$A$6:$AB$56,19,FALSE)-($AX39+$AB38-$AW39)))),2)))))</f>
      </c>
      <c r="V39" s="7">
        <f>IF($B39="","",IF($AN39="NY",IF('Your Pay &amp; Benefits'!$C$78,ROUND(SUMPRODUCT((MAX(0,($O39-$D39)*'Your Pay &amp; Benefits'!$C$8-(IF($AU39="Married",5500,5000)+1000*$AS39))&gt;INDEX('How This Works &amp; Sources'!$B$184:$J$198,0,4))*(MAX(0,($O39-$D39)*'Your Pay &amp; Benefits'!$C$8-(IF($AU39="Married",5500,5000)+1000*$AS39))-INDEX('How This Works &amp; Sources'!$B$184:$J$198,0,4))*INDEX('How This Works &amp; Sources'!$B$184:$J$198,0,4+2))/'Your Pay &amp; Benefits'!$C$8+0.0425*$D39,2),0)+IF('Your Pay &amp; Benefits'!$C$79="Resident",ROUND(0.1675*$T39,2),IF('Your Pay &amp; Benefits'!$C$79="Nonresident",ROUND(0.005*MAX(0,($O39-$D39)-(IF($AU39="Married",7950,7400)+1000*$AS39)/'Your Pay &amp; Benefits'!$C$8),2),0)),IF($AN39="PA",IF('Your Pay &amp; Benefits'!$C$80="None",'Your Pay &amp; Benefits'!$C$27+ROUND('Your Pay &amp; Benefits'!$C$81*($C39+$D39),2),ROUND(IF('Your Pay &amp; Benefits'!$C$80="Resident",IF($B39&lt;DATE(2026,7,1),0.0374,0.03735),IF($B39&lt;DATE(2026,7,1),0.0343,0.03425))*($C39+$D39),2)),IF($BF39=0,ROUND('Your Pay &amp; Benefits'!$C$81*($C39+$D39),2),'Your Pay &amp; Benefits'!$C$27+ROUND('Your Pay &amp; Benefits'!$C$81*($C39+$D39),2)))))</f>
      </c>
      <c r="W39" s="7">
        <f>IF($B39="","",IF($BF39=0,0,$BP39))</f>
      </c>
      <c r="X39" s="7">
        <f>IF($B39="","",SUM($E39:$K39)+$P39+$Q39+$R39+$S39+$T39+$U39+$V39+$W39)</f>
      </c>
      <c r="Y39" s="22">
        <f>IF($B39="","",$C39+$D39-$X39)</f>
      </c>
      <c r="Z39" s="7">
        <f>IF($B39="","",$Z38+$C39+$D39)</f>
      </c>
      <c r="AA39" s="7">
        <f>IF($B39="","",$AA38+$Y39)</f>
      </c>
      <c r="AB39" s="7">
        <f>IF($B39="","",$AB38+MIN($N39,MAX(0,'How This Works &amp; Sources'!$C$3-($AX39+$AB38-$AW39))))</f>
      </c>
      <c r="AC39" s="7">
        <f>IF($B39="","",$AC38+$E39+$F39)</f>
      </c>
      <c r="AD39" s="3">
        <f>IF($B39="","",IF(AND($AB38&lt;'How This Works &amp; Sources'!$C$3,$AB39&gt;='How This Works &amp; Sources'!$C$3),"★ Social Security maxed on this check — from the next check your net rises by about $"&amp;TEXT(ROUND('How This Works &amp; Sources'!$C$4*$N39,2),"#,##0.00")&amp;". ","")&amp;IF(AND($AC38&lt;'Your Pay &amp; Benefits'!$C$34,$AC39&gt;='Your Pay &amp; Benefits'!$C$34),"★ 401(k) reaches the $"&amp;TEXT('Your Pay &amp; Benefits'!$C$34,"#,##0")&amp;" cap on this check — deferrals stop and net pay rises. ","")&amp;IF(AND($AG38&lt;'How This Works &amp; Sources'!$C$7,$AG39&gt;='How This Works &amp; Sources'!$C$7),"★ Wages pass $200,000 — the 0.9% Additional Medicare Tax starts here. ","")&amp;IF(AND($BJ39&gt;0,$H39&gt;0,$BG38&lt;MIN($BJ39,'How This Works &amp; Sources'!$C$13),$BG38+$H39&gt;=MIN($BJ39,'How This Works &amp; Sources'!$C$13)),"★ Health FSA election is now fully deferred for the year. ",""))</f>
      </c>
      <c r="AE39" s="41" t="n"/>
      <c r="AF39" s="7">
        <f>IF(OR($B39="",$AE39=""),"",$AE39-$Y39)</f>
      </c>
      <c r="AG39" s="7">
        <f>IF($B39="","",$AG38+$N39)</f>
      </c>
      <c r="AH39" s="7">
        <f>IF($B39="","",MAX(0,($M39-$D39)*'Your Pay &amp; Benefits'!$C$8+$AP39-$AQ39-IF('Your Pay &amp; Benefits'!$C$13,0,IF('Your Pay &amp; Benefits'!$C$12="MFJ",'How This Works &amp; Sources'!$C$8,'How This Works &amp; Sources'!$C$9))))</f>
      </c>
      <c r="AI39" s="7">
        <f>IF($B39="","",$O39*'Your Pay &amp; Benefits'!$C$8)</f>
      </c>
      <c r="AJ39" s="7">
        <f>IF($B39="","",MAX(0,$AI39-VLOOKUP($AN39,StateTables!$A$6:$AB$56,12,FALSE)*$AT39-IF(($AS39+$AT39)&gt;=2,VLOOKUP($AN39,StateTables!$A$6:$AB$56,8,FALSE),VLOOKUP($AN39,StateTables!$A$6:$AB$56,7,FALSE))))</f>
      </c>
      <c r="AK39" s="7">
        <f>IF($B39="","",IFERROR(LOOKUP(2,1/(('Changes &amp; Events'!$C$6:$C$17="Salary change")*('Changes &amp; Events'!$B$6:$B$17&lt;=$B39)*('Changes &amp; Events'!$B$6:$B$17&lt;&gt;"")),'Changes &amp; Events'!$D$6:$D$17),IF('Your Pay &amp; Benefits'!$C$4="Annual salary",'Your Pay &amp; Benefits'!$C$5,'Your Pay &amp; Benefits'!$C$6)))</f>
      </c>
      <c r="AL39">
        <f>IF($B39="","",IFERROR(LOOKUP(2,1/(('Changes &amp; Events'!$C$6:$C$17="401(k) change")*('Changes &amp; Events'!$B$6:$B$17&lt;=$B39)*('Changes &amp; Events'!$B$6:$B$17&lt;&gt;"")),'Changes &amp; Events'!$D$6:$D$17),'Your Pay &amp; Benefits'!$C$30))</f>
      </c>
      <c r="AM39" s="7">
        <f>IF($B39="","",IFERROR(LOOKUP(2,1/(('Changes &amp; Events'!$C$6:$C$17="401(k) change")*('Changes &amp; Events'!$B$6:$B$17&lt;=$B39)*('Changes &amp; Events'!$B$6:$B$17&lt;&gt;"")),'Changes &amp; Events'!$E$6:$E$17),'Your Pay &amp; Benefits'!$D$31))</f>
      </c>
      <c r="AN39">
        <f>IF($B39="","",IFERROR(LOOKUP(2,1/(('Changes &amp; Events'!$C$6:$C$17="State move")*('Changes &amp; Events'!$B$6:$B$17&lt;=$B39)*('Changes &amp; Events'!$B$6:$B$17&lt;&gt;"")),'Changes &amp; Events'!$D$6:$D$17),'Your Pay &amp; Benefits'!$C$21))</f>
      </c>
      <c r="AO39" s="7">
        <f>IF($B39="","",IFERROR(LOOKUP(2,1/(('Changes &amp; Events'!$C$6:$C$17="W-4 change")*('Changes &amp; Events'!$B$6:$B$17&lt;=$B39)*('Changes &amp; Events'!$B$6:$B$17&lt;&gt;"")),'Changes &amp; Events'!$D$6:$D$17),'Your Pay &amp; Benefits'!$C$14))</f>
      </c>
      <c r="AP39" s="7">
        <f>IF($B39="","",IFERROR(LOOKUP(2,1/(('Changes &amp; Events'!$C$6:$C$17="W-4 change")*('Changes &amp; Events'!$B$6:$B$17&lt;=$B39)*('Changes &amp; Events'!$B$6:$B$17&lt;&gt;"")),'Changes &amp; Events'!$E$6:$E$17),'Your Pay &amp; Benefits'!$C$15))</f>
      </c>
      <c r="AQ39" s="7">
        <f>IF($B39="","",IFERROR(LOOKUP(2,1/(('Changes &amp; Events'!$C$6:$C$17="W-4 change")*('Changes &amp; Events'!$B$6:$B$17&lt;=$B39)*('Changes &amp; Events'!$B$6:$B$17&lt;&gt;"")),'Changes &amp; Events'!$F$6:$F$17),'Your Pay &amp; Benefits'!$C$16))</f>
      </c>
      <c r="AR39" s="7">
        <f>IF($B39="","",IFERROR(LOOKUP(2,1/(('Changes &amp; Events'!$C$6:$C$17="W-4 change")*('Changes &amp; Events'!$B$6:$B$17&lt;=$B39)*('Changes &amp; Events'!$B$6:$B$17&lt;&gt;"")),'Changes &amp; Events'!$G$6:$G$17),'Your Pay &amp; Benefits'!$C$17))</f>
      </c>
      <c r="AS39" s="6">
        <f>IF($B39="","",IFERROR(LOOKUP(2,1/((('Changes &amp; Events'!$C$6:$C$17="State move")+('Changes &amp; Events'!$C$6:$C$17="State cert change"))*('Changes &amp; Events'!$B$6:$B$17&lt;=$B39)*('Changes &amp; Events'!$B$6:$B$17&lt;&gt;"")),'Changes &amp; Events'!$F$6:$F$17),'Your Pay &amp; Benefits'!$C$23))</f>
      </c>
      <c r="AT39" s="6">
        <f>IF($B39="","",IFERROR(LOOKUP(2,1/((('Changes &amp; Events'!$C$6:$C$17="State move")+('Changes &amp; Events'!$C$6:$C$17="State cert change"))*('Changes &amp; Events'!$B$6:$B$17&lt;=$B39)*('Changes &amp; Events'!$B$6:$B$17&lt;&gt;"")),'Changes &amp; Events'!$G$6:$G$17),'Your Pay &amp; Benefits'!$C$24))</f>
      </c>
      <c r="AU39">
        <f>IF($B39="","",IFERROR(LOOKUP(2,1/(('Changes &amp; Events'!$C$6:$C$17="State move")*('Changes &amp; Events'!$B$6:$B$17&lt;=$B39)*('Changes &amp; Events'!$B$6:$B$17&lt;&gt;"")),'Changes &amp; Events'!$E$6:$E$17),'Your Pay &amp; Benefits'!$C$22))</f>
      </c>
      <c r="AV39" s="6">
        <f>IF($B39="","",1+COUNTIFS('Changes &amp; Events'!$C$6:$C$17,"Employer change",'Changes &amp; Events'!$B$6:$B$17,"&lt;="&amp;$B39,'Changes &amp; Events'!$B$6:$B$17,"&lt;&gt;"))</f>
      </c>
      <c r="AW39" s="7">
        <f>IF($B39="","",IF($AV39=1,'Your Pay &amp; Benefits'!$C$49,IF(IFERROR(MATCH(IFERROR(LOOKUP(2,1/(('Changes &amp; Events'!$C$6:$C$17="Employer change")*('Changes &amp; Events'!$B$6:$B$17&lt;=$B39)*('Changes &amp; Events'!$B$6:$B$17&lt;&gt;"")),'Changes &amp; Events'!$B$6:$B$17),""),$B$6:$B$68,1),1)&lt;=1,'Your Pay &amp; Benefits'!$C$49,INDEX($AB$6:$AB$68,MATCH(IFERROR(LOOKUP(2,1/(('Changes &amp; Events'!$C$6:$C$17="Employer change")*('Changes &amp; Events'!$B$6:$B$17&lt;=$B39)*('Changes &amp; Events'!$B$6:$B$17&lt;&gt;"")),'Changes &amp; Events'!$B$6:$B$17),""),$B$6:$B$68,1)-1))))</f>
      </c>
      <c r="AX39" s="7">
        <f>IF($B39="","",IF($AV39=1,'Your Pay &amp; Benefits'!$C$49,IFERROR(LOOKUP(2,1/(('Changes &amp; Events'!$C$6:$C$17="Employer change")*('Changes &amp; Events'!$B$6:$B$17&lt;=$B39)*('Changes &amp; Events'!$B$6:$B$17&lt;&gt;"")),'Changes &amp; Events'!$D$6:$D$17),0)))</f>
      </c>
      <c r="AY39" s="7">
        <f>IF($B39="","",($O39-$D39)*'Your Pay &amp; Benefits'!$C$8)</f>
      </c>
      <c r="AZ39" s="7">
        <f>IF($B39="","",IF($AN39="AL",MAX(0,$AY39-IF($AU39="Married",IF($AY39&lt;=25999,8500,MAX(5000,8500-175*CEILING(($AY39-25999)/500,1))),IF($AU39="Head of household",IF($AY39&lt;=25999,5200,MAX(2500,5200-135*CEILING(($AY39-25999)/500,1))),IF($AY39&lt;=25999,3000,MAX(2500,3000-25*CEILING(($AY39-25999)/500,1)))))-($P39-'How This Works &amp; Sources'!$C$10*$D39)*'Your Pay &amp; Benefits'!$C$8-IF(OR($AU39="Married",$AU39="Head of household"),3000,1500)-$AT39*IF($AY39&lt;=50000,1000,IF($AY39&lt;=100000,500,300))),IF($AN39="AR",IF(MAX(0,$AY39-2470)&lt;97701,INT(MAX(0,$AY39-2470)/100)*100+50,MAX(0,$AY39-2470)),IF($AN39="DE",MAX(0,$AI39-3250),IF($AN39="HI",MAX(0,$AI39-1144*$AS39-4350),IF($AN39="KS",MAX(0,$AI39-(9160*IF($AU39="Married",2,1)+2320*$AT39+IF($AU39="Head of household",2320,0))),IF($AN39="MD",MAX(0,$AI39-3400-3200*$AS39),IF($AN39="MN",MAX(0,$AY39-5300*$AS39),IF($AN39="MO",MAX(0,$AI39-IF($AU39="Head of household",24150,IF($AU39="Married",IF('Your Pay &amp; Benefits'!$C$83,16100,32200),16100))),IF($AN39="MT",$AY39,IF($AN39="ND",($C39+$L39)*'Your Pay &amp; Benefits'!$C$8,IF($AN39="NE",MAX(0,$AY39-2440*$AS39),IF($AN39="NJ",MAX(0,$AY39-1000*$AS39),IF($AN39="NY",MAX(0,$AY39-(IF($AU39="Married",7950,7400)+1000*$AS39)),IF($AN39="OH",MAX(0,$AY39-650*$AS39),IF($AN39="OK",MAX(0,$AY39-1000*$AS39),IF($AN39="RI",MAX(0,$AI39-1000*$AS39),IF($AN39="SC",MAX(0,$AI39-5000*$AS39-IF($AS39=0,0,MIN(0.1*$AI39,7500))),IF($AN39="VA",MAX(0,$AI39-IF($AU39="Married",17500,8750)-930*$AS39-800*$AT39),IF($AN39="VT",MAX(0,$AI39-5400*$AS39),IF($AN39="WI",MAX(0,$AI39-MAX(0,IF($AU39="Married",9461-0.2*MAX(0,$AI39-25727),6702-0.12*MAX(0,$AI39-17780)))-400*$AS39),IF($AN39="WV",MAX(0,$AI39-2000*$AS39),$AI39))))))))))))))))))))))</f>
      </c>
      <c r="BA39" s="7">
        <f>IF($B39="","",IF($BW39&lt;&gt;"",$BW39,IF($BX39&lt;&gt;"",$BX39,IF($BY39&lt;&gt;"",$BY39,0))))</f>
      </c>
      <c r="BB39" s="7">
        <f>IF($B39="","",IF($AN39="AR",-29*$AS39,IF($AN39="DE",-110*$AS39,IF($AN39="MD",$AZ39*'Your Pay &amp; Benefits'!$C$74,IF($AN39="AZ",'Your Pay &amp; Benefits'!$C$82*($M39-$D39)*'Your Pay &amp; Benefits'!$C$8,IF($AN39="CO",0.044*MAX(0,$AY39-IF($AU39="Married",10000,5000)),IF($AN39="IA",MAX(0,0.038*MAX(0,$AY39-IF($AU39="Head of household",19500,IF($AU39="Married",26000,13000)))-40*$AS39),IF($AN39="ID",0.053*MAX(0,$AY39-IF($AU39="Married",32000,16094)),IF($AN39="IL",0.0495*MAX(0,$AY39-(2925*$AS39+1000*$AT39)),IF($AN39="IN",(0.0295+'Your Pay &amp; Benefits'!$C$76)*MAX(0,$AY39-(1000*$AS39+1500*$AT39+3000*'Your Pay &amp; Benefits'!$C$86)),IF($AN39="KY",0.035*MAX(0,$AI39-3360),IF($AN39="LA",IF('Your Pay &amp; Benefits'!$C$84="0",0.0309*$AI39,0.0309*MAX(0,$AI39-IF('Your Pay &amp; Benefits'!$C$84="2",25750,12875))),IF($AN39="MA",0.05*MIN(MAX(0,$AY39-MIN(($BD38+$Q39+$R39+$S39),2000)-IF($AS39=0,0,IF($AS39=1,4400,1000*$AS39+3400))),1107750)+0.09*MAX(0,MAX(0,$AY39-MIN(($BD38+$Q39+$R39+$S39),2000)-IF($AS39=0,0,IF($AS39=1,4400,1000*$AS39+3400)))-1107750)-IF($AU39="Head of household",120,0)-110*'Your Pay &amp; Benefits'!$C$75,IF($AN39="MI",0.0425*MAX(0,$AY39-5900*$AS39),IF($AN39="MS",0.04*MAX(0,$AI39-IF($AU39="Head of household",3400,IF($AU39="Married",4600,2300))-'Your Pay &amp; Benefits'!$C$85-10000),IF($AN39="OR",IF(OR($AU39="Married",AND($AU39="Single",$AS39&gt;=3)),SUMPRODUCT((MAX(0,$AY39-MIN(($P39-'How This Works &amp; Sources'!$C$10*$D39)*'Your Pay &amp; Benefits'!$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Sources'!$B$211:$J$214,0,4))*(MAX(0,$AY39-MIN(($P39-'How This Works &amp; Sources'!$C$10*$D39)*'Your Pay &amp; Benefits'!$C$8,IF(OR($AU39="Married",AND($AU39="Single",$AS39&gt;=3)),IF($AY39&lt;250000,8750,IF($AY39&lt;260000,7000,IF($AY39&lt;270000,5250,IF($AY39&lt;280000,3500,IF($AY39&lt;290000,1750,0))))),IF($AY39&lt;125000,8750,IF($AY39&lt;130000,7000,IF($AY39&lt;135000,5250,IF($AY39&lt;140000,3500,IF($AY39&lt;145000,1750,0)))))))-IF(OR($AU39="Married",AND($AU39="Single",$AS39&gt;=3)),5820,2910))-INDEX('How This Works &amp; Sources'!$B$211:$J$214,0,4))*INDEX('How This Works &amp; Sources'!$B$211:$J$214,0,4+2)),SUMPRODUCT((MAX(0,$AY39-MIN(($P39-'How This Works &amp; Sources'!$C$10*$D39)*'Your Pay &amp; Benefits'!$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Sources'!$B$211:$J$214,0,1))*(MAX(0,$AY39-MIN(($P39-'How This Works &amp; Sources'!$C$10*$D39)*'Your Pay &amp; Benefits'!$C$8,IF(OR($AU39="Married",AND($AU39="Single",$AS39&gt;=3)),IF($AY39&lt;250000,8750,IF($AY39&lt;260000,7000,IF($AY39&lt;270000,5250,IF($AY39&lt;280000,3500,IF($AY39&lt;290000,1750,0))))),IF($AY39&lt;125000,8750,IF($AY39&lt;130000,7000,IF($AY39&lt;135000,5250,IF($AY39&lt;140000,3500,IF($AY39&lt;145000,1750,0)))))))-IF(OR($AU39="Married",AND($AU39="Single",$AS39&gt;=3)),5820,2910))-INDEX('How This Works &amp; Sources'!$B$211:$J$214,0,1))*INDEX('How This Works &amp; Sources'!$B$211:$J$214,0,1+2)))+263-263*IF(IF($AU39="Married",$AY39&gt;200000,$AY39&gt;100000),0,$AS39),IF($AN39="PA",0.0307*(($O39+$E39+$G39)*'Your Pay &amp; Benefits'!$C$8),IF($AN39="NY",IF($AU39="Married",IF($AZ39&gt;=2155350,0,IF($AZ39&gt;=1077550,0.48,IF($AZ39&gt;=373200,1.21,IF($AZ39&gt;=323200,0.21,IF($AZ39&gt;=211550,-0.19,IF($AZ39&gt;=157650,-2.8,IF($AZ39&gt;=107650,-0.8,IF($AZ39&gt;=96800,0.05,IF($AZ39&gt;=80650,-0.1,IF($AZ39&gt;=13900,0.4,IF($AZ39&gt;=11700,-0.3,IF($AZ39&gt;=8500,0.5,0)))))))))))),IF($AZ39&gt;=1077550,0,IF($AZ39&gt;=265400,4.29,IF($AZ39&gt;=215400,2.29,IF($AZ39&gt;=157650,2.29,IF($AZ39&gt;=107650,0.29,IF($AZ39&gt;=96800,0.05,IF($AZ39&gt;=80650,-0.1,IF($AZ39&gt;=13900,0.4,IF($AZ39&gt;=11700,-0.3,IF($AZ39&gt;=8500,0.5,0))))))))))),0))))))))))))))))))</f>
      </c>
      <c r="BC39" s="7">
        <f>IF($B39="","",IF($AN39="AL",0.05*$D39,IF($AN39="AR",0.039*$D39,IF($AN39="ID",0.053*$D39,IF($AN39="IN",(0.0295+'Your Pay &amp; Benefits'!$C$76)*$D39,IF($AN39="KS",0.05*$D39,IF($AN39="MA",0.09*MIN($D39,MAX(0,MAX(0,$AY39-MIN(($BD38+$Q39+$R39+$S39),2000)-IF($AS39=0,0,IF($AS39=1,4400,1000*$AS39+3400)))+$D39-1107750))+0.05*($D39-MIN($D39,MAX(0,MAX(0,$AY39-MIN(($BD38+$Q39+$R39+$S39),2000)-IF($AS39=0,0,IF($AS39=1,4400,1000*$AS39+3400)))+$D39-1107750))),IF($AN39="MD",(0.065+'Your Pay &amp; Benefits'!$C$74)*$D39,IF($AN39="MI",0.0425*$D39,IF($AN39="MN",0.0625*$D39,IF($AN39="MO",0.047*$D39,IF($AN39="MT",0.05*$D39,IF($AN39="ND",0.015*$D39,IF($AN39="NE",0.035*$D39,IF($AN39="NJ",IF('Your Pay &amp; Benefits'!$C$77="B",SUMPRODUCT(($D39*'Your Pay &amp; Benefits'!$C$8&gt;INDEX('How This Works &amp; Sources'!$B$155:$J$162,0,4))*($D39*'Your Pay &amp; Benefits'!$C$8-INDEX('How This Works &amp; Sources'!$B$155:$J$162,0,4))*INDEX('How This Works &amp; Sources'!$B$155:$J$162,0,4+2)),IF('Your Pay &amp; Benefits'!$C$77="C",SUMPRODUCT(($D39*'Your Pay &amp; Benefits'!$C$8&gt;INDEX('How This Works &amp; Sources'!$B$155:$J$162,0,7))*($D39*'Your Pay &amp; Benefits'!$C$8-INDEX('How This Works &amp; Sources'!$B$155:$J$162,0,7))*INDEX('How This Works &amp; Sources'!$B$155:$J$162,0,7+2)),IF('Your Pay &amp; Benefits'!$C$77="D",SUMPRODUCT(($D39*'Your Pay &amp; Benefits'!$C$8&gt;INDEX('How This Works &amp; Sources'!$B$167:$J$179,0,1))*($D39*'Your Pay &amp; Benefits'!$C$8-INDEX('How This Works &amp; Sources'!$B$167:$J$179,0,1))*INDEX('How This Works &amp; Sources'!$B$167:$J$179,0,1+2)),IF('Your Pay &amp; Benefits'!$C$77="E",SUMPRODUCT(($D39*'Your Pay &amp; Benefits'!$C$8&gt;INDEX('How This Works &amp; Sources'!$B$167:$J$179,0,4))*($D39*'Your Pay &amp; Benefits'!$C$8-INDEX('How This Works &amp; Sources'!$B$167:$J$179,0,4))*INDEX('How This Works &amp; Sources'!$B$167:$J$179,0,4+2)),SUMPRODUCT(($D39*'Your Pay &amp; Benefits'!$C$8&gt;INDEX('How This Works &amp; Sources'!$B$155:$J$162,0,1))*($D39*'Your Pay &amp; Benefits'!$C$8-INDEX('How This Works &amp; Sources'!$B$155:$J$162,0,1))*INDEX('How This Works &amp; Sources'!$B$155:$J$162,0,1+2))))))/'Your Pay &amp; Benefits'!$C$8,IF($AN39="NY",0.117*$D39,IF($AN39="OH",0.0275*$D39,IF($AN39="OK",0.045*$D39,IF($AN39="OR",0.08*$D39,IF($AN39="WI",IF($AY39&lt;12760,0.0354,IF($AY39&lt;25520,0.0465,IF($AY39&lt;280950,0.053,0.0765)))*$D39,0))))))))))))))))))))</f>
      </c>
      <c r="BD39" s="7">
        <f>IF($B39="","",$BD38+$Q39+$R39+$S39)</f>
      </c>
      <c r="BE39" s="6">
        <f>IF($B39="",$BE38,$BE38+$BF39)</f>
      </c>
      <c r="BF39" s="6">
        <f>IF($B39="","",IF(AND(IF(YEAR(IF('Your Pay &amp; Benefits'!$C$7="Weekly",'Your Pay &amp; Benefits'!$C$9+7*(($BE38+1)-1),IF('Your Pay &amp; Benefits'!$C$7="Biweekly",'Your Pay &amp; Benefits'!$C$9+14*(($BE38+1)-1),IF('Your Pay &amp; Benefits'!$C$7="Semimonthly",DATE(YEAR('Your Pay &amp; Benefits'!$C$9),MONTH('Your Pay &amp; Benefits'!$C$9)+INT((($BE38+1)-1)/2),MIN(DAY('Your Pay &amp; Benefits'!$C$9),DAY(EOMONTH(DATE(YEAR('Your Pay &amp; Benefits'!$C$9),MONTH('Your Pay &amp; Benefits'!$C$9)+INT((($BE38+1)-1)/2),1),0))))+IF(MOD(($BE38+1)-1,2)=1,15,0),EDATE('Your Pay &amp; Benefits'!$C$9,($BE38+1)-1)))))&lt;&gt;'Your Pay &amp; Benefits'!$C$10,"",IF('Your Pay &amp; Benefits'!$C$7="Weekly",'Your Pay &amp; Benefits'!$C$9+7*(($BE38+1)-1),IF('Your Pay &amp; Benefits'!$C$7="Biweekly",'Your Pay &amp; Benefits'!$C$9+14*(($BE38+1)-1),IF('Your Pay &amp; Benefits'!$C$7="Semimonthly",DATE(YEAR('Your Pay &amp; Benefits'!$C$9),MONTH('Your Pay &amp; Benefits'!$C$9)+INT((($BE38+1)-1)/2),MIN(DAY('Your Pay &amp; Benefits'!$C$9),DAY(EOMONTH(DATE(YEAR('Your Pay &amp; Benefits'!$C$9),MONTH('Your Pay &amp; Benefits'!$C$9)+INT((($BE38+1)-1)/2),1),0))))+IF(MOD(($BE38+1)-1,2)=1,15,0),EDATE('Your Pay &amp; Benefits'!$C$9,($BE38+1)-1)))))&lt;&gt;"",$B39=IF(YEAR(IF('Your Pay &amp; Benefits'!$C$7="Weekly",'Your Pay &amp; Benefits'!$C$9+7*(($BE38+1)-1),IF('Your Pay &amp; Benefits'!$C$7="Biweekly",'Your Pay &amp; Benefits'!$C$9+14*(($BE38+1)-1),IF('Your Pay &amp; Benefits'!$C$7="Semimonthly",DATE(YEAR('Your Pay &amp; Benefits'!$C$9),MONTH('Your Pay &amp; Benefits'!$C$9)+INT((($BE38+1)-1)/2),MIN(DAY('Your Pay &amp; Benefits'!$C$9),DAY(EOMONTH(DATE(YEAR('Your Pay &amp; Benefits'!$C$9),MONTH('Your Pay &amp; Benefits'!$C$9)+INT((($BE38+1)-1)/2),1),0))))+IF(MOD(($BE38+1)-1,2)=1,15,0),EDATE('Your Pay &amp; Benefits'!$C$9,($BE38+1)-1)))))&lt;&gt;'Your Pay &amp; Benefits'!$C$10,"",IF('Your Pay &amp; Benefits'!$C$7="Weekly",'Your Pay &amp; Benefits'!$C$9+7*(($BE38+1)-1),IF('Your Pay &amp; Benefits'!$C$7="Biweekly",'Your Pay &amp; Benefits'!$C$9+14*(($BE38+1)-1),IF('Your Pay &amp; Benefits'!$C$7="Semimonthly",DATE(YEAR('Your Pay &amp; Benefits'!$C$9),MONTH('Your Pay &amp; Benefits'!$C$9)+INT((($BE38+1)-1)/2),MIN(DAY('Your Pay &amp; Benefits'!$C$9),DAY(EOMONTH(DATE(YEAR('Your Pay &amp; Benefits'!$C$9),MONTH('Your Pay &amp; Benefits'!$C$9)+INT((($BE38+1)-1)/2),1),0))))+IF(MOD(($BE38+1)-1,2)=1,15,0),EDATE('Your Pay &amp; Benefits'!$C$9,($BE38+1)-1)))))),1,0))</f>
      </c>
      <c r="BG39" s="7">
        <f>IF($B39="","",$BG38+$H39)</f>
      </c>
      <c r="BH39" s="7">
        <f>IF($B39="","",$BH38+$I39)</f>
      </c>
      <c r="BI39" s="7">
        <f>IF($B39="","",$BI38+$G39)</f>
      </c>
      <c r="BJ39" s="7">
        <f>IF($B39="","",IFERROR(LOOKUP(2,1/(((('Changes &amp; Events'!$C$6:$C$17="Deduction start"))*('Changes &amp; Events'!$D$6:$D$17="Health FSA"))*('Changes &amp; Events'!$B$6:$B$17&lt;=$B39)*('Changes &amp; Events'!$B$6:$B$17&lt;&gt;"")),'Changes &amp; Events'!$E$6:$E$17),'Your Pay &amp; Benefits'!$D$38))</f>
      </c>
      <c r="BK39" s="7">
        <f>IF($B39="","",IFERROR(LOOKUP(2,1/(((('Changes &amp; Events'!$C$6:$C$17="Deduction start"))*('Changes &amp; Events'!$D$6:$D$17="Dependent-care FSA"))*('Changes &amp; Events'!$B$6:$B$17&lt;=$B39)*('Changes &amp; Events'!$B$6:$B$17&lt;&gt;"")),'Changes &amp; Events'!$E$6:$E$17),'Your Pay &amp; Benefits'!$D$39))</f>
      </c>
      <c r="BL39" s="7">
        <f>IF($B39="","",IFERROR(LOOKUP(2,1/(((('Changes &amp; Events'!$C$6:$C$17="Deduction start")+('Changes &amp; Events'!$C$6:$C$17="Deduction stop"))*('Changes &amp; Events'!$D$6:$D$17="HSA"))*('Changes &amp; Events'!$B$6:$B$17&lt;=$B39)*('Changes &amp; Events'!$B$6:$B$17&lt;&gt;"")),'Changes &amp; Events'!$I$6:$I$17),'Your Pay &amp; Benefits'!$D$35))</f>
      </c>
      <c r="BM39" s="7">
        <f>IF($B39="","",IFERROR(LOOKUP(2,1/(((('Changes &amp; Events'!$C$6:$C$17="Deduction start")+('Changes &amp; Events'!$C$6:$C$17="Deduction stop"))*('Changes &amp; Events'!$D$6:$D$17="Premiums"))*('Changes &amp; Events'!$B$6:$B$17&lt;=$B39)*('Changes &amp; Events'!$B$6:$B$17&lt;&gt;"")),'Changes &amp; Events'!$I$6:$I$17),'Your Pay &amp; Benefits'!$D$40+'Your Pay &amp; Benefits'!$D$41+'Your Pay &amp; Benefits'!$D$42))</f>
      </c>
      <c r="BN39" s="7">
        <f>IF($B39="","",IFERROR(LOOKUP(2,1/(((('Changes &amp; Events'!$C$6:$C$17="Deduction start")+('Changes &amp; Events'!$C$6:$C$17="Deduction stop"))*('Changes &amp; Events'!$D$6:$D$17="Commuter"))*('Changes &amp; Events'!$B$6:$B$17&lt;=$B39)*('Changes &amp; Events'!$B$6:$B$17&lt;&gt;"")),'Changes &amp; Events'!$I$6:$I$17),'Your Pay &amp; Benefits'!$D$43))</f>
      </c>
      <c r="BO39" s="7">
        <f>IF($B39="","",IFERROR(LOOKUP(2,1/(((('Changes &amp; Events'!$C$6:$C$17="Deduction start")+('Changes &amp; Events'!$C$6:$C$17="Deduction stop"))*('Changes &amp; Events'!$D$6:$D$17="Other pre-tax"))*('Changes &amp; Events'!$B$6:$B$17&lt;=$B39)*('Changes &amp; Events'!$B$6:$B$17&lt;&gt;"")),'Changes &amp; Events'!$I$6:$I$17),'Your Pay &amp; Benefits'!$D$44))</f>
      </c>
      <c r="BP39" s="7">
        <f>IF($B39="","",IFERROR(LOOKUP(2,1/(((('Changes &amp; Events'!$C$6:$C$17="Deduction start")+('Changes &amp; Events'!$C$6:$C$17="Deduction stop"))*('Changes &amp; Events'!$D$6:$D$17="Other post-tax"))*('Changes &amp; Events'!$B$6:$B$17&lt;=$B39)*('Changes &amp; Events'!$B$6:$B$17&lt;&gt;"")),'Changes &amp; Events'!$I$6:$I$17),'Your Pay &amp; Benefits'!$D$45))</f>
      </c>
      <c r="BQ39" s="6">
        <f>IF($B39="","",IFERROR(LOOKUP(2,1/(((('Changes &amp; Events'!$C$6:$C$17="Deduction start")+('Changes &amp; Events'!$C$6:$C$17="Deduction stop"))*('Changes &amp; Events'!$D$6:$D$17="Health FSA"))*('Changes &amp; Events'!$B$6:$B$17&lt;=$B39)*('Changes &amp; Events'!$B$6:$B$17&lt;&gt;"")),'Changes &amp; Events'!$J$6:$J$17),0))</f>
      </c>
      <c r="BR39" s="6">
        <f>IF($B39="","",IFERROR(LOOKUP(2,1/(((('Changes &amp; Events'!$C$6:$C$17="Deduction start")+('Changes &amp; Events'!$C$6:$C$17="Deduction stop"))*('Changes &amp; Events'!$D$6:$D$17="Dependent-care FSA"))*('Changes &amp; Events'!$B$6:$B$17&lt;=$B39)*('Changes &amp; Events'!$B$6:$B$17&lt;&gt;"")),'Changes &amp; Events'!$J$6:$J$17),0))</f>
      </c>
      <c r="BS39" s="6">
        <f>IF($B39="","",IF(SUMPRODUCT(('Changes &amp; Events'!$C$6:$C$17="Deduction start")*('Changes &amp; Events'!$B$6:$B$17&lt;=$B39)*('Changes &amp; Events'!$B$6:$B$17&lt;&gt;"")*('Changes &amp; Events'!$D$6:$D$17="Health FSA"))&gt;0,1,0))</f>
      </c>
      <c r="BT39" s="6">
        <f>IF($B39="","",IF(SUMPRODUCT(('Changes &amp; Events'!$C$6:$C$17="Deduction start")*('Changes &amp; Events'!$B$6:$B$17&lt;=$B39)*('Changes &amp; Events'!$B$6:$B$17&lt;&gt;"")*('Changes &amp; Events'!$D$6:$D$17="Dependent-care FSA"))&gt;0,1,0))</f>
      </c>
      <c r="BU39" s="24">
        <f>IF($B39="","",IF('Your Pay &amp; Benefits'!$C$13,SUMPRODUCT(($AH39&gt;=INDEX('How This Works &amp; Sources'!$B$29:$J$36,0,IF('Your Pay &amp; Benefits'!$C$12="MFJ",1,IF('Your Pay &amp; Benefits'!$C$12="HoH",7,4))))*INDEX('How This Works &amp; Sources'!$B$29:$J$36,0,IF('Your Pay &amp; Benefits'!$C$12="MFJ",1,IF('Your Pay &amp; Benefits'!$C$12="HoH",7,4))+2)),SUMPRODUCT(($AH39&gt;=INDEX('How This Works &amp; Sources'!$B$19:$J$26,0,IF('Your Pay &amp; Benefits'!$C$12="MFJ",1,IF('Your Pay &amp; Benefits'!$C$12="HoH",7,4))))*INDEX('How This Works &amp; Sources'!$B$19:$J$26,0,IF('Your Pay &amp; Benefits'!$C$12="MFJ",1,IF('Your Pay &amp; Benefits'!$C$12="HoH",7,4))+2))))</f>
      </c>
      <c r="BV39" s="24">
        <f>IF($B39="","",IF($BZ39&lt;&gt;"",$BZ39,IF($CA39&lt;&gt;"",$CA39,IF($CB39&lt;&gt;"",$CB39,IF($CC39&lt;&gt;"",$CC39,0)))))</f>
      </c>
      <c r="BW39" s="7">
        <f>IF($B39="","",IF($AN39="MD",IF(OR($AU39="Married",$AU39="Head of household"),SUMPRODUCT(($AZ39&gt;INDEX('How This Works &amp; Sources'!$B$114:$J$120,0,1))*($AZ39-INDEX('How This Works &amp; Sources'!$B$114:$J$120,0,1))*INDEX('How This Works &amp; Sources'!$B$114:$J$120,0,1+2)),SUMPRODUCT(($AZ39&gt;INDEX('How This Works &amp; Sources'!$B$103:$J$109,0,7))*($AZ39-INDEX('How This Works &amp; Sources'!$B$103:$J$109,0,7))*INDEX('How This Works &amp; Sources'!$B$103:$J$109,0,7+2))),IF($AN39="MO",SUMPRODUCT(($AZ39&gt;INDEX('How This Works &amp; Sources'!$B$125:$J$132,0,1))*($AZ39-INDEX('How This Works &amp; Sources'!$B$125:$J$132,0,1))*INDEX('How This Works &amp; Sources'!$B$125:$J$132,0,1+2)),IF($AN39="MT",IF($AU39="Head of household",SUMPRODUCT(($AZ39&gt;INDEX('How This Works &amp; Sources'!$B$137:$J$139,0,1))*($AZ39-INDEX('How This Works &amp; Sources'!$B$137:$J$139,0,1))*INDEX('How This Works &amp; Sources'!$B$137:$J$139,0,1+2)),IF($AU39="Married",SUMPRODUCT(($AZ39&gt;INDEX('How This Works &amp; Sources'!$B$125:$J$132,0,7))*($AZ39-INDEX('How This Works &amp; Sources'!$B$125:$J$132,0,7))*INDEX('How This Works &amp; Sources'!$B$125:$J$132,0,7+2)),SUMPRODUCT(($AZ39&gt;INDEX('How This Works &amp; Sources'!$B$125:$J$132,0,4))*($AZ39-INDEX('How This Works &amp; Sources'!$B$125:$J$132,0,4))*INDEX('How This Works &amp; Sources'!$B$125:$J$132,0,4+2)))),IF($AN39="ND",IF($AU39="Head of household",SUMPRODUCT(($AZ39&gt;INDEX('How This Works &amp; Sources'!$B$144:$J$150,0,1))*($AZ39-INDEX('How This Works &amp; Sources'!$B$144:$J$150,0,1))*INDEX('How This Works &amp; Sources'!$B$144:$J$150,0,1+2)),IF($AU39="Married",SUMPRODUCT(($AZ39&gt;INDEX('How This Works &amp; Sources'!$B$137:$J$139,0,7))*($AZ39-INDEX('How This Works &amp; Sources'!$B$137:$J$139,0,7))*INDEX('How This Works &amp; Sources'!$B$137:$J$139,0,7+2)),SUMPRODUCT(($AZ39&gt;INDEX('How This Works &amp; Sources'!$B$137:$J$139,0,4))*($AZ39-INDEX('How This Works &amp; Sources'!$B$137:$J$139,0,4))*INDEX('How This Works &amp; Sources'!$B$137:$J$139,0,4+2)))),IF($AN39="NJ",IF('Your Pay &amp; Benefits'!$C$77="B",SUMPRODUCT(($AZ39&gt;INDEX('How This Works &amp; Sources'!$B$155:$J$162,0,4))*($AZ39-INDEX('How This Works &amp; Sources'!$B$155:$J$162,0,4))*INDEX('How This Works &amp; Sources'!$B$155:$J$162,0,4+2)),IF('Your Pay &amp; Benefits'!$C$77="C",SUMPRODUCT(($AZ39&gt;INDEX('How This Works &amp; Sources'!$B$155:$J$162,0,7))*($AZ39-INDEX('How This Works &amp; Sources'!$B$155:$J$162,0,7))*INDEX('How This Works &amp; Sources'!$B$155:$J$162,0,7+2)),IF('Your Pay &amp; Benefits'!$C$77="D",SUMPRODUCT(($AZ39&gt;INDEX('How This Works &amp; Sources'!$B$167:$J$179,0,1))*($AZ39-INDEX('How This Works &amp; Sources'!$B$167:$J$179,0,1))*INDEX('How This Works &amp; Sources'!$B$167:$J$179,0,1+2)),IF('Your Pay &amp; Benefits'!$C$77="E",SUMPRODUCT(($AZ39&gt;INDEX('How This Works &amp; Sources'!$B$167:$J$179,0,4))*($AZ39-INDEX('How This Works &amp; Sources'!$B$167:$J$179,0,4))*INDEX('How This Works &amp; Sources'!$B$167:$J$179,0,4+2)),SUMPRODUCT(($AZ39&gt;INDEX('How This Works &amp; Sources'!$B$155:$J$162,0,1))*($AZ39-INDEX('How This Works &amp; Sources'!$B$155:$J$162,0,1))*INDEX('How This Works &amp; Sources'!$B$155:$J$162,0,1+2)))))),IF($AN39="NY",IF($AU39="Married",IF($AZ39&gt;=2155350,$AZ39*IF($AZ39&gt;25000000,0.117,IF($AZ39&gt;5000000,0.111,0.1045)),SUMPRODUCT(($AZ39&gt;INDEX('How This Works &amp; Sources'!$B$184:$J$198,0,1))*($AZ39-INDEX('How This Works &amp; Sources'!$B$184:$J$198,0,1))*INDEX('How This Works &amp; Sources'!$B$184:$J$198,0,1+2))),IF($AZ39&gt;=1077550,$AZ39*IF($AZ39&gt;25000000,0.117,IF($AZ39&gt;5000000,0.111,0.1045)),SUMPRODUCT(($AZ39&gt;INDEX('How This Works &amp; Sources'!$B$167:$J$179,0,7))*($AZ39-INDEX('How This Works &amp; Sources'!$B$167:$J$179,0,7))*INDEX('How This Works &amp; Sources'!$B$167:$J$179,0,7+2)))),"")))))))</f>
      </c>
      <c r="BX39" s="7">
        <f>IF($B39="","",IF($AN39="AL",IF(OR($AU39="Married",$AU39="Head of household"),SUMPRODUCT(($AZ39&gt;INDEX('How This Works &amp; Sources'!$B$82:$J$86,0,4))*($AZ39-INDEX('How This Works &amp; Sources'!$B$82:$J$86,0,4))*INDEX('How This Works &amp; Sources'!$B$82:$J$86,0,4+2)),SUMPRODUCT(($AZ39&gt;INDEX('How This Works &amp; Sources'!$B$82:$J$86,0,1))*($AZ39-INDEX('How This Works &amp; Sources'!$B$82:$J$86,0,1))*INDEX('How This Works &amp; Sources'!$B$82:$J$86,0,1+2))),IF($AN39="KS",IF($AU39="Married",SUMPRODUCT(($AZ39&gt;INDEX('How This Works &amp; Sources'!$B$103:$J$109,0,4))*($AZ39-INDEX('How This Works &amp; Sources'!$B$103:$J$109,0,4))*INDEX('How This Works &amp; Sources'!$B$103:$J$109,0,4+2)),SUMPRODUCT(($AZ39&gt;INDEX('How This Works &amp; Sources'!$B$103:$J$109,0,1))*($AZ39-INDEX('How This Works &amp; Sources'!$B$103:$J$109,0,1))*INDEX('How This Works &amp; Sources'!$B$103:$J$109,0,1+2))),IF($AN39="MN",IF($AU39="Married",SUMPRODUCT(($AZ39&gt;INDEX('How This Works &amp; Sources'!$B$114:$J$120,0,7))*($AZ39-INDEX('How This Works &amp; Sources'!$B$114:$J$120,0,7))*INDEX('How This Works &amp; Sources'!$B$114:$J$120,0,7+2)),SUMPRODUCT(($AZ39&gt;INDEX('How This Works &amp; Sources'!$B$114:$J$120,0,4))*($AZ39-INDEX('How This Works &amp; Sources'!$B$114:$J$120,0,4))*INDEX('How This Works &amp; Sources'!$B$114:$J$120,0,4+2))),IF($AN39="NE",MAX(IF($AU39="Married",SUMPRODUCT(($AZ39&gt;INDEX('How This Works &amp; Sources'!$B$144:$J$150,0,7))*($AZ39-INDEX('How This Works &amp; Sources'!$B$144:$J$150,0,7))*INDEX('How This Works &amp; Sources'!$B$144:$J$150,0,7+2)),SUMPRODUCT(($AZ39&gt;INDEX('How This Works &amp; Sources'!$B$144:$J$150,0,4))*($AZ39-INDEX('How This Works &amp; Sources'!$B$144:$J$150,0,4))*INDEX('How This Works &amp; Sources'!$B$144:$J$150,0,4+2))),0.015*$AZ39),IF($AN39="OH",IF($B39&gt;=DATE(2026,8,1),SUMPRODUCT(($AZ39&gt;INDEX('How This Works &amp; Sources'!$B$203:$J$206,0,1))*($AZ39-INDEX('How This Works &amp; Sources'!$B$203:$J$206,0,1))*INDEX('How This Works &amp; Sources'!$B$203:$J$206,0,1+2)),SUMPRODUCT(($AZ39&gt;INDEX('How This Works &amp; Sources'!$B$184:$J$198,0,7))*($AZ39-INDEX('How This Works &amp; Sources'!$B$184:$J$198,0,7))*INDEX('How This Works &amp; Sources'!$B$184:$J$198,0,7+2))),IF($AN39="OK",IF($AU39="Married",SUMPRODUCT(($AZ39&gt;INDEX('How This Works &amp; Sources'!$B$203:$J$206,0,7))*($AZ39-INDEX('How This Works &amp; Sources'!$B$203:$J$206,0,7))*INDEX('How This Works &amp; Sources'!$B$203:$J$206,0,7+2)),SUMPRODUCT(($AZ39&gt;INDEX('How This Works &amp; Sources'!$B$203:$J$206,0,4))*($AZ39-INDEX('How This Works &amp; Sources'!$B$203:$J$206,0,4))*INDEX('How This Works &amp; Sources'!$B$203:$J$206,0,4+2))),IF($AN39="RI",SUMPRODUCT(($AZ39&gt;INDEX('How This Works &amp; Sources'!$B$211:$J$214,0,7))*($AZ39-INDEX('How This Works &amp; Sources'!$B$211:$J$214,0,7))*INDEX('How This Works &amp; Sources'!$B$211:$J$214,0,7+2)),IF($AN39="VT",IF($AU39="Married",SUMPRODUCT(($AZ39&gt;INDEX('How This Works &amp; Sources'!$B$228:$J$232,0,1))*($AZ39-INDEX('How This Works &amp; Sources'!$B$228:$J$232,0,1))*INDEX('How This Works &amp; Sources'!$B$228:$J$232,0,1+2)),SUMPRODUCT(($AZ39&gt;INDEX('How This Works &amp; Sources'!$B$219:$J$223,0,7))*($AZ39-INDEX('How This Works &amp; Sources'!$B$219:$J$223,0,7))*INDEX('How This Works &amp; Sources'!$B$219:$J$223,0,7+2))),IF($AN39="WV",IF($AU39="Married",SUMPRODUCT(($AZ39&gt;INDEX('How This Works &amp; Sources'!$B$237:$J$241,0,7))*($AZ39-INDEX('How This Works &amp; Sources'!$B$237:$J$241,0,7))*INDEX('How This Works &amp; Sources'!$B$237:$J$241,0,7+2)),SUMPRODUCT(($AZ39&gt;INDEX('How This Works &amp; Sources'!$B$228:$J$232,0,7))*($AZ39-INDEX('How This Works &amp; Sources'!$B$228:$J$232,0,7))*INDEX('How This Works &amp; Sources'!$B$228:$J$232,0,7+2))),""))))))))))</f>
      </c>
      <c r="BY39" s="7">
        <f>IF($B39="","",IF($AN39="AR",SUMPRODUCT(($AZ39&gt;INDEX('How This Works &amp; Sources'!$B$82:$J$86,0,7))*($AZ39-INDEX('How This Works &amp; Sources'!$B$82:$J$86,0,7))*INDEX('How This Works &amp; Sources'!$B$82:$J$86,0,7+2)),IF($AN39="DE",SUMPRODUCT(($AZ39&gt;INDEX('How This Works &amp; Sources'!$B$91:$J$98,0,1))*($AZ39-INDEX('How This Works &amp; Sources'!$B$91:$J$98,0,1))*INDEX('How This Works &amp; Sources'!$B$91:$J$98,0,1+2)),IF($AN39="HI",IF($AU39="Married",SUMPRODUCT(($AZ39&gt;INDEX('How This Works &amp; Sources'!$B$91:$J$98,0,7))*($AZ39-INDEX('How This Works &amp; Sources'!$B$91:$J$98,0,7))*INDEX('How This Works &amp; Sources'!$B$91:$J$98,0,7+2)),SUMPRODUCT(($AZ39&gt;INDEX('How This Works &amp; Sources'!$B$91:$J$98,0,4))*($AZ39-INDEX('How This Works &amp; Sources'!$B$91:$J$98,0,4))*INDEX('How This Works &amp; Sources'!$B$91:$J$98,0,4+2))),IF($AN39="SC",SUMPRODUCT(($AZ39&gt;INDEX('How This Works &amp; Sources'!$B$219:$J$223,0,1))*($AZ39-INDEX('How This Works &amp; Sources'!$B$219:$J$223,0,1))*INDEX('How This Works &amp; Sources'!$B$219:$J$223,0,1+2)),IF($AN39="VA",SUMPRODUCT(($AZ39&gt;INDEX('How This Works &amp; Sources'!$B$219:$J$223,0,4))*($AZ39-INDEX('How This Works &amp; Sources'!$B$219:$J$223,0,4))*INDEX('How This Works &amp; Sources'!$B$219:$J$223,0,4+2)),IF($AN39="WI",SUMPRODUCT(($AZ39&gt;INDEX('How This Works &amp; Sources'!$B$228:$J$232,0,4))*($AZ39-INDEX('How This Works &amp; Sources'!$B$228:$J$232,0,4))*INDEX('How This Works &amp; Sources'!$B$228:$J$232,0,4+2)),"")))))))</f>
      </c>
      <c r="BZ39" s="24">
        <f>IF($B39="","",IF($AN39="NJ",IF('Your Pay &amp; Benefits'!$C$77="B",SUMPRODUCT(($AZ39&gt;=INDEX('How This Works &amp; Sources'!$B$155:$J$162,0,4))*INDEX('How This Works &amp; Sources'!$B$155:$J$162,0,4+2)),IF('Your Pay &amp; Benefits'!$C$77="C",SUMPRODUCT(($AZ39&gt;=INDEX('How This Works &amp; Sources'!$B$155:$J$162,0,7))*INDEX('How This Works &amp; Sources'!$B$155:$J$162,0,7+2)),IF('Your Pay &amp; Benefits'!$C$77="D",SUMPRODUCT(($AZ39&gt;=INDEX('How This Works &amp; Sources'!$B$167:$J$179,0,1))*INDEX('How This Works &amp; Sources'!$B$167:$J$179,0,1+2)),IF('Your Pay &amp; Benefits'!$C$77="E",SUMPRODUCT(($AZ39&gt;=INDEX('How This Works &amp; Sources'!$B$167:$J$179,0,4))*INDEX('How This Works &amp; Sources'!$B$167:$J$179,0,4+2)),SUMPRODUCT(($AZ39&gt;=INDEX('How This Works &amp; Sources'!$B$155:$J$162,0,1))*INDEX('How This Works &amp; Sources'!$B$155:$J$162,0,1+2)))))),IF($AN39="OR",IF(OR($AU39="Married",AND($AU39="Single",$AS39&gt;=3)),SUMPRODUCT((MAX(0,$AY39-MIN(($P39-'How This Works &amp; Sources'!$C$10*$D39)*'Your Pay &amp; Benefits'!$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Sources'!$B$211:$J$214,0,4))*INDEX('How This Works &amp; Sources'!$B$211:$J$214,0,4+2)),SUMPRODUCT((MAX(0,$AY39-MIN(($P39-'How This Works &amp; Sources'!$C$10*$D39)*'Your Pay &amp; Benefits'!$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Sources'!$B$211:$J$214,0,1))*INDEX('How This Works &amp; Sources'!$B$211:$J$214,0,1+2)))*IF(($P39-'How This Works &amp; Sources'!$C$10*$D39)*'Your Pay &amp; Benefits'!$C$8&gt;=IF(OR($AU39="Married",AND($AU39="Single",$AS39&gt;=3)),IF($AY39&lt;250000,8750,IF($AY39&lt;260000,7000,IF($AY39&lt;270000,5250,IF($AY39&lt;280000,3500,IF($AY39&lt;290000,1750,0))))),IF($AY39&lt;125000,8750,IF($AY39&lt;130000,7000,IF($AY39&lt;135000,5250,IF($AY39&lt;140000,3500,IF($AY39&lt;145000,1750,0)))))),1,1-IF('Your Pay &amp; Benefits'!$C$13,SUMPRODUCT(($AH39&gt;=INDEX('How This Works &amp; Sources'!$B$29:$J$36,0,IF('Your Pay &amp; Benefits'!$C$12="MFJ",1,IF('Your Pay &amp; Benefits'!$C$12="HoH",7,4))))*INDEX('How This Works &amp; Sources'!$B$29:$J$36,0,IF('Your Pay &amp; Benefits'!$C$12="MFJ",1,IF('Your Pay &amp; Benefits'!$C$12="HoH",7,4))+2)),SUMPRODUCT(($AH39&gt;=INDEX('How This Works &amp; Sources'!$B$19:$J$26,0,IF('Your Pay &amp; Benefits'!$C$12="MFJ",1,IF('Your Pay &amp; Benefits'!$C$12="HoH",7,4))))*INDEX('How This Works &amp; Sources'!$B$19:$J$26,0,IF('Your Pay &amp; Benefits'!$C$12="MFJ",1,IF('Your Pay &amp; Benefits'!$C$12="HoH",7,4))+2)))),IF($AN39="MI",IF($AY39&gt;5900*$AS39,0.0425,0),""))))</f>
      </c>
      <c r="CA39" s="24">
        <f>IF($B39="","",IF($AN39="AL",IF(OR($AU39="Married",$AU39="Head of household"),SUMPRODUCT(($AZ39&gt;=INDEX('How This Works &amp; Sources'!$B$82:$J$86,0,4))*INDEX('How This Works &amp; Sources'!$B$82:$J$86,0,4+2)),SUMPRODUCT(($AZ39&gt;=INDEX('How This Works &amp; Sources'!$B$82:$J$86,0,1))*INDEX('How This Works &amp; Sources'!$B$82:$J$86,0,1+2)))*(1-IF('Your Pay &amp; Benefits'!$C$13,SUMPRODUCT(($AH39&gt;=INDEX('How This Works &amp; Sources'!$B$29:$J$36,0,IF('Your Pay &amp; Benefits'!$C$12="MFJ",1,IF('Your Pay &amp; Benefits'!$C$12="HoH",7,4))))*INDEX('How This Works &amp; Sources'!$B$29:$J$36,0,IF('Your Pay &amp; Benefits'!$C$12="MFJ",1,IF('Your Pay &amp; Benefits'!$C$12="HoH",7,4))+2)),SUMPRODUCT(($AH39&gt;=INDEX('How This Works &amp; Sources'!$B$19:$J$26,0,IF('Your Pay &amp; Benefits'!$C$12="MFJ",1,IF('Your Pay &amp; Benefits'!$C$12="HoH",7,4))))*INDEX('How This Works &amp; Sources'!$B$19:$J$26,0,IF('Your Pay &amp; Benefits'!$C$12="MFJ",1,IF('Your Pay &amp; Benefits'!$C$12="HoH",7,4))+2)))),IF($AN39="KS",IF($AU39="Married",SUMPRODUCT(($AZ39&gt;=INDEX('How This Works &amp; Sources'!$B$103:$J$109,0,4))*INDEX('How This Works &amp; Sources'!$B$103:$J$109,0,4+2)),SUMPRODUCT(($AZ39&gt;=INDEX('How This Works &amp; Sources'!$B$103:$J$109,0,1))*INDEX('How This Works &amp; Sources'!$B$103:$J$109,0,1+2))),IF($AN39="MD",IF(OR($AU39="Married",$AU39="Head of household"),SUMPRODUCT(($AZ39&gt;=INDEX('How This Works &amp; Sources'!$B$114:$J$120,0,1))*INDEX('How This Works &amp; Sources'!$B$114:$J$120,0,1+2)),SUMPRODUCT(($AZ39&gt;=INDEX('How This Works &amp; Sources'!$B$103:$J$109,0,7))*INDEX('How This Works &amp; Sources'!$B$103:$J$109,0,7+2)))+'Your Pay &amp; Benefits'!$C$74,IF($AN39="MT",IF($AU39="Head of household",SUMPRODUCT(($AZ39&gt;=INDEX('How This Works &amp; Sources'!$B$137:$J$139,0,1))*INDEX('How This Works &amp; Sources'!$B$137:$J$139,0,1+2)),IF($AU39="Married",SUMPRODUCT(($AZ39&gt;=INDEX('How This Works &amp; Sources'!$B$125:$J$132,0,7))*INDEX('How This Works &amp; Sources'!$B$125:$J$132,0,7+2)),SUMPRODUCT(($AZ39&gt;=INDEX('How This Works &amp; Sources'!$B$125:$J$132,0,4))*INDEX('How This Works &amp; Sources'!$B$125:$J$132,0,4+2)))),IF($AN39="ND",IF($AU39="Head of household",SUMPRODUCT(($AZ39&gt;=INDEX('How This Works &amp; Sources'!$B$144:$J$150,0,1))*INDEX('How This Works &amp; Sources'!$B$144:$J$150,0,1+2)),IF($AU39="Married",SUMPRODUCT(($AZ39&gt;=INDEX('How This Works &amp; Sources'!$B$137:$J$139,0,7))*INDEX('How This Works &amp; Sources'!$B$137:$J$139,0,7+2)),SUMPRODUCT(($AZ39&gt;=INDEX('How This Works &amp; Sources'!$B$137:$J$139,0,4))*INDEX('How This Works &amp; Sources'!$B$137:$J$139,0,4+2)))),IF($AN39="NY",IF($AU39="Married",IF($AZ39&gt;=2155350,IF($AZ39&gt;25000000,0.117,IF($AZ39&gt;5000000,0.111,0.1045)),SUMPRODUCT(($AZ39&gt;=INDEX('How This Works &amp; Sources'!$B$184:$J$198,0,1))*INDEX('How This Works &amp; Sources'!$B$184:$J$198,0,1+2))),IF($AZ39&gt;=1077550,IF($AZ39&gt;25000000,0.117,IF($AZ39&gt;5000000,0.111,0.1045)),SUMPRODUCT(($AZ39&gt;=INDEX('How This Works &amp; Sources'!$B$167:$J$179,0,7))*INDEX('How This Works &amp; Sources'!$B$167:$J$179,0,7+2)))),"")))))))</f>
      </c>
      <c r="CB39" s="24">
        <f>IF($B39="","",IF($AN39="CA",SUMPRODUCT(($AJ39&gt;=INDEX('How This Works &amp; Sources'!$B$39:$J$48,0,IF($AU39="Married",4,IF($AU39="Head of household",7,1))))*INDEX('How This Works &amp; Sources'!$B$39:$J$48,0,IF($AU39="Married",4,IF($AU39="Head of household",7,1))+2)),IF($AN39="HI",IF($AU39="Married",SUMPRODUCT(($AZ39&gt;=INDEX('How This Works &amp; Sources'!$B$91:$J$98,0,7))*INDEX('How This Works &amp; Sources'!$B$91:$J$98,0,7+2)),SUMPRODUCT(($AZ39&gt;=INDEX('How This Works &amp; Sources'!$B$91:$J$98,0,4))*INDEX('How This Works &amp; Sources'!$B$91:$J$98,0,4+2))),IF($AN39="MN",IF($AU39="Married",SUMPRODUCT(($AZ39&gt;=INDEX('How This Works &amp; Sources'!$B$114:$J$120,0,7))*INDEX('How This Works &amp; Sources'!$B$114:$J$120,0,7+2)),SUMPRODUCT(($AZ39&gt;=INDEX('How This Works &amp; Sources'!$B$114:$J$120,0,4))*INDEX('How This Works &amp; Sources'!$B$114:$J$120,0,4+2))),IF($AN39="MO",SUMPRODUCT(($AZ39&gt;=INDEX('How This Works &amp; Sources'!$B$125:$J$132,0,1))*INDEX('How This Works &amp; Sources'!$B$125:$J$132,0,1+2)),IF($AN39="NE",MAX(IF($AU39="Married",SUMPRODUCT(($AZ39&gt;=INDEX('How This Works &amp; Sources'!$B$144:$J$150,0,7))*INDEX('How This Works &amp; Sources'!$B$144:$J$150,0,7+2)),SUMPRODUCT(($AZ39&gt;=INDEX('How This Works &amp; Sources'!$B$144:$J$150,0,4))*INDEX('How This Works &amp; Sources'!$B$144:$J$150,0,4+2))),0.015),IF($AN39="OH",IF($B39&gt;=DATE(2026,8,1),SUMPRODUCT(($AZ39&gt;=INDEX('How This Works &amp; Sources'!$B$203:$J$206,0,1))*INDEX('How This Works &amp; Sources'!$B$203:$J$206,0,1+2)),SUMPRODUCT(($AZ39&gt;=INDEX('How This Works &amp; Sources'!$B$184:$J$198,0,7))*INDEX('How This Works &amp; Sources'!$B$184:$J$198,0,7+2))),IF($AN39="OK",IF($AU39="Married",SUMPRODUCT(($AZ39&gt;=INDEX('How This Works &amp; Sources'!$B$203:$J$206,0,7))*INDEX('How This Works &amp; Sources'!$B$203:$J$206,0,7+2)),SUMPRODUCT(($AZ39&gt;=INDEX('How This Works &amp; Sources'!$B$203:$J$206,0,4))*INDEX('How This Works &amp; Sources'!$B$203:$J$206,0,4+2))),IF($AN39="RI",SUMPRODUCT(($AZ39&gt;=INDEX('How This Works &amp; Sources'!$B$211:$J$214,0,7))*INDEX('How This Works &amp; Sources'!$B$211:$J$214,0,7+2)),IF($AN39="SC",SUMPRODUCT(($AZ39&gt;=INDEX('How This Works &amp; Sources'!$B$219:$J$223,0,1))*INDEX('How This Works &amp; Sources'!$B$219:$J$223,0,1+2)),IF($AN39="VT",IF($AU39="Married",SUMPRODUCT(($AZ39&gt;=INDEX('How This Works &amp; Sources'!$B$228:$J$232,0,1))*INDEX('How This Works &amp; Sources'!$B$228:$J$232,0,1+2)),SUMPRODUCT(($AZ39&gt;=INDEX('How This Works &amp; Sources'!$B$219:$J$223,0,7))*INDEX('How This Works &amp; Sources'!$B$219:$J$223,0,7+2))),IF($AN39="WV",IF($AU39="Married",SUMPRODUCT(($AZ39&gt;=INDEX('How This Works &amp; Sources'!$B$237:$J$241,0,7))*INDEX('How This Works &amp; Sources'!$B$237:$J$241,0,7+2)),SUMPRODUCT(($AZ39&gt;=INDEX('How This Works &amp; Sources'!$B$228:$J$232,0,7))*INDEX('How This Works &amp; Sources'!$B$228:$J$232,0,7+2))),IF($AN39="IN",(0.0295+'Your Pay &amp; Benefits'!$C$76),"")))))))))))))</f>
      </c>
      <c r="CC39" s="24">
        <f>IF($B39="","",IF($AN39="AR",SUMPRODUCT(($AZ39&gt;=INDEX('How This Works &amp; Sources'!$B$82:$J$86,0,7))*INDEX('How This Works &amp; Sources'!$B$82:$J$86,0,7+2)),IF($AN39="DE",SUMPRODUCT(($AZ39&gt;=INDEX('How This Works &amp; Sources'!$B$91:$J$98,0,1))*INDEX('How This Works &amp; Sources'!$B$91:$J$98,0,1+2)),IF($AN39="VA",SUMPRODUCT(($AZ39&gt;=INDEX('How This Works &amp; Sources'!$B$219:$J$223,0,4))*INDEX('How This Works &amp; Sources'!$B$219:$J$223,0,4+2)),IF($AN39="WI",SUMPRODUCT(($AZ39&gt;=INDEX('How This Works &amp; Sources'!$B$228:$J$232,0,4))*INDEX('How This Works &amp; Sources'!$B$228:$J$232,0,4+2)),IF($AN39="AZ",'Your Pay &amp; Benefits'!$C$82,IF($AN39="CO",IF($AY39&gt;IF($AU39="Married",10000,5000),0.044,0),IF($AN39="IA",IF($AY39&gt;IF($AU39="Head of household",19500,IF($AU39="Married",26000,13000)),0.038,0),IF($AN39="ID",IF($AY39&gt;IF($AU39="Married",32000,16094),0.053,0),IF($AN39="IL",IF($AY39&gt;(2925*$AS39+1000*$AT39),0.0495,0),IF($AN39="KY",IF($AI39&gt;3360,0.035,0),IF($AN39="LA",0.0309,IF($AN39="MA",IF(MAX(0,$AY39-MIN(($BD38+$Q39+$R39+$S39),2000)-IF($AS39=0,0,IF($AS39=1,4400,1000*$AS39+3400)))&gt;=1107750,0.09,0.05),IF($AN39="MS",IF($AI39-IF($AU39="Head of household",3400,IF($AU39="Married",4600,2300))-'Your Pay &amp; Benefits'!$C$85&gt;10000,0.04,0),IF($AN39="PA",0.0307,"")))))))))))))))</f>
      </c>
      <c r="CD39" s="21">
        <f>IF(YEAR(IF('Your Pay &amp; Benefits'!$C$7="Weekly",'Your Pay &amp; Benefits'!$C$9+7*(($BE38+1)-1),IF('Your Pay &amp; Benefits'!$C$7="Biweekly",'Your Pay &amp; Benefits'!$C$9+14*(($BE38+1)-1),IF('Your Pay &amp; Benefits'!$C$7="Semimonthly",DATE(YEAR('Your Pay &amp; Benefits'!$C$9),MONTH('Your Pay &amp; Benefits'!$C$9)+INT((($BE38+1)-1)/2),MIN(DAY('Your Pay &amp; Benefits'!$C$9),DAY(EOMONTH(DATE(YEAR('Your Pay &amp; Benefits'!$C$9),MONTH('Your Pay &amp; Benefits'!$C$9)+INT((($BE38+1)-1)/2),1),0))))+IF(MOD(($BE38+1)-1,2)=1,15,0),EDATE('Your Pay &amp; Benefits'!$C$9,($BE38+1)-1)))))&lt;&gt;'Your Pay &amp; Benefits'!$C$10,"",IF('Your Pay &amp; Benefits'!$C$7="Weekly",'Your Pay &amp; Benefits'!$C$9+7*(($BE38+1)-1),IF('Your Pay &amp; Benefits'!$C$7="Biweekly",'Your Pay &amp; Benefits'!$C$9+14*(($BE38+1)-1),IF('Your Pay &amp; Benefits'!$C$7="Semimonthly",DATE(YEAR('Your Pay &amp; Benefits'!$C$9),MONTH('Your Pay &amp; Benefits'!$C$9)+INT((($BE38+1)-1)/2),MIN(DAY('Your Pay &amp; Benefits'!$C$9),DAY(EOMONTH(DATE(YEAR('Your Pay &amp; Benefits'!$C$9),MONTH('Your Pay &amp; Benefits'!$C$9)+INT((($BE38+1)-1)/2),1),0))))+IF(MOD(($BE38+1)-1,2)=1,15,0),EDATE('Your Pay &amp; Benefits'!$C$9,($BE38+1)-1)))))</f>
      </c>
      <c r="CE39" s="21">
        <f>IF(MIN(IF(AND('Your Pay &amp; Benefits'!$C$58&gt;MAX($B$6:$B38),'Your Pay &amp; Benefits'!$C$58&gt;=DATE('Your Pay &amp; Benefits'!$C$10,1,1),'Your Pay &amp; Benefits'!$C$58&lt;=DATE('Your Pay &amp; Benefits'!$C$10,12,31)),'Your Pay &amp; Benefits'!$C$58,999999),IF(AND('Your Pay &amp; Benefits'!$C$59&gt;MAX($B$6:$B38),'Your Pay &amp; Benefits'!$C$59&gt;=DATE('Your Pay &amp; Benefits'!$C$10,1,1),'Your Pay &amp; Benefits'!$C$59&lt;=DATE('Your Pay &amp; Benefits'!$C$10,12,31)),'Your Pay &amp; Benefits'!$C$59,999999),IF(AND('Your Pay &amp; Benefits'!$C$60&gt;MAX($B$6:$B38),'Your Pay &amp; Benefits'!$C$60&gt;=DATE('Your Pay &amp; Benefits'!$C$10,1,1),'Your Pay &amp; Benefits'!$C$60&lt;=DATE('Your Pay &amp; Benefits'!$C$10,12,31)),'Your Pay &amp; Benefits'!$C$60,999999),IF(AND('Your Pay &amp; Benefits'!$C$61&gt;MAX($B$6:$B38),'Your Pay &amp; Benefits'!$C$61&gt;=DATE('Your Pay &amp; Benefits'!$C$10,1,1),'Your Pay &amp; Benefits'!$C$61&lt;=DATE('Your Pay &amp; Benefits'!$C$10,12,31)),'Your Pay &amp; Benefits'!$C$61,999999),IF(AND('Your Pay &amp; Benefits'!$C$62&gt;MAX($B$6:$B38),'Your Pay &amp; Benefits'!$C$62&gt;=DATE('Your Pay &amp; Benefits'!$C$10,1,1),'Your Pay &amp; Benefits'!$C$62&lt;=DATE('Your Pay &amp; Benefits'!$C$10,12,31)),'Your Pay &amp; Benefits'!$C$62,999999),IF(AND('Your Pay &amp; Benefits'!$C$63&gt;MAX($B$6:$B38),'Your Pay &amp; Benefits'!$C$63&gt;=DATE('Your Pay &amp; Benefits'!$C$10,1,1),'Your Pay &amp; Benefits'!$C$63&lt;=DATE('Your Pay &amp; Benefits'!$C$10,12,31)),'Your Pay &amp; Benefits'!$C$63,999999),IF(AND('Your Pay &amp; Benefits'!$C$64&gt;MAX($B$6:$B38),'Your Pay &amp; Benefits'!$C$64&gt;=DATE('Your Pay &amp; Benefits'!$C$10,1,1),'Your Pay &amp; Benefits'!$C$64&lt;=DATE('Your Pay &amp; Benefits'!$C$10,12,31)),'Your Pay &amp; Benefits'!$C$64,999999),IF(AND('Your Pay &amp; Benefits'!$C$65&gt;MAX($B$6:$B38),'Your Pay &amp; Benefits'!$C$65&gt;=DATE('Your Pay &amp; Benefits'!$C$10,1,1),'Your Pay &amp; Benefits'!$C$65&lt;=DATE('Your Pay &amp; Benefits'!$C$10,12,31)),'Your Pay &amp; Benefits'!$C$65,999999),IF(AND('Your Pay &amp; Benefits'!$C$66&gt;MAX($B$6:$B38),'Your Pay &amp; Benefits'!$C$66&gt;=DATE('Your Pay &amp; Benefits'!$C$10,1,1),'Your Pay &amp; Benefits'!$C$66&lt;=DATE('Your Pay &amp; Benefits'!$C$10,12,31)),'Your Pay &amp; Benefits'!$C$66,999999),IF(AND('Your Pay &amp; Benefits'!$C$67&gt;MAX($B$6:$B38),'Your Pay &amp; Benefits'!$C$67&gt;=DATE('Your Pay &amp; Benefits'!$C$10,1,1),'Your Pay &amp; Benefits'!$C$67&lt;=DATE('Your Pay &amp; Benefits'!$C$10,12,31)),'Your Pay &amp; Benefits'!$C$67,999999))=999999,"",MIN(IF(AND('Your Pay &amp; Benefits'!$C$58&gt;MAX($B$6:$B38),'Your Pay &amp; Benefits'!$C$58&gt;=DATE('Your Pay &amp; Benefits'!$C$10,1,1),'Your Pay &amp; Benefits'!$C$58&lt;=DATE('Your Pay &amp; Benefits'!$C$10,12,31)),'Your Pay &amp; Benefits'!$C$58,999999),IF(AND('Your Pay &amp; Benefits'!$C$59&gt;MAX($B$6:$B38),'Your Pay &amp; Benefits'!$C$59&gt;=DATE('Your Pay &amp; Benefits'!$C$10,1,1),'Your Pay &amp; Benefits'!$C$59&lt;=DATE('Your Pay &amp; Benefits'!$C$10,12,31)),'Your Pay &amp; Benefits'!$C$59,999999),IF(AND('Your Pay &amp; Benefits'!$C$60&gt;MAX($B$6:$B38),'Your Pay &amp; Benefits'!$C$60&gt;=DATE('Your Pay &amp; Benefits'!$C$10,1,1),'Your Pay &amp; Benefits'!$C$60&lt;=DATE('Your Pay &amp; Benefits'!$C$10,12,31)),'Your Pay &amp; Benefits'!$C$60,999999),IF(AND('Your Pay &amp; Benefits'!$C$61&gt;MAX($B$6:$B38),'Your Pay &amp; Benefits'!$C$61&gt;=DATE('Your Pay &amp; Benefits'!$C$10,1,1),'Your Pay &amp; Benefits'!$C$61&lt;=DATE('Your Pay &amp; Benefits'!$C$10,12,31)),'Your Pay &amp; Benefits'!$C$61,999999),IF(AND('Your Pay &amp; Benefits'!$C$62&gt;MAX($B$6:$B38),'Your Pay &amp; Benefits'!$C$62&gt;=DATE('Your Pay &amp; Benefits'!$C$10,1,1),'Your Pay &amp; Benefits'!$C$62&lt;=DATE('Your Pay &amp; Benefits'!$C$10,12,31)),'Your Pay &amp; Benefits'!$C$62,999999),IF(AND('Your Pay &amp; Benefits'!$C$63&gt;MAX($B$6:$B38),'Your Pay &amp; Benefits'!$C$63&gt;=DATE('Your Pay &amp; Benefits'!$C$10,1,1),'Your Pay &amp; Benefits'!$C$63&lt;=DATE('Your Pay &amp; Benefits'!$C$10,12,31)),'Your Pay &amp; Benefits'!$C$63,999999),IF(AND('Your Pay &amp; Benefits'!$C$64&gt;MAX($B$6:$B38),'Your Pay &amp; Benefits'!$C$64&gt;=DATE('Your Pay &amp; Benefits'!$C$10,1,1),'Your Pay &amp; Benefits'!$C$64&lt;=DATE('Your Pay &amp; Benefits'!$C$10,12,31)),'Your Pay &amp; Benefits'!$C$64,999999),IF(AND('Your Pay &amp; Benefits'!$C$65&gt;MAX($B$6:$B38),'Your Pay &amp; Benefits'!$C$65&gt;=DATE('Your Pay &amp; Benefits'!$C$10,1,1),'Your Pay &amp; Benefits'!$C$65&lt;=DATE('Your Pay &amp; Benefits'!$C$10,12,31)),'Your Pay &amp; Benefits'!$C$65,999999),IF(AND('Your Pay &amp; Benefits'!$C$66&gt;MAX($B$6:$B38),'Your Pay &amp; Benefits'!$C$66&gt;=DATE('Your Pay &amp; Benefits'!$C$10,1,1),'Your Pay &amp; Benefits'!$C$66&lt;=DATE('Your Pay &amp; Benefits'!$C$10,12,31)),'Your Pay &amp; Benefits'!$C$66,999999),IF(AND('Your Pay &amp; Benefits'!$C$67&gt;MAX($B$6:$B38),'Your Pay &amp; Benefits'!$C$67&gt;=DATE('Your Pay &amp; Benefits'!$C$10,1,1),'Your Pay &amp; Benefits'!$C$67&lt;=DATE('Your Pay &amp; Benefits'!$C$10,12,31)),'Your Pay &amp; Benefits'!$C$67,999999)))</f>
      </c>
      <c r="CF39">
        <f>IF($B39="","",IF($D39=0,$Y39,""))</f>
      </c>
    </row>
    <row r="40">
      <c r="A40" t="n">
        <v>35</v>
      </c>
      <c r="B40" s="21">
        <f>IF(AND($CD40="",$CE40=""),"",IF($CE40="",$CD40,IF($CD40="",$CE40,MIN($CD40,$CE40))))</f>
      </c>
      <c r="C40" s="7">
        <f>IF($B40="","",IF($BF40=0,0,IF('Your Pay &amp; Benefits'!$C$4="Annual salary",ROUND($AK40/IF(AND('Your Pay &amp; Benefits'!$C$88="Actual paydays",MONTH('Your Pay &amp; Benefits'!$C$9)=1),MAX(1,MAX($BE$6:$BE$68)),'Your Pay &amp; Benefits'!$C$8),2),$AK40)))</f>
      </c>
      <c r="D40" s="7">
        <f>IF($B40="","",SUMIF('Your Pay &amp; Benefits'!$C$58:$C$67,$B40,'Your Pay &amp; Benefits'!$D$58:$D$67))</f>
      </c>
      <c r="E40" s="7">
        <f>IF($B40="","",ROUND(MAX(0,MIN(IF($AL40="Percent",$AM40*($C40+$D40),$AM40),MAX(0,'Your Pay &amp; Benefits'!$C$34-$AC39))),2))</f>
      </c>
      <c r="F40" s="7">
        <f>IF($B40="","",ROUND(MAX(0,MIN(IF('Your Pay &amp; Benefits'!$C$32="Percent",'Your Pay &amp; Benefits'!$D$32*($C40+$D40),'Your Pay &amp; Benefits'!$D$32),MAX(0,'Your Pay &amp; Benefits'!$C$34-$AC39-$E40))),2))</f>
      </c>
      <c r="G40" s="7">
        <f>IF($B40="","",IF($BF40=0,0,ROUND(MAX(0,MIN($BL40,'Your Pay &amp; Benefits'!$C$37-'Your Pay &amp; Benefits'!$C$54-$BI39)),2)))</f>
      </c>
      <c r="H40" s="7">
        <f>IF($B40="","",IF(OR($BF40=0,$BQ40=1),0,ROUND(MAX(0,MIN(IF($BS40=1,ROUND(MAX(0,MIN($BJ40,'How This Works &amp; Sources'!$C$13)-$BG39)/MAX(1,MAX($BE$6:$BE$68)-($BE39)),2),ROUND(MIN($BJ40,'How This Works &amp; Sources'!$C$13)/'Your Pay &amp; Benefits'!$C$8,2)),MIN($BJ40,'How This Works &amp; Sources'!$C$13)-$BG39)),2)))</f>
      </c>
      <c r="I40" s="7">
        <f>IF($B40="","",IF(OR($BF40=0,$BR40=1),0,ROUND(MAX(0,MIN(IF($BT40=1,ROUND(MAX(0,MIN($BK40,IF('Your Pay &amp; Benefits'!$C$12="MFJ",'How This Works &amp; Sources'!$C$14,'How This Works &amp; Sources'!$C$15))-$BH39)/MAX(1,MAX($BE$6:$BE$68)-($BE39)),2),ROUND(MIN($BK40,IF('Your Pay &amp; Benefits'!$C$12="MFJ",'How This Works &amp; Sources'!$C$14,'How This Works &amp; Sources'!$C$15))/'Your Pay &amp; Benefits'!$C$8,2)),MIN($BK40,IF('Your Pay &amp; Benefits'!$C$12="MFJ",'How This Works &amp; Sources'!$C$14,'How This Works &amp; Sources'!$C$15))-$BH39)),2)))</f>
      </c>
      <c r="J40" s="7">
        <f>IF($B40="","",IF($BF40=0,0,$BM40))</f>
      </c>
      <c r="K40" s="7">
        <f>IF($B40="","",IF($BF40=0,0,$BN40+$BO40))</f>
      </c>
      <c r="L40" s="7">
        <f>IF($B40="","",IF($BF40=0,0,'Your Pay &amp; Benefits'!$D$46))</f>
      </c>
      <c r="M40" s="7">
        <f>IF($B40="","",$C40+$D40+$L40-$E40-$G40-$H40-$I40-$J40-$K40)</f>
      </c>
      <c r="N40" s="7">
        <f>IF($B40="","",$C40+$D40+$L40-$G40-$H40-$I40-$J40-$K40)</f>
      </c>
      <c r="O40" s="7">
        <f>IF($B40="","",$C40+$D40+$L40-$E40-$H40-$I40-$J40-$K40-IF(OR($AN40="CA",$AN40="NJ"),0,$G40))</f>
      </c>
      <c r="P40" s="7">
        <f>IF($B40="","",IF('Your Pay &amp; Benefits'!$C$18,0,ROUND(MAX(0,IF('Your Pay &amp; Benefits'!$C$13,SUMPRODUCT(($AH40&gt;INDEX('How This Works &amp; Sources'!$B$29:$J$36,0,IF('Your Pay &amp; Benefits'!$C$12="MFJ",1,IF('Your Pay &amp; Benefits'!$C$12="HoH",7,4))))*($AH40-INDEX('How This Works &amp; Sources'!$B$29:$J$36,0,IF('Your Pay &amp; Benefits'!$C$12="MFJ",1,IF('Your Pay &amp; Benefits'!$C$12="HoH",7,4))))*INDEX('How This Works &amp; Sources'!$B$29:$J$36,0,IF('Your Pay &amp; Benefits'!$C$12="MFJ",1,IF('Your Pay &amp; Benefits'!$C$12="HoH",7,4))+2)),SUMPRODUCT(($AH40&gt;INDEX('How This Works &amp; Sources'!$B$19:$J$26,0,IF('Your Pay &amp; Benefits'!$C$12="MFJ",1,IF('Your Pay &amp; Benefits'!$C$12="HoH",7,4))))*($AH40-INDEX('How This Works &amp; Sources'!$B$19:$J$26,0,IF('Your Pay &amp; Benefits'!$C$12="MFJ",1,IF('Your Pay &amp; Benefits'!$C$12="HoH",7,4))))*INDEX('How This Works &amp; Sources'!$B$19:$J$26,0,IF('Your Pay &amp; Benefits'!$C$12="MFJ",1,IF('Your Pay &amp; Benefits'!$C$12="HoH",7,4))+2)))/'Your Pay &amp; Benefits'!$C$8-$AO40/'Your Pay &amp; Benefits'!$C$8)+$AR40+IF('Your Pay &amp; Benefits'!$C$89="Aggregate",MAX(0,IF('Your Pay &amp; Benefits'!$C$13,SUMPRODUCT((($AH40+$D40)&gt;INDEX('How This Works &amp; Sources'!$B$29:$J$36,0,IF('Your Pay &amp; Benefits'!$C$12="MFJ",1,IF('Your Pay &amp; Benefits'!$C$12="HoH",7,4))))*(($AH40+$D40)-INDEX('How This Works &amp; Sources'!$B$29:$J$36,0,IF('Your Pay &amp; Benefits'!$C$12="MFJ",1,IF('Your Pay &amp; Benefits'!$C$12="HoH",7,4))))*INDEX('How This Works &amp; Sources'!$B$29:$J$36,0,IF('Your Pay &amp; Benefits'!$C$12="MFJ",1,IF('Your Pay &amp; Benefits'!$C$12="HoH",7,4))+2)),SUMPRODUCT((($AH40+$D40)&gt;INDEX('How This Works &amp; Sources'!$B$19:$J$26,0,IF('Your Pay &amp; Benefits'!$C$12="MFJ",1,IF('Your Pay &amp; Benefits'!$C$12="HoH",7,4))))*(($AH40+$D40)-INDEX('How This Works &amp; Sources'!$B$19:$J$26,0,IF('Your Pay &amp; Benefits'!$C$12="MFJ",1,IF('Your Pay &amp; Benefits'!$C$12="HoH",7,4))))*INDEX('How This Works &amp; Sources'!$B$19:$J$26,0,IF('Your Pay &amp; Benefits'!$C$12="MFJ",1,IF('Your Pay &amp; Benefits'!$C$12="HoH",7,4))+2)))-IF('Your Pay &amp; Benefits'!$C$13,SUMPRODUCT(($AH40&gt;INDEX('How This Works &amp; Sources'!$B$29:$J$36,0,IF('Your Pay &amp; Benefits'!$C$12="MFJ",1,IF('Your Pay &amp; Benefits'!$C$12="HoH",7,4))))*($AH40-INDEX('How This Works &amp; Sources'!$B$29:$J$36,0,IF('Your Pay &amp; Benefits'!$C$12="MFJ",1,IF('Your Pay &amp; Benefits'!$C$12="HoH",7,4))))*INDEX('How This Works &amp; Sources'!$B$29:$J$36,0,IF('Your Pay &amp; Benefits'!$C$12="MFJ",1,IF('Your Pay &amp; Benefits'!$C$12="HoH",7,4))+2)),SUMPRODUCT(($AH40&gt;INDEX('How This Works &amp; Sources'!$B$19:$J$26,0,IF('Your Pay &amp; Benefits'!$C$12="MFJ",1,IF('Your Pay &amp; Benefits'!$C$12="HoH",7,4))))*($AH40-INDEX('How This Works &amp; Sources'!$B$19:$J$26,0,IF('Your Pay &amp; Benefits'!$C$12="MFJ",1,IF('Your Pay &amp; Benefits'!$C$12="HoH",7,4))))*INDEX('How This Works &amp; Sources'!$B$19:$J$26,0,IF('Your Pay &amp; Benefits'!$C$12="MFJ",1,IF('Your Pay &amp; Benefits'!$C$12="HoH",7,4))+2)))),'How This Works &amp; Sources'!$C$10*$D40),2)))</f>
      </c>
      <c r="Q40" s="7">
        <f>IF($B40="","",ROUND('How This Works &amp; Sources'!$C$4*MIN($N40,MAX(0,'How This Works &amp; Sources'!$C$3-($AX40+$AB39-$AW40))),2))</f>
      </c>
      <c r="R40" s="7">
        <f>IF($B40="","",ROUND('How This Works &amp; Sources'!$C$5*$N40,2))</f>
      </c>
      <c r="S40" s="7">
        <f>IF($B40="","",ROUND('How This Works &amp; Sources'!$C$6*MAX(0,MIN($N40,$AG39+$N40-'How This Works &amp; Sources'!$C$7)),2))</f>
      </c>
      <c r="T40" s="7">
        <f>IF($B40="","",IF('Your Pay &amp; Benefits'!$C$26,0,IF($AN40="CA",ROUND(IF($AI40&lt;=IF(($AS40+$AT40)&gt;=2,VLOOKUP($AN40,StateTables!$A$6:$AB$56,10,FALSE),VLOOKUP($AN40,StateTables!$A$6:$AB$56,9,FALSE)),0,MAX(0,SUMPRODUCT(($AJ40&gt;INDEX('How This Works &amp; Sources'!$B$39:$J$48,0,IF($AU40="Married",4,IF($AU40="Head of household",7,1))))*($AJ40-INDEX('How This Works &amp; Sources'!$B$39:$J$48,0,IF($AU40="Married",4,IF($AU40="Head of household",7,1))))*INDEX('How This Works &amp; Sources'!$B$39:$J$48,0,IF($AU40="Married",4,IF($AU40="Head of household",7,1))+2))-VLOOKUP($AN40,StateTables!$A$6:$AB$56,11,FALSE)*$AS40)/'Your Pay &amp; Benefits'!$C$8)+'Your Pay &amp; Benefits'!$C$25+VLOOKUP($AN40,StateTables!$A$6:$AB$56,13,FALSE)*$D40,2),IF(VLOOKUP($AN40,StateTables!$A$6:$AB$56,4,FALSE)="None",0,IF(ISNUMBER(SEARCH("MANUAL",VLOOKUP($AN40,StateTables!$A$6:$AB$56,5,FALSE))),'Your Pay &amp; Benefits'!$C$28,ROUND(MAX(0,$BA40+$BB40)/'Your Pay &amp; Benefits'!$C$8+'Your Pay &amp; Benefits'!$C$25+$BC40,2))))))</f>
      </c>
      <c r="U40" s="7">
        <f>IF($B40="","",IF(VLOOKUP($AN40,StateTables!$A$6:$AB$56,24,FALSE)="flatq",IF(OR(MONTH($B40)=1,MONTH($B40)=4,MONTH($B40)=7,MONTH($B40)=10),VLOOKUP($AN40,StateTables!$A$6:$AB$56,25,FALSE),0),IF(VLOOKUP($AN40,StateTables!$A$6:$AB$56,24,FALSE)="dbl",MIN(ROUND(0.005*$N40,2),ROUND(0.6*52/'Your Pay &amp; Benefits'!$C$8,2)),IF(OR(VLOOKUP($AN40,StateTables!$A$6:$AB$56,15,FALSE)="",VLOOKUP($AN40,StateTables!$A$6:$AB$56,15,FALSE)=0),0,ROUND(VLOOKUP($AN40,StateTables!$A$6:$AB$56,15,FALSE)*IF(OR(VLOOKUP($AN40,StateTables!$A$6:$AB$56,16,FALSE)="",VLOOKUP($AN40,StateTables!$A$6:$AB$56,16,FALSE)=0),$N40,MIN($N40,MAX(0,VLOOKUP($AN40,StateTables!$A$6:$AB$56,16,FALSE)-($AX40+$AB39-$AW40)))),2))))+IF(VLOOKUP($AN40,StateTables!$A$6:$AB$56,27,FALSE)="flatq",IF(OR(MONTH($B40)=1,MONTH($B40)=4,MONTH($B40)=7,MONTH($B40)=10),VLOOKUP($AN40,StateTables!$A$6:$AB$56,28,FALSE),0),IF(VLOOKUP($AN40,StateTables!$A$6:$AB$56,27,FALSE)="dbl",MIN(ROUND(0.005*$N40,2),ROUND(0.6*52/'Your Pay &amp; Benefits'!$C$8,2)),IF(OR(VLOOKUP($AN40,StateTables!$A$6:$AB$56,18,FALSE)="",VLOOKUP($AN40,StateTables!$A$6:$AB$56,18,FALSE)=0),0,ROUND(VLOOKUP($AN40,StateTables!$A$6:$AB$56,18,FALSE)*IF(OR(VLOOKUP($AN40,StateTables!$A$6:$AB$56,19,FALSE)="",VLOOKUP($AN40,StateTables!$A$6:$AB$56,19,FALSE)=0),$N40,MIN($N40,MAX(0,VLOOKUP($AN40,StateTables!$A$6:$AB$56,19,FALSE)-($AX40+$AB39-$AW40)))),2)))))</f>
      </c>
      <c r="V40" s="7">
        <f>IF($B40="","",IF($AN40="NY",IF('Your Pay &amp; Benefits'!$C$78,ROUND(SUMPRODUCT((MAX(0,($O40-$D40)*'Your Pay &amp; Benefits'!$C$8-(IF($AU40="Married",5500,5000)+1000*$AS40))&gt;INDEX('How This Works &amp; Sources'!$B$184:$J$198,0,4))*(MAX(0,($O40-$D40)*'Your Pay &amp; Benefits'!$C$8-(IF($AU40="Married",5500,5000)+1000*$AS40))-INDEX('How This Works &amp; Sources'!$B$184:$J$198,0,4))*INDEX('How This Works &amp; Sources'!$B$184:$J$198,0,4+2))/'Your Pay &amp; Benefits'!$C$8+0.0425*$D40,2),0)+IF('Your Pay &amp; Benefits'!$C$79="Resident",ROUND(0.1675*$T40,2),IF('Your Pay &amp; Benefits'!$C$79="Nonresident",ROUND(0.005*MAX(0,($O40-$D40)-(IF($AU40="Married",7950,7400)+1000*$AS40)/'Your Pay &amp; Benefits'!$C$8),2),0)),IF($AN40="PA",IF('Your Pay &amp; Benefits'!$C$80="None",'Your Pay &amp; Benefits'!$C$27+ROUND('Your Pay &amp; Benefits'!$C$81*($C40+$D40),2),ROUND(IF('Your Pay &amp; Benefits'!$C$80="Resident",IF($B40&lt;DATE(2026,7,1),0.0374,0.03735),IF($B40&lt;DATE(2026,7,1),0.0343,0.03425))*($C40+$D40),2)),IF($BF40=0,ROUND('Your Pay &amp; Benefits'!$C$81*($C40+$D40),2),'Your Pay &amp; Benefits'!$C$27+ROUND('Your Pay &amp; Benefits'!$C$81*($C40+$D40),2)))))</f>
      </c>
      <c r="W40" s="7">
        <f>IF($B40="","",IF($BF40=0,0,$BP40))</f>
      </c>
      <c r="X40" s="7">
        <f>IF($B40="","",SUM($E40:$K40)+$P40+$Q40+$R40+$S40+$T40+$U40+$V40+$W40)</f>
      </c>
      <c r="Y40" s="22">
        <f>IF($B40="","",$C40+$D40-$X40)</f>
      </c>
      <c r="Z40" s="7">
        <f>IF($B40="","",$Z39+$C40+$D40)</f>
      </c>
      <c r="AA40" s="7">
        <f>IF($B40="","",$AA39+$Y40)</f>
      </c>
      <c r="AB40" s="7">
        <f>IF($B40="","",$AB39+MIN($N40,MAX(0,'How This Works &amp; Sources'!$C$3-($AX40+$AB39-$AW40))))</f>
      </c>
      <c r="AC40" s="7">
        <f>IF($B40="","",$AC39+$E40+$F40)</f>
      </c>
      <c r="AD40" s="3">
        <f>IF($B40="","",IF(AND($AB39&lt;'How This Works &amp; Sources'!$C$3,$AB40&gt;='How This Works &amp; Sources'!$C$3),"★ Social Security maxed on this check — from the next check your net rises by about $"&amp;TEXT(ROUND('How This Works &amp; Sources'!$C$4*$N40,2),"#,##0.00")&amp;". ","")&amp;IF(AND($AC39&lt;'Your Pay &amp; Benefits'!$C$34,$AC40&gt;='Your Pay &amp; Benefits'!$C$34),"★ 401(k) reaches the $"&amp;TEXT('Your Pay &amp; Benefits'!$C$34,"#,##0")&amp;" cap on this check — deferrals stop and net pay rises. ","")&amp;IF(AND($AG39&lt;'How This Works &amp; Sources'!$C$7,$AG40&gt;='How This Works &amp; Sources'!$C$7),"★ Wages pass $200,000 — the 0.9% Additional Medicare Tax starts here. ","")&amp;IF(AND($BJ40&gt;0,$H40&gt;0,$BG39&lt;MIN($BJ40,'How This Works &amp; Sources'!$C$13),$BG39+$H40&gt;=MIN($BJ40,'How This Works &amp; Sources'!$C$13)),"★ Health FSA election is now fully deferred for the year. ",""))</f>
      </c>
      <c r="AE40" s="41" t="n"/>
      <c r="AF40" s="7">
        <f>IF(OR($B40="",$AE40=""),"",$AE40-$Y40)</f>
      </c>
      <c r="AG40" s="7">
        <f>IF($B40="","",$AG39+$N40)</f>
      </c>
      <c r="AH40" s="7">
        <f>IF($B40="","",MAX(0,($M40-$D40)*'Your Pay &amp; Benefits'!$C$8+$AP40-$AQ40-IF('Your Pay &amp; Benefits'!$C$13,0,IF('Your Pay &amp; Benefits'!$C$12="MFJ",'How This Works &amp; Sources'!$C$8,'How This Works &amp; Sources'!$C$9))))</f>
      </c>
      <c r="AI40" s="7">
        <f>IF($B40="","",$O40*'Your Pay &amp; Benefits'!$C$8)</f>
      </c>
      <c r="AJ40" s="7">
        <f>IF($B40="","",MAX(0,$AI40-VLOOKUP($AN40,StateTables!$A$6:$AB$56,12,FALSE)*$AT40-IF(($AS40+$AT40)&gt;=2,VLOOKUP($AN40,StateTables!$A$6:$AB$56,8,FALSE),VLOOKUP($AN40,StateTables!$A$6:$AB$56,7,FALSE))))</f>
      </c>
      <c r="AK40" s="7">
        <f>IF($B40="","",IFERROR(LOOKUP(2,1/(('Changes &amp; Events'!$C$6:$C$17="Salary change")*('Changes &amp; Events'!$B$6:$B$17&lt;=$B40)*('Changes &amp; Events'!$B$6:$B$17&lt;&gt;"")),'Changes &amp; Events'!$D$6:$D$17),IF('Your Pay &amp; Benefits'!$C$4="Annual salary",'Your Pay &amp; Benefits'!$C$5,'Your Pay &amp; Benefits'!$C$6)))</f>
      </c>
      <c r="AL40">
        <f>IF($B40="","",IFERROR(LOOKUP(2,1/(('Changes &amp; Events'!$C$6:$C$17="401(k) change")*('Changes &amp; Events'!$B$6:$B$17&lt;=$B40)*('Changes &amp; Events'!$B$6:$B$17&lt;&gt;"")),'Changes &amp; Events'!$D$6:$D$17),'Your Pay &amp; Benefits'!$C$30))</f>
      </c>
      <c r="AM40" s="7">
        <f>IF($B40="","",IFERROR(LOOKUP(2,1/(('Changes &amp; Events'!$C$6:$C$17="401(k) change")*('Changes &amp; Events'!$B$6:$B$17&lt;=$B40)*('Changes &amp; Events'!$B$6:$B$17&lt;&gt;"")),'Changes &amp; Events'!$E$6:$E$17),'Your Pay &amp; Benefits'!$D$31))</f>
      </c>
      <c r="AN40">
        <f>IF($B40="","",IFERROR(LOOKUP(2,1/(('Changes &amp; Events'!$C$6:$C$17="State move")*('Changes &amp; Events'!$B$6:$B$17&lt;=$B40)*('Changes &amp; Events'!$B$6:$B$17&lt;&gt;"")),'Changes &amp; Events'!$D$6:$D$17),'Your Pay &amp; Benefits'!$C$21))</f>
      </c>
      <c r="AO40" s="7">
        <f>IF($B40="","",IFERROR(LOOKUP(2,1/(('Changes &amp; Events'!$C$6:$C$17="W-4 change")*('Changes &amp; Events'!$B$6:$B$17&lt;=$B40)*('Changes &amp; Events'!$B$6:$B$17&lt;&gt;"")),'Changes &amp; Events'!$D$6:$D$17),'Your Pay &amp; Benefits'!$C$14))</f>
      </c>
      <c r="AP40" s="7">
        <f>IF($B40="","",IFERROR(LOOKUP(2,1/(('Changes &amp; Events'!$C$6:$C$17="W-4 change")*('Changes &amp; Events'!$B$6:$B$17&lt;=$B40)*('Changes &amp; Events'!$B$6:$B$17&lt;&gt;"")),'Changes &amp; Events'!$E$6:$E$17),'Your Pay &amp; Benefits'!$C$15))</f>
      </c>
      <c r="AQ40" s="7">
        <f>IF($B40="","",IFERROR(LOOKUP(2,1/(('Changes &amp; Events'!$C$6:$C$17="W-4 change")*('Changes &amp; Events'!$B$6:$B$17&lt;=$B40)*('Changes &amp; Events'!$B$6:$B$17&lt;&gt;"")),'Changes &amp; Events'!$F$6:$F$17),'Your Pay &amp; Benefits'!$C$16))</f>
      </c>
      <c r="AR40" s="7">
        <f>IF($B40="","",IFERROR(LOOKUP(2,1/(('Changes &amp; Events'!$C$6:$C$17="W-4 change")*('Changes &amp; Events'!$B$6:$B$17&lt;=$B40)*('Changes &amp; Events'!$B$6:$B$17&lt;&gt;"")),'Changes &amp; Events'!$G$6:$G$17),'Your Pay &amp; Benefits'!$C$17))</f>
      </c>
      <c r="AS40" s="6">
        <f>IF($B40="","",IFERROR(LOOKUP(2,1/((('Changes &amp; Events'!$C$6:$C$17="State move")+('Changes &amp; Events'!$C$6:$C$17="State cert change"))*('Changes &amp; Events'!$B$6:$B$17&lt;=$B40)*('Changes &amp; Events'!$B$6:$B$17&lt;&gt;"")),'Changes &amp; Events'!$F$6:$F$17),'Your Pay &amp; Benefits'!$C$23))</f>
      </c>
      <c r="AT40" s="6">
        <f>IF($B40="","",IFERROR(LOOKUP(2,1/((('Changes &amp; Events'!$C$6:$C$17="State move")+('Changes &amp; Events'!$C$6:$C$17="State cert change"))*('Changes &amp; Events'!$B$6:$B$17&lt;=$B40)*('Changes &amp; Events'!$B$6:$B$17&lt;&gt;"")),'Changes &amp; Events'!$G$6:$G$17),'Your Pay &amp; Benefits'!$C$24))</f>
      </c>
      <c r="AU40">
        <f>IF($B40="","",IFERROR(LOOKUP(2,1/(('Changes &amp; Events'!$C$6:$C$17="State move")*('Changes &amp; Events'!$B$6:$B$17&lt;=$B40)*('Changes &amp; Events'!$B$6:$B$17&lt;&gt;"")),'Changes &amp; Events'!$E$6:$E$17),'Your Pay &amp; Benefits'!$C$22))</f>
      </c>
      <c r="AV40" s="6">
        <f>IF($B40="","",1+COUNTIFS('Changes &amp; Events'!$C$6:$C$17,"Employer change",'Changes &amp; Events'!$B$6:$B$17,"&lt;="&amp;$B40,'Changes &amp; Events'!$B$6:$B$17,"&lt;&gt;"))</f>
      </c>
      <c r="AW40" s="7">
        <f>IF($B40="","",IF($AV40=1,'Your Pay &amp; Benefits'!$C$49,IF(IFERROR(MATCH(IFERROR(LOOKUP(2,1/(('Changes &amp; Events'!$C$6:$C$17="Employer change")*('Changes &amp; Events'!$B$6:$B$17&lt;=$B40)*('Changes &amp; Events'!$B$6:$B$17&lt;&gt;"")),'Changes &amp; Events'!$B$6:$B$17),""),$B$6:$B$68,1),1)&lt;=1,'Your Pay &amp; Benefits'!$C$49,INDEX($AB$6:$AB$68,MATCH(IFERROR(LOOKUP(2,1/(('Changes &amp; Events'!$C$6:$C$17="Employer change")*('Changes &amp; Events'!$B$6:$B$17&lt;=$B40)*('Changes &amp; Events'!$B$6:$B$17&lt;&gt;"")),'Changes &amp; Events'!$B$6:$B$17),""),$B$6:$B$68,1)-1))))</f>
      </c>
      <c r="AX40" s="7">
        <f>IF($B40="","",IF($AV40=1,'Your Pay &amp; Benefits'!$C$49,IFERROR(LOOKUP(2,1/(('Changes &amp; Events'!$C$6:$C$17="Employer change")*('Changes &amp; Events'!$B$6:$B$17&lt;=$B40)*('Changes &amp; Events'!$B$6:$B$17&lt;&gt;"")),'Changes &amp; Events'!$D$6:$D$17),0)))</f>
      </c>
      <c r="AY40" s="7">
        <f>IF($B40="","",($O40-$D40)*'Your Pay &amp; Benefits'!$C$8)</f>
      </c>
      <c r="AZ40" s="7">
        <f>IF($B40="","",IF($AN40="AL",MAX(0,$AY40-IF($AU40="Married",IF($AY40&lt;=25999,8500,MAX(5000,8500-175*CEILING(($AY40-25999)/500,1))),IF($AU40="Head of household",IF($AY40&lt;=25999,5200,MAX(2500,5200-135*CEILING(($AY40-25999)/500,1))),IF($AY40&lt;=25999,3000,MAX(2500,3000-25*CEILING(($AY40-25999)/500,1)))))-($P40-'How This Works &amp; Sources'!$C$10*$D40)*'Your Pay &amp; Benefits'!$C$8-IF(OR($AU40="Married",$AU40="Head of household"),3000,1500)-$AT40*IF($AY40&lt;=50000,1000,IF($AY40&lt;=100000,500,300))),IF($AN40="AR",IF(MAX(0,$AY40-2470)&lt;97701,INT(MAX(0,$AY40-2470)/100)*100+50,MAX(0,$AY40-2470)),IF($AN40="DE",MAX(0,$AI40-3250),IF($AN40="HI",MAX(0,$AI40-1144*$AS40-4350),IF($AN40="KS",MAX(0,$AI40-(9160*IF($AU40="Married",2,1)+2320*$AT40+IF($AU40="Head of household",2320,0))),IF($AN40="MD",MAX(0,$AI40-3400-3200*$AS40),IF($AN40="MN",MAX(0,$AY40-5300*$AS40),IF($AN40="MO",MAX(0,$AI40-IF($AU40="Head of household",24150,IF($AU40="Married",IF('Your Pay &amp; Benefits'!$C$83,16100,32200),16100))),IF($AN40="MT",$AY40,IF($AN40="ND",($C40+$L40)*'Your Pay &amp; Benefits'!$C$8,IF($AN40="NE",MAX(0,$AY40-2440*$AS40),IF($AN40="NJ",MAX(0,$AY40-1000*$AS40),IF($AN40="NY",MAX(0,$AY40-(IF($AU40="Married",7950,7400)+1000*$AS40)),IF($AN40="OH",MAX(0,$AY40-650*$AS40),IF($AN40="OK",MAX(0,$AY40-1000*$AS40),IF($AN40="RI",MAX(0,$AI40-1000*$AS40),IF($AN40="SC",MAX(0,$AI40-5000*$AS40-IF($AS40=0,0,MIN(0.1*$AI40,7500))),IF($AN40="VA",MAX(0,$AI40-IF($AU40="Married",17500,8750)-930*$AS40-800*$AT40),IF($AN40="VT",MAX(0,$AI40-5400*$AS40),IF($AN40="WI",MAX(0,$AI40-MAX(0,IF($AU40="Married",9461-0.2*MAX(0,$AI40-25727),6702-0.12*MAX(0,$AI40-17780)))-400*$AS40),IF($AN40="WV",MAX(0,$AI40-2000*$AS40),$AI40))))))))))))))))))))))</f>
      </c>
      <c r="BA40" s="7">
        <f>IF($B40="","",IF($BW40&lt;&gt;"",$BW40,IF($BX40&lt;&gt;"",$BX40,IF($BY40&lt;&gt;"",$BY40,0))))</f>
      </c>
      <c r="BB40" s="7">
        <f>IF($B40="","",IF($AN40="AR",-29*$AS40,IF($AN40="DE",-110*$AS40,IF($AN40="MD",$AZ40*'Your Pay &amp; Benefits'!$C$74,IF($AN40="AZ",'Your Pay &amp; Benefits'!$C$82*($M40-$D40)*'Your Pay &amp; Benefits'!$C$8,IF($AN40="CO",0.044*MAX(0,$AY40-IF($AU40="Married",10000,5000)),IF($AN40="IA",MAX(0,0.038*MAX(0,$AY40-IF($AU40="Head of household",19500,IF($AU40="Married",26000,13000)))-40*$AS40),IF($AN40="ID",0.053*MAX(0,$AY40-IF($AU40="Married",32000,16094)),IF($AN40="IL",0.0495*MAX(0,$AY40-(2925*$AS40+1000*$AT40)),IF($AN40="IN",(0.0295+'Your Pay &amp; Benefits'!$C$76)*MAX(0,$AY40-(1000*$AS40+1500*$AT40+3000*'Your Pay &amp; Benefits'!$C$86)),IF($AN40="KY",0.035*MAX(0,$AI40-3360),IF($AN40="LA",IF('Your Pay &amp; Benefits'!$C$84="0",0.0309*$AI40,0.0309*MAX(0,$AI40-IF('Your Pay &amp; Benefits'!$C$84="2",25750,12875))),IF($AN40="MA",0.05*MIN(MAX(0,$AY40-MIN(($BD39+$Q40+$R40+$S40),2000)-IF($AS40=0,0,IF($AS40=1,4400,1000*$AS40+3400))),1107750)+0.09*MAX(0,MAX(0,$AY40-MIN(($BD39+$Q40+$R40+$S40),2000)-IF($AS40=0,0,IF($AS40=1,4400,1000*$AS40+3400)))-1107750)-IF($AU40="Head of household",120,0)-110*'Your Pay &amp; Benefits'!$C$75,IF($AN40="MI",0.0425*MAX(0,$AY40-5900*$AS40),IF($AN40="MS",0.04*MAX(0,$AI40-IF($AU40="Head of household",3400,IF($AU40="Married",4600,2300))-'Your Pay &amp; Benefits'!$C$85-10000),IF($AN40="OR",IF(OR($AU40="Married",AND($AU40="Single",$AS40&gt;=3)),SUMPRODUCT((MAX(0,$AY40-MIN(($P40-'How This Works &amp; Sources'!$C$10*$D40)*'Your Pay &amp; Benefits'!$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Sources'!$B$211:$J$214,0,4))*(MAX(0,$AY40-MIN(($P40-'How This Works &amp; Sources'!$C$10*$D40)*'Your Pay &amp; Benefits'!$C$8,IF(OR($AU40="Married",AND($AU40="Single",$AS40&gt;=3)),IF($AY40&lt;250000,8750,IF($AY40&lt;260000,7000,IF($AY40&lt;270000,5250,IF($AY40&lt;280000,3500,IF($AY40&lt;290000,1750,0))))),IF($AY40&lt;125000,8750,IF($AY40&lt;130000,7000,IF($AY40&lt;135000,5250,IF($AY40&lt;140000,3500,IF($AY40&lt;145000,1750,0)))))))-IF(OR($AU40="Married",AND($AU40="Single",$AS40&gt;=3)),5820,2910))-INDEX('How This Works &amp; Sources'!$B$211:$J$214,0,4))*INDEX('How This Works &amp; Sources'!$B$211:$J$214,0,4+2)),SUMPRODUCT((MAX(0,$AY40-MIN(($P40-'How This Works &amp; Sources'!$C$10*$D40)*'Your Pay &amp; Benefits'!$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Sources'!$B$211:$J$214,0,1))*(MAX(0,$AY40-MIN(($P40-'How This Works &amp; Sources'!$C$10*$D40)*'Your Pay &amp; Benefits'!$C$8,IF(OR($AU40="Married",AND($AU40="Single",$AS40&gt;=3)),IF($AY40&lt;250000,8750,IF($AY40&lt;260000,7000,IF($AY40&lt;270000,5250,IF($AY40&lt;280000,3500,IF($AY40&lt;290000,1750,0))))),IF($AY40&lt;125000,8750,IF($AY40&lt;130000,7000,IF($AY40&lt;135000,5250,IF($AY40&lt;140000,3500,IF($AY40&lt;145000,1750,0)))))))-IF(OR($AU40="Married",AND($AU40="Single",$AS40&gt;=3)),5820,2910))-INDEX('How This Works &amp; Sources'!$B$211:$J$214,0,1))*INDEX('How This Works &amp; Sources'!$B$211:$J$214,0,1+2)))+263-263*IF(IF($AU40="Married",$AY40&gt;200000,$AY40&gt;100000),0,$AS40),IF($AN40="PA",0.0307*(($O40+$E40+$G40)*'Your Pay &amp; Benefits'!$C$8),IF($AN40="NY",IF($AU40="Married",IF($AZ40&gt;=2155350,0,IF($AZ40&gt;=1077550,0.48,IF($AZ40&gt;=373200,1.21,IF($AZ40&gt;=323200,0.21,IF($AZ40&gt;=211550,-0.19,IF($AZ40&gt;=157650,-2.8,IF($AZ40&gt;=107650,-0.8,IF($AZ40&gt;=96800,0.05,IF($AZ40&gt;=80650,-0.1,IF($AZ40&gt;=13900,0.4,IF($AZ40&gt;=11700,-0.3,IF($AZ40&gt;=8500,0.5,0)))))))))))),IF($AZ40&gt;=1077550,0,IF($AZ40&gt;=265400,4.29,IF($AZ40&gt;=215400,2.29,IF($AZ40&gt;=157650,2.29,IF($AZ40&gt;=107650,0.29,IF($AZ40&gt;=96800,0.05,IF($AZ40&gt;=80650,-0.1,IF($AZ40&gt;=13900,0.4,IF($AZ40&gt;=11700,-0.3,IF($AZ40&gt;=8500,0.5,0))))))))))),0))))))))))))))))))</f>
      </c>
      <c r="BC40" s="7">
        <f>IF($B40="","",IF($AN40="AL",0.05*$D40,IF($AN40="AR",0.039*$D40,IF($AN40="ID",0.053*$D40,IF($AN40="IN",(0.0295+'Your Pay &amp; Benefits'!$C$76)*$D40,IF($AN40="KS",0.05*$D40,IF($AN40="MA",0.09*MIN($D40,MAX(0,MAX(0,$AY40-MIN(($BD39+$Q40+$R40+$S40),2000)-IF($AS40=0,0,IF($AS40=1,4400,1000*$AS40+3400)))+$D40-1107750))+0.05*($D40-MIN($D40,MAX(0,MAX(0,$AY40-MIN(($BD39+$Q40+$R40+$S40),2000)-IF($AS40=0,0,IF($AS40=1,4400,1000*$AS40+3400)))+$D40-1107750))),IF($AN40="MD",(0.065+'Your Pay &amp; Benefits'!$C$74)*$D40,IF($AN40="MI",0.0425*$D40,IF($AN40="MN",0.0625*$D40,IF($AN40="MO",0.047*$D40,IF($AN40="MT",0.05*$D40,IF($AN40="ND",0.015*$D40,IF($AN40="NE",0.035*$D40,IF($AN40="NJ",IF('Your Pay &amp; Benefits'!$C$77="B",SUMPRODUCT(($D40*'Your Pay &amp; Benefits'!$C$8&gt;INDEX('How This Works &amp; Sources'!$B$155:$J$162,0,4))*($D40*'Your Pay &amp; Benefits'!$C$8-INDEX('How This Works &amp; Sources'!$B$155:$J$162,0,4))*INDEX('How This Works &amp; Sources'!$B$155:$J$162,0,4+2)),IF('Your Pay &amp; Benefits'!$C$77="C",SUMPRODUCT(($D40*'Your Pay &amp; Benefits'!$C$8&gt;INDEX('How This Works &amp; Sources'!$B$155:$J$162,0,7))*($D40*'Your Pay &amp; Benefits'!$C$8-INDEX('How This Works &amp; Sources'!$B$155:$J$162,0,7))*INDEX('How This Works &amp; Sources'!$B$155:$J$162,0,7+2)),IF('Your Pay &amp; Benefits'!$C$77="D",SUMPRODUCT(($D40*'Your Pay &amp; Benefits'!$C$8&gt;INDEX('How This Works &amp; Sources'!$B$167:$J$179,0,1))*($D40*'Your Pay &amp; Benefits'!$C$8-INDEX('How This Works &amp; Sources'!$B$167:$J$179,0,1))*INDEX('How This Works &amp; Sources'!$B$167:$J$179,0,1+2)),IF('Your Pay &amp; Benefits'!$C$77="E",SUMPRODUCT(($D40*'Your Pay &amp; Benefits'!$C$8&gt;INDEX('How This Works &amp; Sources'!$B$167:$J$179,0,4))*($D40*'Your Pay &amp; Benefits'!$C$8-INDEX('How This Works &amp; Sources'!$B$167:$J$179,0,4))*INDEX('How This Works &amp; Sources'!$B$167:$J$179,0,4+2)),SUMPRODUCT(($D40*'Your Pay &amp; Benefits'!$C$8&gt;INDEX('How This Works &amp; Sources'!$B$155:$J$162,0,1))*($D40*'Your Pay &amp; Benefits'!$C$8-INDEX('How This Works &amp; Sources'!$B$155:$J$162,0,1))*INDEX('How This Works &amp; Sources'!$B$155:$J$162,0,1+2))))))/'Your Pay &amp; Benefits'!$C$8,IF($AN40="NY",0.117*$D40,IF($AN40="OH",0.0275*$D40,IF($AN40="OK",0.045*$D40,IF($AN40="OR",0.08*$D40,IF($AN40="WI",IF($AY40&lt;12760,0.0354,IF($AY40&lt;25520,0.0465,IF($AY40&lt;280950,0.053,0.0765)))*$D40,0))))))))))))))))))))</f>
      </c>
      <c r="BD40" s="7">
        <f>IF($B40="","",$BD39+$Q40+$R40+$S40)</f>
      </c>
      <c r="BE40" s="6">
        <f>IF($B40="",$BE39,$BE39+$BF40)</f>
      </c>
      <c r="BF40" s="6">
        <f>IF($B40="","",IF(AND(IF(YEAR(IF('Your Pay &amp; Benefits'!$C$7="Weekly",'Your Pay &amp; Benefits'!$C$9+7*(($BE39+1)-1),IF('Your Pay &amp; Benefits'!$C$7="Biweekly",'Your Pay &amp; Benefits'!$C$9+14*(($BE39+1)-1),IF('Your Pay &amp; Benefits'!$C$7="Semimonthly",DATE(YEAR('Your Pay &amp; Benefits'!$C$9),MONTH('Your Pay &amp; Benefits'!$C$9)+INT((($BE39+1)-1)/2),MIN(DAY('Your Pay &amp; Benefits'!$C$9),DAY(EOMONTH(DATE(YEAR('Your Pay &amp; Benefits'!$C$9),MONTH('Your Pay &amp; Benefits'!$C$9)+INT((($BE39+1)-1)/2),1),0))))+IF(MOD(($BE39+1)-1,2)=1,15,0),EDATE('Your Pay &amp; Benefits'!$C$9,($BE39+1)-1)))))&lt;&gt;'Your Pay &amp; Benefits'!$C$10,"",IF('Your Pay &amp; Benefits'!$C$7="Weekly",'Your Pay &amp; Benefits'!$C$9+7*(($BE39+1)-1),IF('Your Pay &amp; Benefits'!$C$7="Biweekly",'Your Pay &amp; Benefits'!$C$9+14*(($BE39+1)-1),IF('Your Pay &amp; Benefits'!$C$7="Semimonthly",DATE(YEAR('Your Pay &amp; Benefits'!$C$9),MONTH('Your Pay &amp; Benefits'!$C$9)+INT((($BE39+1)-1)/2),MIN(DAY('Your Pay &amp; Benefits'!$C$9),DAY(EOMONTH(DATE(YEAR('Your Pay &amp; Benefits'!$C$9),MONTH('Your Pay &amp; Benefits'!$C$9)+INT((($BE39+1)-1)/2),1),0))))+IF(MOD(($BE39+1)-1,2)=1,15,0),EDATE('Your Pay &amp; Benefits'!$C$9,($BE39+1)-1)))))&lt;&gt;"",$B40=IF(YEAR(IF('Your Pay &amp; Benefits'!$C$7="Weekly",'Your Pay &amp; Benefits'!$C$9+7*(($BE39+1)-1),IF('Your Pay &amp; Benefits'!$C$7="Biweekly",'Your Pay &amp; Benefits'!$C$9+14*(($BE39+1)-1),IF('Your Pay &amp; Benefits'!$C$7="Semimonthly",DATE(YEAR('Your Pay &amp; Benefits'!$C$9),MONTH('Your Pay &amp; Benefits'!$C$9)+INT((($BE39+1)-1)/2),MIN(DAY('Your Pay &amp; Benefits'!$C$9),DAY(EOMONTH(DATE(YEAR('Your Pay &amp; Benefits'!$C$9),MONTH('Your Pay &amp; Benefits'!$C$9)+INT((($BE39+1)-1)/2),1),0))))+IF(MOD(($BE39+1)-1,2)=1,15,0),EDATE('Your Pay &amp; Benefits'!$C$9,($BE39+1)-1)))))&lt;&gt;'Your Pay &amp; Benefits'!$C$10,"",IF('Your Pay &amp; Benefits'!$C$7="Weekly",'Your Pay &amp; Benefits'!$C$9+7*(($BE39+1)-1),IF('Your Pay &amp; Benefits'!$C$7="Biweekly",'Your Pay &amp; Benefits'!$C$9+14*(($BE39+1)-1),IF('Your Pay &amp; Benefits'!$C$7="Semimonthly",DATE(YEAR('Your Pay &amp; Benefits'!$C$9),MONTH('Your Pay &amp; Benefits'!$C$9)+INT((($BE39+1)-1)/2),MIN(DAY('Your Pay &amp; Benefits'!$C$9),DAY(EOMONTH(DATE(YEAR('Your Pay &amp; Benefits'!$C$9),MONTH('Your Pay &amp; Benefits'!$C$9)+INT((($BE39+1)-1)/2),1),0))))+IF(MOD(($BE39+1)-1,2)=1,15,0),EDATE('Your Pay &amp; Benefits'!$C$9,($BE39+1)-1)))))),1,0))</f>
      </c>
      <c r="BG40" s="7">
        <f>IF($B40="","",$BG39+$H40)</f>
      </c>
      <c r="BH40" s="7">
        <f>IF($B40="","",$BH39+$I40)</f>
      </c>
      <c r="BI40" s="7">
        <f>IF($B40="","",$BI39+$G40)</f>
      </c>
      <c r="BJ40" s="7">
        <f>IF($B40="","",IFERROR(LOOKUP(2,1/(((('Changes &amp; Events'!$C$6:$C$17="Deduction start"))*('Changes &amp; Events'!$D$6:$D$17="Health FSA"))*('Changes &amp; Events'!$B$6:$B$17&lt;=$B40)*('Changes &amp; Events'!$B$6:$B$17&lt;&gt;"")),'Changes &amp; Events'!$E$6:$E$17),'Your Pay &amp; Benefits'!$D$38))</f>
      </c>
      <c r="BK40" s="7">
        <f>IF($B40="","",IFERROR(LOOKUP(2,1/(((('Changes &amp; Events'!$C$6:$C$17="Deduction start"))*('Changes &amp; Events'!$D$6:$D$17="Dependent-care FSA"))*('Changes &amp; Events'!$B$6:$B$17&lt;=$B40)*('Changes &amp; Events'!$B$6:$B$17&lt;&gt;"")),'Changes &amp; Events'!$E$6:$E$17),'Your Pay &amp; Benefits'!$D$39))</f>
      </c>
      <c r="BL40" s="7">
        <f>IF($B40="","",IFERROR(LOOKUP(2,1/(((('Changes &amp; Events'!$C$6:$C$17="Deduction start")+('Changes &amp; Events'!$C$6:$C$17="Deduction stop"))*('Changes &amp; Events'!$D$6:$D$17="HSA"))*('Changes &amp; Events'!$B$6:$B$17&lt;=$B40)*('Changes &amp; Events'!$B$6:$B$17&lt;&gt;"")),'Changes &amp; Events'!$I$6:$I$17),'Your Pay &amp; Benefits'!$D$35))</f>
      </c>
      <c r="BM40" s="7">
        <f>IF($B40="","",IFERROR(LOOKUP(2,1/(((('Changes &amp; Events'!$C$6:$C$17="Deduction start")+('Changes &amp; Events'!$C$6:$C$17="Deduction stop"))*('Changes &amp; Events'!$D$6:$D$17="Premiums"))*('Changes &amp; Events'!$B$6:$B$17&lt;=$B40)*('Changes &amp; Events'!$B$6:$B$17&lt;&gt;"")),'Changes &amp; Events'!$I$6:$I$17),'Your Pay &amp; Benefits'!$D$40+'Your Pay &amp; Benefits'!$D$41+'Your Pay &amp; Benefits'!$D$42))</f>
      </c>
      <c r="BN40" s="7">
        <f>IF($B40="","",IFERROR(LOOKUP(2,1/(((('Changes &amp; Events'!$C$6:$C$17="Deduction start")+('Changes &amp; Events'!$C$6:$C$17="Deduction stop"))*('Changes &amp; Events'!$D$6:$D$17="Commuter"))*('Changes &amp; Events'!$B$6:$B$17&lt;=$B40)*('Changes &amp; Events'!$B$6:$B$17&lt;&gt;"")),'Changes &amp; Events'!$I$6:$I$17),'Your Pay &amp; Benefits'!$D$43))</f>
      </c>
      <c r="BO40" s="7">
        <f>IF($B40="","",IFERROR(LOOKUP(2,1/(((('Changes &amp; Events'!$C$6:$C$17="Deduction start")+('Changes &amp; Events'!$C$6:$C$17="Deduction stop"))*('Changes &amp; Events'!$D$6:$D$17="Other pre-tax"))*('Changes &amp; Events'!$B$6:$B$17&lt;=$B40)*('Changes &amp; Events'!$B$6:$B$17&lt;&gt;"")),'Changes &amp; Events'!$I$6:$I$17),'Your Pay &amp; Benefits'!$D$44))</f>
      </c>
      <c r="BP40" s="7">
        <f>IF($B40="","",IFERROR(LOOKUP(2,1/(((('Changes &amp; Events'!$C$6:$C$17="Deduction start")+('Changes &amp; Events'!$C$6:$C$17="Deduction stop"))*('Changes &amp; Events'!$D$6:$D$17="Other post-tax"))*('Changes &amp; Events'!$B$6:$B$17&lt;=$B40)*('Changes &amp; Events'!$B$6:$B$17&lt;&gt;"")),'Changes &amp; Events'!$I$6:$I$17),'Your Pay &amp; Benefits'!$D$45))</f>
      </c>
      <c r="BQ40" s="6">
        <f>IF($B40="","",IFERROR(LOOKUP(2,1/(((('Changes &amp; Events'!$C$6:$C$17="Deduction start")+('Changes &amp; Events'!$C$6:$C$17="Deduction stop"))*('Changes &amp; Events'!$D$6:$D$17="Health FSA"))*('Changes &amp; Events'!$B$6:$B$17&lt;=$B40)*('Changes &amp; Events'!$B$6:$B$17&lt;&gt;"")),'Changes &amp; Events'!$J$6:$J$17),0))</f>
      </c>
      <c r="BR40" s="6">
        <f>IF($B40="","",IFERROR(LOOKUP(2,1/(((('Changes &amp; Events'!$C$6:$C$17="Deduction start")+('Changes &amp; Events'!$C$6:$C$17="Deduction stop"))*('Changes &amp; Events'!$D$6:$D$17="Dependent-care FSA"))*('Changes &amp; Events'!$B$6:$B$17&lt;=$B40)*('Changes &amp; Events'!$B$6:$B$17&lt;&gt;"")),'Changes &amp; Events'!$J$6:$J$17),0))</f>
      </c>
      <c r="BS40" s="6">
        <f>IF($B40="","",IF(SUMPRODUCT(('Changes &amp; Events'!$C$6:$C$17="Deduction start")*('Changes &amp; Events'!$B$6:$B$17&lt;=$B40)*('Changes &amp; Events'!$B$6:$B$17&lt;&gt;"")*('Changes &amp; Events'!$D$6:$D$17="Health FSA"))&gt;0,1,0))</f>
      </c>
      <c r="BT40" s="6">
        <f>IF($B40="","",IF(SUMPRODUCT(('Changes &amp; Events'!$C$6:$C$17="Deduction start")*('Changes &amp; Events'!$B$6:$B$17&lt;=$B40)*('Changes &amp; Events'!$B$6:$B$17&lt;&gt;"")*('Changes &amp; Events'!$D$6:$D$17="Dependent-care FSA"))&gt;0,1,0))</f>
      </c>
      <c r="BU40" s="24">
        <f>IF($B40="","",IF('Your Pay &amp; Benefits'!$C$13,SUMPRODUCT(($AH40&gt;=INDEX('How This Works &amp; Sources'!$B$29:$J$36,0,IF('Your Pay &amp; Benefits'!$C$12="MFJ",1,IF('Your Pay &amp; Benefits'!$C$12="HoH",7,4))))*INDEX('How This Works &amp; Sources'!$B$29:$J$36,0,IF('Your Pay &amp; Benefits'!$C$12="MFJ",1,IF('Your Pay &amp; Benefits'!$C$12="HoH",7,4))+2)),SUMPRODUCT(($AH40&gt;=INDEX('How This Works &amp; Sources'!$B$19:$J$26,0,IF('Your Pay &amp; Benefits'!$C$12="MFJ",1,IF('Your Pay &amp; Benefits'!$C$12="HoH",7,4))))*INDEX('How This Works &amp; Sources'!$B$19:$J$26,0,IF('Your Pay &amp; Benefits'!$C$12="MFJ",1,IF('Your Pay &amp; Benefits'!$C$12="HoH",7,4))+2))))</f>
      </c>
      <c r="BV40" s="24">
        <f>IF($B40="","",IF($BZ40&lt;&gt;"",$BZ40,IF($CA40&lt;&gt;"",$CA40,IF($CB40&lt;&gt;"",$CB40,IF($CC40&lt;&gt;"",$CC40,0)))))</f>
      </c>
      <c r="BW40" s="7">
        <f>IF($B40="","",IF($AN40="MD",IF(OR($AU40="Married",$AU40="Head of household"),SUMPRODUCT(($AZ40&gt;INDEX('How This Works &amp; Sources'!$B$114:$J$120,0,1))*($AZ40-INDEX('How This Works &amp; Sources'!$B$114:$J$120,0,1))*INDEX('How This Works &amp; Sources'!$B$114:$J$120,0,1+2)),SUMPRODUCT(($AZ40&gt;INDEX('How This Works &amp; Sources'!$B$103:$J$109,0,7))*($AZ40-INDEX('How This Works &amp; Sources'!$B$103:$J$109,0,7))*INDEX('How This Works &amp; Sources'!$B$103:$J$109,0,7+2))),IF($AN40="MO",SUMPRODUCT(($AZ40&gt;INDEX('How This Works &amp; Sources'!$B$125:$J$132,0,1))*($AZ40-INDEX('How This Works &amp; Sources'!$B$125:$J$132,0,1))*INDEX('How This Works &amp; Sources'!$B$125:$J$132,0,1+2)),IF($AN40="MT",IF($AU40="Head of household",SUMPRODUCT(($AZ40&gt;INDEX('How This Works &amp; Sources'!$B$137:$J$139,0,1))*($AZ40-INDEX('How This Works &amp; Sources'!$B$137:$J$139,0,1))*INDEX('How This Works &amp; Sources'!$B$137:$J$139,0,1+2)),IF($AU40="Married",SUMPRODUCT(($AZ40&gt;INDEX('How This Works &amp; Sources'!$B$125:$J$132,0,7))*($AZ40-INDEX('How This Works &amp; Sources'!$B$125:$J$132,0,7))*INDEX('How This Works &amp; Sources'!$B$125:$J$132,0,7+2)),SUMPRODUCT(($AZ40&gt;INDEX('How This Works &amp; Sources'!$B$125:$J$132,0,4))*($AZ40-INDEX('How This Works &amp; Sources'!$B$125:$J$132,0,4))*INDEX('How This Works &amp; Sources'!$B$125:$J$132,0,4+2)))),IF($AN40="ND",IF($AU40="Head of household",SUMPRODUCT(($AZ40&gt;INDEX('How This Works &amp; Sources'!$B$144:$J$150,0,1))*($AZ40-INDEX('How This Works &amp; Sources'!$B$144:$J$150,0,1))*INDEX('How This Works &amp; Sources'!$B$144:$J$150,0,1+2)),IF($AU40="Married",SUMPRODUCT(($AZ40&gt;INDEX('How This Works &amp; Sources'!$B$137:$J$139,0,7))*($AZ40-INDEX('How This Works &amp; Sources'!$B$137:$J$139,0,7))*INDEX('How This Works &amp; Sources'!$B$137:$J$139,0,7+2)),SUMPRODUCT(($AZ40&gt;INDEX('How This Works &amp; Sources'!$B$137:$J$139,0,4))*($AZ40-INDEX('How This Works &amp; Sources'!$B$137:$J$139,0,4))*INDEX('How This Works &amp; Sources'!$B$137:$J$139,0,4+2)))),IF($AN40="NJ",IF('Your Pay &amp; Benefits'!$C$77="B",SUMPRODUCT(($AZ40&gt;INDEX('How This Works &amp; Sources'!$B$155:$J$162,0,4))*($AZ40-INDEX('How This Works &amp; Sources'!$B$155:$J$162,0,4))*INDEX('How This Works &amp; Sources'!$B$155:$J$162,0,4+2)),IF('Your Pay &amp; Benefits'!$C$77="C",SUMPRODUCT(($AZ40&gt;INDEX('How This Works &amp; Sources'!$B$155:$J$162,0,7))*($AZ40-INDEX('How This Works &amp; Sources'!$B$155:$J$162,0,7))*INDEX('How This Works &amp; Sources'!$B$155:$J$162,0,7+2)),IF('Your Pay &amp; Benefits'!$C$77="D",SUMPRODUCT(($AZ40&gt;INDEX('How This Works &amp; Sources'!$B$167:$J$179,0,1))*($AZ40-INDEX('How This Works &amp; Sources'!$B$167:$J$179,0,1))*INDEX('How This Works &amp; Sources'!$B$167:$J$179,0,1+2)),IF('Your Pay &amp; Benefits'!$C$77="E",SUMPRODUCT(($AZ40&gt;INDEX('How This Works &amp; Sources'!$B$167:$J$179,0,4))*($AZ40-INDEX('How This Works &amp; Sources'!$B$167:$J$179,0,4))*INDEX('How This Works &amp; Sources'!$B$167:$J$179,0,4+2)),SUMPRODUCT(($AZ40&gt;INDEX('How This Works &amp; Sources'!$B$155:$J$162,0,1))*($AZ40-INDEX('How This Works &amp; Sources'!$B$155:$J$162,0,1))*INDEX('How This Works &amp; Sources'!$B$155:$J$162,0,1+2)))))),IF($AN40="NY",IF($AU40="Married",IF($AZ40&gt;=2155350,$AZ40*IF($AZ40&gt;25000000,0.117,IF($AZ40&gt;5000000,0.111,0.1045)),SUMPRODUCT(($AZ40&gt;INDEX('How This Works &amp; Sources'!$B$184:$J$198,0,1))*($AZ40-INDEX('How This Works &amp; Sources'!$B$184:$J$198,0,1))*INDEX('How This Works &amp; Sources'!$B$184:$J$198,0,1+2))),IF($AZ40&gt;=1077550,$AZ40*IF($AZ40&gt;25000000,0.117,IF($AZ40&gt;5000000,0.111,0.1045)),SUMPRODUCT(($AZ40&gt;INDEX('How This Works &amp; Sources'!$B$167:$J$179,0,7))*($AZ40-INDEX('How This Works &amp; Sources'!$B$167:$J$179,0,7))*INDEX('How This Works &amp; Sources'!$B$167:$J$179,0,7+2)))),"")))))))</f>
      </c>
      <c r="BX40" s="7">
        <f>IF($B40="","",IF($AN40="AL",IF(OR($AU40="Married",$AU40="Head of household"),SUMPRODUCT(($AZ40&gt;INDEX('How This Works &amp; Sources'!$B$82:$J$86,0,4))*($AZ40-INDEX('How This Works &amp; Sources'!$B$82:$J$86,0,4))*INDEX('How This Works &amp; Sources'!$B$82:$J$86,0,4+2)),SUMPRODUCT(($AZ40&gt;INDEX('How This Works &amp; Sources'!$B$82:$J$86,0,1))*($AZ40-INDEX('How This Works &amp; Sources'!$B$82:$J$86,0,1))*INDEX('How This Works &amp; Sources'!$B$82:$J$86,0,1+2))),IF($AN40="KS",IF($AU40="Married",SUMPRODUCT(($AZ40&gt;INDEX('How This Works &amp; Sources'!$B$103:$J$109,0,4))*($AZ40-INDEX('How This Works &amp; Sources'!$B$103:$J$109,0,4))*INDEX('How This Works &amp; Sources'!$B$103:$J$109,0,4+2)),SUMPRODUCT(($AZ40&gt;INDEX('How This Works &amp; Sources'!$B$103:$J$109,0,1))*($AZ40-INDEX('How This Works &amp; Sources'!$B$103:$J$109,0,1))*INDEX('How This Works &amp; Sources'!$B$103:$J$109,0,1+2))),IF($AN40="MN",IF($AU40="Married",SUMPRODUCT(($AZ40&gt;INDEX('How This Works &amp; Sources'!$B$114:$J$120,0,7))*($AZ40-INDEX('How This Works &amp; Sources'!$B$114:$J$120,0,7))*INDEX('How This Works &amp; Sources'!$B$114:$J$120,0,7+2)),SUMPRODUCT(($AZ40&gt;INDEX('How This Works &amp; Sources'!$B$114:$J$120,0,4))*($AZ40-INDEX('How This Works &amp; Sources'!$B$114:$J$120,0,4))*INDEX('How This Works &amp; Sources'!$B$114:$J$120,0,4+2))),IF($AN40="NE",MAX(IF($AU40="Married",SUMPRODUCT(($AZ40&gt;INDEX('How This Works &amp; Sources'!$B$144:$J$150,0,7))*($AZ40-INDEX('How This Works &amp; Sources'!$B$144:$J$150,0,7))*INDEX('How This Works &amp; Sources'!$B$144:$J$150,0,7+2)),SUMPRODUCT(($AZ40&gt;INDEX('How This Works &amp; Sources'!$B$144:$J$150,0,4))*($AZ40-INDEX('How This Works &amp; Sources'!$B$144:$J$150,0,4))*INDEX('How This Works &amp; Sources'!$B$144:$J$150,0,4+2))),0.015*$AZ40),IF($AN40="OH",IF($B40&gt;=DATE(2026,8,1),SUMPRODUCT(($AZ40&gt;INDEX('How This Works &amp; Sources'!$B$203:$J$206,0,1))*($AZ40-INDEX('How This Works &amp; Sources'!$B$203:$J$206,0,1))*INDEX('How This Works &amp; Sources'!$B$203:$J$206,0,1+2)),SUMPRODUCT(($AZ40&gt;INDEX('How This Works &amp; Sources'!$B$184:$J$198,0,7))*($AZ40-INDEX('How This Works &amp; Sources'!$B$184:$J$198,0,7))*INDEX('How This Works &amp; Sources'!$B$184:$J$198,0,7+2))),IF($AN40="OK",IF($AU40="Married",SUMPRODUCT(($AZ40&gt;INDEX('How This Works &amp; Sources'!$B$203:$J$206,0,7))*($AZ40-INDEX('How This Works &amp; Sources'!$B$203:$J$206,0,7))*INDEX('How This Works &amp; Sources'!$B$203:$J$206,0,7+2)),SUMPRODUCT(($AZ40&gt;INDEX('How This Works &amp; Sources'!$B$203:$J$206,0,4))*($AZ40-INDEX('How This Works &amp; Sources'!$B$203:$J$206,0,4))*INDEX('How This Works &amp; Sources'!$B$203:$J$206,0,4+2))),IF($AN40="RI",SUMPRODUCT(($AZ40&gt;INDEX('How This Works &amp; Sources'!$B$211:$J$214,0,7))*($AZ40-INDEX('How This Works &amp; Sources'!$B$211:$J$214,0,7))*INDEX('How This Works &amp; Sources'!$B$211:$J$214,0,7+2)),IF($AN40="VT",IF($AU40="Married",SUMPRODUCT(($AZ40&gt;INDEX('How This Works &amp; Sources'!$B$228:$J$232,0,1))*($AZ40-INDEX('How This Works &amp; Sources'!$B$228:$J$232,0,1))*INDEX('How This Works &amp; Sources'!$B$228:$J$232,0,1+2)),SUMPRODUCT(($AZ40&gt;INDEX('How This Works &amp; Sources'!$B$219:$J$223,0,7))*($AZ40-INDEX('How This Works &amp; Sources'!$B$219:$J$223,0,7))*INDEX('How This Works &amp; Sources'!$B$219:$J$223,0,7+2))),IF($AN40="WV",IF($AU40="Married",SUMPRODUCT(($AZ40&gt;INDEX('How This Works &amp; Sources'!$B$237:$J$241,0,7))*($AZ40-INDEX('How This Works &amp; Sources'!$B$237:$J$241,0,7))*INDEX('How This Works &amp; Sources'!$B$237:$J$241,0,7+2)),SUMPRODUCT(($AZ40&gt;INDEX('How This Works &amp; Sources'!$B$228:$J$232,0,7))*($AZ40-INDEX('How This Works &amp; Sources'!$B$228:$J$232,0,7))*INDEX('How This Works &amp; Sources'!$B$228:$J$232,0,7+2))),""))))))))))</f>
      </c>
      <c r="BY40" s="7">
        <f>IF($B40="","",IF($AN40="AR",SUMPRODUCT(($AZ40&gt;INDEX('How This Works &amp; Sources'!$B$82:$J$86,0,7))*($AZ40-INDEX('How This Works &amp; Sources'!$B$82:$J$86,0,7))*INDEX('How This Works &amp; Sources'!$B$82:$J$86,0,7+2)),IF($AN40="DE",SUMPRODUCT(($AZ40&gt;INDEX('How This Works &amp; Sources'!$B$91:$J$98,0,1))*($AZ40-INDEX('How This Works &amp; Sources'!$B$91:$J$98,0,1))*INDEX('How This Works &amp; Sources'!$B$91:$J$98,0,1+2)),IF($AN40="HI",IF($AU40="Married",SUMPRODUCT(($AZ40&gt;INDEX('How This Works &amp; Sources'!$B$91:$J$98,0,7))*($AZ40-INDEX('How This Works &amp; Sources'!$B$91:$J$98,0,7))*INDEX('How This Works &amp; Sources'!$B$91:$J$98,0,7+2)),SUMPRODUCT(($AZ40&gt;INDEX('How This Works &amp; Sources'!$B$91:$J$98,0,4))*($AZ40-INDEX('How This Works &amp; Sources'!$B$91:$J$98,0,4))*INDEX('How This Works &amp; Sources'!$B$91:$J$98,0,4+2))),IF($AN40="SC",SUMPRODUCT(($AZ40&gt;INDEX('How This Works &amp; Sources'!$B$219:$J$223,0,1))*($AZ40-INDEX('How This Works &amp; Sources'!$B$219:$J$223,0,1))*INDEX('How This Works &amp; Sources'!$B$219:$J$223,0,1+2)),IF($AN40="VA",SUMPRODUCT(($AZ40&gt;INDEX('How This Works &amp; Sources'!$B$219:$J$223,0,4))*($AZ40-INDEX('How This Works &amp; Sources'!$B$219:$J$223,0,4))*INDEX('How This Works &amp; Sources'!$B$219:$J$223,0,4+2)),IF($AN40="WI",SUMPRODUCT(($AZ40&gt;INDEX('How This Works &amp; Sources'!$B$228:$J$232,0,4))*($AZ40-INDEX('How This Works &amp; Sources'!$B$228:$J$232,0,4))*INDEX('How This Works &amp; Sources'!$B$228:$J$232,0,4+2)),"")))))))</f>
      </c>
      <c r="BZ40" s="24">
        <f>IF($B40="","",IF($AN40="NJ",IF('Your Pay &amp; Benefits'!$C$77="B",SUMPRODUCT(($AZ40&gt;=INDEX('How This Works &amp; Sources'!$B$155:$J$162,0,4))*INDEX('How This Works &amp; Sources'!$B$155:$J$162,0,4+2)),IF('Your Pay &amp; Benefits'!$C$77="C",SUMPRODUCT(($AZ40&gt;=INDEX('How This Works &amp; Sources'!$B$155:$J$162,0,7))*INDEX('How This Works &amp; Sources'!$B$155:$J$162,0,7+2)),IF('Your Pay &amp; Benefits'!$C$77="D",SUMPRODUCT(($AZ40&gt;=INDEX('How This Works &amp; Sources'!$B$167:$J$179,0,1))*INDEX('How This Works &amp; Sources'!$B$167:$J$179,0,1+2)),IF('Your Pay &amp; Benefits'!$C$77="E",SUMPRODUCT(($AZ40&gt;=INDEX('How This Works &amp; Sources'!$B$167:$J$179,0,4))*INDEX('How This Works &amp; Sources'!$B$167:$J$179,0,4+2)),SUMPRODUCT(($AZ40&gt;=INDEX('How This Works &amp; Sources'!$B$155:$J$162,0,1))*INDEX('How This Works &amp; Sources'!$B$155:$J$162,0,1+2)))))),IF($AN40="OR",IF(OR($AU40="Married",AND($AU40="Single",$AS40&gt;=3)),SUMPRODUCT((MAX(0,$AY40-MIN(($P40-'How This Works &amp; Sources'!$C$10*$D40)*'Your Pay &amp; Benefits'!$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Sources'!$B$211:$J$214,0,4))*INDEX('How This Works &amp; Sources'!$B$211:$J$214,0,4+2)),SUMPRODUCT((MAX(0,$AY40-MIN(($P40-'How This Works &amp; Sources'!$C$10*$D40)*'Your Pay &amp; Benefits'!$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Sources'!$B$211:$J$214,0,1))*INDEX('How This Works &amp; Sources'!$B$211:$J$214,0,1+2)))*IF(($P40-'How This Works &amp; Sources'!$C$10*$D40)*'Your Pay &amp; Benefits'!$C$8&gt;=IF(OR($AU40="Married",AND($AU40="Single",$AS40&gt;=3)),IF($AY40&lt;250000,8750,IF($AY40&lt;260000,7000,IF($AY40&lt;270000,5250,IF($AY40&lt;280000,3500,IF($AY40&lt;290000,1750,0))))),IF($AY40&lt;125000,8750,IF($AY40&lt;130000,7000,IF($AY40&lt;135000,5250,IF($AY40&lt;140000,3500,IF($AY40&lt;145000,1750,0)))))),1,1-IF('Your Pay &amp; Benefits'!$C$13,SUMPRODUCT(($AH40&gt;=INDEX('How This Works &amp; Sources'!$B$29:$J$36,0,IF('Your Pay &amp; Benefits'!$C$12="MFJ",1,IF('Your Pay &amp; Benefits'!$C$12="HoH",7,4))))*INDEX('How This Works &amp; Sources'!$B$29:$J$36,0,IF('Your Pay &amp; Benefits'!$C$12="MFJ",1,IF('Your Pay &amp; Benefits'!$C$12="HoH",7,4))+2)),SUMPRODUCT(($AH40&gt;=INDEX('How This Works &amp; Sources'!$B$19:$J$26,0,IF('Your Pay &amp; Benefits'!$C$12="MFJ",1,IF('Your Pay &amp; Benefits'!$C$12="HoH",7,4))))*INDEX('How This Works &amp; Sources'!$B$19:$J$26,0,IF('Your Pay &amp; Benefits'!$C$12="MFJ",1,IF('Your Pay &amp; Benefits'!$C$12="HoH",7,4))+2)))),IF($AN40="MI",IF($AY40&gt;5900*$AS40,0.0425,0),""))))</f>
      </c>
      <c r="CA40" s="24">
        <f>IF($B40="","",IF($AN40="AL",IF(OR($AU40="Married",$AU40="Head of household"),SUMPRODUCT(($AZ40&gt;=INDEX('How This Works &amp; Sources'!$B$82:$J$86,0,4))*INDEX('How This Works &amp; Sources'!$B$82:$J$86,0,4+2)),SUMPRODUCT(($AZ40&gt;=INDEX('How This Works &amp; Sources'!$B$82:$J$86,0,1))*INDEX('How This Works &amp; Sources'!$B$82:$J$86,0,1+2)))*(1-IF('Your Pay &amp; Benefits'!$C$13,SUMPRODUCT(($AH40&gt;=INDEX('How This Works &amp; Sources'!$B$29:$J$36,0,IF('Your Pay &amp; Benefits'!$C$12="MFJ",1,IF('Your Pay &amp; Benefits'!$C$12="HoH",7,4))))*INDEX('How This Works &amp; Sources'!$B$29:$J$36,0,IF('Your Pay &amp; Benefits'!$C$12="MFJ",1,IF('Your Pay &amp; Benefits'!$C$12="HoH",7,4))+2)),SUMPRODUCT(($AH40&gt;=INDEX('How This Works &amp; Sources'!$B$19:$J$26,0,IF('Your Pay &amp; Benefits'!$C$12="MFJ",1,IF('Your Pay &amp; Benefits'!$C$12="HoH",7,4))))*INDEX('How This Works &amp; Sources'!$B$19:$J$26,0,IF('Your Pay &amp; Benefits'!$C$12="MFJ",1,IF('Your Pay &amp; Benefits'!$C$12="HoH",7,4))+2)))),IF($AN40="KS",IF($AU40="Married",SUMPRODUCT(($AZ40&gt;=INDEX('How This Works &amp; Sources'!$B$103:$J$109,0,4))*INDEX('How This Works &amp; Sources'!$B$103:$J$109,0,4+2)),SUMPRODUCT(($AZ40&gt;=INDEX('How This Works &amp; Sources'!$B$103:$J$109,0,1))*INDEX('How This Works &amp; Sources'!$B$103:$J$109,0,1+2))),IF($AN40="MD",IF(OR($AU40="Married",$AU40="Head of household"),SUMPRODUCT(($AZ40&gt;=INDEX('How This Works &amp; Sources'!$B$114:$J$120,0,1))*INDEX('How This Works &amp; Sources'!$B$114:$J$120,0,1+2)),SUMPRODUCT(($AZ40&gt;=INDEX('How This Works &amp; Sources'!$B$103:$J$109,0,7))*INDEX('How This Works &amp; Sources'!$B$103:$J$109,0,7+2)))+'Your Pay &amp; Benefits'!$C$74,IF($AN40="MT",IF($AU40="Head of household",SUMPRODUCT(($AZ40&gt;=INDEX('How This Works &amp; Sources'!$B$137:$J$139,0,1))*INDEX('How This Works &amp; Sources'!$B$137:$J$139,0,1+2)),IF($AU40="Married",SUMPRODUCT(($AZ40&gt;=INDEX('How This Works &amp; Sources'!$B$125:$J$132,0,7))*INDEX('How This Works &amp; Sources'!$B$125:$J$132,0,7+2)),SUMPRODUCT(($AZ40&gt;=INDEX('How This Works &amp; Sources'!$B$125:$J$132,0,4))*INDEX('How This Works &amp; Sources'!$B$125:$J$132,0,4+2)))),IF($AN40="ND",IF($AU40="Head of household",SUMPRODUCT(($AZ40&gt;=INDEX('How This Works &amp; Sources'!$B$144:$J$150,0,1))*INDEX('How This Works &amp; Sources'!$B$144:$J$150,0,1+2)),IF($AU40="Married",SUMPRODUCT(($AZ40&gt;=INDEX('How This Works &amp; Sources'!$B$137:$J$139,0,7))*INDEX('How This Works &amp; Sources'!$B$137:$J$139,0,7+2)),SUMPRODUCT(($AZ40&gt;=INDEX('How This Works &amp; Sources'!$B$137:$J$139,0,4))*INDEX('How This Works &amp; Sources'!$B$137:$J$139,0,4+2)))),IF($AN40="NY",IF($AU40="Married",IF($AZ40&gt;=2155350,IF($AZ40&gt;25000000,0.117,IF($AZ40&gt;5000000,0.111,0.1045)),SUMPRODUCT(($AZ40&gt;=INDEX('How This Works &amp; Sources'!$B$184:$J$198,0,1))*INDEX('How This Works &amp; Sources'!$B$184:$J$198,0,1+2))),IF($AZ40&gt;=1077550,IF($AZ40&gt;25000000,0.117,IF($AZ40&gt;5000000,0.111,0.1045)),SUMPRODUCT(($AZ40&gt;=INDEX('How This Works &amp; Sources'!$B$167:$J$179,0,7))*INDEX('How This Works &amp; Sources'!$B$167:$J$179,0,7+2)))),"")))))))</f>
      </c>
      <c r="CB40" s="24">
        <f>IF($B40="","",IF($AN40="CA",SUMPRODUCT(($AJ40&gt;=INDEX('How This Works &amp; Sources'!$B$39:$J$48,0,IF($AU40="Married",4,IF($AU40="Head of household",7,1))))*INDEX('How This Works &amp; Sources'!$B$39:$J$48,0,IF($AU40="Married",4,IF($AU40="Head of household",7,1))+2)),IF($AN40="HI",IF($AU40="Married",SUMPRODUCT(($AZ40&gt;=INDEX('How This Works &amp; Sources'!$B$91:$J$98,0,7))*INDEX('How This Works &amp; Sources'!$B$91:$J$98,0,7+2)),SUMPRODUCT(($AZ40&gt;=INDEX('How This Works &amp; Sources'!$B$91:$J$98,0,4))*INDEX('How This Works &amp; Sources'!$B$91:$J$98,0,4+2))),IF($AN40="MN",IF($AU40="Married",SUMPRODUCT(($AZ40&gt;=INDEX('How This Works &amp; Sources'!$B$114:$J$120,0,7))*INDEX('How This Works &amp; Sources'!$B$114:$J$120,0,7+2)),SUMPRODUCT(($AZ40&gt;=INDEX('How This Works &amp; Sources'!$B$114:$J$120,0,4))*INDEX('How This Works &amp; Sources'!$B$114:$J$120,0,4+2))),IF($AN40="MO",SUMPRODUCT(($AZ40&gt;=INDEX('How This Works &amp; Sources'!$B$125:$J$132,0,1))*INDEX('How This Works &amp; Sources'!$B$125:$J$132,0,1+2)),IF($AN40="NE",MAX(IF($AU40="Married",SUMPRODUCT(($AZ40&gt;=INDEX('How This Works &amp; Sources'!$B$144:$J$150,0,7))*INDEX('How This Works &amp; Sources'!$B$144:$J$150,0,7+2)),SUMPRODUCT(($AZ40&gt;=INDEX('How This Works &amp; Sources'!$B$144:$J$150,0,4))*INDEX('How This Works &amp; Sources'!$B$144:$J$150,0,4+2))),0.015),IF($AN40="OH",IF($B40&gt;=DATE(2026,8,1),SUMPRODUCT(($AZ40&gt;=INDEX('How This Works &amp; Sources'!$B$203:$J$206,0,1))*INDEX('How This Works &amp; Sources'!$B$203:$J$206,0,1+2)),SUMPRODUCT(($AZ40&gt;=INDEX('How This Works &amp; Sources'!$B$184:$J$198,0,7))*INDEX('How This Works &amp; Sources'!$B$184:$J$198,0,7+2))),IF($AN40="OK",IF($AU40="Married",SUMPRODUCT(($AZ40&gt;=INDEX('How This Works &amp; Sources'!$B$203:$J$206,0,7))*INDEX('How This Works &amp; Sources'!$B$203:$J$206,0,7+2)),SUMPRODUCT(($AZ40&gt;=INDEX('How This Works &amp; Sources'!$B$203:$J$206,0,4))*INDEX('How This Works &amp; Sources'!$B$203:$J$206,0,4+2))),IF($AN40="RI",SUMPRODUCT(($AZ40&gt;=INDEX('How This Works &amp; Sources'!$B$211:$J$214,0,7))*INDEX('How This Works &amp; Sources'!$B$211:$J$214,0,7+2)),IF($AN40="SC",SUMPRODUCT(($AZ40&gt;=INDEX('How This Works &amp; Sources'!$B$219:$J$223,0,1))*INDEX('How This Works &amp; Sources'!$B$219:$J$223,0,1+2)),IF($AN40="VT",IF($AU40="Married",SUMPRODUCT(($AZ40&gt;=INDEX('How This Works &amp; Sources'!$B$228:$J$232,0,1))*INDEX('How This Works &amp; Sources'!$B$228:$J$232,0,1+2)),SUMPRODUCT(($AZ40&gt;=INDEX('How This Works &amp; Sources'!$B$219:$J$223,0,7))*INDEX('How This Works &amp; Sources'!$B$219:$J$223,0,7+2))),IF($AN40="WV",IF($AU40="Married",SUMPRODUCT(($AZ40&gt;=INDEX('How This Works &amp; Sources'!$B$237:$J$241,0,7))*INDEX('How This Works &amp; Sources'!$B$237:$J$241,0,7+2)),SUMPRODUCT(($AZ40&gt;=INDEX('How This Works &amp; Sources'!$B$228:$J$232,0,7))*INDEX('How This Works &amp; Sources'!$B$228:$J$232,0,7+2))),IF($AN40="IN",(0.0295+'Your Pay &amp; Benefits'!$C$76),"")))))))))))))</f>
      </c>
      <c r="CC40" s="24">
        <f>IF($B40="","",IF($AN40="AR",SUMPRODUCT(($AZ40&gt;=INDEX('How This Works &amp; Sources'!$B$82:$J$86,0,7))*INDEX('How This Works &amp; Sources'!$B$82:$J$86,0,7+2)),IF($AN40="DE",SUMPRODUCT(($AZ40&gt;=INDEX('How This Works &amp; Sources'!$B$91:$J$98,0,1))*INDEX('How This Works &amp; Sources'!$B$91:$J$98,0,1+2)),IF($AN40="VA",SUMPRODUCT(($AZ40&gt;=INDEX('How This Works &amp; Sources'!$B$219:$J$223,0,4))*INDEX('How This Works &amp; Sources'!$B$219:$J$223,0,4+2)),IF($AN40="WI",SUMPRODUCT(($AZ40&gt;=INDEX('How This Works &amp; Sources'!$B$228:$J$232,0,4))*INDEX('How This Works &amp; Sources'!$B$228:$J$232,0,4+2)),IF($AN40="AZ",'Your Pay &amp; Benefits'!$C$82,IF($AN40="CO",IF($AY40&gt;IF($AU40="Married",10000,5000),0.044,0),IF($AN40="IA",IF($AY40&gt;IF($AU40="Head of household",19500,IF($AU40="Married",26000,13000)),0.038,0),IF($AN40="ID",IF($AY40&gt;IF($AU40="Married",32000,16094),0.053,0),IF($AN40="IL",IF($AY40&gt;(2925*$AS40+1000*$AT40),0.0495,0),IF($AN40="KY",IF($AI40&gt;3360,0.035,0),IF($AN40="LA",0.0309,IF($AN40="MA",IF(MAX(0,$AY40-MIN(($BD39+$Q40+$R40+$S40),2000)-IF($AS40=0,0,IF($AS40=1,4400,1000*$AS40+3400)))&gt;=1107750,0.09,0.05),IF($AN40="MS",IF($AI40-IF($AU40="Head of household",3400,IF($AU40="Married",4600,2300))-'Your Pay &amp; Benefits'!$C$85&gt;10000,0.04,0),IF($AN40="PA",0.0307,"")))))))))))))))</f>
      </c>
      <c r="CD40" s="21">
        <f>IF(YEAR(IF('Your Pay &amp; Benefits'!$C$7="Weekly",'Your Pay &amp; Benefits'!$C$9+7*(($BE39+1)-1),IF('Your Pay &amp; Benefits'!$C$7="Biweekly",'Your Pay &amp; Benefits'!$C$9+14*(($BE39+1)-1),IF('Your Pay &amp; Benefits'!$C$7="Semimonthly",DATE(YEAR('Your Pay &amp; Benefits'!$C$9),MONTH('Your Pay &amp; Benefits'!$C$9)+INT((($BE39+1)-1)/2),MIN(DAY('Your Pay &amp; Benefits'!$C$9),DAY(EOMONTH(DATE(YEAR('Your Pay &amp; Benefits'!$C$9),MONTH('Your Pay &amp; Benefits'!$C$9)+INT((($BE39+1)-1)/2),1),0))))+IF(MOD(($BE39+1)-1,2)=1,15,0),EDATE('Your Pay &amp; Benefits'!$C$9,($BE39+1)-1)))))&lt;&gt;'Your Pay &amp; Benefits'!$C$10,"",IF('Your Pay &amp; Benefits'!$C$7="Weekly",'Your Pay &amp; Benefits'!$C$9+7*(($BE39+1)-1),IF('Your Pay &amp; Benefits'!$C$7="Biweekly",'Your Pay &amp; Benefits'!$C$9+14*(($BE39+1)-1),IF('Your Pay &amp; Benefits'!$C$7="Semimonthly",DATE(YEAR('Your Pay &amp; Benefits'!$C$9),MONTH('Your Pay &amp; Benefits'!$C$9)+INT((($BE39+1)-1)/2),MIN(DAY('Your Pay &amp; Benefits'!$C$9),DAY(EOMONTH(DATE(YEAR('Your Pay &amp; Benefits'!$C$9),MONTH('Your Pay &amp; Benefits'!$C$9)+INT((($BE39+1)-1)/2),1),0))))+IF(MOD(($BE39+1)-1,2)=1,15,0),EDATE('Your Pay &amp; Benefits'!$C$9,($BE39+1)-1)))))</f>
      </c>
      <c r="CE40" s="21">
        <f>IF(MIN(IF(AND('Your Pay &amp; Benefits'!$C$58&gt;MAX($B$6:$B39),'Your Pay &amp; Benefits'!$C$58&gt;=DATE('Your Pay &amp; Benefits'!$C$10,1,1),'Your Pay &amp; Benefits'!$C$58&lt;=DATE('Your Pay &amp; Benefits'!$C$10,12,31)),'Your Pay &amp; Benefits'!$C$58,999999),IF(AND('Your Pay &amp; Benefits'!$C$59&gt;MAX($B$6:$B39),'Your Pay &amp; Benefits'!$C$59&gt;=DATE('Your Pay &amp; Benefits'!$C$10,1,1),'Your Pay &amp; Benefits'!$C$59&lt;=DATE('Your Pay &amp; Benefits'!$C$10,12,31)),'Your Pay &amp; Benefits'!$C$59,999999),IF(AND('Your Pay &amp; Benefits'!$C$60&gt;MAX($B$6:$B39),'Your Pay &amp; Benefits'!$C$60&gt;=DATE('Your Pay &amp; Benefits'!$C$10,1,1),'Your Pay &amp; Benefits'!$C$60&lt;=DATE('Your Pay &amp; Benefits'!$C$10,12,31)),'Your Pay &amp; Benefits'!$C$60,999999),IF(AND('Your Pay &amp; Benefits'!$C$61&gt;MAX($B$6:$B39),'Your Pay &amp; Benefits'!$C$61&gt;=DATE('Your Pay &amp; Benefits'!$C$10,1,1),'Your Pay &amp; Benefits'!$C$61&lt;=DATE('Your Pay &amp; Benefits'!$C$10,12,31)),'Your Pay &amp; Benefits'!$C$61,999999),IF(AND('Your Pay &amp; Benefits'!$C$62&gt;MAX($B$6:$B39),'Your Pay &amp; Benefits'!$C$62&gt;=DATE('Your Pay &amp; Benefits'!$C$10,1,1),'Your Pay &amp; Benefits'!$C$62&lt;=DATE('Your Pay &amp; Benefits'!$C$10,12,31)),'Your Pay &amp; Benefits'!$C$62,999999),IF(AND('Your Pay &amp; Benefits'!$C$63&gt;MAX($B$6:$B39),'Your Pay &amp; Benefits'!$C$63&gt;=DATE('Your Pay &amp; Benefits'!$C$10,1,1),'Your Pay &amp; Benefits'!$C$63&lt;=DATE('Your Pay &amp; Benefits'!$C$10,12,31)),'Your Pay &amp; Benefits'!$C$63,999999),IF(AND('Your Pay &amp; Benefits'!$C$64&gt;MAX($B$6:$B39),'Your Pay &amp; Benefits'!$C$64&gt;=DATE('Your Pay &amp; Benefits'!$C$10,1,1),'Your Pay &amp; Benefits'!$C$64&lt;=DATE('Your Pay &amp; Benefits'!$C$10,12,31)),'Your Pay &amp; Benefits'!$C$64,999999),IF(AND('Your Pay &amp; Benefits'!$C$65&gt;MAX($B$6:$B39),'Your Pay &amp; Benefits'!$C$65&gt;=DATE('Your Pay &amp; Benefits'!$C$10,1,1),'Your Pay &amp; Benefits'!$C$65&lt;=DATE('Your Pay &amp; Benefits'!$C$10,12,31)),'Your Pay &amp; Benefits'!$C$65,999999),IF(AND('Your Pay &amp; Benefits'!$C$66&gt;MAX($B$6:$B39),'Your Pay &amp; Benefits'!$C$66&gt;=DATE('Your Pay &amp; Benefits'!$C$10,1,1),'Your Pay &amp; Benefits'!$C$66&lt;=DATE('Your Pay &amp; Benefits'!$C$10,12,31)),'Your Pay &amp; Benefits'!$C$66,999999),IF(AND('Your Pay &amp; Benefits'!$C$67&gt;MAX($B$6:$B39),'Your Pay &amp; Benefits'!$C$67&gt;=DATE('Your Pay &amp; Benefits'!$C$10,1,1),'Your Pay &amp; Benefits'!$C$67&lt;=DATE('Your Pay &amp; Benefits'!$C$10,12,31)),'Your Pay &amp; Benefits'!$C$67,999999))=999999,"",MIN(IF(AND('Your Pay &amp; Benefits'!$C$58&gt;MAX($B$6:$B39),'Your Pay &amp; Benefits'!$C$58&gt;=DATE('Your Pay &amp; Benefits'!$C$10,1,1),'Your Pay &amp; Benefits'!$C$58&lt;=DATE('Your Pay &amp; Benefits'!$C$10,12,31)),'Your Pay &amp; Benefits'!$C$58,999999),IF(AND('Your Pay &amp; Benefits'!$C$59&gt;MAX($B$6:$B39),'Your Pay &amp; Benefits'!$C$59&gt;=DATE('Your Pay &amp; Benefits'!$C$10,1,1),'Your Pay &amp; Benefits'!$C$59&lt;=DATE('Your Pay &amp; Benefits'!$C$10,12,31)),'Your Pay &amp; Benefits'!$C$59,999999),IF(AND('Your Pay &amp; Benefits'!$C$60&gt;MAX($B$6:$B39),'Your Pay &amp; Benefits'!$C$60&gt;=DATE('Your Pay &amp; Benefits'!$C$10,1,1),'Your Pay &amp; Benefits'!$C$60&lt;=DATE('Your Pay &amp; Benefits'!$C$10,12,31)),'Your Pay &amp; Benefits'!$C$60,999999),IF(AND('Your Pay &amp; Benefits'!$C$61&gt;MAX($B$6:$B39),'Your Pay &amp; Benefits'!$C$61&gt;=DATE('Your Pay &amp; Benefits'!$C$10,1,1),'Your Pay &amp; Benefits'!$C$61&lt;=DATE('Your Pay &amp; Benefits'!$C$10,12,31)),'Your Pay &amp; Benefits'!$C$61,999999),IF(AND('Your Pay &amp; Benefits'!$C$62&gt;MAX($B$6:$B39),'Your Pay &amp; Benefits'!$C$62&gt;=DATE('Your Pay &amp; Benefits'!$C$10,1,1),'Your Pay &amp; Benefits'!$C$62&lt;=DATE('Your Pay &amp; Benefits'!$C$10,12,31)),'Your Pay &amp; Benefits'!$C$62,999999),IF(AND('Your Pay &amp; Benefits'!$C$63&gt;MAX($B$6:$B39),'Your Pay &amp; Benefits'!$C$63&gt;=DATE('Your Pay &amp; Benefits'!$C$10,1,1),'Your Pay &amp; Benefits'!$C$63&lt;=DATE('Your Pay &amp; Benefits'!$C$10,12,31)),'Your Pay &amp; Benefits'!$C$63,999999),IF(AND('Your Pay &amp; Benefits'!$C$64&gt;MAX($B$6:$B39),'Your Pay &amp; Benefits'!$C$64&gt;=DATE('Your Pay &amp; Benefits'!$C$10,1,1),'Your Pay &amp; Benefits'!$C$64&lt;=DATE('Your Pay &amp; Benefits'!$C$10,12,31)),'Your Pay &amp; Benefits'!$C$64,999999),IF(AND('Your Pay &amp; Benefits'!$C$65&gt;MAX($B$6:$B39),'Your Pay &amp; Benefits'!$C$65&gt;=DATE('Your Pay &amp; Benefits'!$C$10,1,1),'Your Pay &amp; Benefits'!$C$65&lt;=DATE('Your Pay &amp; Benefits'!$C$10,12,31)),'Your Pay &amp; Benefits'!$C$65,999999),IF(AND('Your Pay &amp; Benefits'!$C$66&gt;MAX($B$6:$B39),'Your Pay &amp; Benefits'!$C$66&gt;=DATE('Your Pay &amp; Benefits'!$C$10,1,1),'Your Pay &amp; Benefits'!$C$66&lt;=DATE('Your Pay &amp; Benefits'!$C$10,12,31)),'Your Pay &amp; Benefits'!$C$66,999999),IF(AND('Your Pay &amp; Benefits'!$C$67&gt;MAX($B$6:$B39),'Your Pay &amp; Benefits'!$C$67&gt;=DATE('Your Pay &amp; Benefits'!$C$10,1,1),'Your Pay &amp; Benefits'!$C$67&lt;=DATE('Your Pay &amp; Benefits'!$C$10,12,31)),'Your Pay &amp; Benefits'!$C$67,999999)))</f>
      </c>
      <c r="CF40">
        <f>IF($B40="","",IF($D40=0,$Y40,""))</f>
      </c>
    </row>
    <row r="41">
      <c r="A41" t="n">
        <v>36</v>
      </c>
      <c r="B41" s="21">
        <f>IF(AND($CD41="",$CE41=""),"",IF($CE41="",$CD41,IF($CD41="",$CE41,MIN($CD41,$CE41))))</f>
      </c>
      <c r="C41" s="7">
        <f>IF($B41="","",IF($BF41=0,0,IF('Your Pay &amp; Benefits'!$C$4="Annual salary",ROUND($AK41/IF(AND('Your Pay &amp; Benefits'!$C$88="Actual paydays",MONTH('Your Pay &amp; Benefits'!$C$9)=1),MAX(1,MAX($BE$6:$BE$68)),'Your Pay &amp; Benefits'!$C$8),2),$AK41)))</f>
      </c>
      <c r="D41" s="7">
        <f>IF($B41="","",SUMIF('Your Pay &amp; Benefits'!$C$58:$C$67,$B41,'Your Pay &amp; Benefits'!$D$58:$D$67))</f>
      </c>
      <c r="E41" s="7">
        <f>IF($B41="","",ROUND(MAX(0,MIN(IF($AL41="Percent",$AM41*($C41+$D41),$AM41),MAX(0,'Your Pay &amp; Benefits'!$C$34-$AC40))),2))</f>
      </c>
      <c r="F41" s="7">
        <f>IF($B41="","",ROUND(MAX(0,MIN(IF('Your Pay &amp; Benefits'!$C$32="Percent",'Your Pay &amp; Benefits'!$D$32*($C41+$D41),'Your Pay &amp; Benefits'!$D$32),MAX(0,'Your Pay &amp; Benefits'!$C$34-$AC40-$E41))),2))</f>
      </c>
      <c r="G41" s="7">
        <f>IF($B41="","",IF($BF41=0,0,ROUND(MAX(0,MIN($BL41,'Your Pay &amp; Benefits'!$C$37-'Your Pay &amp; Benefits'!$C$54-$BI40)),2)))</f>
      </c>
      <c r="H41" s="7">
        <f>IF($B41="","",IF(OR($BF41=0,$BQ41=1),0,ROUND(MAX(0,MIN(IF($BS41=1,ROUND(MAX(0,MIN($BJ41,'How This Works &amp; Sources'!$C$13)-$BG40)/MAX(1,MAX($BE$6:$BE$68)-($BE40)),2),ROUND(MIN($BJ41,'How This Works &amp; Sources'!$C$13)/'Your Pay &amp; Benefits'!$C$8,2)),MIN($BJ41,'How This Works &amp; Sources'!$C$13)-$BG40)),2)))</f>
      </c>
      <c r="I41" s="7">
        <f>IF($B41="","",IF(OR($BF41=0,$BR41=1),0,ROUND(MAX(0,MIN(IF($BT41=1,ROUND(MAX(0,MIN($BK41,IF('Your Pay &amp; Benefits'!$C$12="MFJ",'How This Works &amp; Sources'!$C$14,'How This Works &amp; Sources'!$C$15))-$BH40)/MAX(1,MAX($BE$6:$BE$68)-($BE40)),2),ROUND(MIN($BK41,IF('Your Pay &amp; Benefits'!$C$12="MFJ",'How This Works &amp; Sources'!$C$14,'How This Works &amp; Sources'!$C$15))/'Your Pay &amp; Benefits'!$C$8,2)),MIN($BK41,IF('Your Pay &amp; Benefits'!$C$12="MFJ",'How This Works &amp; Sources'!$C$14,'How This Works &amp; Sources'!$C$15))-$BH40)),2)))</f>
      </c>
      <c r="J41" s="7">
        <f>IF($B41="","",IF($BF41=0,0,$BM41))</f>
      </c>
      <c r="K41" s="7">
        <f>IF($B41="","",IF($BF41=0,0,$BN41+$BO41))</f>
      </c>
      <c r="L41" s="7">
        <f>IF($B41="","",IF($BF41=0,0,'Your Pay &amp; Benefits'!$D$46))</f>
      </c>
      <c r="M41" s="7">
        <f>IF($B41="","",$C41+$D41+$L41-$E41-$G41-$H41-$I41-$J41-$K41)</f>
      </c>
      <c r="N41" s="7">
        <f>IF($B41="","",$C41+$D41+$L41-$G41-$H41-$I41-$J41-$K41)</f>
      </c>
      <c r="O41" s="7">
        <f>IF($B41="","",$C41+$D41+$L41-$E41-$H41-$I41-$J41-$K41-IF(OR($AN41="CA",$AN41="NJ"),0,$G41))</f>
      </c>
      <c r="P41" s="7">
        <f>IF($B41="","",IF('Your Pay &amp; Benefits'!$C$18,0,ROUND(MAX(0,IF('Your Pay &amp; Benefits'!$C$13,SUMPRODUCT(($AH41&gt;INDEX('How This Works &amp; Sources'!$B$29:$J$36,0,IF('Your Pay &amp; Benefits'!$C$12="MFJ",1,IF('Your Pay &amp; Benefits'!$C$12="HoH",7,4))))*($AH41-INDEX('How This Works &amp; Sources'!$B$29:$J$36,0,IF('Your Pay &amp; Benefits'!$C$12="MFJ",1,IF('Your Pay &amp; Benefits'!$C$12="HoH",7,4))))*INDEX('How This Works &amp; Sources'!$B$29:$J$36,0,IF('Your Pay &amp; Benefits'!$C$12="MFJ",1,IF('Your Pay &amp; Benefits'!$C$12="HoH",7,4))+2)),SUMPRODUCT(($AH41&gt;INDEX('How This Works &amp; Sources'!$B$19:$J$26,0,IF('Your Pay &amp; Benefits'!$C$12="MFJ",1,IF('Your Pay &amp; Benefits'!$C$12="HoH",7,4))))*($AH41-INDEX('How This Works &amp; Sources'!$B$19:$J$26,0,IF('Your Pay &amp; Benefits'!$C$12="MFJ",1,IF('Your Pay &amp; Benefits'!$C$12="HoH",7,4))))*INDEX('How This Works &amp; Sources'!$B$19:$J$26,0,IF('Your Pay &amp; Benefits'!$C$12="MFJ",1,IF('Your Pay &amp; Benefits'!$C$12="HoH",7,4))+2)))/'Your Pay &amp; Benefits'!$C$8-$AO41/'Your Pay &amp; Benefits'!$C$8)+$AR41+IF('Your Pay &amp; Benefits'!$C$89="Aggregate",MAX(0,IF('Your Pay &amp; Benefits'!$C$13,SUMPRODUCT((($AH41+$D41)&gt;INDEX('How This Works &amp; Sources'!$B$29:$J$36,0,IF('Your Pay &amp; Benefits'!$C$12="MFJ",1,IF('Your Pay &amp; Benefits'!$C$12="HoH",7,4))))*(($AH41+$D41)-INDEX('How This Works &amp; Sources'!$B$29:$J$36,0,IF('Your Pay &amp; Benefits'!$C$12="MFJ",1,IF('Your Pay &amp; Benefits'!$C$12="HoH",7,4))))*INDEX('How This Works &amp; Sources'!$B$29:$J$36,0,IF('Your Pay &amp; Benefits'!$C$12="MFJ",1,IF('Your Pay &amp; Benefits'!$C$12="HoH",7,4))+2)),SUMPRODUCT((($AH41+$D41)&gt;INDEX('How This Works &amp; Sources'!$B$19:$J$26,0,IF('Your Pay &amp; Benefits'!$C$12="MFJ",1,IF('Your Pay &amp; Benefits'!$C$12="HoH",7,4))))*(($AH41+$D41)-INDEX('How This Works &amp; Sources'!$B$19:$J$26,0,IF('Your Pay &amp; Benefits'!$C$12="MFJ",1,IF('Your Pay &amp; Benefits'!$C$12="HoH",7,4))))*INDEX('How This Works &amp; Sources'!$B$19:$J$26,0,IF('Your Pay &amp; Benefits'!$C$12="MFJ",1,IF('Your Pay &amp; Benefits'!$C$12="HoH",7,4))+2)))-IF('Your Pay &amp; Benefits'!$C$13,SUMPRODUCT(($AH41&gt;INDEX('How This Works &amp; Sources'!$B$29:$J$36,0,IF('Your Pay &amp; Benefits'!$C$12="MFJ",1,IF('Your Pay &amp; Benefits'!$C$12="HoH",7,4))))*($AH41-INDEX('How This Works &amp; Sources'!$B$29:$J$36,0,IF('Your Pay &amp; Benefits'!$C$12="MFJ",1,IF('Your Pay &amp; Benefits'!$C$12="HoH",7,4))))*INDEX('How This Works &amp; Sources'!$B$29:$J$36,0,IF('Your Pay &amp; Benefits'!$C$12="MFJ",1,IF('Your Pay &amp; Benefits'!$C$12="HoH",7,4))+2)),SUMPRODUCT(($AH41&gt;INDEX('How This Works &amp; Sources'!$B$19:$J$26,0,IF('Your Pay &amp; Benefits'!$C$12="MFJ",1,IF('Your Pay &amp; Benefits'!$C$12="HoH",7,4))))*($AH41-INDEX('How This Works &amp; Sources'!$B$19:$J$26,0,IF('Your Pay &amp; Benefits'!$C$12="MFJ",1,IF('Your Pay &amp; Benefits'!$C$12="HoH",7,4))))*INDEX('How This Works &amp; Sources'!$B$19:$J$26,0,IF('Your Pay &amp; Benefits'!$C$12="MFJ",1,IF('Your Pay &amp; Benefits'!$C$12="HoH",7,4))+2)))),'How This Works &amp; Sources'!$C$10*$D41),2)))</f>
      </c>
      <c r="Q41" s="7">
        <f>IF($B41="","",ROUND('How This Works &amp; Sources'!$C$4*MIN($N41,MAX(0,'How This Works &amp; Sources'!$C$3-($AX41+$AB40-$AW41))),2))</f>
      </c>
      <c r="R41" s="7">
        <f>IF($B41="","",ROUND('How This Works &amp; Sources'!$C$5*$N41,2))</f>
      </c>
      <c r="S41" s="7">
        <f>IF($B41="","",ROUND('How This Works &amp; Sources'!$C$6*MAX(0,MIN($N41,$AG40+$N41-'How This Works &amp; Sources'!$C$7)),2))</f>
      </c>
      <c r="T41" s="7">
        <f>IF($B41="","",IF('Your Pay &amp; Benefits'!$C$26,0,IF($AN41="CA",ROUND(IF($AI41&lt;=IF(($AS41+$AT41)&gt;=2,VLOOKUP($AN41,StateTables!$A$6:$AB$56,10,FALSE),VLOOKUP($AN41,StateTables!$A$6:$AB$56,9,FALSE)),0,MAX(0,SUMPRODUCT(($AJ41&gt;INDEX('How This Works &amp; Sources'!$B$39:$J$48,0,IF($AU41="Married",4,IF($AU41="Head of household",7,1))))*($AJ41-INDEX('How This Works &amp; Sources'!$B$39:$J$48,0,IF($AU41="Married",4,IF($AU41="Head of household",7,1))))*INDEX('How This Works &amp; Sources'!$B$39:$J$48,0,IF($AU41="Married",4,IF($AU41="Head of household",7,1))+2))-VLOOKUP($AN41,StateTables!$A$6:$AB$56,11,FALSE)*$AS41)/'Your Pay &amp; Benefits'!$C$8)+'Your Pay &amp; Benefits'!$C$25+VLOOKUP($AN41,StateTables!$A$6:$AB$56,13,FALSE)*$D41,2),IF(VLOOKUP($AN41,StateTables!$A$6:$AB$56,4,FALSE)="None",0,IF(ISNUMBER(SEARCH("MANUAL",VLOOKUP($AN41,StateTables!$A$6:$AB$56,5,FALSE))),'Your Pay &amp; Benefits'!$C$28,ROUND(MAX(0,$BA41+$BB41)/'Your Pay &amp; Benefits'!$C$8+'Your Pay &amp; Benefits'!$C$25+$BC41,2))))))</f>
      </c>
      <c r="U41" s="7">
        <f>IF($B41="","",IF(VLOOKUP($AN41,StateTables!$A$6:$AB$56,24,FALSE)="flatq",IF(OR(MONTH($B41)=1,MONTH($B41)=4,MONTH($B41)=7,MONTH($B41)=10),VLOOKUP($AN41,StateTables!$A$6:$AB$56,25,FALSE),0),IF(VLOOKUP($AN41,StateTables!$A$6:$AB$56,24,FALSE)="dbl",MIN(ROUND(0.005*$N41,2),ROUND(0.6*52/'Your Pay &amp; Benefits'!$C$8,2)),IF(OR(VLOOKUP($AN41,StateTables!$A$6:$AB$56,15,FALSE)="",VLOOKUP($AN41,StateTables!$A$6:$AB$56,15,FALSE)=0),0,ROUND(VLOOKUP($AN41,StateTables!$A$6:$AB$56,15,FALSE)*IF(OR(VLOOKUP($AN41,StateTables!$A$6:$AB$56,16,FALSE)="",VLOOKUP($AN41,StateTables!$A$6:$AB$56,16,FALSE)=0),$N41,MIN($N41,MAX(0,VLOOKUP($AN41,StateTables!$A$6:$AB$56,16,FALSE)-($AX41+$AB40-$AW41)))),2))))+IF(VLOOKUP($AN41,StateTables!$A$6:$AB$56,27,FALSE)="flatq",IF(OR(MONTH($B41)=1,MONTH($B41)=4,MONTH($B41)=7,MONTH($B41)=10),VLOOKUP($AN41,StateTables!$A$6:$AB$56,28,FALSE),0),IF(VLOOKUP($AN41,StateTables!$A$6:$AB$56,27,FALSE)="dbl",MIN(ROUND(0.005*$N41,2),ROUND(0.6*52/'Your Pay &amp; Benefits'!$C$8,2)),IF(OR(VLOOKUP($AN41,StateTables!$A$6:$AB$56,18,FALSE)="",VLOOKUP($AN41,StateTables!$A$6:$AB$56,18,FALSE)=0),0,ROUND(VLOOKUP($AN41,StateTables!$A$6:$AB$56,18,FALSE)*IF(OR(VLOOKUP($AN41,StateTables!$A$6:$AB$56,19,FALSE)="",VLOOKUP($AN41,StateTables!$A$6:$AB$56,19,FALSE)=0),$N41,MIN($N41,MAX(0,VLOOKUP($AN41,StateTables!$A$6:$AB$56,19,FALSE)-($AX41+$AB40-$AW41)))),2)))))</f>
      </c>
      <c r="V41" s="7">
        <f>IF($B41="","",IF($AN41="NY",IF('Your Pay &amp; Benefits'!$C$78,ROUND(SUMPRODUCT((MAX(0,($O41-$D41)*'Your Pay &amp; Benefits'!$C$8-(IF($AU41="Married",5500,5000)+1000*$AS41))&gt;INDEX('How This Works &amp; Sources'!$B$184:$J$198,0,4))*(MAX(0,($O41-$D41)*'Your Pay &amp; Benefits'!$C$8-(IF($AU41="Married",5500,5000)+1000*$AS41))-INDEX('How This Works &amp; Sources'!$B$184:$J$198,0,4))*INDEX('How This Works &amp; Sources'!$B$184:$J$198,0,4+2))/'Your Pay &amp; Benefits'!$C$8+0.0425*$D41,2),0)+IF('Your Pay &amp; Benefits'!$C$79="Resident",ROUND(0.1675*$T41,2),IF('Your Pay &amp; Benefits'!$C$79="Nonresident",ROUND(0.005*MAX(0,($O41-$D41)-(IF($AU41="Married",7950,7400)+1000*$AS41)/'Your Pay &amp; Benefits'!$C$8),2),0)),IF($AN41="PA",IF('Your Pay &amp; Benefits'!$C$80="None",'Your Pay &amp; Benefits'!$C$27+ROUND('Your Pay &amp; Benefits'!$C$81*($C41+$D41),2),ROUND(IF('Your Pay &amp; Benefits'!$C$80="Resident",IF($B41&lt;DATE(2026,7,1),0.0374,0.03735),IF($B41&lt;DATE(2026,7,1),0.0343,0.03425))*($C41+$D41),2)),IF($BF41=0,ROUND('Your Pay &amp; Benefits'!$C$81*($C41+$D41),2),'Your Pay &amp; Benefits'!$C$27+ROUND('Your Pay &amp; Benefits'!$C$81*($C41+$D41),2)))))</f>
      </c>
      <c r="W41" s="7">
        <f>IF($B41="","",IF($BF41=0,0,$BP41))</f>
      </c>
      <c r="X41" s="7">
        <f>IF($B41="","",SUM($E41:$K41)+$P41+$Q41+$R41+$S41+$T41+$U41+$V41+$W41)</f>
      </c>
      <c r="Y41" s="22">
        <f>IF($B41="","",$C41+$D41-$X41)</f>
      </c>
      <c r="Z41" s="7">
        <f>IF($B41="","",$Z40+$C41+$D41)</f>
      </c>
      <c r="AA41" s="7">
        <f>IF($B41="","",$AA40+$Y41)</f>
      </c>
      <c r="AB41" s="7">
        <f>IF($B41="","",$AB40+MIN($N41,MAX(0,'How This Works &amp; Sources'!$C$3-($AX41+$AB40-$AW41))))</f>
      </c>
      <c r="AC41" s="7">
        <f>IF($B41="","",$AC40+$E41+$F41)</f>
      </c>
      <c r="AD41" s="3">
        <f>IF($B41="","",IF(AND($AB40&lt;'How This Works &amp; Sources'!$C$3,$AB41&gt;='How This Works &amp; Sources'!$C$3),"★ Social Security maxed on this check — from the next check your net rises by about $"&amp;TEXT(ROUND('How This Works &amp; Sources'!$C$4*$N41,2),"#,##0.00")&amp;". ","")&amp;IF(AND($AC40&lt;'Your Pay &amp; Benefits'!$C$34,$AC41&gt;='Your Pay &amp; Benefits'!$C$34),"★ 401(k) reaches the $"&amp;TEXT('Your Pay &amp; Benefits'!$C$34,"#,##0")&amp;" cap on this check — deferrals stop and net pay rises. ","")&amp;IF(AND($AG40&lt;'How This Works &amp; Sources'!$C$7,$AG41&gt;='How This Works &amp; Sources'!$C$7),"★ Wages pass $200,000 — the 0.9% Additional Medicare Tax starts here. ","")&amp;IF(AND($BJ41&gt;0,$H41&gt;0,$BG40&lt;MIN($BJ41,'How This Works &amp; Sources'!$C$13),$BG40+$H41&gt;=MIN($BJ41,'How This Works &amp; Sources'!$C$13)),"★ Health FSA election is now fully deferred for the year. ",""))</f>
      </c>
      <c r="AE41" s="41" t="n"/>
      <c r="AF41" s="7">
        <f>IF(OR($B41="",$AE41=""),"",$AE41-$Y41)</f>
      </c>
      <c r="AG41" s="7">
        <f>IF($B41="","",$AG40+$N41)</f>
      </c>
      <c r="AH41" s="7">
        <f>IF($B41="","",MAX(0,($M41-$D41)*'Your Pay &amp; Benefits'!$C$8+$AP41-$AQ41-IF('Your Pay &amp; Benefits'!$C$13,0,IF('Your Pay &amp; Benefits'!$C$12="MFJ",'How This Works &amp; Sources'!$C$8,'How This Works &amp; Sources'!$C$9))))</f>
      </c>
      <c r="AI41" s="7">
        <f>IF($B41="","",$O41*'Your Pay &amp; Benefits'!$C$8)</f>
      </c>
      <c r="AJ41" s="7">
        <f>IF($B41="","",MAX(0,$AI41-VLOOKUP($AN41,StateTables!$A$6:$AB$56,12,FALSE)*$AT41-IF(($AS41+$AT41)&gt;=2,VLOOKUP($AN41,StateTables!$A$6:$AB$56,8,FALSE),VLOOKUP($AN41,StateTables!$A$6:$AB$56,7,FALSE))))</f>
      </c>
      <c r="AK41" s="7">
        <f>IF($B41="","",IFERROR(LOOKUP(2,1/(('Changes &amp; Events'!$C$6:$C$17="Salary change")*('Changes &amp; Events'!$B$6:$B$17&lt;=$B41)*('Changes &amp; Events'!$B$6:$B$17&lt;&gt;"")),'Changes &amp; Events'!$D$6:$D$17),IF('Your Pay &amp; Benefits'!$C$4="Annual salary",'Your Pay &amp; Benefits'!$C$5,'Your Pay &amp; Benefits'!$C$6)))</f>
      </c>
      <c r="AL41">
        <f>IF($B41="","",IFERROR(LOOKUP(2,1/(('Changes &amp; Events'!$C$6:$C$17="401(k) change")*('Changes &amp; Events'!$B$6:$B$17&lt;=$B41)*('Changes &amp; Events'!$B$6:$B$17&lt;&gt;"")),'Changes &amp; Events'!$D$6:$D$17),'Your Pay &amp; Benefits'!$C$30))</f>
      </c>
      <c r="AM41" s="7">
        <f>IF($B41="","",IFERROR(LOOKUP(2,1/(('Changes &amp; Events'!$C$6:$C$17="401(k) change")*('Changes &amp; Events'!$B$6:$B$17&lt;=$B41)*('Changes &amp; Events'!$B$6:$B$17&lt;&gt;"")),'Changes &amp; Events'!$E$6:$E$17),'Your Pay &amp; Benefits'!$D$31))</f>
      </c>
      <c r="AN41">
        <f>IF($B41="","",IFERROR(LOOKUP(2,1/(('Changes &amp; Events'!$C$6:$C$17="State move")*('Changes &amp; Events'!$B$6:$B$17&lt;=$B41)*('Changes &amp; Events'!$B$6:$B$17&lt;&gt;"")),'Changes &amp; Events'!$D$6:$D$17),'Your Pay &amp; Benefits'!$C$21))</f>
      </c>
      <c r="AO41" s="7">
        <f>IF($B41="","",IFERROR(LOOKUP(2,1/(('Changes &amp; Events'!$C$6:$C$17="W-4 change")*('Changes &amp; Events'!$B$6:$B$17&lt;=$B41)*('Changes &amp; Events'!$B$6:$B$17&lt;&gt;"")),'Changes &amp; Events'!$D$6:$D$17),'Your Pay &amp; Benefits'!$C$14))</f>
      </c>
      <c r="AP41" s="7">
        <f>IF($B41="","",IFERROR(LOOKUP(2,1/(('Changes &amp; Events'!$C$6:$C$17="W-4 change")*('Changes &amp; Events'!$B$6:$B$17&lt;=$B41)*('Changes &amp; Events'!$B$6:$B$17&lt;&gt;"")),'Changes &amp; Events'!$E$6:$E$17),'Your Pay &amp; Benefits'!$C$15))</f>
      </c>
      <c r="AQ41" s="7">
        <f>IF($B41="","",IFERROR(LOOKUP(2,1/(('Changes &amp; Events'!$C$6:$C$17="W-4 change")*('Changes &amp; Events'!$B$6:$B$17&lt;=$B41)*('Changes &amp; Events'!$B$6:$B$17&lt;&gt;"")),'Changes &amp; Events'!$F$6:$F$17),'Your Pay &amp; Benefits'!$C$16))</f>
      </c>
      <c r="AR41" s="7">
        <f>IF($B41="","",IFERROR(LOOKUP(2,1/(('Changes &amp; Events'!$C$6:$C$17="W-4 change")*('Changes &amp; Events'!$B$6:$B$17&lt;=$B41)*('Changes &amp; Events'!$B$6:$B$17&lt;&gt;"")),'Changes &amp; Events'!$G$6:$G$17),'Your Pay &amp; Benefits'!$C$17))</f>
      </c>
      <c r="AS41" s="6">
        <f>IF($B41="","",IFERROR(LOOKUP(2,1/((('Changes &amp; Events'!$C$6:$C$17="State move")+('Changes &amp; Events'!$C$6:$C$17="State cert change"))*('Changes &amp; Events'!$B$6:$B$17&lt;=$B41)*('Changes &amp; Events'!$B$6:$B$17&lt;&gt;"")),'Changes &amp; Events'!$F$6:$F$17),'Your Pay &amp; Benefits'!$C$23))</f>
      </c>
      <c r="AT41" s="6">
        <f>IF($B41="","",IFERROR(LOOKUP(2,1/((('Changes &amp; Events'!$C$6:$C$17="State move")+('Changes &amp; Events'!$C$6:$C$17="State cert change"))*('Changes &amp; Events'!$B$6:$B$17&lt;=$B41)*('Changes &amp; Events'!$B$6:$B$17&lt;&gt;"")),'Changes &amp; Events'!$G$6:$G$17),'Your Pay &amp; Benefits'!$C$24))</f>
      </c>
      <c r="AU41">
        <f>IF($B41="","",IFERROR(LOOKUP(2,1/(('Changes &amp; Events'!$C$6:$C$17="State move")*('Changes &amp; Events'!$B$6:$B$17&lt;=$B41)*('Changes &amp; Events'!$B$6:$B$17&lt;&gt;"")),'Changes &amp; Events'!$E$6:$E$17),'Your Pay &amp; Benefits'!$C$22))</f>
      </c>
      <c r="AV41" s="6">
        <f>IF($B41="","",1+COUNTIFS('Changes &amp; Events'!$C$6:$C$17,"Employer change",'Changes &amp; Events'!$B$6:$B$17,"&lt;="&amp;$B41,'Changes &amp; Events'!$B$6:$B$17,"&lt;&gt;"))</f>
      </c>
      <c r="AW41" s="7">
        <f>IF($B41="","",IF($AV41=1,'Your Pay &amp; Benefits'!$C$49,IF(IFERROR(MATCH(IFERROR(LOOKUP(2,1/(('Changes &amp; Events'!$C$6:$C$17="Employer change")*('Changes &amp; Events'!$B$6:$B$17&lt;=$B41)*('Changes &amp; Events'!$B$6:$B$17&lt;&gt;"")),'Changes &amp; Events'!$B$6:$B$17),""),$B$6:$B$68,1),1)&lt;=1,'Your Pay &amp; Benefits'!$C$49,INDEX($AB$6:$AB$68,MATCH(IFERROR(LOOKUP(2,1/(('Changes &amp; Events'!$C$6:$C$17="Employer change")*('Changes &amp; Events'!$B$6:$B$17&lt;=$B41)*('Changes &amp; Events'!$B$6:$B$17&lt;&gt;"")),'Changes &amp; Events'!$B$6:$B$17),""),$B$6:$B$68,1)-1))))</f>
      </c>
      <c r="AX41" s="7">
        <f>IF($B41="","",IF($AV41=1,'Your Pay &amp; Benefits'!$C$49,IFERROR(LOOKUP(2,1/(('Changes &amp; Events'!$C$6:$C$17="Employer change")*('Changes &amp; Events'!$B$6:$B$17&lt;=$B41)*('Changes &amp; Events'!$B$6:$B$17&lt;&gt;"")),'Changes &amp; Events'!$D$6:$D$17),0)))</f>
      </c>
      <c r="AY41" s="7">
        <f>IF($B41="","",($O41-$D41)*'Your Pay &amp; Benefits'!$C$8)</f>
      </c>
      <c r="AZ41" s="7">
        <f>IF($B41="","",IF($AN41="AL",MAX(0,$AY41-IF($AU41="Married",IF($AY41&lt;=25999,8500,MAX(5000,8500-175*CEILING(($AY41-25999)/500,1))),IF($AU41="Head of household",IF($AY41&lt;=25999,5200,MAX(2500,5200-135*CEILING(($AY41-25999)/500,1))),IF($AY41&lt;=25999,3000,MAX(2500,3000-25*CEILING(($AY41-25999)/500,1)))))-($P41-'How This Works &amp; Sources'!$C$10*$D41)*'Your Pay &amp; Benefits'!$C$8-IF(OR($AU41="Married",$AU41="Head of household"),3000,1500)-$AT41*IF($AY41&lt;=50000,1000,IF($AY41&lt;=100000,500,300))),IF($AN41="AR",IF(MAX(0,$AY41-2470)&lt;97701,INT(MAX(0,$AY41-2470)/100)*100+50,MAX(0,$AY41-2470)),IF($AN41="DE",MAX(0,$AI41-3250),IF($AN41="HI",MAX(0,$AI41-1144*$AS41-4350),IF($AN41="KS",MAX(0,$AI41-(9160*IF($AU41="Married",2,1)+2320*$AT41+IF($AU41="Head of household",2320,0))),IF($AN41="MD",MAX(0,$AI41-3400-3200*$AS41),IF($AN41="MN",MAX(0,$AY41-5300*$AS41),IF($AN41="MO",MAX(0,$AI41-IF($AU41="Head of household",24150,IF($AU41="Married",IF('Your Pay &amp; Benefits'!$C$83,16100,32200),16100))),IF($AN41="MT",$AY41,IF($AN41="ND",($C41+$L41)*'Your Pay &amp; Benefits'!$C$8,IF($AN41="NE",MAX(0,$AY41-2440*$AS41),IF($AN41="NJ",MAX(0,$AY41-1000*$AS41),IF($AN41="NY",MAX(0,$AY41-(IF($AU41="Married",7950,7400)+1000*$AS41)),IF($AN41="OH",MAX(0,$AY41-650*$AS41),IF($AN41="OK",MAX(0,$AY41-1000*$AS41),IF($AN41="RI",MAX(0,$AI41-1000*$AS41),IF($AN41="SC",MAX(0,$AI41-5000*$AS41-IF($AS41=0,0,MIN(0.1*$AI41,7500))),IF($AN41="VA",MAX(0,$AI41-IF($AU41="Married",17500,8750)-930*$AS41-800*$AT41),IF($AN41="VT",MAX(0,$AI41-5400*$AS41),IF($AN41="WI",MAX(0,$AI41-MAX(0,IF($AU41="Married",9461-0.2*MAX(0,$AI41-25727),6702-0.12*MAX(0,$AI41-17780)))-400*$AS41),IF($AN41="WV",MAX(0,$AI41-2000*$AS41),$AI41))))))))))))))))))))))</f>
      </c>
      <c r="BA41" s="7">
        <f>IF($B41="","",IF($BW41&lt;&gt;"",$BW41,IF($BX41&lt;&gt;"",$BX41,IF($BY41&lt;&gt;"",$BY41,0))))</f>
      </c>
      <c r="BB41" s="7">
        <f>IF($B41="","",IF($AN41="AR",-29*$AS41,IF($AN41="DE",-110*$AS41,IF($AN41="MD",$AZ41*'Your Pay &amp; Benefits'!$C$74,IF($AN41="AZ",'Your Pay &amp; Benefits'!$C$82*($M41-$D41)*'Your Pay &amp; Benefits'!$C$8,IF($AN41="CO",0.044*MAX(0,$AY41-IF($AU41="Married",10000,5000)),IF($AN41="IA",MAX(0,0.038*MAX(0,$AY41-IF($AU41="Head of household",19500,IF($AU41="Married",26000,13000)))-40*$AS41),IF($AN41="ID",0.053*MAX(0,$AY41-IF($AU41="Married",32000,16094)),IF($AN41="IL",0.0495*MAX(0,$AY41-(2925*$AS41+1000*$AT41)),IF($AN41="IN",(0.0295+'Your Pay &amp; Benefits'!$C$76)*MAX(0,$AY41-(1000*$AS41+1500*$AT41+3000*'Your Pay &amp; Benefits'!$C$86)),IF($AN41="KY",0.035*MAX(0,$AI41-3360),IF($AN41="LA",IF('Your Pay &amp; Benefits'!$C$84="0",0.0309*$AI41,0.0309*MAX(0,$AI41-IF('Your Pay &amp; Benefits'!$C$84="2",25750,12875))),IF($AN41="MA",0.05*MIN(MAX(0,$AY41-MIN(($BD40+$Q41+$R41+$S41),2000)-IF($AS41=0,0,IF($AS41=1,4400,1000*$AS41+3400))),1107750)+0.09*MAX(0,MAX(0,$AY41-MIN(($BD40+$Q41+$R41+$S41),2000)-IF($AS41=0,0,IF($AS41=1,4400,1000*$AS41+3400)))-1107750)-IF($AU41="Head of household",120,0)-110*'Your Pay &amp; Benefits'!$C$75,IF($AN41="MI",0.0425*MAX(0,$AY41-5900*$AS41),IF($AN41="MS",0.04*MAX(0,$AI41-IF($AU41="Head of household",3400,IF($AU41="Married",4600,2300))-'Your Pay &amp; Benefits'!$C$85-10000),IF($AN41="OR",IF(OR($AU41="Married",AND($AU41="Single",$AS41&gt;=3)),SUMPRODUCT((MAX(0,$AY41-MIN(($P41-'How This Works &amp; Sources'!$C$10*$D41)*'Your Pay &amp; Benefits'!$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Sources'!$B$211:$J$214,0,4))*(MAX(0,$AY41-MIN(($P41-'How This Works &amp; Sources'!$C$10*$D41)*'Your Pay &amp; Benefits'!$C$8,IF(OR($AU41="Married",AND($AU41="Single",$AS41&gt;=3)),IF($AY41&lt;250000,8750,IF($AY41&lt;260000,7000,IF($AY41&lt;270000,5250,IF($AY41&lt;280000,3500,IF($AY41&lt;290000,1750,0))))),IF($AY41&lt;125000,8750,IF($AY41&lt;130000,7000,IF($AY41&lt;135000,5250,IF($AY41&lt;140000,3500,IF($AY41&lt;145000,1750,0)))))))-IF(OR($AU41="Married",AND($AU41="Single",$AS41&gt;=3)),5820,2910))-INDEX('How This Works &amp; Sources'!$B$211:$J$214,0,4))*INDEX('How This Works &amp; Sources'!$B$211:$J$214,0,4+2)),SUMPRODUCT((MAX(0,$AY41-MIN(($P41-'How This Works &amp; Sources'!$C$10*$D41)*'Your Pay &amp; Benefits'!$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Sources'!$B$211:$J$214,0,1))*(MAX(0,$AY41-MIN(($P41-'How This Works &amp; Sources'!$C$10*$D41)*'Your Pay &amp; Benefits'!$C$8,IF(OR($AU41="Married",AND($AU41="Single",$AS41&gt;=3)),IF($AY41&lt;250000,8750,IF($AY41&lt;260000,7000,IF($AY41&lt;270000,5250,IF($AY41&lt;280000,3500,IF($AY41&lt;290000,1750,0))))),IF($AY41&lt;125000,8750,IF($AY41&lt;130000,7000,IF($AY41&lt;135000,5250,IF($AY41&lt;140000,3500,IF($AY41&lt;145000,1750,0)))))))-IF(OR($AU41="Married",AND($AU41="Single",$AS41&gt;=3)),5820,2910))-INDEX('How This Works &amp; Sources'!$B$211:$J$214,0,1))*INDEX('How This Works &amp; Sources'!$B$211:$J$214,0,1+2)))+263-263*IF(IF($AU41="Married",$AY41&gt;200000,$AY41&gt;100000),0,$AS41),IF($AN41="PA",0.0307*(($O41+$E41+$G41)*'Your Pay &amp; Benefits'!$C$8),IF($AN41="NY",IF($AU41="Married",IF($AZ41&gt;=2155350,0,IF($AZ41&gt;=1077550,0.48,IF($AZ41&gt;=373200,1.21,IF($AZ41&gt;=323200,0.21,IF($AZ41&gt;=211550,-0.19,IF($AZ41&gt;=157650,-2.8,IF($AZ41&gt;=107650,-0.8,IF($AZ41&gt;=96800,0.05,IF($AZ41&gt;=80650,-0.1,IF($AZ41&gt;=13900,0.4,IF($AZ41&gt;=11700,-0.3,IF($AZ41&gt;=8500,0.5,0)))))))))))),IF($AZ41&gt;=1077550,0,IF($AZ41&gt;=265400,4.29,IF($AZ41&gt;=215400,2.29,IF($AZ41&gt;=157650,2.29,IF($AZ41&gt;=107650,0.29,IF($AZ41&gt;=96800,0.05,IF($AZ41&gt;=80650,-0.1,IF($AZ41&gt;=13900,0.4,IF($AZ41&gt;=11700,-0.3,IF($AZ41&gt;=8500,0.5,0))))))))))),0))))))))))))))))))</f>
      </c>
      <c r="BC41" s="7">
        <f>IF($B41="","",IF($AN41="AL",0.05*$D41,IF($AN41="AR",0.039*$D41,IF($AN41="ID",0.053*$D41,IF($AN41="IN",(0.0295+'Your Pay &amp; Benefits'!$C$76)*$D41,IF($AN41="KS",0.05*$D41,IF($AN41="MA",0.09*MIN($D41,MAX(0,MAX(0,$AY41-MIN(($BD40+$Q41+$R41+$S41),2000)-IF($AS41=0,0,IF($AS41=1,4400,1000*$AS41+3400)))+$D41-1107750))+0.05*($D41-MIN($D41,MAX(0,MAX(0,$AY41-MIN(($BD40+$Q41+$R41+$S41),2000)-IF($AS41=0,0,IF($AS41=1,4400,1000*$AS41+3400)))+$D41-1107750))),IF($AN41="MD",(0.065+'Your Pay &amp; Benefits'!$C$74)*$D41,IF($AN41="MI",0.0425*$D41,IF($AN41="MN",0.0625*$D41,IF($AN41="MO",0.047*$D41,IF($AN41="MT",0.05*$D41,IF($AN41="ND",0.015*$D41,IF($AN41="NE",0.035*$D41,IF($AN41="NJ",IF('Your Pay &amp; Benefits'!$C$77="B",SUMPRODUCT(($D41*'Your Pay &amp; Benefits'!$C$8&gt;INDEX('How This Works &amp; Sources'!$B$155:$J$162,0,4))*($D41*'Your Pay &amp; Benefits'!$C$8-INDEX('How This Works &amp; Sources'!$B$155:$J$162,0,4))*INDEX('How This Works &amp; Sources'!$B$155:$J$162,0,4+2)),IF('Your Pay &amp; Benefits'!$C$77="C",SUMPRODUCT(($D41*'Your Pay &amp; Benefits'!$C$8&gt;INDEX('How This Works &amp; Sources'!$B$155:$J$162,0,7))*($D41*'Your Pay &amp; Benefits'!$C$8-INDEX('How This Works &amp; Sources'!$B$155:$J$162,0,7))*INDEX('How This Works &amp; Sources'!$B$155:$J$162,0,7+2)),IF('Your Pay &amp; Benefits'!$C$77="D",SUMPRODUCT(($D41*'Your Pay &amp; Benefits'!$C$8&gt;INDEX('How This Works &amp; Sources'!$B$167:$J$179,0,1))*($D41*'Your Pay &amp; Benefits'!$C$8-INDEX('How This Works &amp; Sources'!$B$167:$J$179,0,1))*INDEX('How This Works &amp; Sources'!$B$167:$J$179,0,1+2)),IF('Your Pay &amp; Benefits'!$C$77="E",SUMPRODUCT(($D41*'Your Pay &amp; Benefits'!$C$8&gt;INDEX('How This Works &amp; Sources'!$B$167:$J$179,0,4))*($D41*'Your Pay &amp; Benefits'!$C$8-INDEX('How This Works &amp; Sources'!$B$167:$J$179,0,4))*INDEX('How This Works &amp; Sources'!$B$167:$J$179,0,4+2)),SUMPRODUCT(($D41*'Your Pay &amp; Benefits'!$C$8&gt;INDEX('How This Works &amp; Sources'!$B$155:$J$162,0,1))*($D41*'Your Pay &amp; Benefits'!$C$8-INDEX('How This Works &amp; Sources'!$B$155:$J$162,0,1))*INDEX('How This Works &amp; Sources'!$B$155:$J$162,0,1+2))))))/'Your Pay &amp; Benefits'!$C$8,IF($AN41="NY",0.117*$D41,IF($AN41="OH",0.0275*$D41,IF($AN41="OK",0.045*$D41,IF($AN41="OR",0.08*$D41,IF($AN41="WI",IF($AY41&lt;12760,0.0354,IF($AY41&lt;25520,0.0465,IF($AY41&lt;280950,0.053,0.0765)))*$D41,0))))))))))))))))))))</f>
      </c>
      <c r="BD41" s="7">
        <f>IF($B41="","",$BD40+$Q41+$R41+$S41)</f>
      </c>
      <c r="BE41" s="6">
        <f>IF($B41="",$BE40,$BE40+$BF41)</f>
      </c>
      <c r="BF41" s="6">
        <f>IF($B41="","",IF(AND(IF(YEAR(IF('Your Pay &amp; Benefits'!$C$7="Weekly",'Your Pay &amp; Benefits'!$C$9+7*(($BE40+1)-1),IF('Your Pay &amp; Benefits'!$C$7="Biweekly",'Your Pay &amp; Benefits'!$C$9+14*(($BE40+1)-1),IF('Your Pay &amp; Benefits'!$C$7="Semimonthly",DATE(YEAR('Your Pay &amp; Benefits'!$C$9),MONTH('Your Pay &amp; Benefits'!$C$9)+INT((($BE40+1)-1)/2),MIN(DAY('Your Pay &amp; Benefits'!$C$9),DAY(EOMONTH(DATE(YEAR('Your Pay &amp; Benefits'!$C$9),MONTH('Your Pay &amp; Benefits'!$C$9)+INT((($BE40+1)-1)/2),1),0))))+IF(MOD(($BE40+1)-1,2)=1,15,0),EDATE('Your Pay &amp; Benefits'!$C$9,($BE40+1)-1)))))&lt;&gt;'Your Pay &amp; Benefits'!$C$10,"",IF('Your Pay &amp; Benefits'!$C$7="Weekly",'Your Pay &amp; Benefits'!$C$9+7*(($BE40+1)-1),IF('Your Pay &amp; Benefits'!$C$7="Biweekly",'Your Pay &amp; Benefits'!$C$9+14*(($BE40+1)-1),IF('Your Pay &amp; Benefits'!$C$7="Semimonthly",DATE(YEAR('Your Pay &amp; Benefits'!$C$9),MONTH('Your Pay &amp; Benefits'!$C$9)+INT((($BE40+1)-1)/2),MIN(DAY('Your Pay &amp; Benefits'!$C$9),DAY(EOMONTH(DATE(YEAR('Your Pay &amp; Benefits'!$C$9),MONTH('Your Pay &amp; Benefits'!$C$9)+INT((($BE40+1)-1)/2),1),0))))+IF(MOD(($BE40+1)-1,2)=1,15,0),EDATE('Your Pay &amp; Benefits'!$C$9,($BE40+1)-1)))))&lt;&gt;"",$B41=IF(YEAR(IF('Your Pay &amp; Benefits'!$C$7="Weekly",'Your Pay &amp; Benefits'!$C$9+7*(($BE40+1)-1),IF('Your Pay &amp; Benefits'!$C$7="Biweekly",'Your Pay &amp; Benefits'!$C$9+14*(($BE40+1)-1),IF('Your Pay &amp; Benefits'!$C$7="Semimonthly",DATE(YEAR('Your Pay &amp; Benefits'!$C$9),MONTH('Your Pay &amp; Benefits'!$C$9)+INT((($BE40+1)-1)/2),MIN(DAY('Your Pay &amp; Benefits'!$C$9),DAY(EOMONTH(DATE(YEAR('Your Pay &amp; Benefits'!$C$9),MONTH('Your Pay &amp; Benefits'!$C$9)+INT((($BE40+1)-1)/2),1),0))))+IF(MOD(($BE40+1)-1,2)=1,15,0),EDATE('Your Pay &amp; Benefits'!$C$9,($BE40+1)-1)))))&lt;&gt;'Your Pay &amp; Benefits'!$C$10,"",IF('Your Pay &amp; Benefits'!$C$7="Weekly",'Your Pay &amp; Benefits'!$C$9+7*(($BE40+1)-1),IF('Your Pay &amp; Benefits'!$C$7="Biweekly",'Your Pay &amp; Benefits'!$C$9+14*(($BE40+1)-1),IF('Your Pay &amp; Benefits'!$C$7="Semimonthly",DATE(YEAR('Your Pay &amp; Benefits'!$C$9),MONTH('Your Pay &amp; Benefits'!$C$9)+INT((($BE40+1)-1)/2),MIN(DAY('Your Pay &amp; Benefits'!$C$9),DAY(EOMONTH(DATE(YEAR('Your Pay &amp; Benefits'!$C$9),MONTH('Your Pay &amp; Benefits'!$C$9)+INT((($BE40+1)-1)/2),1),0))))+IF(MOD(($BE40+1)-1,2)=1,15,0),EDATE('Your Pay &amp; Benefits'!$C$9,($BE40+1)-1)))))),1,0))</f>
      </c>
      <c r="BG41" s="7">
        <f>IF($B41="","",$BG40+$H41)</f>
      </c>
      <c r="BH41" s="7">
        <f>IF($B41="","",$BH40+$I41)</f>
      </c>
      <c r="BI41" s="7">
        <f>IF($B41="","",$BI40+$G41)</f>
      </c>
      <c r="BJ41" s="7">
        <f>IF($B41="","",IFERROR(LOOKUP(2,1/(((('Changes &amp; Events'!$C$6:$C$17="Deduction start"))*('Changes &amp; Events'!$D$6:$D$17="Health FSA"))*('Changes &amp; Events'!$B$6:$B$17&lt;=$B41)*('Changes &amp; Events'!$B$6:$B$17&lt;&gt;"")),'Changes &amp; Events'!$E$6:$E$17),'Your Pay &amp; Benefits'!$D$38))</f>
      </c>
      <c r="BK41" s="7">
        <f>IF($B41="","",IFERROR(LOOKUP(2,1/(((('Changes &amp; Events'!$C$6:$C$17="Deduction start"))*('Changes &amp; Events'!$D$6:$D$17="Dependent-care FSA"))*('Changes &amp; Events'!$B$6:$B$17&lt;=$B41)*('Changes &amp; Events'!$B$6:$B$17&lt;&gt;"")),'Changes &amp; Events'!$E$6:$E$17),'Your Pay &amp; Benefits'!$D$39))</f>
      </c>
      <c r="BL41" s="7">
        <f>IF($B41="","",IFERROR(LOOKUP(2,1/(((('Changes &amp; Events'!$C$6:$C$17="Deduction start")+('Changes &amp; Events'!$C$6:$C$17="Deduction stop"))*('Changes &amp; Events'!$D$6:$D$17="HSA"))*('Changes &amp; Events'!$B$6:$B$17&lt;=$B41)*('Changes &amp; Events'!$B$6:$B$17&lt;&gt;"")),'Changes &amp; Events'!$I$6:$I$17),'Your Pay &amp; Benefits'!$D$35))</f>
      </c>
      <c r="BM41" s="7">
        <f>IF($B41="","",IFERROR(LOOKUP(2,1/(((('Changes &amp; Events'!$C$6:$C$17="Deduction start")+('Changes &amp; Events'!$C$6:$C$17="Deduction stop"))*('Changes &amp; Events'!$D$6:$D$17="Premiums"))*('Changes &amp; Events'!$B$6:$B$17&lt;=$B41)*('Changes &amp; Events'!$B$6:$B$17&lt;&gt;"")),'Changes &amp; Events'!$I$6:$I$17),'Your Pay &amp; Benefits'!$D$40+'Your Pay &amp; Benefits'!$D$41+'Your Pay &amp; Benefits'!$D$42))</f>
      </c>
      <c r="BN41" s="7">
        <f>IF($B41="","",IFERROR(LOOKUP(2,1/(((('Changes &amp; Events'!$C$6:$C$17="Deduction start")+('Changes &amp; Events'!$C$6:$C$17="Deduction stop"))*('Changes &amp; Events'!$D$6:$D$17="Commuter"))*('Changes &amp; Events'!$B$6:$B$17&lt;=$B41)*('Changes &amp; Events'!$B$6:$B$17&lt;&gt;"")),'Changes &amp; Events'!$I$6:$I$17),'Your Pay &amp; Benefits'!$D$43))</f>
      </c>
      <c r="BO41" s="7">
        <f>IF($B41="","",IFERROR(LOOKUP(2,1/(((('Changes &amp; Events'!$C$6:$C$17="Deduction start")+('Changes &amp; Events'!$C$6:$C$17="Deduction stop"))*('Changes &amp; Events'!$D$6:$D$17="Other pre-tax"))*('Changes &amp; Events'!$B$6:$B$17&lt;=$B41)*('Changes &amp; Events'!$B$6:$B$17&lt;&gt;"")),'Changes &amp; Events'!$I$6:$I$17),'Your Pay &amp; Benefits'!$D$44))</f>
      </c>
      <c r="BP41" s="7">
        <f>IF($B41="","",IFERROR(LOOKUP(2,1/(((('Changes &amp; Events'!$C$6:$C$17="Deduction start")+('Changes &amp; Events'!$C$6:$C$17="Deduction stop"))*('Changes &amp; Events'!$D$6:$D$17="Other post-tax"))*('Changes &amp; Events'!$B$6:$B$17&lt;=$B41)*('Changes &amp; Events'!$B$6:$B$17&lt;&gt;"")),'Changes &amp; Events'!$I$6:$I$17),'Your Pay &amp; Benefits'!$D$45))</f>
      </c>
      <c r="BQ41" s="6">
        <f>IF($B41="","",IFERROR(LOOKUP(2,1/(((('Changes &amp; Events'!$C$6:$C$17="Deduction start")+('Changes &amp; Events'!$C$6:$C$17="Deduction stop"))*('Changes &amp; Events'!$D$6:$D$17="Health FSA"))*('Changes &amp; Events'!$B$6:$B$17&lt;=$B41)*('Changes &amp; Events'!$B$6:$B$17&lt;&gt;"")),'Changes &amp; Events'!$J$6:$J$17),0))</f>
      </c>
      <c r="BR41" s="6">
        <f>IF($B41="","",IFERROR(LOOKUP(2,1/(((('Changes &amp; Events'!$C$6:$C$17="Deduction start")+('Changes &amp; Events'!$C$6:$C$17="Deduction stop"))*('Changes &amp; Events'!$D$6:$D$17="Dependent-care FSA"))*('Changes &amp; Events'!$B$6:$B$17&lt;=$B41)*('Changes &amp; Events'!$B$6:$B$17&lt;&gt;"")),'Changes &amp; Events'!$J$6:$J$17),0))</f>
      </c>
      <c r="BS41" s="6">
        <f>IF($B41="","",IF(SUMPRODUCT(('Changes &amp; Events'!$C$6:$C$17="Deduction start")*('Changes &amp; Events'!$B$6:$B$17&lt;=$B41)*('Changes &amp; Events'!$B$6:$B$17&lt;&gt;"")*('Changes &amp; Events'!$D$6:$D$17="Health FSA"))&gt;0,1,0))</f>
      </c>
      <c r="BT41" s="6">
        <f>IF($B41="","",IF(SUMPRODUCT(('Changes &amp; Events'!$C$6:$C$17="Deduction start")*('Changes &amp; Events'!$B$6:$B$17&lt;=$B41)*('Changes &amp; Events'!$B$6:$B$17&lt;&gt;"")*('Changes &amp; Events'!$D$6:$D$17="Dependent-care FSA"))&gt;0,1,0))</f>
      </c>
      <c r="BU41" s="24">
        <f>IF($B41="","",IF('Your Pay &amp; Benefits'!$C$13,SUMPRODUCT(($AH41&gt;=INDEX('How This Works &amp; Sources'!$B$29:$J$36,0,IF('Your Pay &amp; Benefits'!$C$12="MFJ",1,IF('Your Pay &amp; Benefits'!$C$12="HoH",7,4))))*INDEX('How This Works &amp; Sources'!$B$29:$J$36,0,IF('Your Pay &amp; Benefits'!$C$12="MFJ",1,IF('Your Pay &amp; Benefits'!$C$12="HoH",7,4))+2)),SUMPRODUCT(($AH41&gt;=INDEX('How This Works &amp; Sources'!$B$19:$J$26,0,IF('Your Pay &amp; Benefits'!$C$12="MFJ",1,IF('Your Pay &amp; Benefits'!$C$12="HoH",7,4))))*INDEX('How This Works &amp; Sources'!$B$19:$J$26,0,IF('Your Pay &amp; Benefits'!$C$12="MFJ",1,IF('Your Pay &amp; Benefits'!$C$12="HoH",7,4))+2))))</f>
      </c>
      <c r="BV41" s="24">
        <f>IF($B41="","",IF($BZ41&lt;&gt;"",$BZ41,IF($CA41&lt;&gt;"",$CA41,IF($CB41&lt;&gt;"",$CB41,IF($CC41&lt;&gt;"",$CC41,0)))))</f>
      </c>
      <c r="BW41" s="7">
        <f>IF($B41="","",IF($AN41="MD",IF(OR($AU41="Married",$AU41="Head of household"),SUMPRODUCT(($AZ41&gt;INDEX('How This Works &amp; Sources'!$B$114:$J$120,0,1))*($AZ41-INDEX('How This Works &amp; Sources'!$B$114:$J$120,0,1))*INDEX('How This Works &amp; Sources'!$B$114:$J$120,0,1+2)),SUMPRODUCT(($AZ41&gt;INDEX('How This Works &amp; Sources'!$B$103:$J$109,0,7))*($AZ41-INDEX('How This Works &amp; Sources'!$B$103:$J$109,0,7))*INDEX('How This Works &amp; Sources'!$B$103:$J$109,0,7+2))),IF($AN41="MO",SUMPRODUCT(($AZ41&gt;INDEX('How This Works &amp; Sources'!$B$125:$J$132,0,1))*($AZ41-INDEX('How This Works &amp; Sources'!$B$125:$J$132,0,1))*INDEX('How This Works &amp; Sources'!$B$125:$J$132,0,1+2)),IF($AN41="MT",IF($AU41="Head of household",SUMPRODUCT(($AZ41&gt;INDEX('How This Works &amp; Sources'!$B$137:$J$139,0,1))*($AZ41-INDEX('How This Works &amp; Sources'!$B$137:$J$139,0,1))*INDEX('How This Works &amp; Sources'!$B$137:$J$139,0,1+2)),IF($AU41="Married",SUMPRODUCT(($AZ41&gt;INDEX('How This Works &amp; Sources'!$B$125:$J$132,0,7))*($AZ41-INDEX('How This Works &amp; Sources'!$B$125:$J$132,0,7))*INDEX('How This Works &amp; Sources'!$B$125:$J$132,0,7+2)),SUMPRODUCT(($AZ41&gt;INDEX('How This Works &amp; Sources'!$B$125:$J$132,0,4))*($AZ41-INDEX('How This Works &amp; Sources'!$B$125:$J$132,0,4))*INDEX('How This Works &amp; Sources'!$B$125:$J$132,0,4+2)))),IF($AN41="ND",IF($AU41="Head of household",SUMPRODUCT(($AZ41&gt;INDEX('How This Works &amp; Sources'!$B$144:$J$150,0,1))*($AZ41-INDEX('How This Works &amp; Sources'!$B$144:$J$150,0,1))*INDEX('How This Works &amp; Sources'!$B$144:$J$150,0,1+2)),IF($AU41="Married",SUMPRODUCT(($AZ41&gt;INDEX('How This Works &amp; Sources'!$B$137:$J$139,0,7))*($AZ41-INDEX('How This Works &amp; Sources'!$B$137:$J$139,0,7))*INDEX('How This Works &amp; Sources'!$B$137:$J$139,0,7+2)),SUMPRODUCT(($AZ41&gt;INDEX('How This Works &amp; Sources'!$B$137:$J$139,0,4))*($AZ41-INDEX('How This Works &amp; Sources'!$B$137:$J$139,0,4))*INDEX('How This Works &amp; Sources'!$B$137:$J$139,0,4+2)))),IF($AN41="NJ",IF('Your Pay &amp; Benefits'!$C$77="B",SUMPRODUCT(($AZ41&gt;INDEX('How This Works &amp; Sources'!$B$155:$J$162,0,4))*($AZ41-INDEX('How This Works &amp; Sources'!$B$155:$J$162,0,4))*INDEX('How This Works &amp; Sources'!$B$155:$J$162,0,4+2)),IF('Your Pay &amp; Benefits'!$C$77="C",SUMPRODUCT(($AZ41&gt;INDEX('How This Works &amp; Sources'!$B$155:$J$162,0,7))*($AZ41-INDEX('How This Works &amp; Sources'!$B$155:$J$162,0,7))*INDEX('How This Works &amp; Sources'!$B$155:$J$162,0,7+2)),IF('Your Pay &amp; Benefits'!$C$77="D",SUMPRODUCT(($AZ41&gt;INDEX('How This Works &amp; Sources'!$B$167:$J$179,0,1))*($AZ41-INDEX('How This Works &amp; Sources'!$B$167:$J$179,0,1))*INDEX('How This Works &amp; Sources'!$B$167:$J$179,0,1+2)),IF('Your Pay &amp; Benefits'!$C$77="E",SUMPRODUCT(($AZ41&gt;INDEX('How This Works &amp; Sources'!$B$167:$J$179,0,4))*($AZ41-INDEX('How This Works &amp; Sources'!$B$167:$J$179,0,4))*INDEX('How This Works &amp; Sources'!$B$167:$J$179,0,4+2)),SUMPRODUCT(($AZ41&gt;INDEX('How This Works &amp; Sources'!$B$155:$J$162,0,1))*($AZ41-INDEX('How This Works &amp; Sources'!$B$155:$J$162,0,1))*INDEX('How This Works &amp; Sources'!$B$155:$J$162,0,1+2)))))),IF($AN41="NY",IF($AU41="Married",IF($AZ41&gt;=2155350,$AZ41*IF($AZ41&gt;25000000,0.117,IF($AZ41&gt;5000000,0.111,0.1045)),SUMPRODUCT(($AZ41&gt;INDEX('How This Works &amp; Sources'!$B$184:$J$198,0,1))*($AZ41-INDEX('How This Works &amp; Sources'!$B$184:$J$198,0,1))*INDEX('How This Works &amp; Sources'!$B$184:$J$198,0,1+2))),IF($AZ41&gt;=1077550,$AZ41*IF($AZ41&gt;25000000,0.117,IF($AZ41&gt;5000000,0.111,0.1045)),SUMPRODUCT(($AZ41&gt;INDEX('How This Works &amp; Sources'!$B$167:$J$179,0,7))*($AZ41-INDEX('How This Works &amp; Sources'!$B$167:$J$179,0,7))*INDEX('How This Works &amp; Sources'!$B$167:$J$179,0,7+2)))),"")))))))</f>
      </c>
      <c r="BX41" s="7">
        <f>IF($B41="","",IF($AN41="AL",IF(OR($AU41="Married",$AU41="Head of household"),SUMPRODUCT(($AZ41&gt;INDEX('How This Works &amp; Sources'!$B$82:$J$86,0,4))*($AZ41-INDEX('How This Works &amp; Sources'!$B$82:$J$86,0,4))*INDEX('How This Works &amp; Sources'!$B$82:$J$86,0,4+2)),SUMPRODUCT(($AZ41&gt;INDEX('How This Works &amp; Sources'!$B$82:$J$86,0,1))*($AZ41-INDEX('How This Works &amp; Sources'!$B$82:$J$86,0,1))*INDEX('How This Works &amp; Sources'!$B$82:$J$86,0,1+2))),IF($AN41="KS",IF($AU41="Married",SUMPRODUCT(($AZ41&gt;INDEX('How This Works &amp; Sources'!$B$103:$J$109,0,4))*($AZ41-INDEX('How This Works &amp; Sources'!$B$103:$J$109,0,4))*INDEX('How This Works &amp; Sources'!$B$103:$J$109,0,4+2)),SUMPRODUCT(($AZ41&gt;INDEX('How This Works &amp; Sources'!$B$103:$J$109,0,1))*($AZ41-INDEX('How This Works &amp; Sources'!$B$103:$J$109,0,1))*INDEX('How This Works &amp; Sources'!$B$103:$J$109,0,1+2))),IF($AN41="MN",IF($AU41="Married",SUMPRODUCT(($AZ41&gt;INDEX('How This Works &amp; Sources'!$B$114:$J$120,0,7))*($AZ41-INDEX('How This Works &amp; Sources'!$B$114:$J$120,0,7))*INDEX('How This Works &amp; Sources'!$B$114:$J$120,0,7+2)),SUMPRODUCT(($AZ41&gt;INDEX('How This Works &amp; Sources'!$B$114:$J$120,0,4))*($AZ41-INDEX('How This Works &amp; Sources'!$B$114:$J$120,0,4))*INDEX('How This Works &amp; Sources'!$B$114:$J$120,0,4+2))),IF($AN41="NE",MAX(IF($AU41="Married",SUMPRODUCT(($AZ41&gt;INDEX('How This Works &amp; Sources'!$B$144:$J$150,0,7))*($AZ41-INDEX('How This Works &amp; Sources'!$B$144:$J$150,0,7))*INDEX('How This Works &amp; Sources'!$B$144:$J$150,0,7+2)),SUMPRODUCT(($AZ41&gt;INDEX('How This Works &amp; Sources'!$B$144:$J$150,0,4))*($AZ41-INDEX('How This Works &amp; Sources'!$B$144:$J$150,0,4))*INDEX('How This Works &amp; Sources'!$B$144:$J$150,0,4+2))),0.015*$AZ41),IF($AN41="OH",IF($B41&gt;=DATE(2026,8,1),SUMPRODUCT(($AZ41&gt;INDEX('How This Works &amp; Sources'!$B$203:$J$206,0,1))*($AZ41-INDEX('How This Works &amp; Sources'!$B$203:$J$206,0,1))*INDEX('How This Works &amp; Sources'!$B$203:$J$206,0,1+2)),SUMPRODUCT(($AZ41&gt;INDEX('How This Works &amp; Sources'!$B$184:$J$198,0,7))*($AZ41-INDEX('How This Works &amp; Sources'!$B$184:$J$198,0,7))*INDEX('How This Works &amp; Sources'!$B$184:$J$198,0,7+2))),IF($AN41="OK",IF($AU41="Married",SUMPRODUCT(($AZ41&gt;INDEX('How This Works &amp; Sources'!$B$203:$J$206,0,7))*($AZ41-INDEX('How This Works &amp; Sources'!$B$203:$J$206,0,7))*INDEX('How This Works &amp; Sources'!$B$203:$J$206,0,7+2)),SUMPRODUCT(($AZ41&gt;INDEX('How This Works &amp; Sources'!$B$203:$J$206,0,4))*($AZ41-INDEX('How This Works &amp; Sources'!$B$203:$J$206,0,4))*INDEX('How This Works &amp; Sources'!$B$203:$J$206,0,4+2))),IF($AN41="RI",SUMPRODUCT(($AZ41&gt;INDEX('How This Works &amp; Sources'!$B$211:$J$214,0,7))*($AZ41-INDEX('How This Works &amp; Sources'!$B$211:$J$214,0,7))*INDEX('How This Works &amp; Sources'!$B$211:$J$214,0,7+2)),IF($AN41="VT",IF($AU41="Married",SUMPRODUCT(($AZ41&gt;INDEX('How This Works &amp; Sources'!$B$228:$J$232,0,1))*($AZ41-INDEX('How This Works &amp; Sources'!$B$228:$J$232,0,1))*INDEX('How This Works &amp; Sources'!$B$228:$J$232,0,1+2)),SUMPRODUCT(($AZ41&gt;INDEX('How This Works &amp; Sources'!$B$219:$J$223,0,7))*($AZ41-INDEX('How This Works &amp; Sources'!$B$219:$J$223,0,7))*INDEX('How This Works &amp; Sources'!$B$219:$J$223,0,7+2))),IF($AN41="WV",IF($AU41="Married",SUMPRODUCT(($AZ41&gt;INDEX('How This Works &amp; Sources'!$B$237:$J$241,0,7))*($AZ41-INDEX('How This Works &amp; Sources'!$B$237:$J$241,0,7))*INDEX('How This Works &amp; Sources'!$B$237:$J$241,0,7+2)),SUMPRODUCT(($AZ41&gt;INDEX('How This Works &amp; Sources'!$B$228:$J$232,0,7))*($AZ41-INDEX('How This Works &amp; Sources'!$B$228:$J$232,0,7))*INDEX('How This Works &amp; Sources'!$B$228:$J$232,0,7+2))),""))))))))))</f>
      </c>
      <c r="BY41" s="7">
        <f>IF($B41="","",IF($AN41="AR",SUMPRODUCT(($AZ41&gt;INDEX('How This Works &amp; Sources'!$B$82:$J$86,0,7))*($AZ41-INDEX('How This Works &amp; Sources'!$B$82:$J$86,0,7))*INDEX('How This Works &amp; Sources'!$B$82:$J$86,0,7+2)),IF($AN41="DE",SUMPRODUCT(($AZ41&gt;INDEX('How This Works &amp; Sources'!$B$91:$J$98,0,1))*($AZ41-INDEX('How This Works &amp; Sources'!$B$91:$J$98,0,1))*INDEX('How This Works &amp; Sources'!$B$91:$J$98,0,1+2)),IF($AN41="HI",IF($AU41="Married",SUMPRODUCT(($AZ41&gt;INDEX('How This Works &amp; Sources'!$B$91:$J$98,0,7))*($AZ41-INDEX('How This Works &amp; Sources'!$B$91:$J$98,0,7))*INDEX('How This Works &amp; Sources'!$B$91:$J$98,0,7+2)),SUMPRODUCT(($AZ41&gt;INDEX('How This Works &amp; Sources'!$B$91:$J$98,0,4))*($AZ41-INDEX('How This Works &amp; Sources'!$B$91:$J$98,0,4))*INDEX('How This Works &amp; Sources'!$B$91:$J$98,0,4+2))),IF($AN41="SC",SUMPRODUCT(($AZ41&gt;INDEX('How This Works &amp; Sources'!$B$219:$J$223,0,1))*($AZ41-INDEX('How This Works &amp; Sources'!$B$219:$J$223,0,1))*INDEX('How This Works &amp; Sources'!$B$219:$J$223,0,1+2)),IF($AN41="VA",SUMPRODUCT(($AZ41&gt;INDEX('How This Works &amp; Sources'!$B$219:$J$223,0,4))*($AZ41-INDEX('How This Works &amp; Sources'!$B$219:$J$223,0,4))*INDEX('How This Works &amp; Sources'!$B$219:$J$223,0,4+2)),IF($AN41="WI",SUMPRODUCT(($AZ41&gt;INDEX('How This Works &amp; Sources'!$B$228:$J$232,0,4))*($AZ41-INDEX('How This Works &amp; Sources'!$B$228:$J$232,0,4))*INDEX('How This Works &amp; Sources'!$B$228:$J$232,0,4+2)),"")))))))</f>
      </c>
      <c r="BZ41" s="24">
        <f>IF($B41="","",IF($AN41="NJ",IF('Your Pay &amp; Benefits'!$C$77="B",SUMPRODUCT(($AZ41&gt;=INDEX('How This Works &amp; Sources'!$B$155:$J$162,0,4))*INDEX('How This Works &amp; Sources'!$B$155:$J$162,0,4+2)),IF('Your Pay &amp; Benefits'!$C$77="C",SUMPRODUCT(($AZ41&gt;=INDEX('How This Works &amp; Sources'!$B$155:$J$162,0,7))*INDEX('How This Works &amp; Sources'!$B$155:$J$162,0,7+2)),IF('Your Pay &amp; Benefits'!$C$77="D",SUMPRODUCT(($AZ41&gt;=INDEX('How This Works &amp; Sources'!$B$167:$J$179,0,1))*INDEX('How This Works &amp; Sources'!$B$167:$J$179,0,1+2)),IF('Your Pay &amp; Benefits'!$C$77="E",SUMPRODUCT(($AZ41&gt;=INDEX('How This Works &amp; Sources'!$B$167:$J$179,0,4))*INDEX('How This Works &amp; Sources'!$B$167:$J$179,0,4+2)),SUMPRODUCT(($AZ41&gt;=INDEX('How This Works &amp; Sources'!$B$155:$J$162,0,1))*INDEX('How This Works &amp; Sources'!$B$155:$J$162,0,1+2)))))),IF($AN41="OR",IF(OR($AU41="Married",AND($AU41="Single",$AS41&gt;=3)),SUMPRODUCT((MAX(0,$AY41-MIN(($P41-'How This Works &amp; Sources'!$C$10*$D41)*'Your Pay &amp; Benefits'!$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Sources'!$B$211:$J$214,0,4))*INDEX('How This Works &amp; Sources'!$B$211:$J$214,0,4+2)),SUMPRODUCT((MAX(0,$AY41-MIN(($P41-'How This Works &amp; Sources'!$C$10*$D41)*'Your Pay &amp; Benefits'!$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Sources'!$B$211:$J$214,0,1))*INDEX('How This Works &amp; Sources'!$B$211:$J$214,0,1+2)))*IF(($P41-'How This Works &amp; Sources'!$C$10*$D41)*'Your Pay &amp; Benefits'!$C$8&gt;=IF(OR($AU41="Married",AND($AU41="Single",$AS41&gt;=3)),IF($AY41&lt;250000,8750,IF($AY41&lt;260000,7000,IF($AY41&lt;270000,5250,IF($AY41&lt;280000,3500,IF($AY41&lt;290000,1750,0))))),IF($AY41&lt;125000,8750,IF($AY41&lt;130000,7000,IF($AY41&lt;135000,5250,IF($AY41&lt;140000,3500,IF($AY41&lt;145000,1750,0)))))),1,1-IF('Your Pay &amp; Benefits'!$C$13,SUMPRODUCT(($AH41&gt;=INDEX('How This Works &amp; Sources'!$B$29:$J$36,0,IF('Your Pay &amp; Benefits'!$C$12="MFJ",1,IF('Your Pay &amp; Benefits'!$C$12="HoH",7,4))))*INDEX('How This Works &amp; Sources'!$B$29:$J$36,0,IF('Your Pay &amp; Benefits'!$C$12="MFJ",1,IF('Your Pay &amp; Benefits'!$C$12="HoH",7,4))+2)),SUMPRODUCT(($AH41&gt;=INDEX('How This Works &amp; Sources'!$B$19:$J$26,0,IF('Your Pay &amp; Benefits'!$C$12="MFJ",1,IF('Your Pay &amp; Benefits'!$C$12="HoH",7,4))))*INDEX('How This Works &amp; Sources'!$B$19:$J$26,0,IF('Your Pay &amp; Benefits'!$C$12="MFJ",1,IF('Your Pay &amp; Benefits'!$C$12="HoH",7,4))+2)))),IF($AN41="MI",IF($AY41&gt;5900*$AS41,0.0425,0),""))))</f>
      </c>
      <c r="CA41" s="24">
        <f>IF($B41="","",IF($AN41="AL",IF(OR($AU41="Married",$AU41="Head of household"),SUMPRODUCT(($AZ41&gt;=INDEX('How This Works &amp; Sources'!$B$82:$J$86,0,4))*INDEX('How This Works &amp; Sources'!$B$82:$J$86,0,4+2)),SUMPRODUCT(($AZ41&gt;=INDEX('How This Works &amp; Sources'!$B$82:$J$86,0,1))*INDEX('How This Works &amp; Sources'!$B$82:$J$86,0,1+2)))*(1-IF('Your Pay &amp; Benefits'!$C$13,SUMPRODUCT(($AH41&gt;=INDEX('How This Works &amp; Sources'!$B$29:$J$36,0,IF('Your Pay &amp; Benefits'!$C$12="MFJ",1,IF('Your Pay &amp; Benefits'!$C$12="HoH",7,4))))*INDEX('How This Works &amp; Sources'!$B$29:$J$36,0,IF('Your Pay &amp; Benefits'!$C$12="MFJ",1,IF('Your Pay &amp; Benefits'!$C$12="HoH",7,4))+2)),SUMPRODUCT(($AH41&gt;=INDEX('How This Works &amp; Sources'!$B$19:$J$26,0,IF('Your Pay &amp; Benefits'!$C$12="MFJ",1,IF('Your Pay &amp; Benefits'!$C$12="HoH",7,4))))*INDEX('How This Works &amp; Sources'!$B$19:$J$26,0,IF('Your Pay &amp; Benefits'!$C$12="MFJ",1,IF('Your Pay &amp; Benefits'!$C$12="HoH",7,4))+2)))),IF($AN41="KS",IF($AU41="Married",SUMPRODUCT(($AZ41&gt;=INDEX('How This Works &amp; Sources'!$B$103:$J$109,0,4))*INDEX('How This Works &amp; Sources'!$B$103:$J$109,0,4+2)),SUMPRODUCT(($AZ41&gt;=INDEX('How This Works &amp; Sources'!$B$103:$J$109,0,1))*INDEX('How This Works &amp; Sources'!$B$103:$J$109,0,1+2))),IF($AN41="MD",IF(OR($AU41="Married",$AU41="Head of household"),SUMPRODUCT(($AZ41&gt;=INDEX('How This Works &amp; Sources'!$B$114:$J$120,0,1))*INDEX('How This Works &amp; Sources'!$B$114:$J$120,0,1+2)),SUMPRODUCT(($AZ41&gt;=INDEX('How This Works &amp; Sources'!$B$103:$J$109,0,7))*INDEX('How This Works &amp; Sources'!$B$103:$J$109,0,7+2)))+'Your Pay &amp; Benefits'!$C$74,IF($AN41="MT",IF($AU41="Head of household",SUMPRODUCT(($AZ41&gt;=INDEX('How This Works &amp; Sources'!$B$137:$J$139,0,1))*INDEX('How This Works &amp; Sources'!$B$137:$J$139,0,1+2)),IF($AU41="Married",SUMPRODUCT(($AZ41&gt;=INDEX('How This Works &amp; Sources'!$B$125:$J$132,0,7))*INDEX('How This Works &amp; Sources'!$B$125:$J$132,0,7+2)),SUMPRODUCT(($AZ41&gt;=INDEX('How This Works &amp; Sources'!$B$125:$J$132,0,4))*INDEX('How This Works &amp; Sources'!$B$125:$J$132,0,4+2)))),IF($AN41="ND",IF($AU41="Head of household",SUMPRODUCT(($AZ41&gt;=INDEX('How This Works &amp; Sources'!$B$144:$J$150,0,1))*INDEX('How This Works &amp; Sources'!$B$144:$J$150,0,1+2)),IF($AU41="Married",SUMPRODUCT(($AZ41&gt;=INDEX('How This Works &amp; Sources'!$B$137:$J$139,0,7))*INDEX('How This Works &amp; Sources'!$B$137:$J$139,0,7+2)),SUMPRODUCT(($AZ41&gt;=INDEX('How This Works &amp; Sources'!$B$137:$J$139,0,4))*INDEX('How This Works &amp; Sources'!$B$137:$J$139,0,4+2)))),IF($AN41="NY",IF($AU41="Married",IF($AZ41&gt;=2155350,IF($AZ41&gt;25000000,0.117,IF($AZ41&gt;5000000,0.111,0.1045)),SUMPRODUCT(($AZ41&gt;=INDEX('How This Works &amp; Sources'!$B$184:$J$198,0,1))*INDEX('How This Works &amp; Sources'!$B$184:$J$198,0,1+2))),IF($AZ41&gt;=1077550,IF($AZ41&gt;25000000,0.117,IF($AZ41&gt;5000000,0.111,0.1045)),SUMPRODUCT(($AZ41&gt;=INDEX('How This Works &amp; Sources'!$B$167:$J$179,0,7))*INDEX('How This Works &amp; Sources'!$B$167:$J$179,0,7+2)))),"")))))))</f>
      </c>
      <c r="CB41" s="24">
        <f>IF($B41="","",IF($AN41="CA",SUMPRODUCT(($AJ41&gt;=INDEX('How This Works &amp; Sources'!$B$39:$J$48,0,IF($AU41="Married",4,IF($AU41="Head of household",7,1))))*INDEX('How This Works &amp; Sources'!$B$39:$J$48,0,IF($AU41="Married",4,IF($AU41="Head of household",7,1))+2)),IF($AN41="HI",IF($AU41="Married",SUMPRODUCT(($AZ41&gt;=INDEX('How This Works &amp; Sources'!$B$91:$J$98,0,7))*INDEX('How This Works &amp; Sources'!$B$91:$J$98,0,7+2)),SUMPRODUCT(($AZ41&gt;=INDEX('How This Works &amp; Sources'!$B$91:$J$98,0,4))*INDEX('How This Works &amp; Sources'!$B$91:$J$98,0,4+2))),IF($AN41="MN",IF($AU41="Married",SUMPRODUCT(($AZ41&gt;=INDEX('How This Works &amp; Sources'!$B$114:$J$120,0,7))*INDEX('How This Works &amp; Sources'!$B$114:$J$120,0,7+2)),SUMPRODUCT(($AZ41&gt;=INDEX('How This Works &amp; Sources'!$B$114:$J$120,0,4))*INDEX('How This Works &amp; Sources'!$B$114:$J$120,0,4+2))),IF($AN41="MO",SUMPRODUCT(($AZ41&gt;=INDEX('How This Works &amp; Sources'!$B$125:$J$132,0,1))*INDEX('How This Works &amp; Sources'!$B$125:$J$132,0,1+2)),IF($AN41="NE",MAX(IF($AU41="Married",SUMPRODUCT(($AZ41&gt;=INDEX('How This Works &amp; Sources'!$B$144:$J$150,0,7))*INDEX('How This Works &amp; Sources'!$B$144:$J$150,0,7+2)),SUMPRODUCT(($AZ41&gt;=INDEX('How This Works &amp; Sources'!$B$144:$J$150,0,4))*INDEX('How This Works &amp; Sources'!$B$144:$J$150,0,4+2))),0.015),IF($AN41="OH",IF($B41&gt;=DATE(2026,8,1),SUMPRODUCT(($AZ41&gt;=INDEX('How This Works &amp; Sources'!$B$203:$J$206,0,1))*INDEX('How This Works &amp; Sources'!$B$203:$J$206,0,1+2)),SUMPRODUCT(($AZ41&gt;=INDEX('How This Works &amp; Sources'!$B$184:$J$198,0,7))*INDEX('How This Works &amp; Sources'!$B$184:$J$198,0,7+2))),IF($AN41="OK",IF($AU41="Married",SUMPRODUCT(($AZ41&gt;=INDEX('How This Works &amp; Sources'!$B$203:$J$206,0,7))*INDEX('How This Works &amp; Sources'!$B$203:$J$206,0,7+2)),SUMPRODUCT(($AZ41&gt;=INDEX('How This Works &amp; Sources'!$B$203:$J$206,0,4))*INDEX('How This Works &amp; Sources'!$B$203:$J$206,0,4+2))),IF($AN41="RI",SUMPRODUCT(($AZ41&gt;=INDEX('How This Works &amp; Sources'!$B$211:$J$214,0,7))*INDEX('How This Works &amp; Sources'!$B$211:$J$214,0,7+2)),IF($AN41="SC",SUMPRODUCT(($AZ41&gt;=INDEX('How This Works &amp; Sources'!$B$219:$J$223,0,1))*INDEX('How This Works &amp; Sources'!$B$219:$J$223,0,1+2)),IF($AN41="VT",IF($AU41="Married",SUMPRODUCT(($AZ41&gt;=INDEX('How This Works &amp; Sources'!$B$228:$J$232,0,1))*INDEX('How This Works &amp; Sources'!$B$228:$J$232,0,1+2)),SUMPRODUCT(($AZ41&gt;=INDEX('How This Works &amp; Sources'!$B$219:$J$223,0,7))*INDEX('How This Works &amp; Sources'!$B$219:$J$223,0,7+2))),IF($AN41="WV",IF($AU41="Married",SUMPRODUCT(($AZ41&gt;=INDEX('How This Works &amp; Sources'!$B$237:$J$241,0,7))*INDEX('How This Works &amp; Sources'!$B$237:$J$241,0,7+2)),SUMPRODUCT(($AZ41&gt;=INDEX('How This Works &amp; Sources'!$B$228:$J$232,0,7))*INDEX('How This Works &amp; Sources'!$B$228:$J$232,0,7+2))),IF($AN41="IN",(0.0295+'Your Pay &amp; Benefits'!$C$76),"")))))))))))))</f>
      </c>
      <c r="CC41" s="24">
        <f>IF($B41="","",IF($AN41="AR",SUMPRODUCT(($AZ41&gt;=INDEX('How This Works &amp; Sources'!$B$82:$J$86,0,7))*INDEX('How This Works &amp; Sources'!$B$82:$J$86,0,7+2)),IF($AN41="DE",SUMPRODUCT(($AZ41&gt;=INDEX('How This Works &amp; Sources'!$B$91:$J$98,0,1))*INDEX('How This Works &amp; Sources'!$B$91:$J$98,0,1+2)),IF($AN41="VA",SUMPRODUCT(($AZ41&gt;=INDEX('How This Works &amp; Sources'!$B$219:$J$223,0,4))*INDEX('How This Works &amp; Sources'!$B$219:$J$223,0,4+2)),IF($AN41="WI",SUMPRODUCT(($AZ41&gt;=INDEX('How This Works &amp; Sources'!$B$228:$J$232,0,4))*INDEX('How This Works &amp; Sources'!$B$228:$J$232,0,4+2)),IF($AN41="AZ",'Your Pay &amp; Benefits'!$C$82,IF($AN41="CO",IF($AY41&gt;IF($AU41="Married",10000,5000),0.044,0),IF($AN41="IA",IF($AY41&gt;IF($AU41="Head of household",19500,IF($AU41="Married",26000,13000)),0.038,0),IF($AN41="ID",IF($AY41&gt;IF($AU41="Married",32000,16094),0.053,0),IF($AN41="IL",IF($AY41&gt;(2925*$AS41+1000*$AT41),0.0495,0),IF($AN41="KY",IF($AI41&gt;3360,0.035,0),IF($AN41="LA",0.0309,IF($AN41="MA",IF(MAX(0,$AY41-MIN(($BD40+$Q41+$R41+$S41),2000)-IF($AS41=0,0,IF($AS41=1,4400,1000*$AS41+3400)))&gt;=1107750,0.09,0.05),IF($AN41="MS",IF($AI41-IF($AU41="Head of household",3400,IF($AU41="Married",4600,2300))-'Your Pay &amp; Benefits'!$C$85&gt;10000,0.04,0),IF($AN41="PA",0.0307,"")))))))))))))))</f>
      </c>
      <c r="CD41" s="21">
        <f>IF(YEAR(IF('Your Pay &amp; Benefits'!$C$7="Weekly",'Your Pay &amp; Benefits'!$C$9+7*(($BE40+1)-1),IF('Your Pay &amp; Benefits'!$C$7="Biweekly",'Your Pay &amp; Benefits'!$C$9+14*(($BE40+1)-1),IF('Your Pay &amp; Benefits'!$C$7="Semimonthly",DATE(YEAR('Your Pay &amp; Benefits'!$C$9),MONTH('Your Pay &amp; Benefits'!$C$9)+INT((($BE40+1)-1)/2),MIN(DAY('Your Pay &amp; Benefits'!$C$9),DAY(EOMONTH(DATE(YEAR('Your Pay &amp; Benefits'!$C$9),MONTH('Your Pay &amp; Benefits'!$C$9)+INT((($BE40+1)-1)/2),1),0))))+IF(MOD(($BE40+1)-1,2)=1,15,0),EDATE('Your Pay &amp; Benefits'!$C$9,($BE40+1)-1)))))&lt;&gt;'Your Pay &amp; Benefits'!$C$10,"",IF('Your Pay &amp; Benefits'!$C$7="Weekly",'Your Pay &amp; Benefits'!$C$9+7*(($BE40+1)-1),IF('Your Pay &amp; Benefits'!$C$7="Biweekly",'Your Pay &amp; Benefits'!$C$9+14*(($BE40+1)-1),IF('Your Pay &amp; Benefits'!$C$7="Semimonthly",DATE(YEAR('Your Pay &amp; Benefits'!$C$9),MONTH('Your Pay &amp; Benefits'!$C$9)+INT((($BE40+1)-1)/2),MIN(DAY('Your Pay &amp; Benefits'!$C$9),DAY(EOMONTH(DATE(YEAR('Your Pay &amp; Benefits'!$C$9),MONTH('Your Pay &amp; Benefits'!$C$9)+INT((($BE40+1)-1)/2),1),0))))+IF(MOD(($BE40+1)-1,2)=1,15,0),EDATE('Your Pay &amp; Benefits'!$C$9,($BE40+1)-1)))))</f>
      </c>
      <c r="CE41" s="21">
        <f>IF(MIN(IF(AND('Your Pay &amp; Benefits'!$C$58&gt;MAX($B$6:$B40),'Your Pay &amp; Benefits'!$C$58&gt;=DATE('Your Pay &amp; Benefits'!$C$10,1,1),'Your Pay &amp; Benefits'!$C$58&lt;=DATE('Your Pay &amp; Benefits'!$C$10,12,31)),'Your Pay &amp; Benefits'!$C$58,999999),IF(AND('Your Pay &amp; Benefits'!$C$59&gt;MAX($B$6:$B40),'Your Pay &amp; Benefits'!$C$59&gt;=DATE('Your Pay &amp; Benefits'!$C$10,1,1),'Your Pay &amp; Benefits'!$C$59&lt;=DATE('Your Pay &amp; Benefits'!$C$10,12,31)),'Your Pay &amp; Benefits'!$C$59,999999),IF(AND('Your Pay &amp; Benefits'!$C$60&gt;MAX($B$6:$B40),'Your Pay &amp; Benefits'!$C$60&gt;=DATE('Your Pay &amp; Benefits'!$C$10,1,1),'Your Pay &amp; Benefits'!$C$60&lt;=DATE('Your Pay &amp; Benefits'!$C$10,12,31)),'Your Pay &amp; Benefits'!$C$60,999999),IF(AND('Your Pay &amp; Benefits'!$C$61&gt;MAX($B$6:$B40),'Your Pay &amp; Benefits'!$C$61&gt;=DATE('Your Pay &amp; Benefits'!$C$10,1,1),'Your Pay &amp; Benefits'!$C$61&lt;=DATE('Your Pay &amp; Benefits'!$C$10,12,31)),'Your Pay &amp; Benefits'!$C$61,999999),IF(AND('Your Pay &amp; Benefits'!$C$62&gt;MAX($B$6:$B40),'Your Pay &amp; Benefits'!$C$62&gt;=DATE('Your Pay &amp; Benefits'!$C$10,1,1),'Your Pay &amp; Benefits'!$C$62&lt;=DATE('Your Pay &amp; Benefits'!$C$10,12,31)),'Your Pay &amp; Benefits'!$C$62,999999),IF(AND('Your Pay &amp; Benefits'!$C$63&gt;MAX($B$6:$B40),'Your Pay &amp; Benefits'!$C$63&gt;=DATE('Your Pay &amp; Benefits'!$C$10,1,1),'Your Pay &amp; Benefits'!$C$63&lt;=DATE('Your Pay &amp; Benefits'!$C$10,12,31)),'Your Pay &amp; Benefits'!$C$63,999999),IF(AND('Your Pay &amp; Benefits'!$C$64&gt;MAX($B$6:$B40),'Your Pay &amp; Benefits'!$C$64&gt;=DATE('Your Pay &amp; Benefits'!$C$10,1,1),'Your Pay &amp; Benefits'!$C$64&lt;=DATE('Your Pay &amp; Benefits'!$C$10,12,31)),'Your Pay &amp; Benefits'!$C$64,999999),IF(AND('Your Pay &amp; Benefits'!$C$65&gt;MAX($B$6:$B40),'Your Pay &amp; Benefits'!$C$65&gt;=DATE('Your Pay &amp; Benefits'!$C$10,1,1),'Your Pay &amp; Benefits'!$C$65&lt;=DATE('Your Pay &amp; Benefits'!$C$10,12,31)),'Your Pay &amp; Benefits'!$C$65,999999),IF(AND('Your Pay &amp; Benefits'!$C$66&gt;MAX($B$6:$B40),'Your Pay &amp; Benefits'!$C$66&gt;=DATE('Your Pay &amp; Benefits'!$C$10,1,1),'Your Pay &amp; Benefits'!$C$66&lt;=DATE('Your Pay &amp; Benefits'!$C$10,12,31)),'Your Pay &amp; Benefits'!$C$66,999999),IF(AND('Your Pay &amp; Benefits'!$C$67&gt;MAX($B$6:$B40),'Your Pay &amp; Benefits'!$C$67&gt;=DATE('Your Pay &amp; Benefits'!$C$10,1,1),'Your Pay &amp; Benefits'!$C$67&lt;=DATE('Your Pay &amp; Benefits'!$C$10,12,31)),'Your Pay &amp; Benefits'!$C$67,999999))=999999,"",MIN(IF(AND('Your Pay &amp; Benefits'!$C$58&gt;MAX($B$6:$B40),'Your Pay &amp; Benefits'!$C$58&gt;=DATE('Your Pay &amp; Benefits'!$C$10,1,1),'Your Pay &amp; Benefits'!$C$58&lt;=DATE('Your Pay &amp; Benefits'!$C$10,12,31)),'Your Pay &amp; Benefits'!$C$58,999999),IF(AND('Your Pay &amp; Benefits'!$C$59&gt;MAX($B$6:$B40),'Your Pay &amp; Benefits'!$C$59&gt;=DATE('Your Pay &amp; Benefits'!$C$10,1,1),'Your Pay &amp; Benefits'!$C$59&lt;=DATE('Your Pay &amp; Benefits'!$C$10,12,31)),'Your Pay &amp; Benefits'!$C$59,999999),IF(AND('Your Pay &amp; Benefits'!$C$60&gt;MAX($B$6:$B40),'Your Pay &amp; Benefits'!$C$60&gt;=DATE('Your Pay &amp; Benefits'!$C$10,1,1),'Your Pay &amp; Benefits'!$C$60&lt;=DATE('Your Pay &amp; Benefits'!$C$10,12,31)),'Your Pay &amp; Benefits'!$C$60,999999),IF(AND('Your Pay &amp; Benefits'!$C$61&gt;MAX($B$6:$B40),'Your Pay &amp; Benefits'!$C$61&gt;=DATE('Your Pay &amp; Benefits'!$C$10,1,1),'Your Pay &amp; Benefits'!$C$61&lt;=DATE('Your Pay &amp; Benefits'!$C$10,12,31)),'Your Pay &amp; Benefits'!$C$61,999999),IF(AND('Your Pay &amp; Benefits'!$C$62&gt;MAX($B$6:$B40),'Your Pay &amp; Benefits'!$C$62&gt;=DATE('Your Pay &amp; Benefits'!$C$10,1,1),'Your Pay &amp; Benefits'!$C$62&lt;=DATE('Your Pay &amp; Benefits'!$C$10,12,31)),'Your Pay &amp; Benefits'!$C$62,999999),IF(AND('Your Pay &amp; Benefits'!$C$63&gt;MAX($B$6:$B40),'Your Pay &amp; Benefits'!$C$63&gt;=DATE('Your Pay &amp; Benefits'!$C$10,1,1),'Your Pay &amp; Benefits'!$C$63&lt;=DATE('Your Pay &amp; Benefits'!$C$10,12,31)),'Your Pay &amp; Benefits'!$C$63,999999),IF(AND('Your Pay &amp; Benefits'!$C$64&gt;MAX($B$6:$B40),'Your Pay &amp; Benefits'!$C$64&gt;=DATE('Your Pay &amp; Benefits'!$C$10,1,1),'Your Pay &amp; Benefits'!$C$64&lt;=DATE('Your Pay &amp; Benefits'!$C$10,12,31)),'Your Pay &amp; Benefits'!$C$64,999999),IF(AND('Your Pay &amp; Benefits'!$C$65&gt;MAX($B$6:$B40),'Your Pay &amp; Benefits'!$C$65&gt;=DATE('Your Pay &amp; Benefits'!$C$10,1,1),'Your Pay &amp; Benefits'!$C$65&lt;=DATE('Your Pay &amp; Benefits'!$C$10,12,31)),'Your Pay &amp; Benefits'!$C$65,999999),IF(AND('Your Pay &amp; Benefits'!$C$66&gt;MAX($B$6:$B40),'Your Pay &amp; Benefits'!$C$66&gt;=DATE('Your Pay &amp; Benefits'!$C$10,1,1),'Your Pay &amp; Benefits'!$C$66&lt;=DATE('Your Pay &amp; Benefits'!$C$10,12,31)),'Your Pay &amp; Benefits'!$C$66,999999),IF(AND('Your Pay &amp; Benefits'!$C$67&gt;MAX($B$6:$B40),'Your Pay &amp; Benefits'!$C$67&gt;=DATE('Your Pay &amp; Benefits'!$C$10,1,1),'Your Pay &amp; Benefits'!$C$67&lt;=DATE('Your Pay &amp; Benefits'!$C$10,12,31)),'Your Pay &amp; Benefits'!$C$67,999999)))</f>
      </c>
      <c r="CF41">
        <f>IF($B41="","",IF($D41=0,$Y41,""))</f>
      </c>
    </row>
    <row r="42">
      <c r="A42" t="n">
        <v>37</v>
      </c>
      <c r="B42" s="21">
        <f>IF(AND($CD42="",$CE42=""),"",IF($CE42="",$CD42,IF($CD42="",$CE42,MIN($CD42,$CE42))))</f>
      </c>
      <c r="C42" s="7">
        <f>IF($B42="","",IF($BF42=0,0,IF('Your Pay &amp; Benefits'!$C$4="Annual salary",ROUND($AK42/IF(AND('Your Pay &amp; Benefits'!$C$88="Actual paydays",MONTH('Your Pay &amp; Benefits'!$C$9)=1),MAX(1,MAX($BE$6:$BE$68)),'Your Pay &amp; Benefits'!$C$8),2),$AK42)))</f>
      </c>
      <c r="D42" s="7">
        <f>IF($B42="","",SUMIF('Your Pay &amp; Benefits'!$C$58:$C$67,$B42,'Your Pay &amp; Benefits'!$D$58:$D$67))</f>
      </c>
      <c r="E42" s="7">
        <f>IF($B42="","",ROUND(MAX(0,MIN(IF($AL42="Percent",$AM42*($C42+$D42),$AM42),MAX(0,'Your Pay &amp; Benefits'!$C$34-$AC41))),2))</f>
      </c>
      <c r="F42" s="7">
        <f>IF($B42="","",ROUND(MAX(0,MIN(IF('Your Pay &amp; Benefits'!$C$32="Percent",'Your Pay &amp; Benefits'!$D$32*($C42+$D42),'Your Pay &amp; Benefits'!$D$32),MAX(0,'Your Pay &amp; Benefits'!$C$34-$AC41-$E42))),2))</f>
      </c>
      <c r="G42" s="7">
        <f>IF($B42="","",IF($BF42=0,0,ROUND(MAX(0,MIN($BL42,'Your Pay &amp; Benefits'!$C$37-'Your Pay &amp; Benefits'!$C$54-$BI41)),2)))</f>
      </c>
      <c r="H42" s="7">
        <f>IF($B42="","",IF(OR($BF42=0,$BQ42=1),0,ROUND(MAX(0,MIN(IF($BS42=1,ROUND(MAX(0,MIN($BJ42,'How This Works &amp; Sources'!$C$13)-$BG41)/MAX(1,MAX($BE$6:$BE$68)-($BE41)),2),ROUND(MIN($BJ42,'How This Works &amp; Sources'!$C$13)/'Your Pay &amp; Benefits'!$C$8,2)),MIN($BJ42,'How This Works &amp; Sources'!$C$13)-$BG41)),2)))</f>
      </c>
      <c r="I42" s="7">
        <f>IF($B42="","",IF(OR($BF42=0,$BR42=1),0,ROUND(MAX(0,MIN(IF($BT42=1,ROUND(MAX(0,MIN($BK42,IF('Your Pay &amp; Benefits'!$C$12="MFJ",'How This Works &amp; Sources'!$C$14,'How This Works &amp; Sources'!$C$15))-$BH41)/MAX(1,MAX($BE$6:$BE$68)-($BE41)),2),ROUND(MIN($BK42,IF('Your Pay &amp; Benefits'!$C$12="MFJ",'How This Works &amp; Sources'!$C$14,'How This Works &amp; Sources'!$C$15))/'Your Pay &amp; Benefits'!$C$8,2)),MIN($BK42,IF('Your Pay &amp; Benefits'!$C$12="MFJ",'How This Works &amp; Sources'!$C$14,'How This Works &amp; Sources'!$C$15))-$BH41)),2)))</f>
      </c>
      <c r="J42" s="7">
        <f>IF($B42="","",IF($BF42=0,0,$BM42))</f>
      </c>
      <c r="K42" s="7">
        <f>IF($B42="","",IF($BF42=0,0,$BN42+$BO42))</f>
      </c>
      <c r="L42" s="7">
        <f>IF($B42="","",IF($BF42=0,0,'Your Pay &amp; Benefits'!$D$46))</f>
      </c>
      <c r="M42" s="7">
        <f>IF($B42="","",$C42+$D42+$L42-$E42-$G42-$H42-$I42-$J42-$K42)</f>
      </c>
      <c r="N42" s="7">
        <f>IF($B42="","",$C42+$D42+$L42-$G42-$H42-$I42-$J42-$K42)</f>
      </c>
      <c r="O42" s="7">
        <f>IF($B42="","",$C42+$D42+$L42-$E42-$H42-$I42-$J42-$K42-IF(OR($AN42="CA",$AN42="NJ"),0,$G42))</f>
      </c>
      <c r="P42" s="7">
        <f>IF($B42="","",IF('Your Pay &amp; Benefits'!$C$18,0,ROUND(MAX(0,IF('Your Pay &amp; Benefits'!$C$13,SUMPRODUCT(($AH42&gt;INDEX('How This Works &amp; Sources'!$B$29:$J$36,0,IF('Your Pay &amp; Benefits'!$C$12="MFJ",1,IF('Your Pay &amp; Benefits'!$C$12="HoH",7,4))))*($AH42-INDEX('How This Works &amp; Sources'!$B$29:$J$36,0,IF('Your Pay &amp; Benefits'!$C$12="MFJ",1,IF('Your Pay &amp; Benefits'!$C$12="HoH",7,4))))*INDEX('How This Works &amp; Sources'!$B$29:$J$36,0,IF('Your Pay &amp; Benefits'!$C$12="MFJ",1,IF('Your Pay &amp; Benefits'!$C$12="HoH",7,4))+2)),SUMPRODUCT(($AH42&gt;INDEX('How This Works &amp; Sources'!$B$19:$J$26,0,IF('Your Pay &amp; Benefits'!$C$12="MFJ",1,IF('Your Pay &amp; Benefits'!$C$12="HoH",7,4))))*($AH42-INDEX('How This Works &amp; Sources'!$B$19:$J$26,0,IF('Your Pay &amp; Benefits'!$C$12="MFJ",1,IF('Your Pay &amp; Benefits'!$C$12="HoH",7,4))))*INDEX('How This Works &amp; Sources'!$B$19:$J$26,0,IF('Your Pay &amp; Benefits'!$C$12="MFJ",1,IF('Your Pay &amp; Benefits'!$C$12="HoH",7,4))+2)))/'Your Pay &amp; Benefits'!$C$8-$AO42/'Your Pay &amp; Benefits'!$C$8)+$AR42+IF('Your Pay &amp; Benefits'!$C$89="Aggregate",MAX(0,IF('Your Pay &amp; Benefits'!$C$13,SUMPRODUCT((($AH42+$D42)&gt;INDEX('How This Works &amp; Sources'!$B$29:$J$36,0,IF('Your Pay &amp; Benefits'!$C$12="MFJ",1,IF('Your Pay &amp; Benefits'!$C$12="HoH",7,4))))*(($AH42+$D42)-INDEX('How This Works &amp; Sources'!$B$29:$J$36,0,IF('Your Pay &amp; Benefits'!$C$12="MFJ",1,IF('Your Pay &amp; Benefits'!$C$12="HoH",7,4))))*INDEX('How This Works &amp; Sources'!$B$29:$J$36,0,IF('Your Pay &amp; Benefits'!$C$12="MFJ",1,IF('Your Pay &amp; Benefits'!$C$12="HoH",7,4))+2)),SUMPRODUCT((($AH42+$D42)&gt;INDEX('How This Works &amp; Sources'!$B$19:$J$26,0,IF('Your Pay &amp; Benefits'!$C$12="MFJ",1,IF('Your Pay &amp; Benefits'!$C$12="HoH",7,4))))*(($AH42+$D42)-INDEX('How This Works &amp; Sources'!$B$19:$J$26,0,IF('Your Pay &amp; Benefits'!$C$12="MFJ",1,IF('Your Pay &amp; Benefits'!$C$12="HoH",7,4))))*INDEX('How This Works &amp; Sources'!$B$19:$J$26,0,IF('Your Pay &amp; Benefits'!$C$12="MFJ",1,IF('Your Pay &amp; Benefits'!$C$12="HoH",7,4))+2)))-IF('Your Pay &amp; Benefits'!$C$13,SUMPRODUCT(($AH42&gt;INDEX('How This Works &amp; Sources'!$B$29:$J$36,0,IF('Your Pay &amp; Benefits'!$C$12="MFJ",1,IF('Your Pay &amp; Benefits'!$C$12="HoH",7,4))))*($AH42-INDEX('How This Works &amp; Sources'!$B$29:$J$36,0,IF('Your Pay &amp; Benefits'!$C$12="MFJ",1,IF('Your Pay &amp; Benefits'!$C$12="HoH",7,4))))*INDEX('How This Works &amp; Sources'!$B$29:$J$36,0,IF('Your Pay &amp; Benefits'!$C$12="MFJ",1,IF('Your Pay &amp; Benefits'!$C$12="HoH",7,4))+2)),SUMPRODUCT(($AH42&gt;INDEX('How This Works &amp; Sources'!$B$19:$J$26,0,IF('Your Pay &amp; Benefits'!$C$12="MFJ",1,IF('Your Pay &amp; Benefits'!$C$12="HoH",7,4))))*($AH42-INDEX('How This Works &amp; Sources'!$B$19:$J$26,0,IF('Your Pay &amp; Benefits'!$C$12="MFJ",1,IF('Your Pay &amp; Benefits'!$C$12="HoH",7,4))))*INDEX('How This Works &amp; Sources'!$B$19:$J$26,0,IF('Your Pay &amp; Benefits'!$C$12="MFJ",1,IF('Your Pay &amp; Benefits'!$C$12="HoH",7,4))+2)))),'How This Works &amp; Sources'!$C$10*$D42),2)))</f>
      </c>
      <c r="Q42" s="7">
        <f>IF($B42="","",ROUND('How This Works &amp; Sources'!$C$4*MIN($N42,MAX(0,'How This Works &amp; Sources'!$C$3-($AX42+$AB41-$AW42))),2))</f>
      </c>
      <c r="R42" s="7">
        <f>IF($B42="","",ROUND('How This Works &amp; Sources'!$C$5*$N42,2))</f>
      </c>
      <c r="S42" s="7">
        <f>IF($B42="","",ROUND('How This Works &amp; Sources'!$C$6*MAX(0,MIN($N42,$AG41+$N42-'How This Works &amp; Sources'!$C$7)),2))</f>
      </c>
      <c r="T42" s="7">
        <f>IF($B42="","",IF('Your Pay &amp; Benefits'!$C$26,0,IF($AN42="CA",ROUND(IF($AI42&lt;=IF(($AS42+$AT42)&gt;=2,VLOOKUP($AN42,StateTables!$A$6:$AB$56,10,FALSE),VLOOKUP($AN42,StateTables!$A$6:$AB$56,9,FALSE)),0,MAX(0,SUMPRODUCT(($AJ42&gt;INDEX('How This Works &amp; Sources'!$B$39:$J$48,0,IF($AU42="Married",4,IF($AU42="Head of household",7,1))))*($AJ42-INDEX('How This Works &amp; Sources'!$B$39:$J$48,0,IF($AU42="Married",4,IF($AU42="Head of household",7,1))))*INDEX('How This Works &amp; Sources'!$B$39:$J$48,0,IF($AU42="Married",4,IF($AU42="Head of household",7,1))+2))-VLOOKUP($AN42,StateTables!$A$6:$AB$56,11,FALSE)*$AS42)/'Your Pay &amp; Benefits'!$C$8)+'Your Pay &amp; Benefits'!$C$25+VLOOKUP($AN42,StateTables!$A$6:$AB$56,13,FALSE)*$D42,2),IF(VLOOKUP($AN42,StateTables!$A$6:$AB$56,4,FALSE)="None",0,IF(ISNUMBER(SEARCH("MANUAL",VLOOKUP($AN42,StateTables!$A$6:$AB$56,5,FALSE))),'Your Pay &amp; Benefits'!$C$28,ROUND(MAX(0,$BA42+$BB42)/'Your Pay &amp; Benefits'!$C$8+'Your Pay &amp; Benefits'!$C$25+$BC42,2))))))</f>
      </c>
      <c r="U42" s="7">
        <f>IF($B42="","",IF(VLOOKUP($AN42,StateTables!$A$6:$AB$56,24,FALSE)="flatq",IF(OR(MONTH($B42)=1,MONTH($B42)=4,MONTH($B42)=7,MONTH($B42)=10),VLOOKUP($AN42,StateTables!$A$6:$AB$56,25,FALSE),0),IF(VLOOKUP($AN42,StateTables!$A$6:$AB$56,24,FALSE)="dbl",MIN(ROUND(0.005*$N42,2),ROUND(0.6*52/'Your Pay &amp; Benefits'!$C$8,2)),IF(OR(VLOOKUP($AN42,StateTables!$A$6:$AB$56,15,FALSE)="",VLOOKUP($AN42,StateTables!$A$6:$AB$56,15,FALSE)=0),0,ROUND(VLOOKUP($AN42,StateTables!$A$6:$AB$56,15,FALSE)*IF(OR(VLOOKUP($AN42,StateTables!$A$6:$AB$56,16,FALSE)="",VLOOKUP($AN42,StateTables!$A$6:$AB$56,16,FALSE)=0),$N42,MIN($N42,MAX(0,VLOOKUP($AN42,StateTables!$A$6:$AB$56,16,FALSE)-($AX42+$AB41-$AW42)))),2))))+IF(VLOOKUP($AN42,StateTables!$A$6:$AB$56,27,FALSE)="flatq",IF(OR(MONTH($B42)=1,MONTH($B42)=4,MONTH($B42)=7,MONTH($B42)=10),VLOOKUP($AN42,StateTables!$A$6:$AB$56,28,FALSE),0),IF(VLOOKUP($AN42,StateTables!$A$6:$AB$56,27,FALSE)="dbl",MIN(ROUND(0.005*$N42,2),ROUND(0.6*52/'Your Pay &amp; Benefits'!$C$8,2)),IF(OR(VLOOKUP($AN42,StateTables!$A$6:$AB$56,18,FALSE)="",VLOOKUP($AN42,StateTables!$A$6:$AB$56,18,FALSE)=0),0,ROUND(VLOOKUP($AN42,StateTables!$A$6:$AB$56,18,FALSE)*IF(OR(VLOOKUP($AN42,StateTables!$A$6:$AB$56,19,FALSE)="",VLOOKUP($AN42,StateTables!$A$6:$AB$56,19,FALSE)=0),$N42,MIN($N42,MAX(0,VLOOKUP($AN42,StateTables!$A$6:$AB$56,19,FALSE)-($AX42+$AB41-$AW42)))),2)))))</f>
      </c>
      <c r="V42" s="7">
        <f>IF($B42="","",IF($AN42="NY",IF('Your Pay &amp; Benefits'!$C$78,ROUND(SUMPRODUCT((MAX(0,($O42-$D42)*'Your Pay &amp; Benefits'!$C$8-(IF($AU42="Married",5500,5000)+1000*$AS42))&gt;INDEX('How This Works &amp; Sources'!$B$184:$J$198,0,4))*(MAX(0,($O42-$D42)*'Your Pay &amp; Benefits'!$C$8-(IF($AU42="Married",5500,5000)+1000*$AS42))-INDEX('How This Works &amp; Sources'!$B$184:$J$198,0,4))*INDEX('How This Works &amp; Sources'!$B$184:$J$198,0,4+2))/'Your Pay &amp; Benefits'!$C$8+0.0425*$D42,2),0)+IF('Your Pay &amp; Benefits'!$C$79="Resident",ROUND(0.1675*$T42,2),IF('Your Pay &amp; Benefits'!$C$79="Nonresident",ROUND(0.005*MAX(0,($O42-$D42)-(IF($AU42="Married",7950,7400)+1000*$AS42)/'Your Pay &amp; Benefits'!$C$8),2),0)),IF($AN42="PA",IF('Your Pay &amp; Benefits'!$C$80="None",'Your Pay &amp; Benefits'!$C$27+ROUND('Your Pay &amp; Benefits'!$C$81*($C42+$D42),2),ROUND(IF('Your Pay &amp; Benefits'!$C$80="Resident",IF($B42&lt;DATE(2026,7,1),0.0374,0.03735),IF($B42&lt;DATE(2026,7,1),0.0343,0.03425))*($C42+$D42),2)),IF($BF42=0,ROUND('Your Pay &amp; Benefits'!$C$81*($C42+$D42),2),'Your Pay &amp; Benefits'!$C$27+ROUND('Your Pay &amp; Benefits'!$C$81*($C42+$D42),2)))))</f>
      </c>
      <c r="W42" s="7">
        <f>IF($B42="","",IF($BF42=0,0,$BP42))</f>
      </c>
      <c r="X42" s="7">
        <f>IF($B42="","",SUM($E42:$K42)+$P42+$Q42+$R42+$S42+$T42+$U42+$V42+$W42)</f>
      </c>
      <c r="Y42" s="22">
        <f>IF($B42="","",$C42+$D42-$X42)</f>
      </c>
      <c r="Z42" s="7">
        <f>IF($B42="","",$Z41+$C42+$D42)</f>
      </c>
      <c r="AA42" s="7">
        <f>IF($B42="","",$AA41+$Y42)</f>
      </c>
      <c r="AB42" s="7">
        <f>IF($B42="","",$AB41+MIN($N42,MAX(0,'How This Works &amp; Sources'!$C$3-($AX42+$AB41-$AW42))))</f>
      </c>
      <c r="AC42" s="7">
        <f>IF($B42="","",$AC41+$E42+$F42)</f>
      </c>
      <c r="AD42" s="3">
        <f>IF($B42="","",IF(AND($AB41&lt;'How This Works &amp; Sources'!$C$3,$AB42&gt;='How This Works &amp; Sources'!$C$3),"★ Social Security maxed on this check — from the next check your net rises by about $"&amp;TEXT(ROUND('How This Works &amp; Sources'!$C$4*$N42,2),"#,##0.00")&amp;". ","")&amp;IF(AND($AC41&lt;'Your Pay &amp; Benefits'!$C$34,$AC42&gt;='Your Pay &amp; Benefits'!$C$34),"★ 401(k) reaches the $"&amp;TEXT('Your Pay &amp; Benefits'!$C$34,"#,##0")&amp;" cap on this check — deferrals stop and net pay rises. ","")&amp;IF(AND($AG41&lt;'How This Works &amp; Sources'!$C$7,$AG42&gt;='How This Works &amp; Sources'!$C$7),"★ Wages pass $200,000 — the 0.9% Additional Medicare Tax starts here. ","")&amp;IF(AND($BJ42&gt;0,$H42&gt;0,$BG41&lt;MIN($BJ42,'How This Works &amp; Sources'!$C$13),$BG41+$H42&gt;=MIN($BJ42,'How This Works &amp; Sources'!$C$13)),"★ Health FSA election is now fully deferred for the year. ",""))</f>
      </c>
      <c r="AE42" s="41" t="n"/>
      <c r="AF42" s="7">
        <f>IF(OR($B42="",$AE42=""),"",$AE42-$Y42)</f>
      </c>
      <c r="AG42" s="7">
        <f>IF($B42="","",$AG41+$N42)</f>
      </c>
      <c r="AH42" s="7">
        <f>IF($B42="","",MAX(0,($M42-$D42)*'Your Pay &amp; Benefits'!$C$8+$AP42-$AQ42-IF('Your Pay &amp; Benefits'!$C$13,0,IF('Your Pay &amp; Benefits'!$C$12="MFJ",'How This Works &amp; Sources'!$C$8,'How This Works &amp; Sources'!$C$9))))</f>
      </c>
      <c r="AI42" s="7">
        <f>IF($B42="","",$O42*'Your Pay &amp; Benefits'!$C$8)</f>
      </c>
      <c r="AJ42" s="7">
        <f>IF($B42="","",MAX(0,$AI42-VLOOKUP($AN42,StateTables!$A$6:$AB$56,12,FALSE)*$AT42-IF(($AS42+$AT42)&gt;=2,VLOOKUP($AN42,StateTables!$A$6:$AB$56,8,FALSE),VLOOKUP($AN42,StateTables!$A$6:$AB$56,7,FALSE))))</f>
      </c>
      <c r="AK42" s="7">
        <f>IF($B42="","",IFERROR(LOOKUP(2,1/(('Changes &amp; Events'!$C$6:$C$17="Salary change")*('Changes &amp; Events'!$B$6:$B$17&lt;=$B42)*('Changes &amp; Events'!$B$6:$B$17&lt;&gt;"")),'Changes &amp; Events'!$D$6:$D$17),IF('Your Pay &amp; Benefits'!$C$4="Annual salary",'Your Pay &amp; Benefits'!$C$5,'Your Pay &amp; Benefits'!$C$6)))</f>
      </c>
      <c r="AL42">
        <f>IF($B42="","",IFERROR(LOOKUP(2,1/(('Changes &amp; Events'!$C$6:$C$17="401(k) change")*('Changes &amp; Events'!$B$6:$B$17&lt;=$B42)*('Changes &amp; Events'!$B$6:$B$17&lt;&gt;"")),'Changes &amp; Events'!$D$6:$D$17),'Your Pay &amp; Benefits'!$C$30))</f>
      </c>
      <c r="AM42" s="7">
        <f>IF($B42="","",IFERROR(LOOKUP(2,1/(('Changes &amp; Events'!$C$6:$C$17="401(k) change")*('Changes &amp; Events'!$B$6:$B$17&lt;=$B42)*('Changes &amp; Events'!$B$6:$B$17&lt;&gt;"")),'Changes &amp; Events'!$E$6:$E$17),'Your Pay &amp; Benefits'!$D$31))</f>
      </c>
      <c r="AN42">
        <f>IF($B42="","",IFERROR(LOOKUP(2,1/(('Changes &amp; Events'!$C$6:$C$17="State move")*('Changes &amp; Events'!$B$6:$B$17&lt;=$B42)*('Changes &amp; Events'!$B$6:$B$17&lt;&gt;"")),'Changes &amp; Events'!$D$6:$D$17),'Your Pay &amp; Benefits'!$C$21))</f>
      </c>
      <c r="AO42" s="7">
        <f>IF($B42="","",IFERROR(LOOKUP(2,1/(('Changes &amp; Events'!$C$6:$C$17="W-4 change")*('Changes &amp; Events'!$B$6:$B$17&lt;=$B42)*('Changes &amp; Events'!$B$6:$B$17&lt;&gt;"")),'Changes &amp; Events'!$D$6:$D$17),'Your Pay &amp; Benefits'!$C$14))</f>
      </c>
      <c r="AP42" s="7">
        <f>IF($B42="","",IFERROR(LOOKUP(2,1/(('Changes &amp; Events'!$C$6:$C$17="W-4 change")*('Changes &amp; Events'!$B$6:$B$17&lt;=$B42)*('Changes &amp; Events'!$B$6:$B$17&lt;&gt;"")),'Changes &amp; Events'!$E$6:$E$17),'Your Pay &amp; Benefits'!$C$15))</f>
      </c>
      <c r="AQ42" s="7">
        <f>IF($B42="","",IFERROR(LOOKUP(2,1/(('Changes &amp; Events'!$C$6:$C$17="W-4 change")*('Changes &amp; Events'!$B$6:$B$17&lt;=$B42)*('Changes &amp; Events'!$B$6:$B$17&lt;&gt;"")),'Changes &amp; Events'!$F$6:$F$17),'Your Pay &amp; Benefits'!$C$16))</f>
      </c>
      <c r="AR42" s="7">
        <f>IF($B42="","",IFERROR(LOOKUP(2,1/(('Changes &amp; Events'!$C$6:$C$17="W-4 change")*('Changes &amp; Events'!$B$6:$B$17&lt;=$B42)*('Changes &amp; Events'!$B$6:$B$17&lt;&gt;"")),'Changes &amp; Events'!$G$6:$G$17),'Your Pay &amp; Benefits'!$C$17))</f>
      </c>
      <c r="AS42" s="6">
        <f>IF($B42="","",IFERROR(LOOKUP(2,1/((('Changes &amp; Events'!$C$6:$C$17="State move")+('Changes &amp; Events'!$C$6:$C$17="State cert change"))*('Changes &amp; Events'!$B$6:$B$17&lt;=$B42)*('Changes &amp; Events'!$B$6:$B$17&lt;&gt;"")),'Changes &amp; Events'!$F$6:$F$17),'Your Pay &amp; Benefits'!$C$23))</f>
      </c>
      <c r="AT42" s="6">
        <f>IF($B42="","",IFERROR(LOOKUP(2,1/((('Changes &amp; Events'!$C$6:$C$17="State move")+('Changes &amp; Events'!$C$6:$C$17="State cert change"))*('Changes &amp; Events'!$B$6:$B$17&lt;=$B42)*('Changes &amp; Events'!$B$6:$B$17&lt;&gt;"")),'Changes &amp; Events'!$G$6:$G$17),'Your Pay &amp; Benefits'!$C$24))</f>
      </c>
      <c r="AU42">
        <f>IF($B42="","",IFERROR(LOOKUP(2,1/(('Changes &amp; Events'!$C$6:$C$17="State move")*('Changes &amp; Events'!$B$6:$B$17&lt;=$B42)*('Changes &amp; Events'!$B$6:$B$17&lt;&gt;"")),'Changes &amp; Events'!$E$6:$E$17),'Your Pay &amp; Benefits'!$C$22))</f>
      </c>
      <c r="AV42" s="6">
        <f>IF($B42="","",1+COUNTIFS('Changes &amp; Events'!$C$6:$C$17,"Employer change",'Changes &amp; Events'!$B$6:$B$17,"&lt;="&amp;$B42,'Changes &amp; Events'!$B$6:$B$17,"&lt;&gt;"))</f>
      </c>
      <c r="AW42" s="7">
        <f>IF($B42="","",IF($AV42=1,'Your Pay &amp; Benefits'!$C$49,IF(IFERROR(MATCH(IFERROR(LOOKUP(2,1/(('Changes &amp; Events'!$C$6:$C$17="Employer change")*('Changes &amp; Events'!$B$6:$B$17&lt;=$B42)*('Changes &amp; Events'!$B$6:$B$17&lt;&gt;"")),'Changes &amp; Events'!$B$6:$B$17),""),$B$6:$B$68,1),1)&lt;=1,'Your Pay &amp; Benefits'!$C$49,INDEX($AB$6:$AB$68,MATCH(IFERROR(LOOKUP(2,1/(('Changes &amp; Events'!$C$6:$C$17="Employer change")*('Changes &amp; Events'!$B$6:$B$17&lt;=$B42)*('Changes &amp; Events'!$B$6:$B$17&lt;&gt;"")),'Changes &amp; Events'!$B$6:$B$17),""),$B$6:$B$68,1)-1))))</f>
      </c>
      <c r="AX42" s="7">
        <f>IF($B42="","",IF($AV42=1,'Your Pay &amp; Benefits'!$C$49,IFERROR(LOOKUP(2,1/(('Changes &amp; Events'!$C$6:$C$17="Employer change")*('Changes &amp; Events'!$B$6:$B$17&lt;=$B42)*('Changes &amp; Events'!$B$6:$B$17&lt;&gt;"")),'Changes &amp; Events'!$D$6:$D$17),0)))</f>
      </c>
      <c r="AY42" s="7">
        <f>IF($B42="","",($O42-$D42)*'Your Pay &amp; Benefits'!$C$8)</f>
      </c>
      <c r="AZ42" s="7">
        <f>IF($B42="","",IF($AN42="AL",MAX(0,$AY42-IF($AU42="Married",IF($AY42&lt;=25999,8500,MAX(5000,8500-175*CEILING(($AY42-25999)/500,1))),IF($AU42="Head of household",IF($AY42&lt;=25999,5200,MAX(2500,5200-135*CEILING(($AY42-25999)/500,1))),IF($AY42&lt;=25999,3000,MAX(2500,3000-25*CEILING(($AY42-25999)/500,1)))))-($P42-'How This Works &amp; Sources'!$C$10*$D42)*'Your Pay &amp; Benefits'!$C$8-IF(OR($AU42="Married",$AU42="Head of household"),3000,1500)-$AT42*IF($AY42&lt;=50000,1000,IF($AY42&lt;=100000,500,300))),IF($AN42="AR",IF(MAX(0,$AY42-2470)&lt;97701,INT(MAX(0,$AY42-2470)/100)*100+50,MAX(0,$AY42-2470)),IF($AN42="DE",MAX(0,$AI42-3250),IF($AN42="HI",MAX(0,$AI42-1144*$AS42-4350),IF($AN42="KS",MAX(0,$AI42-(9160*IF($AU42="Married",2,1)+2320*$AT42+IF($AU42="Head of household",2320,0))),IF($AN42="MD",MAX(0,$AI42-3400-3200*$AS42),IF($AN42="MN",MAX(0,$AY42-5300*$AS42),IF($AN42="MO",MAX(0,$AI42-IF($AU42="Head of household",24150,IF($AU42="Married",IF('Your Pay &amp; Benefits'!$C$83,16100,32200),16100))),IF($AN42="MT",$AY42,IF($AN42="ND",($C42+$L42)*'Your Pay &amp; Benefits'!$C$8,IF($AN42="NE",MAX(0,$AY42-2440*$AS42),IF($AN42="NJ",MAX(0,$AY42-1000*$AS42),IF($AN42="NY",MAX(0,$AY42-(IF($AU42="Married",7950,7400)+1000*$AS42)),IF($AN42="OH",MAX(0,$AY42-650*$AS42),IF($AN42="OK",MAX(0,$AY42-1000*$AS42),IF($AN42="RI",MAX(0,$AI42-1000*$AS42),IF($AN42="SC",MAX(0,$AI42-5000*$AS42-IF($AS42=0,0,MIN(0.1*$AI42,7500))),IF($AN42="VA",MAX(0,$AI42-IF($AU42="Married",17500,8750)-930*$AS42-800*$AT42),IF($AN42="VT",MAX(0,$AI42-5400*$AS42),IF($AN42="WI",MAX(0,$AI42-MAX(0,IF($AU42="Married",9461-0.2*MAX(0,$AI42-25727),6702-0.12*MAX(0,$AI42-17780)))-400*$AS42),IF($AN42="WV",MAX(0,$AI42-2000*$AS42),$AI42))))))))))))))))))))))</f>
      </c>
      <c r="BA42" s="7">
        <f>IF($B42="","",IF($BW42&lt;&gt;"",$BW42,IF($BX42&lt;&gt;"",$BX42,IF($BY42&lt;&gt;"",$BY42,0))))</f>
      </c>
      <c r="BB42" s="7">
        <f>IF($B42="","",IF($AN42="AR",-29*$AS42,IF($AN42="DE",-110*$AS42,IF($AN42="MD",$AZ42*'Your Pay &amp; Benefits'!$C$74,IF($AN42="AZ",'Your Pay &amp; Benefits'!$C$82*($M42-$D42)*'Your Pay &amp; Benefits'!$C$8,IF($AN42="CO",0.044*MAX(0,$AY42-IF($AU42="Married",10000,5000)),IF($AN42="IA",MAX(0,0.038*MAX(0,$AY42-IF($AU42="Head of household",19500,IF($AU42="Married",26000,13000)))-40*$AS42),IF($AN42="ID",0.053*MAX(0,$AY42-IF($AU42="Married",32000,16094)),IF($AN42="IL",0.0495*MAX(0,$AY42-(2925*$AS42+1000*$AT42)),IF($AN42="IN",(0.0295+'Your Pay &amp; Benefits'!$C$76)*MAX(0,$AY42-(1000*$AS42+1500*$AT42+3000*'Your Pay &amp; Benefits'!$C$86)),IF($AN42="KY",0.035*MAX(0,$AI42-3360),IF($AN42="LA",IF('Your Pay &amp; Benefits'!$C$84="0",0.0309*$AI42,0.0309*MAX(0,$AI42-IF('Your Pay &amp; Benefits'!$C$84="2",25750,12875))),IF($AN42="MA",0.05*MIN(MAX(0,$AY42-MIN(($BD41+$Q42+$R42+$S42),2000)-IF($AS42=0,0,IF($AS42=1,4400,1000*$AS42+3400))),1107750)+0.09*MAX(0,MAX(0,$AY42-MIN(($BD41+$Q42+$R42+$S42),2000)-IF($AS42=0,0,IF($AS42=1,4400,1000*$AS42+3400)))-1107750)-IF($AU42="Head of household",120,0)-110*'Your Pay &amp; Benefits'!$C$75,IF($AN42="MI",0.0425*MAX(0,$AY42-5900*$AS42),IF($AN42="MS",0.04*MAX(0,$AI42-IF($AU42="Head of household",3400,IF($AU42="Married",4600,2300))-'Your Pay &amp; Benefits'!$C$85-10000),IF($AN42="OR",IF(OR($AU42="Married",AND($AU42="Single",$AS42&gt;=3)),SUMPRODUCT((MAX(0,$AY42-MIN(($P42-'How This Works &amp; Sources'!$C$10*$D42)*'Your Pay &amp; Benefits'!$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Sources'!$B$211:$J$214,0,4))*(MAX(0,$AY42-MIN(($P42-'How This Works &amp; Sources'!$C$10*$D42)*'Your Pay &amp; Benefits'!$C$8,IF(OR($AU42="Married",AND($AU42="Single",$AS42&gt;=3)),IF($AY42&lt;250000,8750,IF($AY42&lt;260000,7000,IF($AY42&lt;270000,5250,IF($AY42&lt;280000,3500,IF($AY42&lt;290000,1750,0))))),IF($AY42&lt;125000,8750,IF($AY42&lt;130000,7000,IF($AY42&lt;135000,5250,IF($AY42&lt;140000,3500,IF($AY42&lt;145000,1750,0)))))))-IF(OR($AU42="Married",AND($AU42="Single",$AS42&gt;=3)),5820,2910))-INDEX('How This Works &amp; Sources'!$B$211:$J$214,0,4))*INDEX('How This Works &amp; Sources'!$B$211:$J$214,0,4+2)),SUMPRODUCT((MAX(0,$AY42-MIN(($P42-'How This Works &amp; Sources'!$C$10*$D42)*'Your Pay &amp; Benefits'!$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Sources'!$B$211:$J$214,0,1))*(MAX(0,$AY42-MIN(($P42-'How This Works &amp; Sources'!$C$10*$D42)*'Your Pay &amp; Benefits'!$C$8,IF(OR($AU42="Married",AND($AU42="Single",$AS42&gt;=3)),IF($AY42&lt;250000,8750,IF($AY42&lt;260000,7000,IF($AY42&lt;270000,5250,IF($AY42&lt;280000,3500,IF($AY42&lt;290000,1750,0))))),IF($AY42&lt;125000,8750,IF($AY42&lt;130000,7000,IF($AY42&lt;135000,5250,IF($AY42&lt;140000,3500,IF($AY42&lt;145000,1750,0)))))))-IF(OR($AU42="Married",AND($AU42="Single",$AS42&gt;=3)),5820,2910))-INDEX('How This Works &amp; Sources'!$B$211:$J$214,0,1))*INDEX('How This Works &amp; Sources'!$B$211:$J$214,0,1+2)))+263-263*IF(IF($AU42="Married",$AY42&gt;200000,$AY42&gt;100000),0,$AS42),IF($AN42="PA",0.0307*(($O42+$E42+$G42)*'Your Pay &amp; Benefits'!$C$8),IF($AN42="NY",IF($AU42="Married",IF($AZ42&gt;=2155350,0,IF($AZ42&gt;=1077550,0.48,IF($AZ42&gt;=373200,1.21,IF($AZ42&gt;=323200,0.21,IF($AZ42&gt;=211550,-0.19,IF($AZ42&gt;=157650,-2.8,IF($AZ42&gt;=107650,-0.8,IF($AZ42&gt;=96800,0.05,IF($AZ42&gt;=80650,-0.1,IF($AZ42&gt;=13900,0.4,IF($AZ42&gt;=11700,-0.3,IF($AZ42&gt;=8500,0.5,0)))))))))))),IF($AZ42&gt;=1077550,0,IF($AZ42&gt;=265400,4.29,IF($AZ42&gt;=215400,2.29,IF($AZ42&gt;=157650,2.29,IF($AZ42&gt;=107650,0.29,IF($AZ42&gt;=96800,0.05,IF($AZ42&gt;=80650,-0.1,IF($AZ42&gt;=13900,0.4,IF($AZ42&gt;=11700,-0.3,IF($AZ42&gt;=8500,0.5,0))))))))))),0))))))))))))))))))</f>
      </c>
      <c r="BC42" s="7">
        <f>IF($B42="","",IF($AN42="AL",0.05*$D42,IF($AN42="AR",0.039*$D42,IF($AN42="ID",0.053*$D42,IF($AN42="IN",(0.0295+'Your Pay &amp; Benefits'!$C$76)*$D42,IF($AN42="KS",0.05*$D42,IF($AN42="MA",0.09*MIN($D42,MAX(0,MAX(0,$AY42-MIN(($BD41+$Q42+$R42+$S42),2000)-IF($AS42=0,0,IF($AS42=1,4400,1000*$AS42+3400)))+$D42-1107750))+0.05*($D42-MIN($D42,MAX(0,MAX(0,$AY42-MIN(($BD41+$Q42+$R42+$S42),2000)-IF($AS42=0,0,IF($AS42=1,4400,1000*$AS42+3400)))+$D42-1107750))),IF($AN42="MD",(0.065+'Your Pay &amp; Benefits'!$C$74)*$D42,IF($AN42="MI",0.0425*$D42,IF($AN42="MN",0.0625*$D42,IF($AN42="MO",0.047*$D42,IF($AN42="MT",0.05*$D42,IF($AN42="ND",0.015*$D42,IF($AN42="NE",0.035*$D42,IF($AN42="NJ",IF('Your Pay &amp; Benefits'!$C$77="B",SUMPRODUCT(($D42*'Your Pay &amp; Benefits'!$C$8&gt;INDEX('How This Works &amp; Sources'!$B$155:$J$162,0,4))*($D42*'Your Pay &amp; Benefits'!$C$8-INDEX('How This Works &amp; Sources'!$B$155:$J$162,0,4))*INDEX('How This Works &amp; Sources'!$B$155:$J$162,0,4+2)),IF('Your Pay &amp; Benefits'!$C$77="C",SUMPRODUCT(($D42*'Your Pay &amp; Benefits'!$C$8&gt;INDEX('How This Works &amp; Sources'!$B$155:$J$162,0,7))*($D42*'Your Pay &amp; Benefits'!$C$8-INDEX('How This Works &amp; Sources'!$B$155:$J$162,0,7))*INDEX('How This Works &amp; Sources'!$B$155:$J$162,0,7+2)),IF('Your Pay &amp; Benefits'!$C$77="D",SUMPRODUCT(($D42*'Your Pay &amp; Benefits'!$C$8&gt;INDEX('How This Works &amp; Sources'!$B$167:$J$179,0,1))*($D42*'Your Pay &amp; Benefits'!$C$8-INDEX('How This Works &amp; Sources'!$B$167:$J$179,0,1))*INDEX('How This Works &amp; Sources'!$B$167:$J$179,0,1+2)),IF('Your Pay &amp; Benefits'!$C$77="E",SUMPRODUCT(($D42*'Your Pay &amp; Benefits'!$C$8&gt;INDEX('How This Works &amp; Sources'!$B$167:$J$179,0,4))*($D42*'Your Pay &amp; Benefits'!$C$8-INDEX('How This Works &amp; Sources'!$B$167:$J$179,0,4))*INDEX('How This Works &amp; Sources'!$B$167:$J$179,0,4+2)),SUMPRODUCT(($D42*'Your Pay &amp; Benefits'!$C$8&gt;INDEX('How This Works &amp; Sources'!$B$155:$J$162,0,1))*($D42*'Your Pay &amp; Benefits'!$C$8-INDEX('How This Works &amp; Sources'!$B$155:$J$162,0,1))*INDEX('How This Works &amp; Sources'!$B$155:$J$162,0,1+2))))))/'Your Pay &amp; Benefits'!$C$8,IF($AN42="NY",0.117*$D42,IF($AN42="OH",0.0275*$D42,IF($AN42="OK",0.045*$D42,IF($AN42="OR",0.08*$D42,IF($AN42="WI",IF($AY42&lt;12760,0.0354,IF($AY42&lt;25520,0.0465,IF($AY42&lt;280950,0.053,0.0765)))*$D42,0))))))))))))))))))))</f>
      </c>
      <c r="BD42" s="7">
        <f>IF($B42="","",$BD41+$Q42+$R42+$S42)</f>
      </c>
      <c r="BE42" s="6">
        <f>IF($B42="",$BE41,$BE41+$BF42)</f>
      </c>
      <c r="BF42" s="6">
        <f>IF($B42="","",IF(AND(IF(YEAR(IF('Your Pay &amp; Benefits'!$C$7="Weekly",'Your Pay &amp; Benefits'!$C$9+7*(($BE41+1)-1),IF('Your Pay &amp; Benefits'!$C$7="Biweekly",'Your Pay &amp; Benefits'!$C$9+14*(($BE41+1)-1),IF('Your Pay &amp; Benefits'!$C$7="Semimonthly",DATE(YEAR('Your Pay &amp; Benefits'!$C$9),MONTH('Your Pay &amp; Benefits'!$C$9)+INT((($BE41+1)-1)/2),MIN(DAY('Your Pay &amp; Benefits'!$C$9),DAY(EOMONTH(DATE(YEAR('Your Pay &amp; Benefits'!$C$9),MONTH('Your Pay &amp; Benefits'!$C$9)+INT((($BE41+1)-1)/2),1),0))))+IF(MOD(($BE41+1)-1,2)=1,15,0),EDATE('Your Pay &amp; Benefits'!$C$9,($BE41+1)-1)))))&lt;&gt;'Your Pay &amp; Benefits'!$C$10,"",IF('Your Pay &amp; Benefits'!$C$7="Weekly",'Your Pay &amp; Benefits'!$C$9+7*(($BE41+1)-1),IF('Your Pay &amp; Benefits'!$C$7="Biweekly",'Your Pay &amp; Benefits'!$C$9+14*(($BE41+1)-1),IF('Your Pay &amp; Benefits'!$C$7="Semimonthly",DATE(YEAR('Your Pay &amp; Benefits'!$C$9),MONTH('Your Pay &amp; Benefits'!$C$9)+INT((($BE41+1)-1)/2),MIN(DAY('Your Pay &amp; Benefits'!$C$9),DAY(EOMONTH(DATE(YEAR('Your Pay &amp; Benefits'!$C$9),MONTH('Your Pay &amp; Benefits'!$C$9)+INT((($BE41+1)-1)/2),1),0))))+IF(MOD(($BE41+1)-1,2)=1,15,0),EDATE('Your Pay &amp; Benefits'!$C$9,($BE41+1)-1)))))&lt;&gt;"",$B42=IF(YEAR(IF('Your Pay &amp; Benefits'!$C$7="Weekly",'Your Pay &amp; Benefits'!$C$9+7*(($BE41+1)-1),IF('Your Pay &amp; Benefits'!$C$7="Biweekly",'Your Pay &amp; Benefits'!$C$9+14*(($BE41+1)-1),IF('Your Pay &amp; Benefits'!$C$7="Semimonthly",DATE(YEAR('Your Pay &amp; Benefits'!$C$9),MONTH('Your Pay &amp; Benefits'!$C$9)+INT((($BE41+1)-1)/2),MIN(DAY('Your Pay &amp; Benefits'!$C$9),DAY(EOMONTH(DATE(YEAR('Your Pay &amp; Benefits'!$C$9),MONTH('Your Pay &amp; Benefits'!$C$9)+INT((($BE41+1)-1)/2),1),0))))+IF(MOD(($BE41+1)-1,2)=1,15,0),EDATE('Your Pay &amp; Benefits'!$C$9,($BE41+1)-1)))))&lt;&gt;'Your Pay &amp; Benefits'!$C$10,"",IF('Your Pay &amp; Benefits'!$C$7="Weekly",'Your Pay &amp; Benefits'!$C$9+7*(($BE41+1)-1),IF('Your Pay &amp; Benefits'!$C$7="Biweekly",'Your Pay &amp; Benefits'!$C$9+14*(($BE41+1)-1),IF('Your Pay &amp; Benefits'!$C$7="Semimonthly",DATE(YEAR('Your Pay &amp; Benefits'!$C$9),MONTH('Your Pay &amp; Benefits'!$C$9)+INT((($BE41+1)-1)/2),MIN(DAY('Your Pay &amp; Benefits'!$C$9),DAY(EOMONTH(DATE(YEAR('Your Pay &amp; Benefits'!$C$9),MONTH('Your Pay &amp; Benefits'!$C$9)+INT((($BE41+1)-1)/2),1),0))))+IF(MOD(($BE41+1)-1,2)=1,15,0),EDATE('Your Pay &amp; Benefits'!$C$9,($BE41+1)-1)))))),1,0))</f>
      </c>
      <c r="BG42" s="7">
        <f>IF($B42="","",$BG41+$H42)</f>
      </c>
      <c r="BH42" s="7">
        <f>IF($B42="","",$BH41+$I42)</f>
      </c>
      <c r="BI42" s="7">
        <f>IF($B42="","",$BI41+$G42)</f>
      </c>
      <c r="BJ42" s="7">
        <f>IF($B42="","",IFERROR(LOOKUP(2,1/(((('Changes &amp; Events'!$C$6:$C$17="Deduction start"))*('Changes &amp; Events'!$D$6:$D$17="Health FSA"))*('Changes &amp; Events'!$B$6:$B$17&lt;=$B42)*('Changes &amp; Events'!$B$6:$B$17&lt;&gt;"")),'Changes &amp; Events'!$E$6:$E$17),'Your Pay &amp; Benefits'!$D$38))</f>
      </c>
      <c r="BK42" s="7">
        <f>IF($B42="","",IFERROR(LOOKUP(2,1/(((('Changes &amp; Events'!$C$6:$C$17="Deduction start"))*('Changes &amp; Events'!$D$6:$D$17="Dependent-care FSA"))*('Changes &amp; Events'!$B$6:$B$17&lt;=$B42)*('Changes &amp; Events'!$B$6:$B$17&lt;&gt;"")),'Changes &amp; Events'!$E$6:$E$17),'Your Pay &amp; Benefits'!$D$39))</f>
      </c>
      <c r="BL42" s="7">
        <f>IF($B42="","",IFERROR(LOOKUP(2,1/(((('Changes &amp; Events'!$C$6:$C$17="Deduction start")+('Changes &amp; Events'!$C$6:$C$17="Deduction stop"))*('Changes &amp; Events'!$D$6:$D$17="HSA"))*('Changes &amp; Events'!$B$6:$B$17&lt;=$B42)*('Changes &amp; Events'!$B$6:$B$17&lt;&gt;"")),'Changes &amp; Events'!$I$6:$I$17),'Your Pay &amp; Benefits'!$D$35))</f>
      </c>
      <c r="BM42" s="7">
        <f>IF($B42="","",IFERROR(LOOKUP(2,1/(((('Changes &amp; Events'!$C$6:$C$17="Deduction start")+('Changes &amp; Events'!$C$6:$C$17="Deduction stop"))*('Changes &amp; Events'!$D$6:$D$17="Premiums"))*('Changes &amp; Events'!$B$6:$B$17&lt;=$B42)*('Changes &amp; Events'!$B$6:$B$17&lt;&gt;"")),'Changes &amp; Events'!$I$6:$I$17),'Your Pay &amp; Benefits'!$D$40+'Your Pay &amp; Benefits'!$D$41+'Your Pay &amp; Benefits'!$D$42))</f>
      </c>
      <c r="BN42" s="7">
        <f>IF($B42="","",IFERROR(LOOKUP(2,1/(((('Changes &amp; Events'!$C$6:$C$17="Deduction start")+('Changes &amp; Events'!$C$6:$C$17="Deduction stop"))*('Changes &amp; Events'!$D$6:$D$17="Commuter"))*('Changes &amp; Events'!$B$6:$B$17&lt;=$B42)*('Changes &amp; Events'!$B$6:$B$17&lt;&gt;"")),'Changes &amp; Events'!$I$6:$I$17),'Your Pay &amp; Benefits'!$D$43))</f>
      </c>
      <c r="BO42" s="7">
        <f>IF($B42="","",IFERROR(LOOKUP(2,1/(((('Changes &amp; Events'!$C$6:$C$17="Deduction start")+('Changes &amp; Events'!$C$6:$C$17="Deduction stop"))*('Changes &amp; Events'!$D$6:$D$17="Other pre-tax"))*('Changes &amp; Events'!$B$6:$B$17&lt;=$B42)*('Changes &amp; Events'!$B$6:$B$17&lt;&gt;"")),'Changes &amp; Events'!$I$6:$I$17),'Your Pay &amp; Benefits'!$D$44))</f>
      </c>
      <c r="BP42" s="7">
        <f>IF($B42="","",IFERROR(LOOKUP(2,1/(((('Changes &amp; Events'!$C$6:$C$17="Deduction start")+('Changes &amp; Events'!$C$6:$C$17="Deduction stop"))*('Changes &amp; Events'!$D$6:$D$17="Other post-tax"))*('Changes &amp; Events'!$B$6:$B$17&lt;=$B42)*('Changes &amp; Events'!$B$6:$B$17&lt;&gt;"")),'Changes &amp; Events'!$I$6:$I$17),'Your Pay &amp; Benefits'!$D$45))</f>
      </c>
      <c r="BQ42" s="6">
        <f>IF($B42="","",IFERROR(LOOKUP(2,1/(((('Changes &amp; Events'!$C$6:$C$17="Deduction start")+('Changes &amp; Events'!$C$6:$C$17="Deduction stop"))*('Changes &amp; Events'!$D$6:$D$17="Health FSA"))*('Changes &amp; Events'!$B$6:$B$17&lt;=$B42)*('Changes &amp; Events'!$B$6:$B$17&lt;&gt;"")),'Changes &amp; Events'!$J$6:$J$17),0))</f>
      </c>
      <c r="BR42" s="6">
        <f>IF($B42="","",IFERROR(LOOKUP(2,1/(((('Changes &amp; Events'!$C$6:$C$17="Deduction start")+('Changes &amp; Events'!$C$6:$C$17="Deduction stop"))*('Changes &amp; Events'!$D$6:$D$17="Dependent-care FSA"))*('Changes &amp; Events'!$B$6:$B$17&lt;=$B42)*('Changes &amp; Events'!$B$6:$B$17&lt;&gt;"")),'Changes &amp; Events'!$J$6:$J$17),0))</f>
      </c>
      <c r="BS42" s="6">
        <f>IF($B42="","",IF(SUMPRODUCT(('Changes &amp; Events'!$C$6:$C$17="Deduction start")*('Changes &amp; Events'!$B$6:$B$17&lt;=$B42)*('Changes &amp; Events'!$B$6:$B$17&lt;&gt;"")*('Changes &amp; Events'!$D$6:$D$17="Health FSA"))&gt;0,1,0))</f>
      </c>
      <c r="BT42" s="6">
        <f>IF($B42="","",IF(SUMPRODUCT(('Changes &amp; Events'!$C$6:$C$17="Deduction start")*('Changes &amp; Events'!$B$6:$B$17&lt;=$B42)*('Changes &amp; Events'!$B$6:$B$17&lt;&gt;"")*('Changes &amp; Events'!$D$6:$D$17="Dependent-care FSA"))&gt;0,1,0))</f>
      </c>
      <c r="BU42" s="24">
        <f>IF($B42="","",IF('Your Pay &amp; Benefits'!$C$13,SUMPRODUCT(($AH42&gt;=INDEX('How This Works &amp; Sources'!$B$29:$J$36,0,IF('Your Pay &amp; Benefits'!$C$12="MFJ",1,IF('Your Pay &amp; Benefits'!$C$12="HoH",7,4))))*INDEX('How This Works &amp; Sources'!$B$29:$J$36,0,IF('Your Pay &amp; Benefits'!$C$12="MFJ",1,IF('Your Pay &amp; Benefits'!$C$12="HoH",7,4))+2)),SUMPRODUCT(($AH42&gt;=INDEX('How This Works &amp; Sources'!$B$19:$J$26,0,IF('Your Pay &amp; Benefits'!$C$12="MFJ",1,IF('Your Pay &amp; Benefits'!$C$12="HoH",7,4))))*INDEX('How This Works &amp; Sources'!$B$19:$J$26,0,IF('Your Pay &amp; Benefits'!$C$12="MFJ",1,IF('Your Pay &amp; Benefits'!$C$12="HoH",7,4))+2))))</f>
      </c>
      <c r="BV42" s="24">
        <f>IF($B42="","",IF($BZ42&lt;&gt;"",$BZ42,IF($CA42&lt;&gt;"",$CA42,IF($CB42&lt;&gt;"",$CB42,IF($CC42&lt;&gt;"",$CC42,0)))))</f>
      </c>
      <c r="BW42" s="7">
        <f>IF($B42="","",IF($AN42="MD",IF(OR($AU42="Married",$AU42="Head of household"),SUMPRODUCT(($AZ42&gt;INDEX('How This Works &amp; Sources'!$B$114:$J$120,0,1))*($AZ42-INDEX('How This Works &amp; Sources'!$B$114:$J$120,0,1))*INDEX('How This Works &amp; Sources'!$B$114:$J$120,0,1+2)),SUMPRODUCT(($AZ42&gt;INDEX('How This Works &amp; Sources'!$B$103:$J$109,0,7))*($AZ42-INDEX('How This Works &amp; Sources'!$B$103:$J$109,0,7))*INDEX('How This Works &amp; Sources'!$B$103:$J$109,0,7+2))),IF($AN42="MO",SUMPRODUCT(($AZ42&gt;INDEX('How This Works &amp; Sources'!$B$125:$J$132,0,1))*($AZ42-INDEX('How This Works &amp; Sources'!$B$125:$J$132,0,1))*INDEX('How This Works &amp; Sources'!$B$125:$J$132,0,1+2)),IF($AN42="MT",IF($AU42="Head of household",SUMPRODUCT(($AZ42&gt;INDEX('How This Works &amp; Sources'!$B$137:$J$139,0,1))*($AZ42-INDEX('How This Works &amp; Sources'!$B$137:$J$139,0,1))*INDEX('How This Works &amp; Sources'!$B$137:$J$139,0,1+2)),IF($AU42="Married",SUMPRODUCT(($AZ42&gt;INDEX('How This Works &amp; Sources'!$B$125:$J$132,0,7))*($AZ42-INDEX('How This Works &amp; Sources'!$B$125:$J$132,0,7))*INDEX('How This Works &amp; Sources'!$B$125:$J$132,0,7+2)),SUMPRODUCT(($AZ42&gt;INDEX('How This Works &amp; Sources'!$B$125:$J$132,0,4))*($AZ42-INDEX('How This Works &amp; Sources'!$B$125:$J$132,0,4))*INDEX('How This Works &amp; Sources'!$B$125:$J$132,0,4+2)))),IF($AN42="ND",IF($AU42="Head of household",SUMPRODUCT(($AZ42&gt;INDEX('How This Works &amp; Sources'!$B$144:$J$150,0,1))*($AZ42-INDEX('How This Works &amp; Sources'!$B$144:$J$150,0,1))*INDEX('How This Works &amp; Sources'!$B$144:$J$150,0,1+2)),IF($AU42="Married",SUMPRODUCT(($AZ42&gt;INDEX('How This Works &amp; Sources'!$B$137:$J$139,0,7))*($AZ42-INDEX('How This Works &amp; Sources'!$B$137:$J$139,0,7))*INDEX('How This Works &amp; Sources'!$B$137:$J$139,0,7+2)),SUMPRODUCT(($AZ42&gt;INDEX('How This Works &amp; Sources'!$B$137:$J$139,0,4))*($AZ42-INDEX('How This Works &amp; Sources'!$B$137:$J$139,0,4))*INDEX('How This Works &amp; Sources'!$B$137:$J$139,0,4+2)))),IF($AN42="NJ",IF('Your Pay &amp; Benefits'!$C$77="B",SUMPRODUCT(($AZ42&gt;INDEX('How This Works &amp; Sources'!$B$155:$J$162,0,4))*($AZ42-INDEX('How This Works &amp; Sources'!$B$155:$J$162,0,4))*INDEX('How This Works &amp; Sources'!$B$155:$J$162,0,4+2)),IF('Your Pay &amp; Benefits'!$C$77="C",SUMPRODUCT(($AZ42&gt;INDEX('How This Works &amp; Sources'!$B$155:$J$162,0,7))*($AZ42-INDEX('How This Works &amp; Sources'!$B$155:$J$162,0,7))*INDEX('How This Works &amp; Sources'!$B$155:$J$162,0,7+2)),IF('Your Pay &amp; Benefits'!$C$77="D",SUMPRODUCT(($AZ42&gt;INDEX('How This Works &amp; Sources'!$B$167:$J$179,0,1))*($AZ42-INDEX('How This Works &amp; Sources'!$B$167:$J$179,0,1))*INDEX('How This Works &amp; Sources'!$B$167:$J$179,0,1+2)),IF('Your Pay &amp; Benefits'!$C$77="E",SUMPRODUCT(($AZ42&gt;INDEX('How This Works &amp; Sources'!$B$167:$J$179,0,4))*($AZ42-INDEX('How This Works &amp; Sources'!$B$167:$J$179,0,4))*INDEX('How This Works &amp; Sources'!$B$167:$J$179,0,4+2)),SUMPRODUCT(($AZ42&gt;INDEX('How This Works &amp; Sources'!$B$155:$J$162,0,1))*($AZ42-INDEX('How This Works &amp; Sources'!$B$155:$J$162,0,1))*INDEX('How This Works &amp; Sources'!$B$155:$J$162,0,1+2)))))),IF($AN42="NY",IF($AU42="Married",IF($AZ42&gt;=2155350,$AZ42*IF($AZ42&gt;25000000,0.117,IF($AZ42&gt;5000000,0.111,0.1045)),SUMPRODUCT(($AZ42&gt;INDEX('How This Works &amp; Sources'!$B$184:$J$198,0,1))*($AZ42-INDEX('How This Works &amp; Sources'!$B$184:$J$198,0,1))*INDEX('How This Works &amp; Sources'!$B$184:$J$198,0,1+2))),IF($AZ42&gt;=1077550,$AZ42*IF($AZ42&gt;25000000,0.117,IF($AZ42&gt;5000000,0.111,0.1045)),SUMPRODUCT(($AZ42&gt;INDEX('How This Works &amp; Sources'!$B$167:$J$179,0,7))*($AZ42-INDEX('How This Works &amp; Sources'!$B$167:$J$179,0,7))*INDEX('How This Works &amp; Sources'!$B$167:$J$179,0,7+2)))),"")))))))</f>
      </c>
      <c r="BX42" s="7">
        <f>IF($B42="","",IF($AN42="AL",IF(OR($AU42="Married",$AU42="Head of household"),SUMPRODUCT(($AZ42&gt;INDEX('How This Works &amp; Sources'!$B$82:$J$86,0,4))*($AZ42-INDEX('How This Works &amp; Sources'!$B$82:$J$86,0,4))*INDEX('How This Works &amp; Sources'!$B$82:$J$86,0,4+2)),SUMPRODUCT(($AZ42&gt;INDEX('How This Works &amp; Sources'!$B$82:$J$86,0,1))*($AZ42-INDEX('How This Works &amp; Sources'!$B$82:$J$86,0,1))*INDEX('How This Works &amp; Sources'!$B$82:$J$86,0,1+2))),IF($AN42="KS",IF($AU42="Married",SUMPRODUCT(($AZ42&gt;INDEX('How This Works &amp; Sources'!$B$103:$J$109,0,4))*($AZ42-INDEX('How This Works &amp; Sources'!$B$103:$J$109,0,4))*INDEX('How This Works &amp; Sources'!$B$103:$J$109,0,4+2)),SUMPRODUCT(($AZ42&gt;INDEX('How This Works &amp; Sources'!$B$103:$J$109,0,1))*($AZ42-INDEX('How This Works &amp; Sources'!$B$103:$J$109,0,1))*INDEX('How This Works &amp; Sources'!$B$103:$J$109,0,1+2))),IF($AN42="MN",IF($AU42="Married",SUMPRODUCT(($AZ42&gt;INDEX('How This Works &amp; Sources'!$B$114:$J$120,0,7))*($AZ42-INDEX('How This Works &amp; Sources'!$B$114:$J$120,0,7))*INDEX('How This Works &amp; Sources'!$B$114:$J$120,0,7+2)),SUMPRODUCT(($AZ42&gt;INDEX('How This Works &amp; Sources'!$B$114:$J$120,0,4))*($AZ42-INDEX('How This Works &amp; Sources'!$B$114:$J$120,0,4))*INDEX('How This Works &amp; Sources'!$B$114:$J$120,0,4+2))),IF($AN42="NE",MAX(IF($AU42="Married",SUMPRODUCT(($AZ42&gt;INDEX('How This Works &amp; Sources'!$B$144:$J$150,0,7))*($AZ42-INDEX('How This Works &amp; Sources'!$B$144:$J$150,0,7))*INDEX('How This Works &amp; Sources'!$B$144:$J$150,0,7+2)),SUMPRODUCT(($AZ42&gt;INDEX('How This Works &amp; Sources'!$B$144:$J$150,0,4))*($AZ42-INDEX('How This Works &amp; Sources'!$B$144:$J$150,0,4))*INDEX('How This Works &amp; Sources'!$B$144:$J$150,0,4+2))),0.015*$AZ42),IF($AN42="OH",IF($B42&gt;=DATE(2026,8,1),SUMPRODUCT(($AZ42&gt;INDEX('How This Works &amp; Sources'!$B$203:$J$206,0,1))*($AZ42-INDEX('How This Works &amp; Sources'!$B$203:$J$206,0,1))*INDEX('How This Works &amp; Sources'!$B$203:$J$206,0,1+2)),SUMPRODUCT(($AZ42&gt;INDEX('How This Works &amp; Sources'!$B$184:$J$198,0,7))*($AZ42-INDEX('How This Works &amp; Sources'!$B$184:$J$198,0,7))*INDEX('How This Works &amp; Sources'!$B$184:$J$198,0,7+2))),IF($AN42="OK",IF($AU42="Married",SUMPRODUCT(($AZ42&gt;INDEX('How This Works &amp; Sources'!$B$203:$J$206,0,7))*($AZ42-INDEX('How This Works &amp; Sources'!$B$203:$J$206,0,7))*INDEX('How This Works &amp; Sources'!$B$203:$J$206,0,7+2)),SUMPRODUCT(($AZ42&gt;INDEX('How This Works &amp; Sources'!$B$203:$J$206,0,4))*($AZ42-INDEX('How This Works &amp; Sources'!$B$203:$J$206,0,4))*INDEX('How This Works &amp; Sources'!$B$203:$J$206,0,4+2))),IF($AN42="RI",SUMPRODUCT(($AZ42&gt;INDEX('How This Works &amp; Sources'!$B$211:$J$214,0,7))*($AZ42-INDEX('How This Works &amp; Sources'!$B$211:$J$214,0,7))*INDEX('How This Works &amp; Sources'!$B$211:$J$214,0,7+2)),IF($AN42="VT",IF($AU42="Married",SUMPRODUCT(($AZ42&gt;INDEX('How This Works &amp; Sources'!$B$228:$J$232,0,1))*($AZ42-INDEX('How This Works &amp; Sources'!$B$228:$J$232,0,1))*INDEX('How This Works &amp; Sources'!$B$228:$J$232,0,1+2)),SUMPRODUCT(($AZ42&gt;INDEX('How This Works &amp; Sources'!$B$219:$J$223,0,7))*($AZ42-INDEX('How This Works &amp; Sources'!$B$219:$J$223,0,7))*INDEX('How This Works &amp; Sources'!$B$219:$J$223,0,7+2))),IF($AN42="WV",IF($AU42="Married",SUMPRODUCT(($AZ42&gt;INDEX('How This Works &amp; Sources'!$B$237:$J$241,0,7))*($AZ42-INDEX('How This Works &amp; Sources'!$B$237:$J$241,0,7))*INDEX('How This Works &amp; Sources'!$B$237:$J$241,0,7+2)),SUMPRODUCT(($AZ42&gt;INDEX('How This Works &amp; Sources'!$B$228:$J$232,0,7))*($AZ42-INDEX('How This Works &amp; Sources'!$B$228:$J$232,0,7))*INDEX('How This Works &amp; Sources'!$B$228:$J$232,0,7+2))),""))))))))))</f>
      </c>
      <c r="BY42" s="7">
        <f>IF($B42="","",IF($AN42="AR",SUMPRODUCT(($AZ42&gt;INDEX('How This Works &amp; Sources'!$B$82:$J$86,0,7))*($AZ42-INDEX('How This Works &amp; Sources'!$B$82:$J$86,0,7))*INDEX('How This Works &amp; Sources'!$B$82:$J$86,0,7+2)),IF($AN42="DE",SUMPRODUCT(($AZ42&gt;INDEX('How This Works &amp; Sources'!$B$91:$J$98,0,1))*($AZ42-INDEX('How This Works &amp; Sources'!$B$91:$J$98,0,1))*INDEX('How This Works &amp; Sources'!$B$91:$J$98,0,1+2)),IF($AN42="HI",IF($AU42="Married",SUMPRODUCT(($AZ42&gt;INDEX('How This Works &amp; Sources'!$B$91:$J$98,0,7))*($AZ42-INDEX('How This Works &amp; Sources'!$B$91:$J$98,0,7))*INDEX('How This Works &amp; Sources'!$B$91:$J$98,0,7+2)),SUMPRODUCT(($AZ42&gt;INDEX('How This Works &amp; Sources'!$B$91:$J$98,0,4))*($AZ42-INDEX('How This Works &amp; Sources'!$B$91:$J$98,0,4))*INDEX('How This Works &amp; Sources'!$B$91:$J$98,0,4+2))),IF($AN42="SC",SUMPRODUCT(($AZ42&gt;INDEX('How This Works &amp; Sources'!$B$219:$J$223,0,1))*($AZ42-INDEX('How This Works &amp; Sources'!$B$219:$J$223,0,1))*INDEX('How This Works &amp; Sources'!$B$219:$J$223,0,1+2)),IF($AN42="VA",SUMPRODUCT(($AZ42&gt;INDEX('How This Works &amp; Sources'!$B$219:$J$223,0,4))*($AZ42-INDEX('How This Works &amp; Sources'!$B$219:$J$223,0,4))*INDEX('How This Works &amp; Sources'!$B$219:$J$223,0,4+2)),IF($AN42="WI",SUMPRODUCT(($AZ42&gt;INDEX('How This Works &amp; Sources'!$B$228:$J$232,0,4))*($AZ42-INDEX('How This Works &amp; Sources'!$B$228:$J$232,0,4))*INDEX('How This Works &amp; Sources'!$B$228:$J$232,0,4+2)),"")))))))</f>
      </c>
      <c r="BZ42" s="24">
        <f>IF($B42="","",IF($AN42="NJ",IF('Your Pay &amp; Benefits'!$C$77="B",SUMPRODUCT(($AZ42&gt;=INDEX('How This Works &amp; Sources'!$B$155:$J$162,0,4))*INDEX('How This Works &amp; Sources'!$B$155:$J$162,0,4+2)),IF('Your Pay &amp; Benefits'!$C$77="C",SUMPRODUCT(($AZ42&gt;=INDEX('How This Works &amp; Sources'!$B$155:$J$162,0,7))*INDEX('How This Works &amp; Sources'!$B$155:$J$162,0,7+2)),IF('Your Pay &amp; Benefits'!$C$77="D",SUMPRODUCT(($AZ42&gt;=INDEX('How This Works &amp; Sources'!$B$167:$J$179,0,1))*INDEX('How This Works &amp; Sources'!$B$167:$J$179,0,1+2)),IF('Your Pay &amp; Benefits'!$C$77="E",SUMPRODUCT(($AZ42&gt;=INDEX('How This Works &amp; Sources'!$B$167:$J$179,0,4))*INDEX('How This Works &amp; Sources'!$B$167:$J$179,0,4+2)),SUMPRODUCT(($AZ42&gt;=INDEX('How This Works &amp; Sources'!$B$155:$J$162,0,1))*INDEX('How This Works &amp; Sources'!$B$155:$J$162,0,1+2)))))),IF($AN42="OR",IF(OR($AU42="Married",AND($AU42="Single",$AS42&gt;=3)),SUMPRODUCT((MAX(0,$AY42-MIN(($P42-'How This Works &amp; Sources'!$C$10*$D42)*'Your Pay &amp; Benefits'!$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Sources'!$B$211:$J$214,0,4))*INDEX('How This Works &amp; Sources'!$B$211:$J$214,0,4+2)),SUMPRODUCT((MAX(0,$AY42-MIN(($P42-'How This Works &amp; Sources'!$C$10*$D42)*'Your Pay &amp; Benefits'!$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Sources'!$B$211:$J$214,0,1))*INDEX('How This Works &amp; Sources'!$B$211:$J$214,0,1+2)))*IF(($P42-'How This Works &amp; Sources'!$C$10*$D42)*'Your Pay &amp; Benefits'!$C$8&gt;=IF(OR($AU42="Married",AND($AU42="Single",$AS42&gt;=3)),IF($AY42&lt;250000,8750,IF($AY42&lt;260000,7000,IF($AY42&lt;270000,5250,IF($AY42&lt;280000,3500,IF($AY42&lt;290000,1750,0))))),IF($AY42&lt;125000,8750,IF($AY42&lt;130000,7000,IF($AY42&lt;135000,5250,IF($AY42&lt;140000,3500,IF($AY42&lt;145000,1750,0)))))),1,1-IF('Your Pay &amp; Benefits'!$C$13,SUMPRODUCT(($AH42&gt;=INDEX('How This Works &amp; Sources'!$B$29:$J$36,0,IF('Your Pay &amp; Benefits'!$C$12="MFJ",1,IF('Your Pay &amp; Benefits'!$C$12="HoH",7,4))))*INDEX('How This Works &amp; Sources'!$B$29:$J$36,0,IF('Your Pay &amp; Benefits'!$C$12="MFJ",1,IF('Your Pay &amp; Benefits'!$C$12="HoH",7,4))+2)),SUMPRODUCT(($AH42&gt;=INDEX('How This Works &amp; Sources'!$B$19:$J$26,0,IF('Your Pay &amp; Benefits'!$C$12="MFJ",1,IF('Your Pay &amp; Benefits'!$C$12="HoH",7,4))))*INDEX('How This Works &amp; Sources'!$B$19:$J$26,0,IF('Your Pay &amp; Benefits'!$C$12="MFJ",1,IF('Your Pay &amp; Benefits'!$C$12="HoH",7,4))+2)))),IF($AN42="MI",IF($AY42&gt;5900*$AS42,0.0425,0),""))))</f>
      </c>
      <c r="CA42" s="24">
        <f>IF($B42="","",IF($AN42="AL",IF(OR($AU42="Married",$AU42="Head of household"),SUMPRODUCT(($AZ42&gt;=INDEX('How This Works &amp; Sources'!$B$82:$J$86,0,4))*INDEX('How This Works &amp; Sources'!$B$82:$J$86,0,4+2)),SUMPRODUCT(($AZ42&gt;=INDEX('How This Works &amp; Sources'!$B$82:$J$86,0,1))*INDEX('How This Works &amp; Sources'!$B$82:$J$86,0,1+2)))*(1-IF('Your Pay &amp; Benefits'!$C$13,SUMPRODUCT(($AH42&gt;=INDEX('How This Works &amp; Sources'!$B$29:$J$36,0,IF('Your Pay &amp; Benefits'!$C$12="MFJ",1,IF('Your Pay &amp; Benefits'!$C$12="HoH",7,4))))*INDEX('How This Works &amp; Sources'!$B$29:$J$36,0,IF('Your Pay &amp; Benefits'!$C$12="MFJ",1,IF('Your Pay &amp; Benefits'!$C$12="HoH",7,4))+2)),SUMPRODUCT(($AH42&gt;=INDEX('How This Works &amp; Sources'!$B$19:$J$26,0,IF('Your Pay &amp; Benefits'!$C$12="MFJ",1,IF('Your Pay &amp; Benefits'!$C$12="HoH",7,4))))*INDEX('How This Works &amp; Sources'!$B$19:$J$26,0,IF('Your Pay &amp; Benefits'!$C$12="MFJ",1,IF('Your Pay &amp; Benefits'!$C$12="HoH",7,4))+2)))),IF($AN42="KS",IF($AU42="Married",SUMPRODUCT(($AZ42&gt;=INDEX('How This Works &amp; Sources'!$B$103:$J$109,0,4))*INDEX('How This Works &amp; Sources'!$B$103:$J$109,0,4+2)),SUMPRODUCT(($AZ42&gt;=INDEX('How This Works &amp; Sources'!$B$103:$J$109,0,1))*INDEX('How This Works &amp; Sources'!$B$103:$J$109,0,1+2))),IF($AN42="MD",IF(OR($AU42="Married",$AU42="Head of household"),SUMPRODUCT(($AZ42&gt;=INDEX('How This Works &amp; Sources'!$B$114:$J$120,0,1))*INDEX('How This Works &amp; Sources'!$B$114:$J$120,0,1+2)),SUMPRODUCT(($AZ42&gt;=INDEX('How This Works &amp; Sources'!$B$103:$J$109,0,7))*INDEX('How This Works &amp; Sources'!$B$103:$J$109,0,7+2)))+'Your Pay &amp; Benefits'!$C$74,IF($AN42="MT",IF($AU42="Head of household",SUMPRODUCT(($AZ42&gt;=INDEX('How This Works &amp; Sources'!$B$137:$J$139,0,1))*INDEX('How This Works &amp; Sources'!$B$137:$J$139,0,1+2)),IF($AU42="Married",SUMPRODUCT(($AZ42&gt;=INDEX('How This Works &amp; Sources'!$B$125:$J$132,0,7))*INDEX('How This Works &amp; Sources'!$B$125:$J$132,0,7+2)),SUMPRODUCT(($AZ42&gt;=INDEX('How This Works &amp; Sources'!$B$125:$J$132,0,4))*INDEX('How This Works &amp; Sources'!$B$125:$J$132,0,4+2)))),IF($AN42="ND",IF($AU42="Head of household",SUMPRODUCT(($AZ42&gt;=INDEX('How This Works &amp; Sources'!$B$144:$J$150,0,1))*INDEX('How This Works &amp; Sources'!$B$144:$J$150,0,1+2)),IF($AU42="Married",SUMPRODUCT(($AZ42&gt;=INDEX('How This Works &amp; Sources'!$B$137:$J$139,0,7))*INDEX('How This Works &amp; Sources'!$B$137:$J$139,0,7+2)),SUMPRODUCT(($AZ42&gt;=INDEX('How This Works &amp; Sources'!$B$137:$J$139,0,4))*INDEX('How This Works &amp; Sources'!$B$137:$J$139,0,4+2)))),IF($AN42="NY",IF($AU42="Married",IF($AZ42&gt;=2155350,IF($AZ42&gt;25000000,0.117,IF($AZ42&gt;5000000,0.111,0.1045)),SUMPRODUCT(($AZ42&gt;=INDEX('How This Works &amp; Sources'!$B$184:$J$198,0,1))*INDEX('How This Works &amp; Sources'!$B$184:$J$198,0,1+2))),IF($AZ42&gt;=1077550,IF($AZ42&gt;25000000,0.117,IF($AZ42&gt;5000000,0.111,0.1045)),SUMPRODUCT(($AZ42&gt;=INDEX('How This Works &amp; Sources'!$B$167:$J$179,0,7))*INDEX('How This Works &amp; Sources'!$B$167:$J$179,0,7+2)))),"")))))))</f>
      </c>
      <c r="CB42" s="24">
        <f>IF($B42="","",IF($AN42="CA",SUMPRODUCT(($AJ42&gt;=INDEX('How This Works &amp; Sources'!$B$39:$J$48,0,IF($AU42="Married",4,IF($AU42="Head of household",7,1))))*INDEX('How This Works &amp; Sources'!$B$39:$J$48,0,IF($AU42="Married",4,IF($AU42="Head of household",7,1))+2)),IF($AN42="HI",IF($AU42="Married",SUMPRODUCT(($AZ42&gt;=INDEX('How This Works &amp; Sources'!$B$91:$J$98,0,7))*INDEX('How This Works &amp; Sources'!$B$91:$J$98,0,7+2)),SUMPRODUCT(($AZ42&gt;=INDEX('How This Works &amp; Sources'!$B$91:$J$98,0,4))*INDEX('How This Works &amp; Sources'!$B$91:$J$98,0,4+2))),IF($AN42="MN",IF($AU42="Married",SUMPRODUCT(($AZ42&gt;=INDEX('How This Works &amp; Sources'!$B$114:$J$120,0,7))*INDEX('How This Works &amp; Sources'!$B$114:$J$120,0,7+2)),SUMPRODUCT(($AZ42&gt;=INDEX('How This Works &amp; Sources'!$B$114:$J$120,0,4))*INDEX('How This Works &amp; Sources'!$B$114:$J$120,0,4+2))),IF($AN42="MO",SUMPRODUCT(($AZ42&gt;=INDEX('How This Works &amp; Sources'!$B$125:$J$132,0,1))*INDEX('How This Works &amp; Sources'!$B$125:$J$132,0,1+2)),IF($AN42="NE",MAX(IF($AU42="Married",SUMPRODUCT(($AZ42&gt;=INDEX('How This Works &amp; Sources'!$B$144:$J$150,0,7))*INDEX('How This Works &amp; Sources'!$B$144:$J$150,0,7+2)),SUMPRODUCT(($AZ42&gt;=INDEX('How This Works &amp; Sources'!$B$144:$J$150,0,4))*INDEX('How This Works &amp; Sources'!$B$144:$J$150,0,4+2))),0.015),IF($AN42="OH",IF($B42&gt;=DATE(2026,8,1),SUMPRODUCT(($AZ42&gt;=INDEX('How This Works &amp; Sources'!$B$203:$J$206,0,1))*INDEX('How This Works &amp; Sources'!$B$203:$J$206,0,1+2)),SUMPRODUCT(($AZ42&gt;=INDEX('How This Works &amp; Sources'!$B$184:$J$198,0,7))*INDEX('How This Works &amp; Sources'!$B$184:$J$198,0,7+2))),IF($AN42="OK",IF($AU42="Married",SUMPRODUCT(($AZ42&gt;=INDEX('How This Works &amp; Sources'!$B$203:$J$206,0,7))*INDEX('How This Works &amp; Sources'!$B$203:$J$206,0,7+2)),SUMPRODUCT(($AZ42&gt;=INDEX('How This Works &amp; Sources'!$B$203:$J$206,0,4))*INDEX('How This Works &amp; Sources'!$B$203:$J$206,0,4+2))),IF($AN42="RI",SUMPRODUCT(($AZ42&gt;=INDEX('How This Works &amp; Sources'!$B$211:$J$214,0,7))*INDEX('How This Works &amp; Sources'!$B$211:$J$214,0,7+2)),IF($AN42="SC",SUMPRODUCT(($AZ42&gt;=INDEX('How This Works &amp; Sources'!$B$219:$J$223,0,1))*INDEX('How This Works &amp; Sources'!$B$219:$J$223,0,1+2)),IF($AN42="VT",IF($AU42="Married",SUMPRODUCT(($AZ42&gt;=INDEX('How This Works &amp; Sources'!$B$228:$J$232,0,1))*INDEX('How This Works &amp; Sources'!$B$228:$J$232,0,1+2)),SUMPRODUCT(($AZ42&gt;=INDEX('How This Works &amp; Sources'!$B$219:$J$223,0,7))*INDEX('How This Works &amp; Sources'!$B$219:$J$223,0,7+2))),IF($AN42="WV",IF($AU42="Married",SUMPRODUCT(($AZ42&gt;=INDEX('How This Works &amp; Sources'!$B$237:$J$241,0,7))*INDEX('How This Works &amp; Sources'!$B$237:$J$241,0,7+2)),SUMPRODUCT(($AZ42&gt;=INDEX('How This Works &amp; Sources'!$B$228:$J$232,0,7))*INDEX('How This Works &amp; Sources'!$B$228:$J$232,0,7+2))),IF($AN42="IN",(0.0295+'Your Pay &amp; Benefits'!$C$76),"")))))))))))))</f>
      </c>
      <c r="CC42" s="24">
        <f>IF($B42="","",IF($AN42="AR",SUMPRODUCT(($AZ42&gt;=INDEX('How This Works &amp; Sources'!$B$82:$J$86,0,7))*INDEX('How This Works &amp; Sources'!$B$82:$J$86,0,7+2)),IF($AN42="DE",SUMPRODUCT(($AZ42&gt;=INDEX('How This Works &amp; Sources'!$B$91:$J$98,0,1))*INDEX('How This Works &amp; Sources'!$B$91:$J$98,0,1+2)),IF($AN42="VA",SUMPRODUCT(($AZ42&gt;=INDEX('How This Works &amp; Sources'!$B$219:$J$223,0,4))*INDEX('How This Works &amp; Sources'!$B$219:$J$223,0,4+2)),IF($AN42="WI",SUMPRODUCT(($AZ42&gt;=INDEX('How This Works &amp; Sources'!$B$228:$J$232,0,4))*INDEX('How This Works &amp; Sources'!$B$228:$J$232,0,4+2)),IF($AN42="AZ",'Your Pay &amp; Benefits'!$C$82,IF($AN42="CO",IF($AY42&gt;IF($AU42="Married",10000,5000),0.044,0),IF($AN42="IA",IF($AY42&gt;IF($AU42="Head of household",19500,IF($AU42="Married",26000,13000)),0.038,0),IF($AN42="ID",IF($AY42&gt;IF($AU42="Married",32000,16094),0.053,0),IF($AN42="IL",IF($AY42&gt;(2925*$AS42+1000*$AT42),0.0495,0),IF($AN42="KY",IF($AI42&gt;3360,0.035,0),IF($AN42="LA",0.0309,IF($AN42="MA",IF(MAX(0,$AY42-MIN(($BD41+$Q42+$R42+$S42),2000)-IF($AS42=0,0,IF($AS42=1,4400,1000*$AS42+3400)))&gt;=1107750,0.09,0.05),IF($AN42="MS",IF($AI42-IF($AU42="Head of household",3400,IF($AU42="Married",4600,2300))-'Your Pay &amp; Benefits'!$C$85&gt;10000,0.04,0),IF($AN42="PA",0.0307,"")))))))))))))))</f>
      </c>
      <c r="CD42" s="21">
        <f>IF(YEAR(IF('Your Pay &amp; Benefits'!$C$7="Weekly",'Your Pay &amp; Benefits'!$C$9+7*(($BE41+1)-1),IF('Your Pay &amp; Benefits'!$C$7="Biweekly",'Your Pay &amp; Benefits'!$C$9+14*(($BE41+1)-1),IF('Your Pay &amp; Benefits'!$C$7="Semimonthly",DATE(YEAR('Your Pay &amp; Benefits'!$C$9),MONTH('Your Pay &amp; Benefits'!$C$9)+INT((($BE41+1)-1)/2),MIN(DAY('Your Pay &amp; Benefits'!$C$9),DAY(EOMONTH(DATE(YEAR('Your Pay &amp; Benefits'!$C$9),MONTH('Your Pay &amp; Benefits'!$C$9)+INT((($BE41+1)-1)/2),1),0))))+IF(MOD(($BE41+1)-1,2)=1,15,0),EDATE('Your Pay &amp; Benefits'!$C$9,($BE41+1)-1)))))&lt;&gt;'Your Pay &amp; Benefits'!$C$10,"",IF('Your Pay &amp; Benefits'!$C$7="Weekly",'Your Pay &amp; Benefits'!$C$9+7*(($BE41+1)-1),IF('Your Pay &amp; Benefits'!$C$7="Biweekly",'Your Pay &amp; Benefits'!$C$9+14*(($BE41+1)-1),IF('Your Pay &amp; Benefits'!$C$7="Semimonthly",DATE(YEAR('Your Pay &amp; Benefits'!$C$9),MONTH('Your Pay &amp; Benefits'!$C$9)+INT((($BE41+1)-1)/2),MIN(DAY('Your Pay &amp; Benefits'!$C$9),DAY(EOMONTH(DATE(YEAR('Your Pay &amp; Benefits'!$C$9),MONTH('Your Pay &amp; Benefits'!$C$9)+INT((($BE41+1)-1)/2),1),0))))+IF(MOD(($BE41+1)-1,2)=1,15,0),EDATE('Your Pay &amp; Benefits'!$C$9,($BE41+1)-1)))))</f>
      </c>
      <c r="CE42" s="21">
        <f>IF(MIN(IF(AND('Your Pay &amp; Benefits'!$C$58&gt;MAX($B$6:$B41),'Your Pay &amp; Benefits'!$C$58&gt;=DATE('Your Pay &amp; Benefits'!$C$10,1,1),'Your Pay &amp; Benefits'!$C$58&lt;=DATE('Your Pay &amp; Benefits'!$C$10,12,31)),'Your Pay &amp; Benefits'!$C$58,999999),IF(AND('Your Pay &amp; Benefits'!$C$59&gt;MAX($B$6:$B41),'Your Pay &amp; Benefits'!$C$59&gt;=DATE('Your Pay &amp; Benefits'!$C$10,1,1),'Your Pay &amp; Benefits'!$C$59&lt;=DATE('Your Pay &amp; Benefits'!$C$10,12,31)),'Your Pay &amp; Benefits'!$C$59,999999),IF(AND('Your Pay &amp; Benefits'!$C$60&gt;MAX($B$6:$B41),'Your Pay &amp; Benefits'!$C$60&gt;=DATE('Your Pay &amp; Benefits'!$C$10,1,1),'Your Pay &amp; Benefits'!$C$60&lt;=DATE('Your Pay &amp; Benefits'!$C$10,12,31)),'Your Pay &amp; Benefits'!$C$60,999999),IF(AND('Your Pay &amp; Benefits'!$C$61&gt;MAX($B$6:$B41),'Your Pay &amp; Benefits'!$C$61&gt;=DATE('Your Pay &amp; Benefits'!$C$10,1,1),'Your Pay &amp; Benefits'!$C$61&lt;=DATE('Your Pay &amp; Benefits'!$C$10,12,31)),'Your Pay &amp; Benefits'!$C$61,999999),IF(AND('Your Pay &amp; Benefits'!$C$62&gt;MAX($B$6:$B41),'Your Pay &amp; Benefits'!$C$62&gt;=DATE('Your Pay &amp; Benefits'!$C$10,1,1),'Your Pay &amp; Benefits'!$C$62&lt;=DATE('Your Pay &amp; Benefits'!$C$10,12,31)),'Your Pay &amp; Benefits'!$C$62,999999),IF(AND('Your Pay &amp; Benefits'!$C$63&gt;MAX($B$6:$B41),'Your Pay &amp; Benefits'!$C$63&gt;=DATE('Your Pay &amp; Benefits'!$C$10,1,1),'Your Pay &amp; Benefits'!$C$63&lt;=DATE('Your Pay &amp; Benefits'!$C$10,12,31)),'Your Pay &amp; Benefits'!$C$63,999999),IF(AND('Your Pay &amp; Benefits'!$C$64&gt;MAX($B$6:$B41),'Your Pay &amp; Benefits'!$C$64&gt;=DATE('Your Pay &amp; Benefits'!$C$10,1,1),'Your Pay &amp; Benefits'!$C$64&lt;=DATE('Your Pay &amp; Benefits'!$C$10,12,31)),'Your Pay &amp; Benefits'!$C$64,999999),IF(AND('Your Pay &amp; Benefits'!$C$65&gt;MAX($B$6:$B41),'Your Pay &amp; Benefits'!$C$65&gt;=DATE('Your Pay &amp; Benefits'!$C$10,1,1),'Your Pay &amp; Benefits'!$C$65&lt;=DATE('Your Pay &amp; Benefits'!$C$10,12,31)),'Your Pay &amp; Benefits'!$C$65,999999),IF(AND('Your Pay &amp; Benefits'!$C$66&gt;MAX($B$6:$B41),'Your Pay &amp; Benefits'!$C$66&gt;=DATE('Your Pay &amp; Benefits'!$C$10,1,1),'Your Pay &amp; Benefits'!$C$66&lt;=DATE('Your Pay &amp; Benefits'!$C$10,12,31)),'Your Pay &amp; Benefits'!$C$66,999999),IF(AND('Your Pay &amp; Benefits'!$C$67&gt;MAX($B$6:$B41),'Your Pay &amp; Benefits'!$C$67&gt;=DATE('Your Pay &amp; Benefits'!$C$10,1,1),'Your Pay &amp; Benefits'!$C$67&lt;=DATE('Your Pay &amp; Benefits'!$C$10,12,31)),'Your Pay &amp; Benefits'!$C$67,999999))=999999,"",MIN(IF(AND('Your Pay &amp; Benefits'!$C$58&gt;MAX($B$6:$B41),'Your Pay &amp; Benefits'!$C$58&gt;=DATE('Your Pay &amp; Benefits'!$C$10,1,1),'Your Pay &amp; Benefits'!$C$58&lt;=DATE('Your Pay &amp; Benefits'!$C$10,12,31)),'Your Pay &amp; Benefits'!$C$58,999999),IF(AND('Your Pay &amp; Benefits'!$C$59&gt;MAX($B$6:$B41),'Your Pay &amp; Benefits'!$C$59&gt;=DATE('Your Pay &amp; Benefits'!$C$10,1,1),'Your Pay &amp; Benefits'!$C$59&lt;=DATE('Your Pay &amp; Benefits'!$C$10,12,31)),'Your Pay &amp; Benefits'!$C$59,999999),IF(AND('Your Pay &amp; Benefits'!$C$60&gt;MAX($B$6:$B41),'Your Pay &amp; Benefits'!$C$60&gt;=DATE('Your Pay &amp; Benefits'!$C$10,1,1),'Your Pay &amp; Benefits'!$C$60&lt;=DATE('Your Pay &amp; Benefits'!$C$10,12,31)),'Your Pay &amp; Benefits'!$C$60,999999),IF(AND('Your Pay &amp; Benefits'!$C$61&gt;MAX($B$6:$B41),'Your Pay &amp; Benefits'!$C$61&gt;=DATE('Your Pay &amp; Benefits'!$C$10,1,1),'Your Pay &amp; Benefits'!$C$61&lt;=DATE('Your Pay &amp; Benefits'!$C$10,12,31)),'Your Pay &amp; Benefits'!$C$61,999999),IF(AND('Your Pay &amp; Benefits'!$C$62&gt;MAX($B$6:$B41),'Your Pay &amp; Benefits'!$C$62&gt;=DATE('Your Pay &amp; Benefits'!$C$10,1,1),'Your Pay &amp; Benefits'!$C$62&lt;=DATE('Your Pay &amp; Benefits'!$C$10,12,31)),'Your Pay &amp; Benefits'!$C$62,999999),IF(AND('Your Pay &amp; Benefits'!$C$63&gt;MAX($B$6:$B41),'Your Pay &amp; Benefits'!$C$63&gt;=DATE('Your Pay &amp; Benefits'!$C$10,1,1),'Your Pay &amp; Benefits'!$C$63&lt;=DATE('Your Pay &amp; Benefits'!$C$10,12,31)),'Your Pay &amp; Benefits'!$C$63,999999),IF(AND('Your Pay &amp; Benefits'!$C$64&gt;MAX($B$6:$B41),'Your Pay &amp; Benefits'!$C$64&gt;=DATE('Your Pay &amp; Benefits'!$C$10,1,1),'Your Pay &amp; Benefits'!$C$64&lt;=DATE('Your Pay &amp; Benefits'!$C$10,12,31)),'Your Pay &amp; Benefits'!$C$64,999999),IF(AND('Your Pay &amp; Benefits'!$C$65&gt;MAX($B$6:$B41),'Your Pay &amp; Benefits'!$C$65&gt;=DATE('Your Pay &amp; Benefits'!$C$10,1,1),'Your Pay &amp; Benefits'!$C$65&lt;=DATE('Your Pay &amp; Benefits'!$C$10,12,31)),'Your Pay &amp; Benefits'!$C$65,999999),IF(AND('Your Pay &amp; Benefits'!$C$66&gt;MAX($B$6:$B41),'Your Pay &amp; Benefits'!$C$66&gt;=DATE('Your Pay &amp; Benefits'!$C$10,1,1),'Your Pay &amp; Benefits'!$C$66&lt;=DATE('Your Pay &amp; Benefits'!$C$10,12,31)),'Your Pay &amp; Benefits'!$C$66,999999),IF(AND('Your Pay &amp; Benefits'!$C$67&gt;MAX($B$6:$B41),'Your Pay &amp; Benefits'!$C$67&gt;=DATE('Your Pay &amp; Benefits'!$C$10,1,1),'Your Pay &amp; Benefits'!$C$67&lt;=DATE('Your Pay &amp; Benefits'!$C$10,12,31)),'Your Pay &amp; Benefits'!$C$67,999999)))</f>
      </c>
      <c r="CF42">
        <f>IF($B42="","",IF($D42=0,$Y42,""))</f>
      </c>
    </row>
    <row r="43">
      <c r="A43" t="n">
        <v>38</v>
      </c>
      <c r="B43" s="21">
        <f>IF(AND($CD43="",$CE43=""),"",IF($CE43="",$CD43,IF($CD43="",$CE43,MIN($CD43,$CE43))))</f>
      </c>
      <c r="C43" s="7">
        <f>IF($B43="","",IF($BF43=0,0,IF('Your Pay &amp; Benefits'!$C$4="Annual salary",ROUND($AK43/IF(AND('Your Pay &amp; Benefits'!$C$88="Actual paydays",MONTH('Your Pay &amp; Benefits'!$C$9)=1),MAX(1,MAX($BE$6:$BE$68)),'Your Pay &amp; Benefits'!$C$8),2),$AK43)))</f>
      </c>
      <c r="D43" s="7">
        <f>IF($B43="","",SUMIF('Your Pay &amp; Benefits'!$C$58:$C$67,$B43,'Your Pay &amp; Benefits'!$D$58:$D$67))</f>
      </c>
      <c r="E43" s="7">
        <f>IF($B43="","",ROUND(MAX(0,MIN(IF($AL43="Percent",$AM43*($C43+$D43),$AM43),MAX(0,'Your Pay &amp; Benefits'!$C$34-$AC42))),2))</f>
      </c>
      <c r="F43" s="7">
        <f>IF($B43="","",ROUND(MAX(0,MIN(IF('Your Pay &amp; Benefits'!$C$32="Percent",'Your Pay &amp; Benefits'!$D$32*($C43+$D43),'Your Pay &amp; Benefits'!$D$32),MAX(0,'Your Pay &amp; Benefits'!$C$34-$AC42-$E43))),2))</f>
      </c>
      <c r="G43" s="7">
        <f>IF($B43="","",IF($BF43=0,0,ROUND(MAX(0,MIN($BL43,'Your Pay &amp; Benefits'!$C$37-'Your Pay &amp; Benefits'!$C$54-$BI42)),2)))</f>
      </c>
      <c r="H43" s="7">
        <f>IF($B43="","",IF(OR($BF43=0,$BQ43=1),0,ROUND(MAX(0,MIN(IF($BS43=1,ROUND(MAX(0,MIN($BJ43,'How This Works &amp; Sources'!$C$13)-$BG42)/MAX(1,MAX($BE$6:$BE$68)-($BE42)),2),ROUND(MIN($BJ43,'How This Works &amp; Sources'!$C$13)/'Your Pay &amp; Benefits'!$C$8,2)),MIN($BJ43,'How This Works &amp; Sources'!$C$13)-$BG42)),2)))</f>
      </c>
      <c r="I43" s="7">
        <f>IF($B43="","",IF(OR($BF43=0,$BR43=1),0,ROUND(MAX(0,MIN(IF($BT43=1,ROUND(MAX(0,MIN($BK43,IF('Your Pay &amp; Benefits'!$C$12="MFJ",'How This Works &amp; Sources'!$C$14,'How This Works &amp; Sources'!$C$15))-$BH42)/MAX(1,MAX($BE$6:$BE$68)-($BE42)),2),ROUND(MIN($BK43,IF('Your Pay &amp; Benefits'!$C$12="MFJ",'How This Works &amp; Sources'!$C$14,'How This Works &amp; Sources'!$C$15))/'Your Pay &amp; Benefits'!$C$8,2)),MIN($BK43,IF('Your Pay &amp; Benefits'!$C$12="MFJ",'How This Works &amp; Sources'!$C$14,'How This Works &amp; Sources'!$C$15))-$BH42)),2)))</f>
      </c>
      <c r="J43" s="7">
        <f>IF($B43="","",IF($BF43=0,0,$BM43))</f>
      </c>
      <c r="K43" s="7">
        <f>IF($B43="","",IF($BF43=0,0,$BN43+$BO43))</f>
      </c>
      <c r="L43" s="7">
        <f>IF($B43="","",IF($BF43=0,0,'Your Pay &amp; Benefits'!$D$46))</f>
      </c>
      <c r="M43" s="7">
        <f>IF($B43="","",$C43+$D43+$L43-$E43-$G43-$H43-$I43-$J43-$K43)</f>
      </c>
      <c r="N43" s="7">
        <f>IF($B43="","",$C43+$D43+$L43-$G43-$H43-$I43-$J43-$K43)</f>
      </c>
      <c r="O43" s="7">
        <f>IF($B43="","",$C43+$D43+$L43-$E43-$H43-$I43-$J43-$K43-IF(OR($AN43="CA",$AN43="NJ"),0,$G43))</f>
      </c>
      <c r="P43" s="7">
        <f>IF($B43="","",IF('Your Pay &amp; Benefits'!$C$18,0,ROUND(MAX(0,IF('Your Pay &amp; Benefits'!$C$13,SUMPRODUCT(($AH43&gt;INDEX('How This Works &amp; Sources'!$B$29:$J$36,0,IF('Your Pay &amp; Benefits'!$C$12="MFJ",1,IF('Your Pay &amp; Benefits'!$C$12="HoH",7,4))))*($AH43-INDEX('How This Works &amp; Sources'!$B$29:$J$36,0,IF('Your Pay &amp; Benefits'!$C$12="MFJ",1,IF('Your Pay &amp; Benefits'!$C$12="HoH",7,4))))*INDEX('How This Works &amp; Sources'!$B$29:$J$36,0,IF('Your Pay &amp; Benefits'!$C$12="MFJ",1,IF('Your Pay &amp; Benefits'!$C$12="HoH",7,4))+2)),SUMPRODUCT(($AH43&gt;INDEX('How This Works &amp; Sources'!$B$19:$J$26,0,IF('Your Pay &amp; Benefits'!$C$12="MFJ",1,IF('Your Pay &amp; Benefits'!$C$12="HoH",7,4))))*($AH43-INDEX('How This Works &amp; Sources'!$B$19:$J$26,0,IF('Your Pay &amp; Benefits'!$C$12="MFJ",1,IF('Your Pay &amp; Benefits'!$C$12="HoH",7,4))))*INDEX('How This Works &amp; Sources'!$B$19:$J$26,0,IF('Your Pay &amp; Benefits'!$C$12="MFJ",1,IF('Your Pay &amp; Benefits'!$C$12="HoH",7,4))+2)))/'Your Pay &amp; Benefits'!$C$8-$AO43/'Your Pay &amp; Benefits'!$C$8)+$AR43+IF('Your Pay &amp; Benefits'!$C$89="Aggregate",MAX(0,IF('Your Pay &amp; Benefits'!$C$13,SUMPRODUCT((($AH43+$D43)&gt;INDEX('How This Works &amp; Sources'!$B$29:$J$36,0,IF('Your Pay &amp; Benefits'!$C$12="MFJ",1,IF('Your Pay &amp; Benefits'!$C$12="HoH",7,4))))*(($AH43+$D43)-INDEX('How This Works &amp; Sources'!$B$29:$J$36,0,IF('Your Pay &amp; Benefits'!$C$12="MFJ",1,IF('Your Pay &amp; Benefits'!$C$12="HoH",7,4))))*INDEX('How This Works &amp; Sources'!$B$29:$J$36,0,IF('Your Pay &amp; Benefits'!$C$12="MFJ",1,IF('Your Pay &amp; Benefits'!$C$12="HoH",7,4))+2)),SUMPRODUCT((($AH43+$D43)&gt;INDEX('How This Works &amp; Sources'!$B$19:$J$26,0,IF('Your Pay &amp; Benefits'!$C$12="MFJ",1,IF('Your Pay &amp; Benefits'!$C$12="HoH",7,4))))*(($AH43+$D43)-INDEX('How This Works &amp; Sources'!$B$19:$J$26,0,IF('Your Pay &amp; Benefits'!$C$12="MFJ",1,IF('Your Pay &amp; Benefits'!$C$12="HoH",7,4))))*INDEX('How This Works &amp; Sources'!$B$19:$J$26,0,IF('Your Pay &amp; Benefits'!$C$12="MFJ",1,IF('Your Pay &amp; Benefits'!$C$12="HoH",7,4))+2)))-IF('Your Pay &amp; Benefits'!$C$13,SUMPRODUCT(($AH43&gt;INDEX('How This Works &amp; Sources'!$B$29:$J$36,0,IF('Your Pay &amp; Benefits'!$C$12="MFJ",1,IF('Your Pay &amp; Benefits'!$C$12="HoH",7,4))))*($AH43-INDEX('How This Works &amp; Sources'!$B$29:$J$36,0,IF('Your Pay &amp; Benefits'!$C$12="MFJ",1,IF('Your Pay &amp; Benefits'!$C$12="HoH",7,4))))*INDEX('How This Works &amp; Sources'!$B$29:$J$36,0,IF('Your Pay &amp; Benefits'!$C$12="MFJ",1,IF('Your Pay &amp; Benefits'!$C$12="HoH",7,4))+2)),SUMPRODUCT(($AH43&gt;INDEX('How This Works &amp; Sources'!$B$19:$J$26,0,IF('Your Pay &amp; Benefits'!$C$12="MFJ",1,IF('Your Pay &amp; Benefits'!$C$12="HoH",7,4))))*($AH43-INDEX('How This Works &amp; Sources'!$B$19:$J$26,0,IF('Your Pay &amp; Benefits'!$C$12="MFJ",1,IF('Your Pay &amp; Benefits'!$C$12="HoH",7,4))))*INDEX('How This Works &amp; Sources'!$B$19:$J$26,0,IF('Your Pay &amp; Benefits'!$C$12="MFJ",1,IF('Your Pay &amp; Benefits'!$C$12="HoH",7,4))+2)))),'How This Works &amp; Sources'!$C$10*$D43),2)))</f>
      </c>
      <c r="Q43" s="7">
        <f>IF($B43="","",ROUND('How This Works &amp; Sources'!$C$4*MIN($N43,MAX(0,'How This Works &amp; Sources'!$C$3-($AX43+$AB42-$AW43))),2))</f>
      </c>
      <c r="R43" s="7">
        <f>IF($B43="","",ROUND('How This Works &amp; Sources'!$C$5*$N43,2))</f>
      </c>
      <c r="S43" s="7">
        <f>IF($B43="","",ROUND('How This Works &amp; Sources'!$C$6*MAX(0,MIN($N43,$AG42+$N43-'How This Works &amp; Sources'!$C$7)),2))</f>
      </c>
      <c r="T43" s="7">
        <f>IF($B43="","",IF('Your Pay &amp; Benefits'!$C$26,0,IF($AN43="CA",ROUND(IF($AI43&lt;=IF(($AS43+$AT43)&gt;=2,VLOOKUP($AN43,StateTables!$A$6:$AB$56,10,FALSE),VLOOKUP($AN43,StateTables!$A$6:$AB$56,9,FALSE)),0,MAX(0,SUMPRODUCT(($AJ43&gt;INDEX('How This Works &amp; Sources'!$B$39:$J$48,0,IF($AU43="Married",4,IF($AU43="Head of household",7,1))))*($AJ43-INDEX('How This Works &amp; Sources'!$B$39:$J$48,0,IF($AU43="Married",4,IF($AU43="Head of household",7,1))))*INDEX('How This Works &amp; Sources'!$B$39:$J$48,0,IF($AU43="Married",4,IF($AU43="Head of household",7,1))+2))-VLOOKUP($AN43,StateTables!$A$6:$AB$56,11,FALSE)*$AS43)/'Your Pay &amp; Benefits'!$C$8)+'Your Pay &amp; Benefits'!$C$25+VLOOKUP($AN43,StateTables!$A$6:$AB$56,13,FALSE)*$D43,2),IF(VLOOKUP($AN43,StateTables!$A$6:$AB$56,4,FALSE)="None",0,IF(ISNUMBER(SEARCH("MANUAL",VLOOKUP($AN43,StateTables!$A$6:$AB$56,5,FALSE))),'Your Pay &amp; Benefits'!$C$28,ROUND(MAX(0,$BA43+$BB43)/'Your Pay &amp; Benefits'!$C$8+'Your Pay &amp; Benefits'!$C$25+$BC43,2))))))</f>
      </c>
      <c r="U43" s="7">
        <f>IF($B43="","",IF(VLOOKUP($AN43,StateTables!$A$6:$AB$56,24,FALSE)="flatq",IF(OR(MONTH($B43)=1,MONTH($B43)=4,MONTH($B43)=7,MONTH($B43)=10),VLOOKUP($AN43,StateTables!$A$6:$AB$56,25,FALSE),0),IF(VLOOKUP($AN43,StateTables!$A$6:$AB$56,24,FALSE)="dbl",MIN(ROUND(0.005*$N43,2),ROUND(0.6*52/'Your Pay &amp; Benefits'!$C$8,2)),IF(OR(VLOOKUP($AN43,StateTables!$A$6:$AB$56,15,FALSE)="",VLOOKUP($AN43,StateTables!$A$6:$AB$56,15,FALSE)=0),0,ROUND(VLOOKUP($AN43,StateTables!$A$6:$AB$56,15,FALSE)*IF(OR(VLOOKUP($AN43,StateTables!$A$6:$AB$56,16,FALSE)="",VLOOKUP($AN43,StateTables!$A$6:$AB$56,16,FALSE)=0),$N43,MIN($N43,MAX(0,VLOOKUP($AN43,StateTables!$A$6:$AB$56,16,FALSE)-($AX43+$AB42-$AW43)))),2))))+IF(VLOOKUP($AN43,StateTables!$A$6:$AB$56,27,FALSE)="flatq",IF(OR(MONTH($B43)=1,MONTH($B43)=4,MONTH($B43)=7,MONTH($B43)=10),VLOOKUP($AN43,StateTables!$A$6:$AB$56,28,FALSE),0),IF(VLOOKUP($AN43,StateTables!$A$6:$AB$56,27,FALSE)="dbl",MIN(ROUND(0.005*$N43,2),ROUND(0.6*52/'Your Pay &amp; Benefits'!$C$8,2)),IF(OR(VLOOKUP($AN43,StateTables!$A$6:$AB$56,18,FALSE)="",VLOOKUP($AN43,StateTables!$A$6:$AB$56,18,FALSE)=0),0,ROUND(VLOOKUP($AN43,StateTables!$A$6:$AB$56,18,FALSE)*IF(OR(VLOOKUP($AN43,StateTables!$A$6:$AB$56,19,FALSE)="",VLOOKUP($AN43,StateTables!$A$6:$AB$56,19,FALSE)=0),$N43,MIN($N43,MAX(0,VLOOKUP($AN43,StateTables!$A$6:$AB$56,19,FALSE)-($AX43+$AB42-$AW43)))),2)))))</f>
      </c>
      <c r="V43" s="7">
        <f>IF($B43="","",IF($AN43="NY",IF('Your Pay &amp; Benefits'!$C$78,ROUND(SUMPRODUCT((MAX(0,($O43-$D43)*'Your Pay &amp; Benefits'!$C$8-(IF($AU43="Married",5500,5000)+1000*$AS43))&gt;INDEX('How This Works &amp; Sources'!$B$184:$J$198,0,4))*(MAX(0,($O43-$D43)*'Your Pay &amp; Benefits'!$C$8-(IF($AU43="Married",5500,5000)+1000*$AS43))-INDEX('How This Works &amp; Sources'!$B$184:$J$198,0,4))*INDEX('How This Works &amp; Sources'!$B$184:$J$198,0,4+2))/'Your Pay &amp; Benefits'!$C$8+0.0425*$D43,2),0)+IF('Your Pay &amp; Benefits'!$C$79="Resident",ROUND(0.1675*$T43,2),IF('Your Pay &amp; Benefits'!$C$79="Nonresident",ROUND(0.005*MAX(0,($O43-$D43)-(IF($AU43="Married",7950,7400)+1000*$AS43)/'Your Pay &amp; Benefits'!$C$8),2),0)),IF($AN43="PA",IF('Your Pay &amp; Benefits'!$C$80="None",'Your Pay &amp; Benefits'!$C$27+ROUND('Your Pay &amp; Benefits'!$C$81*($C43+$D43),2),ROUND(IF('Your Pay &amp; Benefits'!$C$80="Resident",IF($B43&lt;DATE(2026,7,1),0.0374,0.03735),IF($B43&lt;DATE(2026,7,1),0.0343,0.03425))*($C43+$D43),2)),IF($BF43=0,ROUND('Your Pay &amp; Benefits'!$C$81*($C43+$D43),2),'Your Pay &amp; Benefits'!$C$27+ROUND('Your Pay &amp; Benefits'!$C$81*($C43+$D43),2)))))</f>
      </c>
      <c r="W43" s="7">
        <f>IF($B43="","",IF($BF43=0,0,$BP43))</f>
      </c>
      <c r="X43" s="7">
        <f>IF($B43="","",SUM($E43:$K43)+$P43+$Q43+$R43+$S43+$T43+$U43+$V43+$W43)</f>
      </c>
      <c r="Y43" s="22">
        <f>IF($B43="","",$C43+$D43-$X43)</f>
      </c>
      <c r="Z43" s="7">
        <f>IF($B43="","",$Z42+$C43+$D43)</f>
      </c>
      <c r="AA43" s="7">
        <f>IF($B43="","",$AA42+$Y43)</f>
      </c>
      <c r="AB43" s="7">
        <f>IF($B43="","",$AB42+MIN($N43,MAX(0,'How This Works &amp; Sources'!$C$3-($AX43+$AB42-$AW43))))</f>
      </c>
      <c r="AC43" s="7">
        <f>IF($B43="","",$AC42+$E43+$F43)</f>
      </c>
      <c r="AD43" s="3">
        <f>IF($B43="","",IF(AND($AB42&lt;'How This Works &amp; Sources'!$C$3,$AB43&gt;='How This Works &amp; Sources'!$C$3),"★ Social Security maxed on this check — from the next check your net rises by about $"&amp;TEXT(ROUND('How This Works &amp; Sources'!$C$4*$N43,2),"#,##0.00")&amp;". ","")&amp;IF(AND($AC42&lt;'Your Pay &amp; Benefits'!$C$34,$AC43&gt;='Your Pay &amp; Benefits'!$C$34),"★ 401(k) reaches the $"&amp;TEXT('Your Pay &amp; Benefits'!$C$34,"#,##0")&amp;" cap on this check — deferrals stop and net pay rises. ","")&amp;IF(AND($AG42&lt;'How This Works &amp; Sources'!$C$7,$AG43&gt;='How This Works &amp; Sources'!$C$7),"★ Wages pass $200,000 — the 0.9% Additional Medicare Tax starts here. ","")&amp;IF(AND($BJ43&gt;0,$H43&gt;0,$BG42&lt;MIN($BJ43,'How This Works &amp; Sources'!$C$13),$BG42+$H43&gt;=MIN($BJ43,'How This Works &amp; Sources'!$C$13)),"★ Health FSA election is now fully deferred for the year. ",""))</f>
      </c>
      <c r="AE43" s="41" t="n"/>
      <c r="AF43" s="7">
        <f>IF(OR($B43="",$AE43=""),"",$AE43-$Y43)</f>
      </c>
      <c r="AG43" s="7">
        <f>IF($B43="","",$AG42+$N43)</f>
      </c>
      <c r="AH43" s="7">
        <f>IF($B43="","",MAX(0,($M43-$D43)*'Your Pay &amp; Benefits'!$C$8+$AP43-$AQ43-IF('Your Pay &amp; Benefits'!$C$13,0,IF('Your Pay &amp; Benefits'!$C$12="MFJ",'How This Works &amp; Sources'!$C$8,'How This Works &amp; Sources'!$C$9))))</f>
      </c>
      <c r="AI43" s="7">
        <f>IF($B43="","",$O43*'Your Pay &amp; Benefits'!$C$8)</f>
      </c>
      <c r="AJ43" s="7">
        <f>IF($B43="","",MAX(0,$AI43-VLOOKUP($AN43,StateTables!$A$6:$AB$56,12,FALSE)*$AT43-IF(($AS43+$AT43)&gt;=2,VLOOKUP($AN43,StateTables!$A$6:$AB$56,8,FALSE),VLOOKUP($AN43,StateTables!$A$6:$AB$56,7,FALSE))))</f>
      </c>
      <c r="AK43" s="7">
        <f>IF($B43="","",IFERROR(LOOKUP(2,1/(('Changes &amp; Events'!$C$6:$C$17="Salary change")*('Changes &amp; Events'!$B$6:$B$17&lt;=$B43)*('Changes &amp; Events'!$B$6:$B$17&lt;&gt;"")),'Changes &amp; Events'!$D$6:$D$17),IF('Your Pay &amp; Benefits'!$C$4="Annual salary",'Your Pay &amp; Benefits'!$C$5,'Your Pay &amp; Benefits'!$C$6)))</f>
      </c>
      <c r="AL43">
        <f>IF($B43="","",IFERROR(LOOKUP(2,1/(('Changes &amp; Events'!$C$6:$C$17="401(k) change")*('Changes &amp; Events'!$B$6:$B$17&lt;=$B43)*('Changes &amp; Events'!$B$6:$B$17&lt;&gt;"")),'Changes &amp; Events'!$D$6:$D$17),'Your Pay &amp; Benefits'!$C$30))</f>
      </c>
      <c r="AM43" s="7">
        <f>IF($B43="","",IFERROR(LOOKUP(2,1/(('Changes &amp; Events'!$C$6:$C$17="401(k) change")*('Changes &amp; Events'!$B$6:$B$17&lt;=$B43)*('Changes &amp; Events'!$B$6:$B$17&lt;&gt;"")),'Changes &amp; Events'!$E$6:$E$17),'Your Pay &amp; Benefits'!$D$31))</f>
      </c>
      <c r="AN43">
        <f>IF($B43="","",IFERROR(LOOKUP(2,1/(('Changes &amp; Events'!$C$6:$C$17="State move")*('Changes &amp; Events'!$B$6:$B$17&lt;=$B43)*('Changes &amp; Events'!$B$6:$B$17&lt;&gt;"")),'Changes &amp; Events'!$D$6:$D$17),'Your Pay &amp; Benefits'!$C$21))</f>
      </c>
      <c r="AO43" s="7">
        <f>IF($B43="","",IFERROR(LOOKUP(2,1/(('Changes &amp; Events'!$C$6:$C$17="W-4 change")*('Changes &amp; Events'!$B$6:$B$17&lt;=$B43)*('Changes &amp; Events'!$B$6:$B$17&lt;&gt;"")),'Changes &amp; Events'!$D$6:$D$17),'Your Pay &amp; Benefits'!$C$14))</f>
      </c>
      <c r="AP43" s="7">
        <f>IF($B43="","",IFERROR(LOOKUP(2,1/(('Changes &amp; Events'!$C$6:$C$17="W-4 change")*('Changes &amp; Events'!$B$6:$B$17&lt;=$B43)*('Changes &amp; Events'!$B$6:$B$17&lt;&gt;"")),'Changes &amp; Events'!$E$6:$E$17),'Your Pay &amp; Benefits'!$C$15))</f>
      </c>
      <c r="AQ43" s="7">
        <f>IF($B43="","",IFERROR(LOOKUP(2,1/(('Changes &amp; Events'!$C$6:$C$17="W-4 change")*('Changes &amp; Events'!$B$6:$B$17&lt;=$B43)*('Changes &amp; Events'!$B$6:$B$17&lt;&gt;"")),'Changes &amp; Events'!$F$6:$F$17),'Your Pay &amp; Benefits'!$C$16))</f>
      </c>
      <c r="AR43" s="7">
        <f>IF($B43="","",IFERROR(LOOKUP(2,1/(('Changes &amp; Events'!$C$6:$C$17="W-4 change")*('Changes &amp; Events'!$B$6:$B$17&lt;=$B43)*('Changes &amp; Events'!$B$6:$B$17&lt;&gt;"")),'Changes &amp; Events'!$G$6:$G$17),'Your Pay &amp; Benefits'!$C$17))</f>
      </c>
      <c r="AS43" s="6">
        <f>IF($B43="","",IFERROR(LOOKUP(2,1/((('Changes &amp; Events'!$C$6:$C$17="State move")+('Changes &amp; Events'!$C$6:$C$17="State cert change"))*('Changes &amp; Events'!$B$6:$B$17&lt;=$B43)*('Changes &amp; Events'!$B$6:$B$17&lt;&gt;"")),'Changes &amp; Events'!$F$6:$F$17),'Your Pay &amp; Benefits'!$C$23))</f>
      </c>
      <c r="AT43" s="6">
        <f>IF($B43="","",IFERROR(LOOKUP(2,1/((('Changes &amp; Events'!$C$6:$C$17="State move")+('Changes &amp; Events'!$C$6:$C$17="State cert change"))*('Changes &amp; Events'!$B$6:$B$17&lt;=$B43)*('Changes &amp; Events'!$B$6:$B$17&lt;&gt;"")),'Changes &amp; Events'!$G$6:$G$17),'Your Pay &amp; Benefits'!$C$24))</f>
      </c>
      <c r="AU43">
        <f>IF($B43="","",IFERROR(LOOKUP(2,1/(('Changes &amp; Events'!$C$6:$C$17="State move")*('Changes &amp; Events'!$B$6:$B$17&lt;=$B43)*('Changes &amp; Events'!$B$6:$B$17&lt;&gt;"")),'Changes &amp; Events'!$E$6:$E$17),'Your Pay &amp; Benefits'!$C$22))</f>
      </c>
      <c r="AV43" s="6">
        <f>IF($B43="","",1+COUNTIFS('Changes &amp; Events'!$C$6:$C$17,"Employer change",'Changes &amp; Events'!$B$6:$B$17,"&lt;="&amp;$B43,'Changes &amp; Events'!$B$6:$B$17,"&lt;&gt;"))</f>
      </c>
      <c r="AW43" s="7">
        <f>IF($B43="","",IF($AV43=1,'Your Pay &amp; Benefits'!$C$49,IF(IFERROR(MATCH(IFERROR(LOOKUP(2,1/(('Changes &amp; Events'!$C$6:$C$17="Employer change")*('Changes &amp; Events'!$B$6:$B$17&lt;=$B43)*('Changes &amp; Events'!$B$6:$B$17&lt;&gt;"")),'Changes &amp; Events'!$B$6:$B$17),""),$B$6:$B$68,1),1)&lt;=1,'Your Pay &amp; Benefits'!$C$49,INDEX($AB$6:$AB$68,MATCH(IFERROR(LOOKUP(2,1/(('Changes &amp; Events'!$C$6:$C$17="Employer change")*('Changes &amp; Events'!$B$6:$B$17&lt;=$B43)*('Changes &amp; Events'!$B$6:$B$17&lt;&gt;"")),'Changes &amp; Events'!$B$6:$B$17),""),$B$6:$B$68,1)-1))))</f>
      </c>
      <c r="AX43" s="7">
        <f>IF($B43="","",IF($AV43=1,'Your Pay &amp; Benefits'!$C$49,IFERROR(LOOKUP(2,1/(('Changes &amp; Events'!$C$6:$C$17="Employer change")*('Changes &amp; Events'!$B$6:$B$17&lt;=$B43)*('Changes &amp; Events'!$B$6:$B$17&lt;&gt;"")),'Changes &amp; Events'!$D$6:$D$17),0)))</f>
      </c>
      <c r="AY43" s="7">
        <f>IF($B43="","",($O43-$D43)*'Your Pay &amp; Benefits'!$C$8)</f>
      </c>
      <c r="AZ43" s="7">
        <f>IF($B43="","",IF($AN43="AL",MAX(0,$AY43-IF($AU43="Married",IF($AY43&lt;=25999,8500,MAX(5000,8500-175*CEILING(($AY43-25999)/500,1))),IF($AU43="Head of household",IF($AY43&lt;=25999,5200,MAX(2500,5200-135*CEILING(($AY43-25999)/500,1))),IF($AY43&lt;=25999,3000,MAX(2500,3000-25*CEILING(($AY43-25999)/500,1)))))-($P43-'How This Works &amp; Sources'!$C$10*$D43)*'Your Pay &amp; Benefits'!$C$8-IF(OR($AU43="Married",$AU43="Head of household"),3000,1500)-$AT43*IF($AY43&lt;=50000,1000,IF($AY43&lt;=100000,500,300))),IF($AN43="AR",IF(MAX(0,$AY43-2470)&lt;97701,INT(MAX(0,$AY43-2470)/100)*100+50,MAX(0,$AY43-2470)),IF($AN43="DE",MAX(0,$AI43-3250),IF($AN43="HI",MAX(0,$AI43-1144*$AS43-4350),IF($AN43="KS",MAX(0,$AI43-(9160*IF($AU43="Married",2,1)+2320*$AT43+IF($AU43="Head of household",2320,0))),IF($AN43="MD",MAX(0,$AI43-3400-3200*$AS43),IF($AN43="MN",MAX(0,$AY43-5300*$AS43),IF($AN43="MO",MAX(0,$AI43-IF($AU43="Head of household",24150,IF($AU43="Married",IF('Your Pay &amp; Benefits'!$C$83,16100,32200),16100))),IF($AN43="MT",$AY43,IF($AN43="ND",($C43+$L43)*'Your Pay &amp; Benefits'!$C$8,IF($AN43="NE",MAX(0,$AY43-2440*$AS43),IF($AN43="NJ",MAX(0,$AY43-1000*$AS43),IF($AN43="NY",MAX(0,$AY43-(IF($AU43="Married",7950,7400)+1000*$AS43)),IF($AN43="OH",MAX(0,$AY43-650*$AS43),IF($AN43="OK",MAX(0,$AY43-1000*$AS43),IF($AN43="RI",MAX(0,$AI43-1000*$AS43),IF($AN43="SC",MAX(0,$AI43-5000*$AS43-IF($AS43=0,0,MIN(0.1*$AI43,7500))),IF($AN43="VA",MAX(0,$AI43-IF($AU43="Married",17500,8750)-930*$AS43-800*$AT43),IF($AN43="VT",MAX(0,$AI43-5400*$AS43),IF($AN43="WI",MAX(0,$AI43-MAX(0,IF($AU43="Married",9461-0.2*MAX(0,$AI43-25727),6702-0.12*MAX(0,$AI43-17780)))-400*$AS43),IF($AN43="WV",MAX(0,$AI43-2000*$AS43),$AI43))))))))))))))))))))))</f>
      </c>
      <c r="BA43" s="7">
        <f>IF($B43="","",IF($BW43&lt;&gt;"",$BW43,IF($BX43&lt;&gt;"",$BX43,IF($BY43&lt;&gt;"",$BY43,0))))</f>
      </c>
      <c r="BB43" s="7">
        <f>IF($B43="","",IF($AN43="AR",-29*$AS43,IF($AN43="DE",-110*$AS43,IF($AN43="MD",$AZ43*'Your Pay &amp; Benefits'!$C$74,IF($AN43="AZ",'Your Pay &amp; Benefits'!$C$82*($M43-$D43)*'Your Pay &amp; Benefits'!$C$8,IF($AN43="CO",0.044*MAX(0,$AY43-IF($AU43="Married",10000,5000)),IF($AN43="IA",MAX(0,0.038*MAX(0,$AY43-IF($AU43="Head of household",19500,IF($AU43="Married",26000,13000)))-40*$AS43),IF($AN43="ID",0.053*MAX(0,$AY43-IF($AU43="Married",32000,16094)),IF($AN43="IL",0.0495*MAX(0,$AY43-(2925*$AS43+1000*$AT43)),IF($AN43="IN",(0.0295+'Your Pay &amp; Benefits'!$C$76)*MAX(0,$AY43-(1000*$AS43+1500*$AT43+3000*'Your Pay &amp; Benefits'!$C$86)),IF($AN43="KY",0.035*MAX(0,$AI43-3360),IF($AN43="LA",IF('Your Pay &amp; Benefits'!$C$84="0",0.0309*$AI43,0.0309*MAX(0,$AI43-IF('Your Pay &amp; Benefits'!$C$84="2",25750,12875))),IF($AN43="MA",0.05*MIN(MAX(0,$AY43-MIN(($BD42+$Q43+$R43+$S43),2000)-IF($AS43=0,0,IF($AS43=1,4400,1000*$AS43+3400))),1107750)+0.09*MAX(0,MAX(0,$AY43-MIN(($BD42+$Q43+$R43+$S43),2000)-IF($AS43=0,0,IF($AS43=1,4400,1000*$AS43+3400)))-1107750)-IF($AU43="Head of household",120,0)-110*'Your Pay &amp; Benefits'!$C$75,IF($AN43="MI",0.0425*MAX(0,$AY43-5900*$AS43),IF($AN43="MS",0.04*MAX(0,$AI43-IF($AU43="Head of household",3400,IF($AU43="Married",4600,2300))-'Your Pay &amp; Benefits'!$C$85-10000),IF($AN43="OR",IF(OR($AU43="Married",AND($AU43="Single",$AS43&gt;=3)),SUMPRODUCT((MAX(0,$AY43-MIN(($P43-'How This Works &amp; Sources'!$C$10*$D43)*'Your Pay &amp; Benefits'!$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Sources'!$B$211:$J$214,0,4))*(MAX(0,$AY43-MIN(($P43-'How This Works &amp; Sources'!$C$10*$D43)*'Your Pay &amp; Benefits'!$C$8,IF(OR($AU43="Married",AND($AU43="Single",$AS43&gt;=3)),IF($AY43&lt;250000,8750,IF($AY43&lt;260000,7000,IF($AY43&lt;270000,5250,IF($AY43&lt;280000,3500,IF($AY43&lt;290000,1750,0))))),IF($AY43&lt;125000,8750,IF($AY43&lt;130000,7000,IF($AY43&lt;135000,5250,IF($AY43&lt;140000,3500,IF($AY43&lt;145000,1750,0)))))))-IF(OR($AU43="Married",AND($AU43="Single",$AS43&gt;=3)),5820,2910))-INDEX('How This Works &amp; Sources'!$B$211:$J$214,0,4))*INDEX('How This Works &amp; Sources'!$B$211:$J$214,0,4+2)),SUMPRODUCT((MAX(0,$AY43-MIN(($P43-'How This Works &amp; Sources'!$C$10*$D43)*'Your Pay &amp; Benefits'!$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Sources'!$B$211:$J$214,0,1))*(MAX(0,$AY43-MIN(($P43-'How This Works &amp; Sources'!$C$10*$D43)*'Your Pay &amp; Benefits'!$C$8,IF(OR($AU43="Married",AND($AU43="Single",$AS43&gt;=3)),IF($AY43&lt;250000,8750,IF($AY43&lt;260000,7000,IF($AY43&lt;270000,5250,IF($AY43&lt;280000,3500,IF($AY43&lt;290000,1750,0))))),IF($AY43&lt;125000,8750,IF($AY43&lt;130000,7000,IF($AY43&lt;135000,5250,IF($AY43&lt;140000,3500,IF($AY43&lt;145000,1750,0)))))))-IF(OR($AU43="Married",AND($AU43="Single",$AS43&gt;=3)),5820,2910))-INDEX('How This Works &amp; Sources'!$B$211:$J$214,0,1))*INDEX('How This Works &amp; Sources'!$B$211:$J$214,0,1+2)))+263-263*IF(IF($AU43="Married",$AY43&gt;200000,$AY43&gt;100000),0,$AS43),IF($AN43="PA",0.0307*(($O43+$E43+$G43)*'Your Pay &amp; Benefits'!$C$8),IF($AN43="NY",IF($AU43="Married",IF($AZ43&gt;=2155350,0,IF($AZ43&gt;=1077550,0.48,IF($AZ43&gt;=373200,1.21,IF($AZ43&gt;=323200,0.21,IF($AZ43&gt;=211550,-0.19,IF($AZ43&gt;=157650,-2.8,IF($AZ43&gt;=107650,-0.8,IF($AZ43&gt;=96800,0.05,IF($AZ43&gt;=80650,-0.1,IF($AZ43&gt;=13900,0.4,IF($AZ43&gt;=11700,-0.3,IF($AZ43&gt;=8500,0.5,0)))))))))))),IF($AZ43&gt;=1077550,0,IF($AZ43&gt;=265400,4.29,IF($AZ43&gt;=215400,2.29,IF($AZ43&gt;=157650,2.29,IF($AZ43&gt;=107650,0.29,IF($AZ43&gt;=96800,0.05,IF($AZ43&gt;=80650,-0.1,IF($AZ43&gt;=13900,0.4,IF($AZ43&gt;=11700,-0.3,IF($AZ43&gt;=8500,0.5,0))))))))))),0))))))))))))))))))</f>
      </c>
      <c r="BC43" s="7">
        <f>IF($B43="","",IF($AN43="AL",0.05*$D43,IF($AN43="AR",0.039*$D43,IF($AN43="ID",0.053*$D43,IF($AN43="IN",(0.0295+'Your Pay &amp; Benefits'!$C$76)*$D43,IF($AN43="KS",0.05*$D43,IF($AN43="MA",0.09*MIN($D43,MAX(0,MAX(0,$AY43-MIN(($BD42+$Q43+$R43+$S43),2000)-IF($AS43=0,0,IF($AS43=1,4400,1000*$AS43+3400)))+$D43-1107750))+0.05*($D43-MIN($D43,MAX(0,MAX(0,$AY43-MIN(($BD42+$Q43+$R43+$S43),2000)-IF($AS43=0,0,IF($AS43=1,4400,1000*$AS43+3400)))+$D43-1107750))),IF($AN43="MD",(0.065+'Your Pay &amp; Benefits'!$C$74)*$D43,IF($AN43="MI",0.0425*$D43,IF($AN43="MN",0.0625*$D43,IF($AN43="MO",0.047*$D43,IF($AN43="MT",0.05*$D43,IF($AN43="ND",0.015*$D43,IF($AN43="NE",0.035*$D43,IF($AN43="NJ",IF('Your Pay &amp; Benefits'!$C$77="B",SUMPRODUCT(($D43*'Your Pay &amp; Benefits'!$C$8&gt;INDEX('How This Works &amp; Sources'!$B$155:$J$162,0,4))*($D43*'Your Pay &amp; Benefits'!$C$8-INDEX('How This Works &amp; Sources'!$B$155:$J$162,0,4))*INDEX('How This Works &amp; Sources'!$B$155:$J$162,0,4+2)),IF('Your Pay &amp; Benefits'!$C$77="C",SUMPRODUCT(($D43*'Your Pay &amp; Benefits'!$C$8&gt;INDEX('How This Works &amp; Sources'!$B$155:$J$162,0,7))*($D43*'Your Pay &amp; Benefits'!$C$8-INDEX('How This Works &amp; Sources'!$B$155:$J$162,0,7))*INDEX('How This Works &amp; Sources'!$B$155:$J$162,0,7+2)),IF('Your Pay &amp; Benefits'!$C$77="D",SUMPRODUCT(($D43*'Your Pay &amp; Benefits'!$C$8&gt;INDEX('How This Works &amp; Sources'!$B$167:$J$179,0,1))*($D43*'Your Pay &amp; Benefits'!$C$8-INDEX('How This Works &amp; Sources'!$B$167:$J$179,0,1))*INDEX('How This Works &amp; Sources'!$B$167:$J$179,0,1+2)),IF('Your Pay &amp; Benefits'!$C$77="E",SUMPRODUCT(($D43*'Your Pay &amp; Benefits'!$C$8&gt;INDEX('How This Works &amp; Sources'!$B$167:$J$179,0,4))*($D43*'Your Pay &amp; Benefits'!$C$8-INDEX('How This Works &amp; Sources'!$B$167:$J$179,0,4))*INDEX('How This Works &amp; Sources'!$B$167:$J$179,0,4+2)),SUMPRODUCT(($D43*'Your Pay &amp; Benefits'!$C$8&gt;INDEX('How This Works &amp; Sources'!$B$155:$J$162,0,1))*($D43*'Your Pay &amp; Benefits'!$C$8-INDEX('How This Works &amp; Sources'!$B$155:$J$162,0,1))*INDEX('How This Works &amp; Sources'!$B$155:$J$162,0,1+2))))))/'Your Pay &amp; Benefits'!$C$8,IF($AN43="NY",0.117*$D43,IF($AN43="OH",0.0275*$D43,IF($AN43="OK",0.045*$D43,IF($AN43="OR",0.08*$D43,IF($AN43="WI",IF($AY43&lt;12760,0.0354,IF($AY43&lt;25520,0.0465,IF($AY43&lt;280950,0.053,0.0765)))*$D43,0))))))))))))))))))))</f>
      </c>
      <c r="BD43" s="7">
        <f>IF($B43="","",$BD42+$Q43+$R43+$S43)</f>
      </c>
      <c r="BE43" s="6">
        <f>IF($B43="",$BE42,$BE42+$BF43)</f>
      </c>
      <c r="BF43" s="6">
        <f>IF($B43="","",IF(AND(IF(YEAR(IF('Your Pay &amp; Benefits'!$C$7="Weekly",'Your Pay &amp; Benefits'!$C$9+7*(($BE42+1)-1),IF('Your Pay &amp; Benefits'!$C$7="Biweekly",'Your Pay &amp; Benefits'!$C$9+14*(($BE42+1)-1),IF('Your Pay &amp; Benefits'!$C$7="Semimonthly",DATE(YEAR('Your Pay &amp; Benefits'!$C$9),MONTH('Your Pay &amp; Benefits'!$C$9)+INT((($BE42+1)-1)/2),MIN(DAY('Your Pay &amp; Benefits'!$C$9),DAY(EOMONTH(DATE(YEAR('Your Pay &amp; Benefits'!$C$9),MONTH('Your Pay &amp; Benefits'!$C$9)+INT((($BE42+1)-1)/2),1),0))))+IF(MOD(($BE42+1)-1,2)=1,15,0),EDATE('Your Pay &amp; Benefits'!$C$9,($BE42+1)-1)))))&lt;&gt;'Your Pay &amp; Benefits'!$C$10,"",IF('Your Pay &amp; Benefits'!$C$7="Weekly",'Your Pay &amp; Benefits'!$C$9+7*(($BE42+1)-1),IF('Your Pay &amp; Benefits'!$C$7="Biweekly",'Your Pay &amp; Benefits'!$C$9+14*(($BE42+1)-1),IF('Your Pay &amp; Benefits'!$C$7="Semimonthly",DATE(YEAR('Your Pay &amp; Benefits'!$C$9),MONTH('Your Pay &amp; Benefits'!$C$9)+INT((($BE42+1)-1)/2),MIN(DAY('Your Pay &amp; Benefits'!$C$9),DAY(EOMONTH(DATE(YEAR('Your Pay &amp; Benefits'!$C$9),MONTH('Your Pay &amp; Benefits'!$C$9)+INT((($BE42+1)-1)/2),1),0))))+IF(MOD(($BE42+1)-1,2)=1,15,0),EDATE('Your Pay &amp; Benefits'!$C$9,($BE42+1)-1)))))&lt;&gt;"",$B43=IF(YEAR(IF('Your Pay &amp; Benefits'!$C$7="Weekly",'Your Pay &amp; Benefits'!$C$9+7*(($BE42+1)-1),IF('Your Pay &amp; Benefits'!$C$7="Biweekly",'Your Pay &amp; Benefits'!$C$9+14*(($BE42+1)-1),IF('Your Pay &amp; Benefits'!$C$7="Semimonthly",DATE(YEAR('Your Pay &amp; Benefits'!$C$9),MONTH('Your Pay &amp; Benefits'!$C$9)+INT((($BE42+1)-1)/2),MIN(DAY('Your Pay &amp; Benefits'!$C$9),DAY(EOMONTH(DATE(YEAR('Your Pay &amp; Benefits'!$C$9),MONTH('Your Pay &amp; Benefits'!$C$9)+INT((($BE42+1)-1)/2),1),0))))+IF(MOD(($BE42+1)-1,2)=1,15,0),EDATE('Your Pay &amp; Benefits'!$C$9,($BE42+1)-1)))))&lt;&gt;'Your Pay &amp; Benefits'!$C$10,"",IF('Your Pay &amp; Benefits'!$C$7="Weekly",'Your Pay &amp; Benefits'!$C$9+7*(($BE42+1)-1),IF('Your Pay &amp; Benefits'!$C$7="Biweekly",'Your Pay &amp; Benefits'!$C$9+14*(($BE42+1)-1),IF('Your Pay &amp; Benefits'!$C$7="Semimonthly",DATE(YEAR('Your Pay &amp; Benefits'!$C$9),MONTH('Your Pay &amp; Benefits'!$C$9)+INT((($BE42+1)-1)/2),MIN(DAY('Your Pay &amp; Benefits'!$C$9),DAY(EOMONTH(DATE(YEAR('Your Pay &amp; Benefits'!$C$9),MONTH('Your Pay &amp; Benefits'!$C$9)+INT((($BE42+1)-1)/2),1),0))))+IF(MOD(($BE42+1)-1,2)=1,15,0),EDATE('Your Pay &amp; Benefits'!$C$9,($BE42+1)-1)))))),1,0))</f>
      </c>
      <c r="BG43" s="7">
        <f>IF($B43="","",$BG42+$H43)</f>
      </c>
      <c r="BH43" s="7">
        <f>IF($B43="","",$BH42+$I43)</f>
      </c>
      <c r="BI43" s="7">
        <f>IF($B43="","",$BI42+$G43)</f>
      </c>
      <c r="BJ43" s="7">
        <f>IF($B43="","",IFERROR(LOOKUP(2,1/(((('Changes &amp; Events'!$C$6:$C$17="Deduction start"))*('Changes &amp; Events'!$D$6:$D$17="Health FSA"))*('Changes &amp; Events'!$B$6:$B$17&lt;=$B43)*('Changes &amp; Events'!$B$6:$B$17&lt;&gt;"")),'Changes &amp; Events'!$E$6:$E$17),'Your Pay &amp; Benefits'!$D$38))</f>
      </c>
      <c r="BK43" s="7">
        <f>IF($B43="","",IFERROR(LOOKUP(2,1/(((('Changes &amp; Events'!$C$6:$C$17="Deduction start"))*('Changes &amp; Events'!$D$6:$D$17="Dependent-care FSA"))*('Changes &amp; Events'!$B$6:$B$17&lt;=$B43)*('Changes &amp; Events'!$B$6:$B$17&lt;&gt;"")),'Changes &amp; Events'!$E$6:$E$17),'Your Pay &amp; Benefits'!$D$39))</f>
      </c>
      <c r="BL43" s="7">
        <f>IF($B43="","",IFERROR(LOOKUP(2,1/(((('Changes &amp; Events'!$C$6:$C$17="Deduction start")+('Changes &amp; Events'!$C$6:$C$17="Deduction stop"))*('Changes &amp; Events'!$D$6:$D$17="HSA"))*('Changes &amp; Events'!$B$6:$B$17&lt;=$B43)*('Changes &amp; Events'!$B$6:$B$17&lt;&gt;"")),'Changes &amp; Events'!$I$6:$I$17),'Your Pay &amp; Benefits'!$D$35))</f>
      </c>
      <c r="BM43" s="7">
        <f>IF($B43="","",IFERROR(LOOKUP(2,1/(((('Changes &amp; Events'!$C$6:$C$17="Deduction start")+('Changes &amp; Events'!$C$6:$C$17="Deduction stop"))*('Changes &amp; Events'!$D$6:$D$17="Premiums"))*('Changes &amp; Events'!$B$6:$B$17&lt;=$B43)*('Changes &amp; Events'!$B$6:$B$17&lt;&gt;"")),'Changes &amp; Events'!$I$6:$I$17),'Your Pay &amp; Benefits'!$D$40+'Your Pay &amp; Benefits'!$D$41+'Your Pay &amp; Benefits'!$D$42))</f>
      </c>
      <c r="BN43" s="7">
        <f>IF($B43="","",IFERROR(LOOKUP(2,1/(((('Changes &amp; Events'!$C$6:$C$17="Deduction start")+('Changes &amp; Events'!$C$6:$C$17="Deduction stop"))*('Changes &amp; Events'!$D$6:$D$17="Commuter"))*('Changes &amp; Events'!$B$6:$B$17&lt;=$B43)*('Changes &amp; Events'!$B$6:$B$17&lt;&gt;"")),'Changes &amp; Events'!$I$6:$I$17),'Your Pay &amp; Benefits'!$D$43))</f>
      </c>
      <c r="BO43" s="7">
        <f>IF($B43="","",IFERROR(LOOKUP(2,1/(((('Changes &amp; Events'!$C$6:$C$17="Deduction start")+('Changes &amp; Events'!$C$6:$C$17="Deduction stop"))*('Changes &amp; Events'!$D$6:$D$17="Other pre-tax"))*('Changes &amp; Events'!$B$6:$B$17&lt;=$B43)*('Changes &amp; Events'!$B$6:$B$17&lt;&gt;"")),'Changes &amp; Events'!$I$6:$I$17),'Your Pay &amp; Benefits'!$D$44))</f>
      </c>
      <c r="BP43" s="7">
        <f>IF($B43="","",IFERROR(LOOKUP(2,1/(((('Changes &amp; Events'!$C$6:$C$17="Deduction start")+('Changes &amp; Events'!$C$6:$C$17="Deduction stop"))*('Changes &amp; Events'!$D$6:$D$17="Other post-tax"))*('Changes &amp; Events'!$B$6:$B$17&lt;=$B43)*('Changes &amp; Events'!$B$6:$B$17&lt;&gt;"")),'Changes &amp; Events'!$I$6:$I$17),'Your Pay &amp; Benefits'!$D$45))</f>
      </c>
      <c r="BQ43" s="6">
        <f>IF($B43="","",IFERROR(LOOKUP(2,1/(((('Changes &amp; Events'!$C$6:$C$17="Deduction start")+('Changes &amp; Events'!$C$6:$C$17="Deduction stop"))*('Changes &amp; Events'!$D$6:$D$17="Health FSA"))*('Changes &amp; Events'!$B$6:$B$17&lt;=$B43)*('Changes &amp; Events'!$B$6:$B$17&lt;&gt;"")),'Changes &amp; Events'!$J$6:$J$17),0))</f>
      </c>
      <c r="BR43" s="6">
        <f>IF($B43="","",IFERROR(LOOKUP(2,1/(((('Changes &amp; Events'!$C$6:$C$17="Deduction start")+('Changes &amp; Events'!$C$6:$C$17="Deduction stop"))*('Changes &amp; Events'!$D$6:$D$17="Dependent-care FSA"))*('Changes &amp; Events'!$B$6:$B$17&lt;=$B43)*('Changes &amp; Events'!$B$6:$B$17&lt;&gt;"")),'Changes &amp; Events'!$J$6:$J$17),0))</f>
      </c>
      <c r="BS43" s="6">
        <f>IF($B43="","",IF(SUMPRODUCT(('Changes &amp; Events'!$C$6:$C$17="Deduction start")*('Changes &amp; Events'!$B$6:$B$17&lt;=$B43)*('Changes &amp; Events'!$B$6:$B$17&lt;&gt;"")*('Changes &amp; Events'!$D$6:$D$17="Health FSA"))&gt;0,1,0))</f>
      </c>
      <c r="BT43" s="6">
        <f>IF($B43="","",IF(SUMPRODUCT(('Changes &amp; Events'!$C$6:$C$17="Deduction start")*('Changes &amp; Events'!$B$6:$B$17&lt;=$B43)*('Changes &amp; Events'!$B$6:$B$17&lt;&gt;"")*('Changes &amp; Events'!$D$6:$D$17="Dependent-care FSA"))&gt;0,1,0))</f>
      </c>
      <c r="BU43" s="24">
        <f>IF($B43="","",IF('Your Pay &amp; Benefits'!$C$13,SUMPRODUCT(($AH43&gt;=INDEX('How This Works &amp; Sources'!$B$29:$J$36,0,IF('Your Pay &amp; Benefits'!$C$12="MFJ",1,IF('Your Pay &amp; Benefits'!$C$12="HoH",7,4))))*INDEX('How This Works &amp; Sources'!$B$29:$J$36,0,IF('Your Pay &amp; Benefits'!$C$12="MFJ",1,IF('Your Pay &amp; Benefits'!$C$12="HoH",7,4))+2)),SUMPRODUCT(($AH43&gt;=INDEX('How This Works &amp; Sources'!$B$19:$J$26,0,IF('Your Pay &amp; Benefits'!$C$12="MFJ",1,IF('Your Pay &amp; Benefits'!$C$12="HoH",7,4))))*INDEX('How This Works &amp; Sources'!$B$19:$J$26,0,IF('Your Pay &amp; Benefits'!$C$12="MFJ",1,IF('Your Pay &amp; Benefits'!$C$12="HoH",7,4))+2))))</f>
      </c>
      <c r="BV43" s="24">
        <f>IF($B43="","",IF($BZ43&lt;&gt;"",$BZ43,IF($CA43&lt;&gt;"",$CA43,IF($CB43&lt;&gt;"",$CB43,IF($CC43&lt;&gt;"",$CC43,0)))))</f>
      </c>
      <c r="BW43" s="7">
        <f>IF($B43="","",IF($AN43="MD",IF(OR($AU43="Married",$AU43="Head of household"),SUMPRODUCT(($AZ43&gt;INDEX('How This Works &amp; Sources'!$B$114:$J$120,0,1))*($AZ43-INDEX('How This Works &amp; Sources'!$B$114:$J$120,0,1))*INDEX('How This Works &amp; Sources'!$B$114:$J$120,0,1+2)),SUMPRODUCT(($AZ43&gt;INDEX('How This Works &amp; Sources'!$B$103:$J$109,0,7))*($AZ43-INDEX('How This Works &amp; Sources'!$B$103:$J$109,0,7))*INDEX('How This Works &amp; Sources'!$B$103:$J$109,0,7+2))),IF($AN43="MO",SUMPRODUCT(($AZ43&gt;INDEX('How This Works &amp; Sources'!$B$125:$J$132,0,1))*($AZ43-INDEX('How This Works &amp; Sources'!$B$125:$J$132,0,1))*INDEX('How This Works &amp; Sources'!$B$125:$J$132,0,1+2)),IF($AN43="MT",IF($AU43="Head of household",SUMPRODUCT(($AZ43&gt;INDEX('How This Works &amp; Sources'!$B$137:$J$139,0,1))*($AZ43-INDEX('How This Works &amp; Sources'!$B$137:$J$139,0,1))*INDEX('How This Works &amp; Sources'!$B$137:$J$139,0,1+2)),IF($AU43="Married",SUMPRODUCT(($AZ43&gt;INDEX('How This Works &amp; Sources'!$B$125:$J$132,0,7))*($AZ43-INDEX('How This Works &amp; Sources'!$B$125:$J$132,0,7))*INDEX('How This Works &amp; Sources'!$B$125:$J$132,0,7+2)),SUMPRODUCT(($AZ43&gt;INDEX('How This Works &amp; Sources'!$B$125:$J$132,0,4))*($AZ43-INDEX('How This Works &amp; Sources'!$B$125:$J$132,0,4))*INDEX('How This Works &amp; Sources'!$B$125:$J$132,0,4+2)))),IF($AN43="ND",IF($AU43="Head of household",SUMPRODUCT(($AZ43&gt;INDEX('How This Works &amp; Sources'!$B$144:$J$150,0,1))*($AZ43-INDEX('How This Works &amp; Sources'!$B$144:$J$150,0,1))*INDEX('How This Works &amp; Sources'!$B$144:$J$150,0,1+2)),IF($AU43="Married",SUMPRODUCT(($AZ43&gt;INDEX('How This Works &amp; Sources'!$B$137:$J$139,0,7))*($AZ43-INDEX('How This Works &amp; Sources'!$B$137:$J$139,0,7))*INDEX('How This Works &amp; Sources'!$B$137:$J$139,0,7+2)),SUMPRODUCT(($AZ43&gt;INDEX('How This Works &amp; Sources'!$B$137:$J$139,0,4))*($AZ43-INDEX('How This Works &amp; Sources'!$B$137:$J$139,0,4))*INDEX('How This Works &amp; Sources'!$B$137:$J$139,0,4+2)))),IF($AN43="NJ",IF('Your Pay &amp; Benefits'!$C$77="B",SUMPRODUCT(($AZ43&gt;INDEX('How This Works &amp; Sources'!$B$155:$J$162,0,4))*($AZ43-INDEX('How This Works &amp; Sources'!$B$155:$J$162,0,4))*INDEX('How This Works &amp; Sources'!$B$155:$J$162,0,4+2)),IF('Your Pay &amp; Benefits'!$C$77="C",SUMPRODUCT(($AZ43&gt;INDEX('How This Works &amp; Sources'!$B$155:$J$162,0,7))*($AZ43-INDEX('How This Works &amp; Sources'!$B$155:$J$162,0,7))*INDEX('How This Works &amp; Sources'!$B$155:$J$162,0,7+2)),IF('Your Pay &amp; Benefits'!$C$77="D",SUMPRODUCT(($AZ43&gt;INDEX('How This Works &amp; Sources'!$B$167:$J$179,0,1))*($AZ43-INDEX('How This Works &amp; Sources'!$B$167:$J$179,0,1))*INDEX('How This Works &amp; Sources'!$B$167:$J$179,0,1+2)),IF('Your Pay &amp; Benefits'!$C$77="E",SUMPRODUCT(($AZ43&gt;INDEX('How This Works &amp; Sources'!$B$167:$J$179,0,4))*($AZ43-INDEX('How This Works &amp; Sources'!$B$167:$J$179,0,4))*INDEX('How This Works &amp; Sources'!$B$167:$J$179,0,4+2)),SUMPRODUCT(($AZ43&gt;INDEX('How This Works &amp; Sources'!$B$155:$J$162,0,1))*($AZ43-INDEX('How This Works &amp; Sources'!$B$155:$J$162,0,1))*INDEX('How This Works &amp; Sources'!$B$155:$J$162,0,1+2)))))),IF($AN43="NY",IF($AU43="Married",IF($AZ43&gt;=2155350,$AZ43*IF($AZ43&gt;25000000,0.117,IF($AZ43&gt;5000000,0.111,0.1045)),SUMPRODUCT(($AZ43&gt;INDEX('How This Works &amp; Sources'!$B$184:$J$198,0,1))*($AZ43-INDEX('How This Works &amp; Sources'!$B$184:$J$198,0,1))*INDEX('How This Works &amp; Sources'!$B$184:$J$198,0,1+2))),IF($AZ43&gt;=1077550,$AZ43*IF($AZ43&gt;25000000,0.117,IF($AZ43&gt;5000000,0.111,0.1045)),SUMPRODUCT(($AZ43&gt;INDEX('How This Works &amp; Sources'!$B$167:$J$179,0,7))*($AZ43-INDEX('How This Works &amp; Sources'!$B$167:$J$179,0,7))*INDEX('How This Works &amp; Sources'!$B$167:$J$179,0,7+2)))),"")))))))</f>
      </c>
      <c r="BX43" s="7">
        <f>IF($B43="","",IF($AN43="AL",IF(OR($AU43="Married",$AU43="Head of household"),SUMPRODUCT(($AZ43&gt;INDEX('How This Works &amp; Sources'!$B$82:$J$86,0,4))*($AZ43-INDEX('How This Works &amp; Sources'!$B$82:$J$86,0,4))*INDEX('How This Works &amp; Sources'!$B$82:$J$86,0,4+2)),SUMPRODUCT(($AZ43&gt;INDEX('How This Works &amp; Sources'!$B$82:$J$86,0,1))*($AZ43-INDEX('How This Works &amp; Sources'!$B$82:$J$86,0,1))*INDEX('How This Works &amp; Sources'!$B$82:$J$86,0,1+2))),IF($AN43="KS",IF($AU43="Married",SUMPRODUCT(($AZ43&gt;INDEX('How This Works &amp; Sources'!$B$103:$J$109,0,4))*($AZ43-INDEX('How This Works &amp; Sources'!$B$103:$J$109,0,4))*INDEX('How This Works &amp; Sources'!$B$103:$J$109,0,4+2)),SUMPRODUCT(($AZ43&gt;INDEX('How This Works &amp; Sources'!$B$103:$J$109,0,1))*($AZ43-INDEX('How This Works &amp; Sources'!$B$103:$J$109,0,1))*INDEX('How This Works &amp; Sources'!$B$103:$J$109,0,1+2))),IF($AN43="MN",IF($AU43="Married",SUMPRODUCT(($AZ43&gt;INDEX('How This Works &amp; Sources'!$B$114:$J$120,0,7))*($AZ43-INDEX('How This Works &amp; Sources'!$B$114:$J$120,0,7))*INDEX('How This Works &amp; Sources'!$B$114:$J$120,0,7+2)),SUMPRODUCT(($AZ43&gt;INDEX('How This Works &amp; Sources'!$B$114:$J$120,0,4))*($AZ43-INDEX('How This Works &amp; Sources'!$B$114:$J$120,0,4))*INDEX('How This Works &amp; Sources'!$B$114:$J$120,0,4+2))),IF($AN43="NE",MAX(IF($AU43="Married",SUMPRODUCT(($AZ43&gt;INDEX('How This Works &amp; Sources'!$B$144:$J$150,0,7))*($AZ43-INDEX('How This Works &amp; Sources'!$B$144:$J$150,0,7))*INDEX('How This Works &amp; Sources'!$B$144:$J$150,0,7+2)),SUMPRODUCT(($AZ43&gt;INDEX('How This Works &amp; Sources'!$B$144:$J$150,0,4))*($AZ43-INDEX('How This Works &amp; Sources'!$B$144:$J$150,0,4))*INDEX('How This Works &amp; Sources'!$B$144:$J$150,0,4+2))),0.015*$AZ43),IF($AN43="OH",IF($B43&gt;=DATE(2026,8,1),SUMPRODUCT(($AZ43&gt;INDEX('How This Works &amp; Sources'!$B$203:$J$206,0,1))*($AZ43-INDEX('How This Works &amp; Sources'!$B$203:$J$206,0,1))*INDEX('How This Works &amp; Sources'!$B$203:$J$206,0,1+2)),SUMPRODUCT(($AZ43&gt;INDEX('How This Works &amp; Sources'!$B$184:$J$198,0,7))*($AZ43-INDEX('How This Works &amp; Sources'!$B$184:$J$198,0,7))*INDEX('How This Works &amp; Sources'!$B$184:$J$198,0,7+2))),IF($AN43="OK",IF($AU43="Married",SUMPRODUCT(($AZ43&gt;INDEX('How This Works &amp; Sources'!$B$203:$J$206,0,7))*($AZ43-INDEX('How This Works &amp; Sources'!$B$203:$J$206,0,7))*INDEX('How This Works &amp; Sources'!$B$203:$J$206,0,7+2)),SUMPRODUCT(($AZ43&gt;INDEX('How This Works &amp; Sources'!$B$203:$J$206,0,4))*($AZ43-INDEX('How This Works &amp; Sources'!$B$203:$J$206,0,4))*INDEX('How This Works &amp; Sources'!$B$203:$J$206,0,4+2))),IF($AN43="RI",SUMPRODUCT(($AZ43&gt;INDEX('How This Works &amp; Sources'!$B$211:$J$214,0,7))*($AZ43-INDEX('How This Works &amp; Sources'!$B$211:$J$214,0,7))*INDEX('How This Works &amp; Sources'!$B$211:$J$214,0,7+2)),IF($AN43="VT",IF($AU43="Married",SUMPRODUCT(($AZ43&gt;INDEX('How This Works &amp; Sources'!$B$228:$J$232,0,1))*($AZ43-INDEX('How This Works &amp; Sources'!$B$228:$J$232,0,1))*INDEX('How This Works &amp; Sources'!$B$228:$J$232,0,1+2)),SUMPRODUCT(($AZ43&gt;INDEX('How This Works &amp; Sources'!$B$219:$J$223,0,7))*($AZ43-INDEX('How This Works &amp; Sources'!$B$219:$J$223,0,7))*INDEX('How This Works &amp; Sources'!$B$219:$J$223,0,7+2))),IF($AN43="WV",IF($AU43="Married",SUMPRODUCT(($AZ43&gt;INDEX('How This Works &amp; Sources'!$B$237:$J$241,0,7))*($AZ43-INDEX('How This Works &amp; Sources'!$B$237:$J$241,0,7))*INDEX('How This Works &amp; Sources'!$B$237:$J$241,0,7+2)),SUMPRODUCT(($AZ43&gt;INDEX('How This Works &amp; Sources'!$B$228:$J$232,0,7))*($AZ43-INDEX('How This Works &amp; Sources'!$B$228:$J$232,0,7))*INDEX('How This Works &amp; Sources'!$B$228:$J$232,0,7+2))),""))))))))))</f>
      </c>
      <c r="BY43" s="7">
        <f>IF($B43="","",IF($AN43="AR",SUMPRODUCT(($AZ43&gt;INDEX('How This Works &amp; Sources'!$B$82:$J$86,0,7))*($AZ43-INDEX('How This Works &amp; Sources'!$B$82:$J$86,0,7))*INDEX('How This Works &amp; Sources'!$B$82:$J$86,0,7+2)),IF($AN43="DE",SUMPRODUCT(($AZ43&gt;INDEX('How This Works &amp; Sources'!$B$91:$J$98,0,1))*($AZ43-INDEX('How This Works &amp; Sources'!$B$91:$J$98,0,1))*INDEX('How This Works &amp; Sources'!$B$91:$J$98,0,1+2)),IF($AN43="HI",IF($AU43="Married",SUMPRODUCT(($AZ43&gt;INDEX('How This Works &amp; Sources'!$B$91:$J$98,0,7))*($AZ43-INDEX('How This Works &amp; Sources'!$B$91:$J$98,0,7))*INDEX('How This Works &amp; Sources'!$B$91:$J$98,0,7+2)),SUMPRODUCT(($AZ43&gt;INDEX('How This Works &amp; Sources'!$B$91:$J$98,0,4))*($AZ43-INDEX('How This Works &amp; Sources'!$B$91:$J$98,0,4))*INDEX('How This Works &amp; Sources'!$B$91:$J$98,0,4+2))),IF($AN43="SC",SUMPRODUCT(($AZ43&gt;INDEX('How This Works &amp; Sources'!$B$219:$J$223,0,1))*($AZ43-INDEX('How This Works &amp; Sources'!$B$219:$J$223,0,1))*INDEX('How This Works &amp; Sources'!$B$219:$J$223,0,1+2)),IF($AN43="VA",SUMPRODUCT(($AZ43&gt;INDEX('How This Works &amp; Sources'!$B$219:$J$223,0,4))*($AZ43-INDEX('How This Works &amp; Sources'!$B$219:$J$223,0,4))*INDEX('How This Works &amp; Sources'!$B$219:$J$223,0,4+2)),IF($AN43="WI",SUMPRODUCT(($AZ43&gt;INDEX('How This Works &amp; Sources'!$B$228:$J$232,0,4))*($AZ43-INDEX('How This Works &amp; Sources'!$B$228:$J$232,0,4))*INDEX('How This Works &amp; Sources'!$B$228:$J$232,0,4+2)),"")))))))</f>
      </c>
      <c r="BZ43" s="24">
        <f>IF($B43="","",IF($AN43="NJ",IF('Your Pay &amp; Benefits'!$C$77="B",SUMPRODUCT(($AZ43&gt;=INDEX('How This Works &amp; Sources'!$B$155:$J$162,0,4))*INDEX('How This Works &amp; Sources'!$B$155:$J$162,0,4+2)),IF('Your Pay &amp; Benefits'!$C$77="C",SUMPRODUCT(($AZ43&gt;=INDEX('How This Works &amp; Sources'!$B$155:$J$162,0,7))*INDEX('How This Works &amp; Sources'!$B$155:$J$162,0,7+2)),IF('Your Pay &amp; Benefits'!$C$77="D",SUMPRODUCT(($AZ43&gt;=INDEX('How This Works &amp; Sources'!$B$167:$J$179,0,1))*INDEX('How This Works &amp; Sources'!$B$167:$J$179,0,1+2)),IF('Your Pay &amp; Benefits'!$C$77="E",SUMPRODUCT(($AZ43&gt;=INDEX('How This Works &amp; Sources'!$B$167:$J$179,0,4))*INDEX('How This Works &amp; Sources'!$B$167:$J$179,0,4+2)),SUMPRODUCT(($AZ43&gt;=INDEX('How This Works &amp; Sources'!$B$155:$J$162,0,1))*INDEX('How This Works &amp; Sources'!$B$155:$J$162,0,1+2)))))),IF($AN43="OR",IF(OR($AU43="Married",AND($AU43="Single",$AS43&gt;=3)),SUMPRODUCT((MAX(0,$AY43-MIN(($P43-'How This Works &amp; Sources'!$C$10*$D43)*'Your Pay &amp; Benefits'!$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Sources'!$B$211:$J$214,0,4))*INDEX('How This Works &amp; Sources'!$B$211:$J$214,0,4+2)),SUMPRODUCT((MAX(0,$AY43-MIN(($P43-'How This Works &amp; Sources'!$C$10*$D43)*'Your Pay &amp; Benefits'!$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Sources'!$B$211:$J$214,0,1))*INDEX('How This Works &amp; Sources'!$B$211:$J$214,0,1+2)))*IF(($P43-'How This Works &amp; Sources'!$C$10*$D43)*'Your Pay &amp; Benefits'!$C$8&gt;=IF(OR($AU43="Married",AND($AU43="Single",$AS43&gt;=3)),IF($AY43&lt;250000,8750,IF($AY43&lt;260000,7000,IF($AY43&lt;270000,5250,IF($AY43&lt;280000,3500,IF($AY43&lt;290000,1750,0))))),IF($AY43&lt;125000,8750,IF($AY43&lt;130000,7000,IF($AY43&lt;135000,5250,IF($AY43&lt;140000,3500,IF($AY43&lt;145000,1750,0)))))),1,1-IF('Your Pay &amp; Benefits'!$C$13,SUMPRODUCT(($AH43&gt;=INDEX('How This Works &amp; Sources'!$B$29:$J$36,0,IF('Your Pay &amp; Benefits'!$C$12="MFJ",1,IF('Your Pay &amp; Benefits'!$C$12="HoH",7,4))))*INDEX('How This Works &amp; Sources'!$B$29:$J$36,0,IF('Your Pay &amp; Benefits'!$C$12="MFJ",1,IF('Your Pay &amp; Benefits'!$C$12="HoH",7,4))+2)),SUMPRODUCT(($AH43&gt;=INDEX('How This Works &amp; Sources'!$B$19:$J$26,0,IF('Your Pay &amp; Benefits'!$C$12="MFJ",1,IF('Your Pay &amp; Benefits'!$C$12="HoH",7,4))))*INDEX('How This Works &amp; Sources'!$B$19:$J$26,0,IF('Your Pay &amp; Benefits'!$C$12="MFJ",1,IF('Your Pay &amp; Benefits'!$C$12="HoH",7,4))+2)))),IF($AN43="MI",IF($AY43&gt;5900*$AS43,0.0425,0),""))))</f>
      </c>
      <c r="CA43" s="24">
        <f>IF($B43="","",IF($AN43="AL",IF(OR($AU43="Married",$AU43="Head of household"),SUMPRODUCT(($AZ43&gt;=INDEX('How This Works &amp; Sources'!$B$82:$J$86,0,4))*INDEX('How This Works &amp; Sources'!$B$82:$J$86,0,4+2)),SUMPRODUCT(($AZ43&gt;=INDEX('How This Works &amp; Sources'!$B$82:$J$86,0,1))*INDEX('How This Works &amp; Sources'!$B$82:$J$86,0,1+2)))*(1-IF('Your Pay &amp; Benefits'!$C$13,SUMPRODUCT(($AH43&gt;=INDEX('How This Works &amp; Sources'!$B$29:$J$36,0,IF('Your Pay &amp; Benefits'!$C$12="MFJ",1,IF('Your Pay &amp; Benefits'!$C$12="HoH",7,4))))*INDEX('How This Works &amp; Sources'!$B$29:$J$36,0,IF('Your Pay &amp; Benefits'!$C$12="MFJ",1,IF('Your Pay &amp; Benefits'!$C$12="HoH",7,4))+2)),SUMPRODUCT(($AH43&gt;=INDEX('How This Works &amp; Sources'!$B$19:$J$26,0,IF('Your Pay &amp; Benefits'!$C$12="MFJ",1,IF('Your Pay &amp; Benefits'!$C$12="HoH",7,4))))*INDEX('How This Works &amp; Sources'!$B$19:$J$26,0,IF('Your Pay &amp; Benefits'!$C$12="MFJ",1,IF('Your Pay &amp; Benefits'!$C$12="HoH",7,4))+2)))),IF($AN43="KS",IF($AU43="Married",SUMPRODUCT(($AZ43&gt;=INDEX('How This Works &amp; Sources'!$B$103:$J$109,0,4))*INDEX('How This Works &amp; Sources'!$B$103:$J$109,0,4+2)),SUMPRODUCT(($AZ43&gt;=INDEX('How This Works &amp; Sources'!$B$103:$J$109,0,1))*INDEX('How This Works &amp; Sources'!$B$103:$J$109,0,1+2))),IF($AN43="MD",IF(OR($AU43="Married",$AU43="Head of household"),SUMPRODUCT(($AZ43&gt;=INDEX('How This Works &amp; Sources'!$B$114:$J$120,0,1))*INDEX('How This Works &amp; Sources'!$B$114:$J$120,0,1+2)),SUMPRODUCT(($AZ43&gt;=INDEX('How This Works &amp; Sources'!$B$103:$J$109,0,7))*INDEX('How This Works &amp; Sources'!$B$103:$J$109,0,7+2)))+'Your Pay &amp; Benefits'!$C$74,IF($AN43="MT",IF($AU43="Head of household",SUMPRODUCT(($AZ43&gt;=INDEX('How This Works &amp; Sources'!$B$137:$J$139,0,1))*INDEX('How This Works &amp; Sources'!$B$137:$J$139,0,1+2)),IF($AU43="Married",SUMPRODUCT(($AZ43&gt;=INDEX('How This Works &amp; Sources'!$B$125:$J$132,0,7))*INDEX('How This Works &amp; Sources'!$B$125:$J$132,0,7+2)),SUMPRODUCT(($AZ43&gt;=INDEX('How This Works &amp; Sources'!$B$125:$J$132,0,4))*INDEX('How This Works &amp; Sources'!$B$125:$J$132,0,4+2)))),IF($AN43="ND",IF($AU43="Head of household",SUMPRODUCT(($AZ43&gt;=INDEX('How This Works &amp; Sources'!$B$144:$J$150,0,1))*INDEX('How This Works &amp; Sources'!$B$144:$J$150,0,1+2)),IF($AU43="Married",SUMPRODUCT(($AZ43&gt;=INDEX('How This Works &amp; Sources'!$B$137:$J$139,0,7))*INDEX('How This Works &amp; Sources'!$B$137:$J$139,0,7+2)),SUMPRODUCT(($AZ43&gt;=INDEX('How This Works &amp; Sources'!$B$137:$J$139,0,4))*INDEX('How This Works &amp; Sources'!$B$137:$J$139,0,4+2)))),IF($AN43="NY",IF($AU43="Married",IF($AZ43&gt;=2155350,IF($AZ43&gt;25000000,0.117,IF($AZ43&gt;5000000,0.111,0.1045)),SUMPRODUCT(($AZ43&gt;=INDEX('How This Works &amp; Sources'!$B$184:$J$198,0,1))*INDEX('How This Works &amp; Sources'!$B$184:$J$198,0,1+2))),IF($AZ43&gt;=1077550,IF($AZ43&gt;25000000,0.117,IF($AZ43&gt;5000000,0.111,0.1045)),SUMPRODUCT(($AZ43&gt;=INDEX('How This Works &amp; Sources'!$B$167:$J$179,0,7))*INDEX('How This Works &amp; Sources'!$B$167:$J$179,0,7+2)))),"")))))))</f>
      </c>
      <c r="CB43" s="24">
        <f>IF($B43="","",IF($AN43="CA",SUMPRODUCT(($AJ43&gt;=INDEX('How This Works &amp; Sources'!$B$39:$J$48,0,IF($AU43="Married",4,IF($AU43="Head of household",7,1))))*INDEX('How This Works &amp; Sources'!$B$39:$J$48,0,IF($AU43="Married",4,IF($AU43="Head of household",7,1))+2)),IF($AN43="HI",IF($AU43="Married",SUMPRODUCT(($AZ43&gt;=INDEX('How This Works &amp; Sources'!$B$91:$J$98,0,7))*INDEX('How This Works &amp; Sources'!$B$91:$J$98,0,7+2)),SUMPRODUCT(($AZ43&gt;=INDEX('How This Works &amp; Sources'!$B$91:$J$98,0,4))*INDEX('How This Works &amp; Sources'!$B$91:$J$98,0,4+2))),IF($AN43="MN",IF($AU43="Married",SUMPRODUCT(($AZ43&gt;=INDEX('How This Works &amp; Sources'!$B$114:$J$120,0,7))*INDEX('How This Works &amp; Sources'!$B$114:$J$120,0,7+2)),SUMPRODUCT(($AZ43&gt;=INDEX('How This Works &amp; Sources'!$B$114:$J$120,0,4))*INDEX('How This Works &amp; Sources'!$B$114:$J$120,0,4+2))),IF($AN43="MO",SUMPRODUCT(($AZ43&gt;=INDEX('How This Works &amp; Sources'!$B$125:$J$132,0,1))*INDEX('How This Works &amp; Sources'!$B$125:$J$132,0,1+2)),IF($AN43="NE",MAX(IF($AU43="Married",SUMPRODUCT(($AZ43&gt;=INDEX('How This Works &amp; Sources'!$B$144:$J$150,0,7))*INDEX('How This Works &amp; Sources'!$B$144:$J$150,0,7+2)),SUMPRODUCT(($AZ43&gt;=INDEX('How This Works &amp; Sources'!$B$144:$J$150,0,4))*INDEX('How This Works &amp; Sources'!$B$144:$J$150,0,4+2))),0.015),IF($AN43="OH",IF($B43&gt;=DATE(2026,8,1),SUMPRODUCT(($AZ43&gt;=INDEX('How This Works &amp; Sources'!$B$203:$J$206,0,1))*INDEX('How This Works &amp; Sources'!$B$203:$J$206,0,1+2)),SUMPRODUCT(($AZ43&gt;=INDEX('How This Works &amp; Sources'!$B$184:$J$198,0,7))*INDEX('How This Works &amp; Sources'!$B$184:$J$198,0,7+2))),IF($AN43="OK",IF($AU43="Married",SUMPRODUCT(($AZ43&gt;=INDEX('How This Works &amp; Sources'!$B$203:$J$206,0,7))*INDEX('How This Works &amp; Sources'!$B$203:$J$206,0,7+2)),SUMPRODUCT(($AZ43&gt;=INDEX('How This Works &amp; Sources'!$B$203:$J$206,0,4))*INDEX('How This Works &amp; Sources'!$B$203:$J$206,0,4+2))),IF($AN43="RI",SUMPRODUCT(($AZ43&gt;=INDEX('How This Works &amp; Sources'!$B$211:$J$214,0,7))*INDEX('How This Works &amp; Sources'!$B$211:$J$214,0,7+2)),IF($AN43="SC",SUMPRODUCT(($AZ43&gt;=INDEX('How This Works &amp; Sources'!$B$219:$J$223,0,1))*INDEX('How This Works &amp; Sources'!$B$219:$J$223,0,1+2)),IF($AN43="VT",IF($AU43="Married",SUMPRODUCT(($AZ43&gt;=INDEX('How This Works &amp; Sources'!$B$228:$J$232,0,1))*INDEX('How This Works &amp; Sources'!$B$228:$J$232,0,1+2)),SUMPRODUCT(($AZ43&gt;=INDEX('How This Works &amp; Sources'!$B$219:$J$223,0,7))*INDEX('How This Works &amp; Sources'!$B$219:$J$223,0,7+2))),IF($AN43="WV",IF($AU43="Married",SUMPRODUCT(($AZ43&gt;=INDEX('How This Works &amp; Sources'!$B$237:$J$241,0,7))*INDEX('How This Works &amp; Sources'!$B$237:$J$241,0,7+2)),SUMPRODUCT(($AZ43&gt;=INDEX('How This Works &amp; Sources'!$B$228:$J$232,0,7))*INDEX('How This Works &amp; Sources'!$B$228:$J$232,0,7+2))),IF($AN43="IN",(0.0295+'Your Pay &amp; Benefits'!$C$76),"")))))))))))))</f>
      </c>
      <c r="CC43" s="24">
        <f>IF($B43="","",IF($AN43="AR",SUMPRODUCT(($AZ43&gt;=INDEX('How This Works &amp; Sources'!$B$82:$J$86,0,7))*INDEX('How This Works &amp; Sources'!$B$82:$J$86,0,7+2)),IF($AN43="DE",SUMPRODUCT(($AZ43&gt;=INDEX('How This Works &amp; Sources'!$B$91:$J$98,0,1))*INDEX('How This Works &amp; Sources'!$B$91:$J$98,0,1+2)),IF($AN43="VA",SUMPRODUCT(($AZ43&gt;=INDEX('How This Works &amp; Sources'!$B$219:$J$223,0,4))*INDEX('How This Works &amp; Sources'!$B$219:$J$223,0,4+2)),IF($AN43="WI",SUMPRODUCT(($AZ43&gt;=INDEX('How This Works &amp; Sources'!$B$228:$J$232,0,4))*INDEX('How This Works &amp; Sources'!$B$228:$J$232,0,4+2)),IF($AN43="AZ",'Your Pay &amp; Benefits'!$C$82,IF($AN43="CO",IF($AY43&gt;IF($AU43="Married",10000,5000),0.044,0),IF($AN43="IA",IF($AY43&gt;IF($AU43="Head of household",19500,IF($AU43="Married",26000,13000)),0.038,0),IF($AN43="ID",IF($AY43&gt;IF($AU43="Married",32000,16094),0.053,0),IF($AN43="IL",IF($AY43&gt;(2925*$AS43+1000*$AT43),0.0495,0),IF($AN43="KY",IF($AI43&gt;3360,0.035,0),IF($AN43="LA",0.0309,IF($AN43="MA",IF(MAX(0,$AY43-MIN(($BD42+$Q43+$R43+$S43),2000)-IF($AS43=0,0,IF($AS43=1,4400,1000*$AS43+3400)))&gt;=1107750,0.09,0.05),IF($AN43="MS",IF($AI43-IF($AU43="Head of household",3400,IF($AU43="Married",4600,2300))-'Your Pay &amp; Benefits'!$C$85&gt;10000,0.04,0),IF($AN43="PA",0.0307,"")))))))))))))))</f>
      </c>
      <c r="CD43" s="21">
        <f>IF(YEAR(IF('Your Pay &amp; Benefits'!$C$7="Weekly",'Your Pay &amp; Benefits'!$C$9+7*(($BE42+1)-1),IF('Your Pay &amp; Benefits'!$C$7="Biweekly",'Your Pay &amp; Benefits'!$C$9+14*(($BE42+1)-1),IF('Your Pay &amp; Benefits'!$C$7="Semimonthly",DATE(YEAR('Your Pay &amp; Benefits'!$C$9),MONTH('Your Pay &amp; Benefits'!$C$9)+INT((($BE42+1)-1)/2),MIN(DAY('Your Pay &amp; Benefits'!$C$9),DAY(EOMONTH(DATE(YEAR('Your Pay &amp; Benefits'!$C$9),MONTH('Your Pay &amp; Benefits'!$C$9)+INT((($BE42+1)-1)/2),1),0))))+IF(MOD(($BE42+1)-1,2)=1,15,0),EDATE('Your Pay &amp; Benefits'!$C$9,($BE42+1)-1)))))&lt;&gt;'Your Pay &amp; Benefits'!$C$10,"",IF('Your Pay &amp; Benefits'!$C$7="Weekly",'Your Pay &amp; Benefits'!$C$9+7*(($BE42+1)-1),IF('Your Pay &amp; Benefits'!$C$7="Biweekly",'Your Pay &amp; Benefits'!$C$9+14*(($BE42+1)-1),IF('Your Pay &amp; Benefits'!$C$7="Semimonthly",DATE(YEAR('Your Pay &amp; Benefits'!$C$9),MONTH('Your Pay &amp; Benefits'!$C$9)+INT((($BE42+1)-1)/2),MIN(DAY('Your Pay &amp; Benefits'!$C$9),DAY(EOMONTH(DATE(YEAR('Your Pay &amp; Benefits'!$C$9),MONTH('Your Pay &amp; Benefits'!$C$9)+INT((($BE42+1)-1)/2),1),0))))+IF(MOD(($BE42+1)-1,2)=1,15,0),EDATE('Your Pay &amp; Benefits'!$C$9,($BE42+1)-1)))))</f>
      </c>
      <c r="CE43" s="21">
        <f>IF(MIN(IF(AND('Your Pay &amp; Benefits'!$C$58&gt;MAX($B$6:$B42),'Your Pay &amp; Benefits'!$C$58&gt;=DATE('Your Pay &amp; Benefits'!$C$10,1,1),'Your Pay &amp; Benefits'!$C$58&lt;=DATE('Your Pay &amp; Benefits'!$C$10,12,31)),'Your Pay &amp; Benefits'!$C$58,999999),IF(AND('Your Pay &amp; Benefits'!$C$59&gt;MAX($B$6:$B42),'Your Pay &amp; Benefits'!$C$59&gt;=DATE('Your Pay &amp; Benefits'!$C$10,1,1),'Your Pay &amp; Benefits'!$C$59&lt;=DATE('Your Pay &amp; Benefits'!$C$10,12,31)),'Your Pay &amp; Benefits'!$C$59,999999),IF(AND('Your Pay &amp; Benefits'!$C$60&gt;MAX($B$6:$B42),'Your Pay &amp; Benefits'!$C$60&gt;=DATE('Your Pay &amp; Benefits'!$C$10,1,1),'Your Pay &amp; Benefits'!$C$60&lt;=DATE('Your Pay &amp; Benefits'!$C$10,12,31)),'Your Pay &amp; Benefits'!$C$60,999999),IF(AND('Your Pay &amp; Benefits'!$C$61&gt;MAX($B$6:$B42),'Your Pay &amp; Benefits'!$C$61&gt;=DATE('Your Pay &amp; Benefits'!$C$10,1,1),'Your Pay &amp; Benefits'!$C$61&lt;=DATE('Your Pay &amp; Benefits'!$C$10,12,31)),'Your Pay &amp; Benefits'!$C$61,999999),IF(AND('Your Pay &amp; Benefits'!$C$62&gt;MAX($B$6:$B42),'Your Pay &amp; Benefits'!$C$62&gt;=DATE('Your Pay &amp; Benefits'!$C$10,1,1),'Your Pay &amp; Benefits'!$C$62&lt;=DATE('Your Pay &amp; Benefits'!$C$10,12,31)),'Your Pay &amp; Benefits'!$C$62,999999),IF(AND('Your Pay &amp; Benefits'!$C$63&gt;MAX($B$6:$B42),'Your Pay &amp; Benefits'!$C$63&gt;=DATE('Your Pay &amp; Benefits'!$C$10,1,1),'Your Pay &amp; Benefits'!$C$63&lt;=DATE('Your Pay &amp; Benefits'!$C$10,12,31)),'Your Pay &amp; Benefits'!$C$63,999999),IF(AND('Your Pay &amp; Benefits'!$C$64&gt;MAX($B$6:$B42),'Your Pay &amp; Benefits'!$C$64&gt;=DATE('Your Pay &amp; Benefits'!$C$10,1,1),'Your Pay &amp; Benefits'!$C$64&lt;=DATE('Your Pay &amp; Benefits'!$C$10,12,31)),'Your Pay &amp; Benefits'!$C$64,999999),IF(AND('Your Pay &amp; Benefits'!$C$65&gt;MAX($B$6:$B42),'Your Pay &amp; Benefits'!$C$65&gt;=DATE('Your Pay &amp; Benefits'!$C$10,1,1),'Your Pay &amp; Benefits'!$C$65&lt;=DATE('Your Pay &amp; Benefits'!$C$10,12,31)),'Your Pay &amp; Benefits'!$C$65,999999),IF(AND('Your Pay &amp; Benefits'!$C$66&gt;MAX($B$6:$B42),'Your Pay &amp; Benefits'!$C$66&gt;=DATE('Your Pay &amp; Benefits'!$C$10,1,1),'Your Pay &amp; Benefits'!$C$66&lt;=DATE('Your Pay &amp; Benefits'!$C$10,12,31)),'Your Pay &amp; Benefits'!$C$66,999999),IF(AND('Your Pay &amp; Benefits'!$C$67&gt;MAX($B$6:$B42),'Your Pay &amp; Benefits'!$C$67&gt;=DATE('Your Pay &amp; Benefits'!$C$10,1,1),'Your Pay &amp; Benefits'!$C$67&lt;=DATE('Your Pay &amp; Benefits'!$C$10,12,31)),'Your Pay &amp; Benefits'!$C$67,999999))=999999,"",MIN(IF(AND('Your Pay &amp; Benefits'!$C$58&gt;MAX($B$6:$B42),'Your Pay &amp; Benefits'!$C$58&gt;=DATE('Your Pay &amp; Benefits'!$C$10,1,1),'Your Pay &amp; Benefits'!$C$58&lt;=DATE('Your Pay &amp; Benefits'!$C$10,12,31)),'Your Pay &amp; Benefits'!$C$58,999999),IF(AND('Your Pay &amp; Benefits'!$C$59&gt;MAX($B$6:$B42),'Your Pay &amp; Benefits'!$C$59&gt;=DATE('Your Pay &amp; Benefits'!$C$10,1,1),'Your Pay &amp; Benefits'!$C$59&lt;=DATE('Your Pay &amp; Benefits'!$C$10,12,31)),'Your Pay &amp; Benefits'!$C$59,999999),IF(AND('Your Pay &amp; Benefits'!$C$60&gt;MAX($B$6:$B42),'Your Pay &amp; Benefits'!$C$60&gt;=DATE('Your Pay &amp; Benefits'!$C$10,1,1),'Your Pay &amp; Benefits'!$C$60&lt;=DATE('Your Pay &amp; Benefits'!$C$10,12,31)),'Your Pay &amp; Benefits'!$C$60,999999),IF(AND('Your Pay &amp; Benefits'!$C$61&gt;MAX($B$6:$B42),'Your Pay &amp; Benefits'!$C$61&gt;=DATE('Your Pay &amp; Benefits'!$C$10,1,1),'Your Pay &amp; Benefits'!$C$61&lt;=DATE('Your Pay &amp; Benefits'!$C$10,12,31)),'Your Pay &amp; Benefits'!$C$61,999999),IF(AND('Your Pay &amp; Benefits'!$C$62&gt;MAX($B$6:$B42),'Your Pay &amp; Benefits'!$C$62&gt;=DATE('Your Pay &amp; Benefits'!$C$10,1,1),'Your Pay &amp; Benefits'!$C$62&lt;=DATE('Your Pay &amp; Benefits'!$C$10,12,31)),'Your Pay &amp; Benefits'!$C$62,999999),IF(AND('Your Pay &amp; Benefits'!$C$63&gt;MAX($B$6:$B42),'Your Pay &amp; Benefits'!$C$63&gt;=DATE('Your Pay &amp; Benefits'!$C$10,1,1),'Your Pay &amp; Benefits'!$C$63&lt;=DATE('Your Pay &amp; Benefits'!$C$10,12,31)),'Your Pay &amp; Benefits'!$C$63,999999),IF(AND('Your Pay &amp; Benefits'!$C$64&gt;MAX($B$6:$B42),'Your Pay &amp; Benefits'!$C$64&gt;=DATE('Your Pay &amp; Benefits'!$C$10,1,1),'Your Pay &amp; Benefits'!$C$64&lt;=DATE('Your Pay &amp; Benefits'!$C$10,12,31)),'Your Pay &amp; Benefits'!$C$64,999999),IF(AND('Your Pay &amp; Benefits'!$C$65&gt;MAX($B$6:$B42),'Your Pay &amp; Benefits'!$C$65&gt;=DATE('Your Pay &amp; Benefits'!$C$10,1,1),'Your Pay &amp; Benefits'!$C$65&lt;=DATE('Your Pay &amp; Benefits'!$C$10,12,31)),'Your Pay &amp; Benefits'!$C$65,999999),IF(AND('Your Pay &amp; Benefits'!$C$66&gt;MAX($B$6:$B42),'Your Pay &amp; Benefits'!$C$66&gt;=DATE('Your Pay &amp; Benefits'!$C$10,1,1),'Your Pay &amp; Benefits'!$C$66&lt;=DATE('Your Pay &amp; Benefits'!$C$10,12,31)),'Your Pay &amp; Benefits'!$C$66,999999),IF(AND('Your Pay &amp; Benefits'!$C$67&gt;MAX($B$6:$B42),'Your Pay &amp; Benefits'!$C$67&gt;=DATE('Your Pay &amp; Benefits'!$C$10,1,1),'Your Pay &amp; Benefits'!$C$67&lt;=DATE('Your Pay &amp; Benefits'!$C$10,12,31)),'Your Pay &amp; Benefits'!$C$67,999999)))</f>
      </c>
      <c r="CF43">
        <f>IF($B43="","",IF($D43=0,$Y43,""))</f>
      </c>
    </row>
    <row r="44">
      <c r="A44" t="n">
        <v>39</v>
      </c>
      <c r="B44" s="21">
        <f>IF(AND($CD44="",$CE44=""),"",IF($CE44="",$CD44,IF($CD44="",$CE44,MIN($CD44,$CE44))))</f>
      </c>
      <c r="C44" s="7">
        <f>IF($B44="","",IF($BF44=0,0,IF('Your Pay &amp; Benefits'!$C$4="Annual salary",ROUND($AK44/IF(AND('Your Pay &amp; Benefits'!$C$88="Actual paydays",MONTH('Your Pay &amp; Benefits'!$C$9)=1),MAX(1,MAX($BE$6:$BE$68)),'Your Pay &amp; Benefits'!$C$8),2),$AK44)))</f>
      </c>
      <c r="D44" s="7">
        <f>IF($B44="","",SUMIF('Your Pay &amp; Benefits'!$C$58:$C$67,$B44,'Your Pay &amp; Benefits'!$D$58:$D$67))</f>
      </c>
      <c r="E44" s="7">
        <f>IF($B44="","",ROUND(MAX(0,MIN(IF($AL44="Percent",$AM44*($C44+$D44),$AM44),MAX(0,'Your Pay &amp; Benefits'!$C$34-$AC43))),2))</f>
      </c>
      <c r="F44" s="7">
        <f>IF($B44="","",ROUND(MAX(0,MIN(IF('Your Pay &amp; Benefits'!$C$32="Percent",'Your Pay &amp; Benefits'!$D$32*($C44+$D44),'Your Pay &amp; Benefits'!$D$32),MAX(0,'Your Pay &amp; Benefits'!$C$34-$AC43-$E44))),2))</f>
      </c>
      <c r="G44" s="7">
        <f>IF($B44="","",IF($BF44=0,0,ROUND(MAX(0,MIN($BL44,'Your Pay &amp; Benefits'!$C$37-'Your Pay &amp; Benefits'!$C$54-$BI43)),2)))</f>
      </c>
      <c r="H44" s="7">
        <f>IF($B44="","",IF(OR($BF44=0,$BQ44=1),0,ROUND(MAX(0,MIN(IF($BS44=1,ROUND(MAX(0,MIN($BJ44,'How This Works &amp; Sources'!$C$13)-$BG43)/MAX(1,MAX($BE$6:$BE$68)-($BE43)),2),ROUND(MIN($BJ44,'How This Works &amp; Sources'!$C$13)/'Your Pay &amp; Benefits'!$C$8,2)),MIN($BJ44,'How This Works &amp; Sources'!$C$13)-$BG43)),2)))</f>
      </c>
      <c r="I44" s="7">
        <f>IF($B44="","",IF(OR($BF44=0,$BR44=1),0,ROUND(MAX(0,MIN(IF($BT44=1,ROUND(MAX(0,MIN($BK44,IF('Your Pay &amp; Benefits'!$C$12="MFJ",'How This Works &amp; Sources'!$C$14,'How This Works &amp; Sources'!$C$15))-$BH43)/MAX(1,MAX($BE$6:$BE$68)-($BE43)),2),ROUND(MIN($BK44,IF('Your Pay &amp; Benefits'!$C$12="MFJ",'How This Works &amp; Sources'!$C$14,'How This Works &amp; Sources'!$C$15))/'Your Pay &amp; Benefits'!$C$8,2)),MIN($BK44,IF('Your Pay &amp; Benefits'!$C$12="MFJ",'How This Works &amp; Sources'!$C$14,'How This Works &amp; Sources'!$C$15))-$BH43)),2)))</f>
      </c>
      <c r="J44" s="7">
        <f>IF($B44="","",IF($BF44=0,0,$BM44))</f>
      </c>
      <c r="K44" s="7">
        <f>IF($B44="","",IF($BF44=0,0,$BN44+$BO44))</f>
      </c>
      <c r="L44" s="7">
        <f>IF($B44="","",IF($BF44=0,0,'Your Pay &amp; Benefits'!$D$46))</f>
      </c>
      <c r="M44" s="7">
        <f>IF($B44="","",$C44+$D44+$L44-$E44-$G44-$H44-$I44-$J44-$K44)</f>
      </c>
      <c r="N44" s="7">
        <f>IF($B44="","",$C44+$D44+$L44-$G44-$H44-$I44-$J44-$K44)</f>
      </c>
      <c r="O44" s="7">
        <f>IF($B44="","",$C44+$D44+$L44-$E44-$H44-$I44-$J44-$K44-IF(OR($AN44="CA",$AN44="NJ"),0,$G44))</f>
      </c>
      <c r="P44" s="7">
        <f>IF($B44="","",IF('Your Pay &amp; Benefits'!$C$18,0,ROUND(MAX(0,IF('Your Pay &amp; Benefits'!$C$13,SUMPRODUCT(($AH44&gt;INDEX('How This Works &amp; Sources'!$B$29:$J$36,0,IF('Your Pay &amp; Benefits'!$C$12="MFJ",1,IF('Your Pay &amp; Benefits'!$C$12="HoH",7,4))))*($AH44-INDEX('How This Works &amp; Sources'!$B$29:$J$36,0,IF('Your Pay &amp; Benefits'!$C$12="MFJ",1,IF('Your Pay &amp; Benefits'!$C$12="HoH",7,4))))*INDEX('How This Works &amp; Sources'!$B$29:$J$36,0,IF('Your Pay &amp; Benefits'!$C$12="MFJ",1,IF('Your Pay &amp; Benefits'!$C$12="HoH",7,4))+2)),SUMPRODUCT(($AH44&gt;INDEX('How This Works &amp; Sources'!$B$19:$J$26,0,IF('Your Pay &amp; Benefits'!$C$12="MFJ",1,IF('Your Pay &amp; Benefits'!$C$12="HoH",7,4))))*($AH44-INDEX('How This Works &amp; Sources'!$B$19:$J$26,0,IF('Your Pay &amp; Benefits'!$C$12="MFJ",1,IF('Your Pay &amp; Benefits'!$C$12="HoH",7,4))))*INDEX('How This Works &amp; Sources'!$B$19:$J$26,0,IF('Your Pay &amp; Benefits'!$C$12="MFJ",1,IF('Your Pay &amp; Benefits'!$C$12="HoH",7,4))+2)))/'Your Pay &amp; Benefits'!$C$8-$AO44/'Your Pay &amp; Benefits'!$C$8)+$AR44+IF('Your Pay &amp; Benefits'!$C$89="Aggregate",MAX(0,IF('Your Pay &amp; Benefits'!$C$13,SUMPRODUCT((($AH44+$D44)&gt;INDEX('How This Works &amp; Sources'!$B$29:$J$36,0,IF('Your Pay &amp; Benefits'!$C$12="MFJ",1,IF('Your Pay &amp; Benefits'!$C$12="HoH",7,4))))*(($AH44+$D44)-INDEX('How This Works &amp; Sources'!$B$29:$J$36,0,IF('Your Pay &amp; Benefits'!$C$12="MFJ",1,IF('Your Pay &amp; Benefits'!$C$12="HoH",7,4))))*INDEX('How This Works &amp; Sources'!$B$29:$J$36,0,IF('Your Pay &amp; Benefits'!$C$12="MFJ",1,IF('Your Pay &amp; Benefits'!$C$12="HoH",7,4))+2)),SUMPRODUCT((($AH44+$D44)&gt;INDEX('How This Works &amp; Sources'!$B$19:$J$26,0,IF('Your Pay &amp; Benefits'!$C$12="MFJ",1,IF('Your Pay &amp; Benefits'!$C$12="HoH",7,4))))*(($AH44+$D44)-INDEX('How This Works &amp; Sources'!$B$19:$J$26,0,IF('Your Pay &amp; Benefits'!$C$12="MFJ",1,IF('Your Pay &amp; Benefits'!$C$12="HoH",7,4))))*INDEX('How This Works &amp; Sources'!$B$19:$J$26,0,IF('Your Pay &amp; Benefits'!$C$12="MFJ",1,IF('Your Pay &amp; Benefits'!$C$12="HoH",7,4))+2)))-IF('Your Pay &amp; Benefits'!$C$13,SUMPRODUCT(($AH44&gt;INDEX('How This Works &amp; Sources'!$B$29:$J$36,0,IF('Your Pay &amp; Benefits'!$C$12="MFJ",1,IF('Your Pay &amp; Benefits'!$C$12="HoH",7,4))))*($AH44-INDEX('How This Works &amp; Sources'!$B$29:$J$36,0,IF('Your Pay &amp; Benefits'!$C$12="MFJ",1,IF('Your Pay &amp; Benefits'!$C$12="HoH",7,4))))*INDEX('How This Works &amp; Sources'!$B$29:$J$36,0,IF('Your Pay &amp; Benefits'!$C$12="MFJ",1,IF('Your Pay &amp; Benefits'!$C$12="HoH",7,4))+2)),SUMPRODUCT(($AH44&gt;INDEX('How This Works &amp; Sources'!$B$19:$J$26,0,IF('Your Pay &amp; Benefits'!$C$12="MFJ",1,IF('Your Pay &amp; Benefits'!$C$12="HoH",7,4))))*($AH44-INDEX('How This Works &amp; Sources'!$B$19:$J$26,0,IF('Your Pay &amp; Benefits'!$C$12="MFJ",1,IF('Your Pay &amp; Benefits'!$C$12="HoH",7,4))))*INDEX('How This Works &amp; Sources'!$B$19:$J$26,0,IF('Your Pay &amp; Benefits'!$C$12="MFJ",1,IF('Your Pay &amp; Benefits'!$C$12="HoH",7,4))+2)))),'How This Works &amp; Sources'!$C$10*$D44),2)))</f>
      </c>
      <c r="Q44" s="7">
        <f>IF($B44="","",ROUND('How This Works &amp; Sources'!$C$4*MIN($N44,MAX(0,'How This Works &amp; Sources'!$C$3-($AX44+$AB43-$AW44))),2))</f>
      </c>
      <c r="R44" s="7">
        <f>IF($B44="","",ROUND('How This Works &amp; Sources'!$C$5*$N44,2))</f>
      </c>
      <c r="S44" s="7">
        <f>IF($B44="","",ROUND('How This Works &amp; Sources'!$C$6*MAX(0,MIN($N44,$AG43+$N44-'How This Works &amp; Sources'!$C$7)),2))</f>
      </c>
      <c r="T44" s="7">
        <f>IF($B44="","",IF('Your Pay &amp; Benefits'!$C$26,0,IF($AN44="CA",ROUND(IF($AI44&lt;=IF(($AS44+$AT44)&gt;=2,VLOOKUP($AN44,StateTables!$A$6:$AB$56,10,FALSE),VLOOKUP($AN44,StateTables!$A$6:$AB$56,9,FALSE)),0,MAX(0,SUMPRODUCT(($AJ44&gt;INDEX('How This Works &amp; Sources'!$B$39:$J$48,0,IF($AU44="Married",4,IF($AU44="Head of household",7,1))))*($AJ44-INDEX('How This Works &amp; Sources'!$B$39:$J$48,0,IF($AU44="Married",4,IF($AU44="Head of household",7,1))))*INDEX('How This Works &amp; Sources'!$B$39:$J$48,0,IF($AU44="Married",4,IF($AU44="Head of household",7,1))+2))-VLOOKUP($AN44,StateTables!$A$6:$AB$56,11,FALSE)*$AS44)/'Your Pay &amp; Benefits'!$C$8)+'Your Pay &amp; Benefits'!$C$25+VLOOKUP($AN44,StateTables!$A$6:$AB$56,13,FALSE)*$D44,2),IF(VLOOKUP($AN44,StateTables!$A$6:$AB$56,4,FALSE)="None",0,IF(ISNUMBER(SEARCH("MANUAL",VLOOKUP($AN44,StateTables!$A$6:$AB$56,5,FALSE))),'Your Pay &amp; Benefits'!$C$28,ROUND(MAX(0,$BA44+$BB44)/'Your Pay &amp; Benefits'!$C$8+'Your Pay &amp; Benefits'!$C$25+$BC44,2))))))</f>
      </c>
      <c r="U44" s="7">
        <f>IF($B44="","",IF(VLOOKUP($AN44,StateTables!$A$6:$AB$56,24,FALSE)="flatq",IF(OR(MONTH($B44)=1,MONTH($B44)=4,MONTH($B44)=7,MONTH($B44)=10),VLOOKUP($AN44,StateTables!$A$6:$AB$56,25,FALSE),0),IF(VLOOKUP($AN44,StateTables!$A$6:$AB$56,24,FALSE)="dbl",MIN(ROUND(0.005*$N44,2),ROUND(0.6*52/'Your Pay &amp; Benefits'!$C$8,2)),IF(OR(VLOOKUP($AN44,StateTables!$A$6:$AB$56,15,FALSE)="",VLOOKUP($AN44,StateTables!$A$6:$AB$56,15,FALSE)=0),0,ROUND(VLOOKUP($AN44,StateTables!$A$6:$AB$56,15,FALSE)*IF(OR(VLOOKUP($AN44,StateTables!$A$6:$AB$56,16,FALSE)="",VLOOKUP($AN44,StateTables!$A$6:$AB$56,16,FALSE)=0),$N44,MIN($N44,MAX(0,VLOOKUP($AN44,StateTables!$A$6:$AB$56,16,FALSE)-($AX44+$AB43-$AW44)))),2))))+IF(VLOOKUP($AN44,StateTables!$A$6:$AB$56,27,FALSE)="flatq",IF(OR(MONTH($B44)=1,MONTH($B44)=4,MONTH($B44)=7,MONTH($B44)=10),VLOOKUP($AN44,StateTables!$A$6:$AB$56,28,FALSE),0),IF(VLOOKUP($AN44,StateTables!$A$6:$AB$56,27,FALSE)="dbl",MIN(ROUND(0.005*$N44,2),ROUND(0.6*52/'Your Pay &amp; Benefits'!$C$8,2)),IF(OR(VLOOKUP($AN44,StateTables!$A$6:$AB$56,18,FALSE)="",VLOOKUP($AN44,StateTables!$A$6:$AB$56,18,FALSE)=0),0,ROUND(VLOOKUP($AN44,StateTables!$A$6:$AB$56,18,FALSE)*IF(OR(VLOOKUP($AN44,StateTables!$A$6:$AB$56,19,FALSE)="",VLOOKUP($AN44,StateTables!$A$6:$AB$56,19,FALSE)=0),$N44,MIN($N44,MAX(0,VLOOKUP($AN44,StateTables!$A$6:$AB$56,19,FALSE)-($AX44+$AB43-$AW44)))),2)))))</f>
      </c>
      <c r="V44" s="7">
        <f>IF($B44="","",IF($AN44="NY",IF('Your Pay &amp; Benefits'!$C$78,ROUND(SUMPRODUCT((MAX(0,($O44-$D44)*'Your Pay &amp; Benefits'!$C$8-(IF($AU44="Married",5500,5000)+1000*$AS44))&gt;INDEX('How This Works &amp; Sources'!$B$184:$J$198,0,4))*(MAX(0,($O44-$D44)*'Your Pay &amp; Benefits'!$C$8-(IF($AU44="Married",5500,5000)+1000*$AS44))-INDEX('How This Works &amp; Sources'!$B$184:$J$198,0,4))*INDEX('How This Works &amp; Sources'!$B$184:$J$198,0,4+2))/'Your Pay &amp; Benefits'!$C$8+0.0425*$D44,2),0)+IF('Your Pay &amp; Benefits'!$C$79="Resident",ROUND(0.1675*$T44,2),IF('Your Pay &amp; Benefits'!$C$79="Nonresident",ROUND(0.005*MAX(0,($O44-$D44)-(IF($AU44="Married",7950,7400)+1000*$AS44)/'Your Pay &amp; Benefits'!$C$8),2),0)),IF($AN44="PA",IF('Your Pay &amp; Benefits'!$C$80="None",'Your Pay &amp; Benefits'!$C$27+ROUND('Your Pay &amp; Benefits'!$C$81*($C44+$D44),2),ROUND(IF('Your Pay &amp; Benefits'!$C$80="Resident",IF($B44&lt;DATE(2026,7,1),0.0374,0.03735),IF($B44&lt;DATE(2026,7,1),0.0343,0.03425))*($C44+$D44),2)),IF($BF44=0,ROUND('Your Pay &amp; Benefits'!$C$81*($C44+$D44),2),'Your Pay &amp; Benefits'!$C$27+ROUND('Your Pay &amp; Benefits'!$C$81*($C44+$D44),2)))))</f>
      </c>
      <c r="W44" s="7">
        <f>IF($B44="","",IF($BF44=0,0,$BP44))</f>
      </c>
      <c r="X44" s="7">
        <f>IF($B44="","",SUM($E44:$K44)+$P44+$Q44+$R44+$S44+$T44+$U44+$V44+$W44)</f>
      </c>
      <c r="Y44" s="22">
        <f>IF($B44="","",$C44+$D44-$X44)</f>
      </c>
      <c r="Z44" s="7">
        <f>IF($B44="","",$Z43+$C44+$D44)</f>
      </c>
      <c r="AA44" s="7">
        <f>IF($B44="","",$AA43+$Y44)</f>
      </c>
      <c r="AB44" s="7">
        <f>IF($B44="","",$AB43+MIN($N44,MAX(0,'How This Works &amp; Sources'!$C$3-($AX44+$AB43-$AW44))))</f>
      </c>
      <c r="AC44" s="7">
        <f>IF($B44="","",$AC43+$E44+$F44)</f>
      </c>
      <c r="AD44" s="3">
        <f>IF($B44="","",IF(AND($AB43&lt;'How This Works &amp; Sources'!$C$3,$AB44&gt;='How This Works &amp; Sources'!$C$3),"★ Social Security maxed on this check — from the next check your net rises by about $"&amp;TEXT(ROUND('How This Works &amp; Sources'!$C$4*$N44,2),"#,##0.00")&amp;". ","")&amp;IF(AND($AC43&lt;'Your Pay &amp; Benefits'!$C$34,$AC44&gt;='Your Pay &amp; Benefits'!$C$34),"★ 401(k) reaches the $"&amp;TEXT('Your Pay &amp; Benefits'!$C$34,"#,##0")&amp;" cap on this check — deferrals stop and net pay rises. ","")&amp;IF(AND($AG43&lt;'How This Works &amp; Sources'!$C$7,$AG44&gt;='How This Works &amp; Sources'!$C$7),"★ Wages pass $200,000 — the 0.9% Additional Medicare Tax starts here. ","")&amp;IF(AND($BJ44&gt;0,$H44&gt;0,$BG43&lt;MIN($BJ44,'How This Works &amp; Sources'!$C$13),$BG43+$H44&gt;=MIN($BJ44,'How This Works &amp; Sources'!$C$13)),"★ Health FSA election is now fully deferred for the year. ",""))</f>
      </c>
      <c r="AE44" s="41" t="n"/>
      <c r="AF44" s="7">
        <f>IF(OR($B44="",$AE44=""),"",$AE44-$Y44)</f>
      </c>
      <c r="AG44" s="7">
        <f>IF($B44="","",$AG43+$N44)</f>
      </c>
      <c r="AH44" s="7">
        <f>IF($B44="","",MAX(0,($M44-$D44)*'Your Pay &amp; Benefits'!$C$8+$AP44-$AQ44-IF('Your Pay &amp; Benefits'!$C$13,0,IF('Your Pay &amp; Benefits'!$C$12="MFJ",'How This Works &amp; Sources'!$C$8,'How This Works &amp; Sources'!$C$9))))</f>
      </c>
      <c r="AI44" s="7">
        <f>IF($B44="","",$O44*'Your Pay &amp; Benefits'!$C$8)</f>
      </c>
      <c r="AJ44" s="7">
        <f>IF($B44="","",MAX(0,$AI44-VLOOKUP($AN44,StateTables!$A$6:$AB$56,12,FALSE)*$AT44-IF(($AS44+$AT44)&gt;=2,VLOOKUP($AN44,StateTables!$A$6:$AB$56,8,FALSE),VLOOKUP($AN44,StateTables!$A$6:$AB$56,7,FALSE))))</f>
      </c>
      <c r="AK44" s="7">
        <f>IF($B44="","",IFERROR(LOOKUP(2,1/(('Changes &amp; Events'!$C$6:$C$17="Salary change")*('Changes &amp; Events'!$B$6:$B$17&lt;=$B44)*('Changes &amp; Events'!$B$6:$B$17&lt;&gt;"")),'Changes &amp; Events'!$D$6:$D$17),IF('Your Pay &amp; Benefits'!$C$4="Annual salary",'Your Pay &amp; Benefits'!$C$5,'Your Pay &amp; Benefits'!$C$6)))</f>
      </c>
      <c r="AL44">
        <f>IF($B44="","",IFERROR(LOOKUP(2,1/(('Changes &amp; Events'!$C$6:$C$17="401(k) change")*('Changes &amp; Events'!$B$6:$B$17&lt;=$B44)*('Changes &amp; Events'!$B$6:$B$17&lt;&gt;"")),'Changes &amp; Events'!$D$6:$D$17),'Your Pay &amp; Benefits'!$C$30))</f>
      </c>
      <c r="AM44" s="7">
        <f>IF($B44="","",IFERROR(LOOKUP(2,1/(('Changes &amp; Events'!$C$6:$C$17="401(k) change")*('Changes &amp; Events'!$B$6:$B$17&lt;=$B44)*('Changes &amp; Events'!$B$6:$B$17&lt;&gt;"")),'Changes &amp; Events'!$E$6:$E$17),'Your Pay &amp; Benefits'!$D$31))</f>
      </c>
      <c r="AN44">
        <f>IF($B44="","",IFERROR(LOOKUP(2,1/(('Changes &amp; Events'!$C$6:$C$17="State move")*('Changes &amp; Events'!$B$6:$B$17&lt;=$B44)*('Changes &amp; Events'!$B$6:$B$17&lt;&gt;"")),'Changes &amp; Events'!$D$6:$D$17),'Your Pay &amp; Benefits'!$C$21))</f>
      </c>
      <c r="AO44" s="7">
        <f>IF($B44="","",IFERROR(LOOKUP(2,1/(('Changes &amp; Events'!$C$6:$C$17="W-4 change")*('Changes &amp; Events'!$B$6:$B$17&lt;=$B44)*('Changes &amp; Events'!$B$6:$B$17&lt;&gt;"")),'Changes &amp; Events'!$D$6:$D$17),'Your Pay &amp; Benefits'!$C$14))</f>
      </c>
      <c r="AP44" s="7">
        <f>IF($B44="","",IFERROR(LOOKUP(2,1/(('Changes &amp; Events'!$C$6:$C$17="W-4 change")*('Changes &amp; Events'!$B$6:$B$17&lt;=$B44)*('Changes &amp; Events'!$B$6:$B$17&lt;&gt;"")),'Changes &amp; Events'!$E$6:$E$17),'Your Pay &amp; Benefits'!$C$15))</f>
      </c>
      <c r="AQ44" s="7">
        <f>IF($B44="","",IFERROR(LOOKUP(2,1/(('Changes &amp; Events'!$C$6:$C$17="W-4 change")*('Changes &amp; Events'!$B$6:$B$17&lt;=$B44)*('Changes &amp; Events'!$B$6:$B$17&lt;&gt;"")),'Changes &amp; Events'!$F$6:$F$17),'Your Pay &amp; Benefits'!$C$16))</f>
      </c>
      <c r="AR44" s="7">
        <f>IF($B44="","",IFERROR(LOOKUP(2,1/(('Changes &amp; Events'!$C$6:$C$17="W-4 change")*('Changes &amp; Events'!$B$6:$B$17&lt;=$B44)*('Changes &amp; Events'!$B$6:$B$17&lt;&gt;"")),'Changes &amp; Events'!$G$6:$G$17),'Your Pay &amp; Benefits'!$C$17))</f>
      </c>
      <c r="AS44" s="6">
        <f>IF($B44="","",IFERROR(LOOKUP(2,1/((('Changes &amp; Events'!$C$6:$C$17="State move")+('Changes &amp; Events'!$C$6:$C$17="State cert change"))*('Changes &amp; Events'!$B$6:$B$17&lt;=$B44)*('Changes &amp; Events'!$B$6:$B$17&lt;&gt;"")),'Changes &amp; Events'!$F$6:$F$17),'Your Pay &amp; Benefits'!$C$23))</f>
      </c>
      <c r="AT44" s="6">
        <f>IF($B44="","",IFERROR(LOOKUP(2,1/((('Changes &amp; Events'!$C$6:$C$17="State move")+('Changes &amp; Events'!$C$6:$C$17="State cert change"))*('Changes &amp; Events'!$B$6:$B$17&lt;=$B44)*('Changes &amp; Events'!$B$6:$B$17&lt;&gt;"")),'Changes &amp; Events'!$G$6:$G$17),'Your Pay &amp; Benefits'!$C$24))</f>
      </c>
      <c r="AU44">
        <f>IF($B44="","",IFERROR(LOOKUP(2,1/(('Changes &amp; Events'!$C$6:$C$17="State move")*('Changes &amp; Events'!$B$6:$B$17&lt;=$B44)*('Changes &amp; Events'!$B$6:$B$17&lt;&gt;"")),'Changes &amp; Events'!$E$6:$E$17),'Your Pay &amp; Benefits'!$C$22))</f>
      </c>
      <c r="AV44" s="6">
        <f>IF($B44="","",1+COUNTIFS('Changes &amp; Events'!$C$6:$C$17,"Employer change",'Changes &amp; Events'!$B$6:$B$17,"&lt;="&amp;$B44,'Changes &amp; Events'!$B$6:$B$17,"&lt;&gt;"))</f>
      </c>
      <c r="AW44" s="7">
        <f>IF($B44="","",IF($AV44=1,'Your Pay &amp; Benefits'!$C$49,IF(IFERROR(MATCH(IFERROR(LOOKUP(2,1/(('Changes &amp; Events'!$C$6:$C$17="Employer change")*('Changes &amp; Events'!$B$6:$B$17&lt;=$B44)*('Changes &amp; Events'!$B$6:$B$17&lt;&gt;"")),'Changes &amp; Events'!$B$6:$B$17),""),$B$6:$B$68,1),1)&lt;=1,'Your Pay &amp; Benefits'!$C$49,INDEX($AB$6:$AB$68,MATCH(IFERROR(LOOKUP(2,1/(('Changes &amp; Events'!$C$6:$C$17="Employer change")*('Changes &amp; Events'!$B$6:$B$17&lt;=$B44)*('Changes &amp; Events'!$B$6:$B$17&lt;&gt;"")),'Changes &amp; Events'!$B$6:$B$17),""),$B$6:$B$68,1)-1))))</f>
      </c>
      <c r="AX44" s="7">
        <f>IF($B44="","",IF($AV44=1,'Your Pay &amp; Benefits'!$C$49,IFERROR(LOOKUP(2,1/(('Changes &amp; Events'!$C$6:$C$17="Employer change")*('Changes &amp; Events'!$B$6:$B$17&lt;=$B44)*('Changes &amp; Events'!$B$6:$B$17&lt;&gt;"")),'Changes &amp; Events'!$D$6:$D$17),0)))</f>
      </c>
      <c r="AY44" s="7">
        <f>IF($B44="","",($O44-$D44)*'Your Pay &amp; Benefits'!$C$8)</f>
      </c>
      <c r="AZ44" s="7">
        <f>IF($B44="","",IF($AN44="AL",MAX(0,$AY44-IF($AU44="Married",IF($AY44&lt;=25999,8500,MAX(5000,8500-175*CEILING(($AY44-25999)/500,1))),IF($AU44="Head of household",IF($AY44&lt;=25999,5200,MAX(2500,5200-135*CEILING(($AY44-25999)/500,1))),IF($AY44&lt;=25999,3000,MAX(2500,3000-25*CEILING(($AY44-25999)/500,1)))))-($P44-'How This Works &amp; Sources'!$C$10*$D44)*'Your Pay &amp; Benefits'!$C$8-IF(OR($AU44="Married",$AU44="Head of household"),3000,1500)-$AT44*IF($AY44&lt;=50000,1000,IF($AY44&lt;=100000,500,300))),IF($AN44="AR",IF(MAX(0,$AY44-2470)&lt;97701,INT(MAX(0,$AY44-2470)/100)*100+50,MAX(0,$AY44-2470)),IF($AN44="DE",MAX(0,$AI44-3250),IF($AN44="HI",MAX(0,$AI44-1144*$AS44-4350),IF($AN44="KS",MAX(0,$AI44-(9160*IF($AU44="Married",2,1)+2320*$AT44+IF($AU44="Head of household",2320,0))),IF($AN44="MD",MAX(0,$AI44-3400-3200*$AS44),IF($AN44="MN",MAX(0,$AY44-5300*$AS44),IF($AN44="MO",MAX(0,$AI44-IF($AU44="Head of household",24150,IF($AU44="Married",IF('Your Pay &amp; Benefits'!$C$83,16100,32200),16100))),IF($AN44="MT",$AY44,IF($AN44="ND",($C44+$L44)*'Your Pay &amp; Benefits'!$C$8,IF($AN44="NE",MAX(0,$AY44-2440*$AS44),IF($AN44="NJ",MAX(0,$AY44-1000*$AS44),IF($AN44="NY",MAX(0,$AY44-(IF($AU44="Married",7950,7400)+1000*$AS44)),IF($AN44="OH",MAX(0,$AY44-650*$AS44),IF($AN44="OK",MAX(0,$AY44-1000*$AS44),IF($AN44="RI",MAX(0,$AI44-1000*$AS44),IF($AN44="SC",MAX(0,$AI44-5000*$AS44-IF($AS44=0,0,MIN(0.1*$AI44,7500))),IF($AN44="VA",MAX(0,$AI44-IF($AU44="Married",17500,8750)-930*$AS44-800*$AT44),IF($AN44="VT",MAX(0,$AI44-5400*$AS44),IF($AN44="WI",MAX(0,$AI44-MAX(0,IF($AU44="Married",9461-0.2*MAX(0,$AI44-25727),6702-0.12*MAX(0,$AI44-17780)))-400*$AS44),IF($AN44="WV",MAX(0,$AI44-2000*$AS44),$AI44))))))))))))))))))))))</f>
      </c>
      <c r="BA44" s="7">
        <f>IF($B44="","",IF($BW44&lt;&gt;"",$BW44,IF($BX44&lt;&gt;"",$BX44,IF($BY44&lt;&gt;"",$BY44,0))))</f>
      </c>
      <c r="BB44" s="7">
        <f>IF($B44="","",IF($AN44="AR",-29*$AS44,IF($AN44="DE",-110*$AS44,IF($AN44="MD",$AZ44*'Your Pay &amp; Benefits'!$C$74,IF($AN44="AZ",'Your Pay &amp; Benefits'!$C$82*($M44-$D44)*'Your Pay &amp; Benefits'!$C$8,IF($AN44="CO",0.044*MAX(0,$AY44-IF($AU44="Married",10000,5000)),IF($AN44="IA",MAX(0,0.038*MAX(0,$AY44-IF($AU44="Head of household",19500,IF($AU44="Married",26000,13000)))-40*$AS44),IF($AN44="ID",0.053*MAX(0,$AY44-IF($AU44="Married",32000,16094)),IF($AN44="IL",0.0495*MAX(0,$AY44-(2925*$AS44+1000*$AT44)),IF($AN44="IN",(0.0295+'Your Pay &amp; Benefits'!$C$76)*MAX(0,$AY44-(1000*$AS44+1500*$AT44+3000*'Your Pay &amp; Benefits'!$C$86)),IF($AN44="KY",0.035*MAX(0,$AI44-3360),IF($AN44="LA",IF('Your Pay &amp; Benefits'!$C$84="0",0.0309*$AI44,0.0309*MAX(0,$AI44-IF('Your Pay &amp; Benefits'!$C$84="2",25750,12875))),IF($AN44="MA",0.05*MIN(MAX(0,$AY44-MIN(($BD43+$Q44+$R44+$S44),2000)-IF($AS44=0,0,IF($AS44=1,4400,1000*$AS44+3400))),1107750)+0.09*MAX(0,MAX(0,$AY44-MIN(($BD43+$Q44+$R44+$S44),2000)-IF($AS44=0,0,IF($AS44=1,4400,1000*$AS44+3400)))-1107750)-IF($AU44="Head of household",120,0)-110*'Your Pay &amp; Benefits'!$C$75,IF($AN44="MI",0.0425*MAX(0,$AY44-5900*$AS44),IF($AN44="MS",0.04*MAX(0,$AI44-IF($AU44="Head of household",3400,IF($AU44="Married",4600,2300))-'Your Pay &amp; Benefits'!$C$85-10000),IF($AN44="OR",IF(OR($AU44="Married",AND($AU44="Single",$AS44&gt;=3)),SUMPRODUCT((MAX(0,$AY44-MIN(($P44-'How This Works &amp; Sources'!$C$10*$D44)*'Your Pay &amp; Benefits'!$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Sources'!$B$211:$J$214,0,4))*(MAX(0,$AY44-MIN(($P44-'How This Works &amp; Sources'!$C$10*$D44)*'Your Pay &amp; Benefits'!$C$8,IF(OR($AU44="Married",AND($AU44="Single",$AS44&gt;=3)),IF($AY44&lt;250000,8750,IF($AY44&lt;260000,7000,IF($AY44&lt;270000,5250,IF($AY44&lt;280000,3500,IF($AY44&lt;290000,1750,0))))),IF($AY44&lt;125000,8750,IF($AY44&lt;130000,7000,IF($AY44&lt;135000,5250,IF($AY44&lt;140000,3500,IF($AY44&lt;145000,1750,0)))))))-IF(OR($AU44="Married",AND($AU44="Single",$AS44&gt;=3)),5820,2910))-INDEX('How This Works &amp; Sources'!$B$211:$J$214,0,4))*INDEX('How This Works &amp; Sources'!$B$211:$J$214,0,4+2)),SUMPRODUCT((MAX(0,$AY44-MIN(($P44-'How This Works &amp; Sources'!$C$10*$D44)*'Your Pay &amp; Benefits'!$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Sources'!$B$211:$J$214,0,1))*(MAX(0,$AY44-MIN(($P44-'How This Works &amp; Sources'!$C$10*$D44)*'Your Pay &amp; Benefits'!$C$8,IF(OR($AU44="Married",AND($AU44="Single",$AS44&gt;=3)),IF($AY44&lt;250000,8750,IF($AY44&lt;260000,7000,IF($AY44&lt;270000,5250,IF($AY44&lt;280000,3500,IF($AY44&lt;290000,1750,0))))),IF($AY44&lt;125000,8750,IF($AY44&lt;130000,7000,IF($AY44&lt;135000,5250,IF($AY44&lt;140000,3500,IF($AY44&lt;145000,1750,0)))))))-IF(OR($AU44="Married",AND($AU44="Single",$AS44&gt;=3)),5820,2910))-INDEX('How This Works &amp; Sources'!$B$211:$J$214,0,1))*INDEX('How This Works &amp; Sources'!$B$211:$J$214,0,1+2)))+263-263*IF(IF($AU44="Married",$AY44&gt;200000,$AY44&gt;100000),0,$AS44),IF($AN44="PA",0.0307*(($O44+$E44+$G44)*'Your Pay &amp; Benefits'!$C$8),IF($AN44="NY",IF($AU44="Married",IF($AZ44&gt;=2155350,0,IF($AZ44&gt;=1077550,0.48,IF($AZ44&gt;=373200,1.21,IF($AZ44&gt;=323200,0.21,IF($AZ44&gt;=211550,-0.19,IF($AZ44&gt;=157650,-2.8,IF($AZ44&gt;=107650,-0.8,IF($AZ44&gt;=96800,0.05,IF($AZ44&gt;=80650,-0.1,IF($AZ44&gt;=13900,0.4,IF($AZ44&gt;=11700,-0.3,IF($AZ44&gt;=8500,0.5,0)))))))))))),IF($AZ44&gt;=1077550,0,IF($AZ44&gt;=265400,4.29,IF($AZ44&gt;=215400,2.29,IF($AZ44&gt;=157650,2.29,IF($AZ44&gt;=107650,0.29,IF($AZ44&gt;=96800,0.05,IF($AZ44&gt;=80650,-0.1,IF($AZ44&gt;=13900,0.4,IF($AZ44&gt;=11700,-0.3,IF($AZ44&gt;=8500,0.5,0))))))))))),0))))))))))))))))))</f>
      </c>
      <c r="BC44" s="7">
        <f>IF($B44="","",IF($AN44="AL",0.05*$D44,IF($AN44="AR",0.039*$D44,IF($AN44="ID",0.053*$D44,IF($AN44="IN",(0.0295+'Your Pay &amp; Benefits'!$C$76)*$D44,IF($AN44="KS",0.05*$D44,IF($AN44="MA",0.09*MIN($D44,MAX(0,MAX(0,$AY44-MIN(($BD43+$Q44+$R44+$S44),2000)-IF($AS44=0,0,IF($AS44=1,4400,1000*$AS44+3400)))+$D44-1107750))+0.05*($D44-MIN($D44,MAX(0,MAX(0,$AY44-MIN(($BD43+$Q44+$R44+$S44),2000)-IF($AS44=0,0,IF($AS44=1,4400,1000*$AS44+3400)))+$D44-1107750))),IF($AN44="MD",(0.065+'Your Pay &amp; Benefits'!$C$74)*$D44,IF($AN44="MI",0.0425*$D44,IF($AN44="MN",0.0625*$D44,IF($AN44="MO",0.047*$D44,IF($AN44="MT",0.05*$D44,IF($AN44="ND",0.015*$D44,IF($AN44="NE",0.035*$D44,IF($AN44="NJ",IF('Your Pay &amp; Benefits'!$C$77="B",SUMPRODUCT(($D44*'Your Pay &amp; Benefits'!$C$8&gt;INDEX('How This Works &amp; Sources'!$B$155:$J$162,0,4))*($D44*'Your Pay &amp; Benefits'!$C$8-INDEX('How This Works &amp; Sources'!$B$155:$J$162,0,4))*INDEX('How This Works &amp; Sources'!$B$155:$J$162,0,4+2)),IF('Your Pay &amp; Benefits'!$C$77="C",SUMPRODUCT(($D44*'Your Pay &amp; Benefits'!$C$8&gt;INDEX('How This Works &amp; Sources'!$B$155:$J$162,0,7))*($D44*'Your Pay &amp; Benefits'!$C$8-INDEX('How This Works &amp; Sources'!$B$155:$J$162,0,7))*INDEX('How This Works &amp; Sources'!$B$155:$J$162,0,7+2)),IF('Your Pay &amp; Benefits'!$C$77="D",SUMPRODUCT(($D44*'Your Pay &amp; Benefits'!$C$8&gt;INDEX('How This Works &amp; Sources'!$B$167:$J$179,0,1))*($D44*'Your Pay &amp; Benefits'!$C$8-INDEX('How This Works &amp; Sources'!$B$167:$J$179,0,1))*INDEX('How This Works &amp; Sources'!$B$167:$J$179,0,1+2)),IF('Your Pay &amp; Benefits'!$C$77="E",SUMPRODUCT(($D44*'Your Pay &amp; Benefits'!$C$8&gt;INDEX('How This Works &amp; Sources'!$B$167:$J$179,0,4))*($D44*'Your Pay &amp; Benefits'!$C$8-INDEX('How This Works &amp; Sources'!$B$167:$J$179,0,4))*INDEX('How This Works &amp; Sources'!$B$167:$J$179,0,4+2)),SUMPRODUCT(($D44*'Your Pay &amp; Benefits'!$C$8&gt;INDEX('How This Works &amp; Sources'!$B$155:$J$162,0,1))*($D44*'Your Pay &amp; Benefits'!$C$8-INDEX('How This Works &amp; Sources'!$B$155:$J$162,0,1))*INDEX('How This Works &amp; Sources'!$B$155:$J$162,0,1+2))))))/'Your Pay &amp; Benefits'!$C$8,IF($AN44="NY",0.117*$D44,IF($AN44="OH",0.0275*$D44,IF($AN44="OK",0.045*$D44,IF($AN44="OR",0.08*$D44,IF($AN44="WI",IF($AY44&lt;12760,0.0354,IF($AY44&lt;25520,0.0465,IF($AY44&lt;280950,0.053,0.0765)))*$D44,0))))))))))))))))))))</f>
      </c>
      <c r="BD44" s="7">
        <f>IF($B44="","",$BD43+$Q44+$R44+$S44)</f>
      </c>
      <c r="BE44" s="6">
        <f>IF($B44="",$BE43,$BE43+$BF44)</f>
      </c>
      <c r="BF44" s="6">
        <f>IF($B44="","",IF(AND(IF(YEAR(IF('Your Pay &amp; Benefits'!$C$7="Weekly",'Your Pay &amp; Benefits'!$C$9+7*(($BE43+1)-1),IF('Your Pay &amp; Benefits'!$C$7="Biweekly",'Your Pay &amp; Benefits'!$C$9+14*(($BE43+1)-1),IF('Your Pay &amp; Benefits'!$C$7="Semimonthly",DATE(YEAR('Your Pay &amp; Benefits'!$C$9),MONTH('Your Pay &amp; Benefits'!$C$9)+INT((($BE43+1)-1)/2),MIN(DAY('Your Pay &amp; Benefits'!$C$9),DAY(EOMONTH(DATE(YEAR('Your Pay &amp; Benefits'!$C$9),MONTH('Your Pay &amp; Benefits'!$C$9)+INT((($BE43+1)-1)/2),1),0))))+IF(MOD(($BE43+1)-1,2)=1,15,0),EDATE('Your Pay &amp; Benefits'!$C$9,($BE43+1)-1)))))&lt;&gt;'Your Pay &amp; Benefits'!$C$10,"",IF('Your Pay &amp; Benefits'!$C$7="Weekly",'Your Pay &amp; Benefits'!$C$9+7*(($BE43+1)-1),IF('Your Pay &amp; Benefits'!$C$7="Biweekly",'Your Pay &amp; Benefits'!$C$9+14*(($BE43+1)-1),IF('Your Pay &amp; Benefits'!$C$7="Semimonthly",DATE(YEAR('Your Pay &amp; Benefits'!$C$9),MONTH('Your Pay &amp; Benefits'!$C$9)+INT((($BE43+1)-1)/2),MIN(DAY('Your Pay &amp; Benefits'!$C$9),DAY(EOMONTH(DATE(YEAR('Your Pay &amp; Benefits'!$C$9),MONTH('Your Pay &amp; Benefits'!$C$9)+INT((($BE43+1)-1)/2),1),0))))+IF(MOD(($BE43+1)-1,2)=1,15,0),EDATE('Your Pay &amp; Benefits'!$C$9,($BE43+1)-1)))))&lt;&gt;"",$B44=IF(YEAR(IF('Your Pay &amp; Benefits'!$C$7="Weekly",'Your Pay &amp; Benefits'!$C$9+7*(($BE43+1)-1),IF('Your Pay &amp; Benefits'!$C$7="Biweekly",'Your Pay &amp; Benefits'!$C$9+14*(($BE43+1)-1),IF('Your Pay &amp; Benefits'!$C$7="Semimonthly",DATE(YEAR('Your Pay &amp; Benefits'!$C$9),MONTH('Your Pay &amp; Benefits'!$C$9)+INT((($BE43+1)-1)/2),MIN(DAY('Your Pay &amp; Benefits'!$C$9),DAY(EOMONTH(DATE(YEAR('Your Pay &amp; Benefits'!$C$9),MONTH('Your Pay &amp; Benefits'!$C$9)+INT((($BE43+1)-1)/2),1),0))))+IF(MOD(($BE43+1)-1,2)=1,15,0),EDATE('Your Pay &amp; Benefits'!$C$9,($BE43+1)-1)))))&lt;&gt;'Your Pay &amp; Benefits'!$C$10,"",IF('Your Pay &amp; Benefits'!$C$7="Weekly",'Your Pay &amp; Benefits'!$C$9+7*(($BE43+1)-1),IF('Your Pay &amp; Benefits'!$C$7="Biweekly",'Your Pay &amp; Benefits'!$C$9+14*(($BE43+1)-1),IF('Your Pay &amp; Benefits'!$C$7="Semimonthly",DATE(YEAR('Your Pay &amp; Benefits'!$C$9),MONTH('Your Pay &amp; Benefits'!$C$9)+INT((($BE43+1)-1)/2),MIN(DAY('Your Pay &amp; Benefits'!$C$9),DAY(EOMONTH(DATE(YEAR('Your Pay &amp; Benefits'!$C$9),MONTH('Your Pay &amp; Benefits'!$C$9)+INT((($BE43+1)-1)/2),1),0))))+IF(MOD(($BE43+1)-1,2)=1,15,0),EDATE('Your Pay &amp; Benefits'!$C$9,($BE43+1)-1)))))),1,0))</f>
      </c>
      <c r="BG44" s="7">
        <f>IF($B44="","",$BG43+$H44)</f>
      </c>
      <c r="BH44" s="7">
        <f>IF($B44="","",$BH43+$I44)</f>
      </c>
      <c r="BI44" s="7">
        <f>IF($B44="","",$BI43+$G44)</f>
      </c>
      <c r="BJ44" s="7">
        <f>IF($B44="","",IFERROR(LOOKUP(2,1/(((('Changes &amp; Events'!$C$6:$C$17="Deduction start"))*('Changes &amp; Events'!$D$6:$D$17="Health FSA"))*('Changes &amp; Events'!$B$6:$B$17&lt;=$B44)*('Changes &amp; Events'!$B$6:$B$17&lt;&gt;"")),'Changes &amp; Events'!$E$6:$E$17),'Your Pay &amp; Benefits'!$D$38))</f>
      </c>
      <c r="BK44" s="7">
        <f>IF($B44="","",IFERROR(LOOKUP(2,1/(((('Changes &amp; Events'!$C$6:$C$17="Deduction start"))*('Changes &amp; Events'!$D$6:$D$17="Dependent-care FSA"))*('Changes &amp; Events'!$B$6:$B$17&lt;=$B44)*('Changes &amp; Events'!$B$6:$B$17&lt;&gt;"")),'Changes &amp; Events'!$E$6:$E$17),'Your Pay &amp; Benefits'!$D$39))</f>
      </c>
      <c r="BL44" s="7">
        <f>IF($B44="","",IFERROR(LOOKUP(2,1/(((('Changes &amp; Events'!$C$6:$C$17="Deduction start")+('Changes &amp; Events'!$C$6:$C$17="Deduction stop"))*('Changes &amp; Events'!$D$6:$D$17="HSA"))*('Changes &amp; Events'!$B$6:$B$17&lt;=$B44)*('Changes &amp; Events'!$B$6:$B$17&lt;&gt;"")),'Changes &amp; Events'!$I$6:$I$17),'Your Pay &amp; Benefits'!$D$35))</f>
      </c>
      <c r="BM44" s="7">
        <f>IF($B44="","",IFERROR(LOOKUP(2,1/(((('Changes &amp; Events'!$C$6:$C$17="Deduction start")+('Changes &amp; Events'!$C$6:$C$17="Deduction stop"))*('Changes &amp; Events'!$D$6:$D$17="Premiums"))*('Changes &amp; Events'!$B$6:$B$17&lt;=$B44)*('Changes &amp; Events'!$B$6:$B$17&lt;&gt;"")),'Changes &amp; Events'!$I$6:$I$17),'Your Pay &amp; Benefits'!$D$40+'Your Pay &amp; Benefits'!$D$41+'Your Pay &amp; Benefits'!$D$42))</f>
      </c>
      <c r="BN44" s="7">
        <f>IF($B44="","",IFERROR(LOOKUP(2,1/(((('Changes &amp; Events'!$C$6:$C$17="Deduction start")+('Changes &amp; Events'!$C$6:$C$17="Deduction stop"))*('Changes &amp; Events'!$D$6:$D$17="Commuter"))*('Changes &amp; Events'!$B$6:$B$17&lt;=$B44)*('Changes &amp; Events'!$B$6:$B$17&lt;&gt;"")),'Changes &amp; Events'!$I$6:$I$17),'Your Pay &amp; Benefits'!$D$43))</f>
      </c>
      <c r="BO44" s="7">
        <f>IF($B44="","",IFERROR(LOOKUP(2,1/(((('Changes &amp; Events'!$C$6:$C$17="Deduction start")+('Changes &amp; Events'!$C$6:$C$17="Deduction stop"))*('Changes &amp; Events'!$D$6:$D$17="Other pre-tax"))*('Changes &amp; Events'!$B$6:$B$17&lt;=$B44)*('Changes &amp; Events'!$B$6:$B$17&lt;&gt;"")),'Changes &amp; Events'!$I$6:$I$17),'Your Pay &amp; Benefits'!$D$44))</f>
      </c>
      <c r="BP44" s="7">
        <f>IF($B44="","",IFERROR(LOOKUP(2,1/(((('Changes &amp; Events'!$C$6:$C$17="Deduction start")+('Changes &amp; Events'!$C$6:$C$17="Deduction stop"))*('Changes &amp; Events'!$D$6:$D$17="Other post-tax"))*('Changes &amp; Events'!$B$6:$B$17&lt;=$B44)*('Changes &amp; Events'!$B$6:$B$17&lt;&gt;"")),'Changes &amp; Events'!$I$6:$I$17),'Your Pay &amp; Benefits'!$D$45))</f>
      </c>
      <c r="BQ44" s="6">
        <f>IF($B44="","",IFERROR(LOOKUP(2,1/(((('Changes &amp; Events'!$C$6:$C$17="Deduction start")+('Changes &amp; Events'!$C$6:$C$17="Deduction stop"))*('Changes &amp; Events'!$D$6:$D$17="Health FSA"))*('Changes &amp; Events'!$B$6:$B$17&lt;=$B44)*('Changes &amp; Events'!$B$6:$B$17&lt;&gt;"")),'Changes &amp; Events'!$J$6:$J$17),0))</f>
      </c>
      <c r="BR44" s="6">
        <f>IF($B44="","",IFERROR(LOOKUP(2,1/(((('Changes &amp; Events'!$C$6:$C$17="Deduction start")+('Changes &amp; Events'!$C$6:$C$17="Deduction stop"))*('Changes &amp; Events'!$D$6:$D$17="Dependent-care FSA"))*('Changes &amp; Events'!$B$6:$B$17&lt;=$B44)*('Changes &amp; Events'!$B$6:$B$17&lt;&gt;"")),'Changes &amp; Events'!$J$6:$J$17),0))</f>
      </c>
      <c r="BS44" s="6">
        <f>IF($B44="","",IF(SUMPRODUCT(('Changes &amp; Events'!$C$6:$C$17="Deduction start")*('Changes &amp; Events'!$B$6:$B$17&lt;=$B44)*('Changes &amp; Events'!$B$6:$B$17&lt;&gt;"")*('Changes &amp; Events'!$D$6:$D$17="Health FSA"))&gt;0,1,0))</f>
      </c>
      <c r="BT44" s="6">
        <f>IF($B44="","",IF(SUMPRODUCT(('Changes &amp; Events'!$C$6:$C$17="Deduction start")*('Changes &amp; Events'!$B$6:$B$17&lt;=$B44)*('Changes &amp; Events'!$B$6:$B$17&lt;&gt;"")*('Changes &amp; Events'!$D$6:$D$17="Dependent-care FSA"))&gt;0,1,0))</f>
      </c>
      <c r="BU44" s="24">
        <f>IF($B44="","",IF('Your Pay &amp; Benefits'!$C$13,SUMPRODUCT(($AH44&gt;=INDEX('How This Works &amp; Sources'!$B$29:$J$36,0,IF('Your Pay &amp; Benefits'!$C$12="MFJ",1,IF('Your Pay &amp; Benefits'!$C$12="HoH",7,4))))*INDEX('How This Works &amp; Sources'!$B$29:$J$36,0,IF('Your Pay &amp; Benefits'!$C$12="MFJ",1,IF('Your Pay &amp; Benefits'!$C$12="HoH",7,4))+2)),SUMPRODUCT(($AH44&gt;=INDEX('How This Works &amp; Sources'!$B$19:$J$26,0,IF('Your Pay &amp; Benefits'!$C$12="MFJ",1,IF('Your Pay &amp; Benefits'!$C$12="HoH",7,4))))*INDEX('How This Works &amp; Sources'!$B$19:$J$26,0,IF('Your Pay &amp; Benefits'!$C$12="MFJ",1,IF('Your Pay &amp; Benefits'!$C$12="HoH",7,4))+2))))</f>
      </c>
      <c r="BV44" s="24">
        <f>IF($B44="","",IF($BZ44&lt;&gt;"",$BZ44,IF($CA44&lt;&gt;"",$CA44,IF($CB44&lt;&gt;"",$CB44,IF($CC44&lt;&gt;"",$CC44,0)))))</f>
      </c>
      <c r="BW44" s="7">
        <f>IF($B44="","",IF($AN44="MD",IF(OR($AU44="Married",$AU44="Head of household"),SUMPRODUCT(($AZ44&gt;INDEX('How This Works &amp; Sources'!$B$114:$J$120,0,1))*($AZ44-INDEX('How This Works &amp; Sources'!$B$114:$J$120,0,1))*INDEX('How This Works &amp; Sources'!$B$114:$J$120,0,1+2)),SUMPRODUCT(($AZ44&gt;INDEX('How This Works &amp; Sources'!$B$103:$J$109,0,7))*($AZ44-INDEX('How This Works &amp; Sources'!$B$103:$J$109,0,7))*INDEX('How This Works &amp; Sources'!$B$103:$J$109,0,7+2))),IF($AN44="MO",SUMPRODUCT(($AZ44&gt;INDEX('How This Works &amp; Sources'!$B$125:$J$132,0,1))*($AZ44-INDEX('How This Works &amp; Sources'!$B$125:$J$132,0,1))*INDEX('How This Works &amp; Sources'!$B$125:$J$132,0,1+2)),IF($AN44="MT",IF($AU44="Head of household",SUMPRODUCT(($AZ44&gt;INDEX('How This Works &amp; Sources'!$B$137:$J$139,0,1))*($AZ44-INDEX('How This Works &amp; Sources'!$B$137:$J$139,0,1))*INDEX('How This Works &amp; Sources'!$B$137:$J$139,0,1+2)),IF($AU44="Married",SUMPRODUCT(($AZ44&gt;INDEX('How This Works &amp; Sources'!$B$125:$J$132,0,7))*($AZ44-INDEX('How This Works &amp; Sources'!$B$125:$J$132,0,7))*INDEX('How This Works &amp; Sources'!$B$125:$J$132,0,7+2)),SUMPRODUCT(($AZ44&gt;INDEX('How This Works &amp; Sources'!$B$125:$J$132,0,4))*($AZ44-INDEX('How This Works &amp; Sources'!$B$125:$J$132,0,4))*INDEX('How This Works &amp; Sources'!$B$125:$J$132,0,4+2)))),IF($AN44="ND",IF($AU44="Head of household",SUMPRODUCT(($AZ44&gt;INDEX('How This Works &amp; Sources'!$B$144:$J$150,0,1))*($AZ44-INDEX('How This Works &amp; Sources'!$B$144:$J$150,0,1))*INDEX('How This Works &amp; Sources'!$B$144:$J$150,0,1+2)),IF($AU44="Married",SUMPRODUCT(($AZ44&gt;INDEX('How This Works &amp; Sources'!$B$137:$J$139,0,7))*($AZ44-INDEX('How This Works &amp; Sources'!$B$137:$J$139,0,7))*INDEX('How This Works &amp; Sources'!$B$137:$J$139,0,7+2)),SUMPRODUCT(($AZ44&gt;INDEX('How This Works &amp; Sources'!$B$137:$J$139,0,4))*($AZ44-INDEX('How This Works &amp; Sources'!$B$137:$J$139,0,4))*INDEX('How This Works &amp; Sources'!$B$137:$J$139,0,4+2)))),IF($AN44="NJ",IF('Your Pay &amp; Benefits'!$C$77="B",SUMPRODUCT(($AZ44&gt;INDEX('How This Works &amp; Sources'!$B$155:$J$162,0,4))*($AZ44-INDEX('How This Works &amp; Sources'!$B$155:$J$162,0,4))*INDEX('How This Works &amp; Sources'!$B$155:$J$162,0,4+2)),IF('Your Pay &amp; Benefits'!$C$77="C",SUMPRODUCT(($AZ44&gt;INDEX('How This Works &amp; Sources'!$B$155:$J$162,0,7))*($AZ44-INDEX('How This Works &amp; Sources'!$B$155:$J$162,0,7))*INDEX('How This Works &amp; Sources'!$B$155:$J$162,0,7+2)),IF('Your Pay &amp; Benefits'!$C$77="D",SUMPRODUCT(($AZ44&gt;INDEX('How This Works &amp; Sources'!$B$167:$J$179,0,1))*($AZ44-INDEX('How This Works &amp; Sources'!$B$167:$J$179,0,1))*INDEX('How This Works &amp; Sources'!$B$167:$J$179,0,1+2)),IF('Your Pay &amp; Benefits'!$C$77="E",SUMPRODUCT(($AZ44&gt;INDEX('How This Works &amp; Sources'!$B$167:$J$179,0,4))*($AZ44-INDEX('How This Works &amp; Sources'!$B$167:$J$179,0,4))*INDEX('How This Works &amp; Sources'!$B$167:$J$179,0,4+2)),SUMPRODUCT(($AZ44&gt;INDEX('How This Works &amp; Sources'!$B$155:$J$162,0,1))*($AZ44-INDEX('How This Works &amp; Sources'!$B$155:$J$162,0,1))*INDEX('How This Works &amp; Sources'!$B$155:$J$162,0,1+2)))))),IF($AN44="NY",IF($AU44="Married",IF($AZ44&gt;=2155350,$AZ44*IF($AZ44&gt;25000000,0.117,IF($AZ44&gt;5000000,0.111,0.1045)),SUMPRODUCT(($AZ44&gt;INDEX('How This Works &amp; Sources'!$B$184:$J$198,0,1))*($AZ44-INDEX('How This Works &amp; Sources'!$B$184:$J$198,0,1))*INDEX('How This Works &amp; Sources'!$B$184:$J$198,0,1+2))),IF($AZ44&gt;=1077550,$AZ44*IF($AZ44&gt;25000000,0.117,IF($AZ44&gt;5000000,0.111,0.1045)),SUMPRODUCT(($AZ44&gt;INDEX('How This Works &amp; Sources'!$B$167:$J$179,0,7))*($AZ44-INDEX('How This Works &amp; Sources'!$B$167:$J$179,0,7))*INDEX('How This Works &amp; Sources'!$B$167:$J$179,0,7+2)))),"")))))))</f>
      </c>
      <c r="BX44" s="7">
        <f>IF($B44="","",IF($AN44="AL",IF(OR($AU44="Married",$AU44="Head of household"),SUMPRODUCT(($AZ44&gt;INDEX('How This Works &amp; Sources'!$B$82:$J$86,0,4))*($AZ44-INDEX('How This Works &amp; Sources'!$B$82:$J$86,0,4))*INDEX('How This Works &amp; Sources'!$B$82:$J$86,0,4+2)),SUMPRODUCT(($AZ44&gt;INDEX('How This Works &amp; Sources'!$B$82:$J$86,0,1))*($AZ44-INDEX('How This Works &amp; Sources'!$B$82:$J$86,0,1))*INDEX('How This Works &amp; Sources'!$B$82:$J$86,0,1+2))),IF($AN44="KS",IF($AU44="Married",SUMPRODUCT(($AZ44&gt;INDEX('How This Works &amp; Sources'!$B$103:$J$109,0,4))*($AZ44-INDEX('How This Works &amp; Sources'!$B$103:$J$109,0,4))*INDEX('How This Works &amp; Sources'!$B$103:$J$109,0,4+2)),SUMPRODUCT(($AZ44&gt;INDEX('How This Works &amp; Sources'!$B$103:$J$109,0,1))*($AZ44-INDEX('How This Works &amp; Sources'!$B$103:$J$109,0,1))*INDEX('How This Works &amp; Sources'!$B$103:$J$109,0,1+2))),IF($AN44="MN",IF($AU44="Married",SUMPRODUCT(($AZ44&gt;INDEX('How This Works &amp; Sources'!$B$114:$J$120,0,7))*($AZ44-INDEX('How This Works &amp; Sources'!$B$114:$J$120,0,7))*INDEX('How This Works &amp; Sources'!$B$114:$J$120,0,7+2)),SUMPRODUCT(($AZ44&gt;INDEX('How This Works &amp; Sources'!$B$114:$J$120,0,4))*($AZ44-INDEX('How This Works &amp; Sources'!$B$114:$J$120,0,4))*INDEX('How This Works &amp; Sources'!$B$114:$J$120,0,4+2))),IF($AN44="NE",MAX(IF($AU44="Married",SUMPRODUCT(($AZ44&gt;INDEX('How This Works &amp; Sources'!$B$144:$J$150,0,7))*($AZ44-INDEX('How This Works &amp; Sources'!$B$144:$J$150,0,7))*INDEX('How This Works &amp; Sources'!$B$144:$J$150,0,7+2)),SUMPRODUCT(($AZ44&gt;INDEX('How This Works &amp; Sources'!$B$144:$J$150,0,4))*($AZ44-INDEX('How This Works &amp; Sources'!$B$144:$J$150,0,4))*INDEX('How This Works &amp; Sources'!$B$144:$J$150,0,4+2))),0.015*$AZ44),IF($AN44="OH",IF($B44&gt;=DATE(2026,8,1),SUMPRODUCT(($AZ44&gt;INDEX('How This Works &amp; Sources'!$B$203:$J$206,0,1))*($AZ44-INDEX('How This Works &amp; Sources'!$B$203:$J$206,0,1))*INDEX('How This Works &amp; Sources'!$B$203:$J$206,0,1+2)),SUMPRODUCT(($AZ44&gt;INDEX('How This Works &amp; Sources'!$B$184:$J$198,0,7))*($AZ44-INDEX('How This Works &amp; Sources'!$B$184:$J$198,0,7))*INDEX('How This Works &amp; Sources'!$B$184:$J$198,0,7+2))),IF($AN44="OK",IF($AU44="Married",SUMPRODUCT(($AZ44&gt;INDEX('How This Works &amp; Sources'!$B$203:$J$206,0,7))*($AZ44-INDEX('How This Works &amp; Sources'!$B$203:$J$206,0,7))*INDEX('How This Works &amp; Sources'!$B$203:$J$206,0,7+2)),SUMPRODUCT(($AZ44&gt;INDEX('How This Works &amp; Sources'!$B$203:$J$206,0,4))*($AZ44-INDEX('How This Works &amp; Sources'!$B$203:$J$206,0,4))*INDEX('How This Works &amp; Sources'!$B$203:$J$206,0,4+2))),IF($AN44="RI",SUMPRODUCT(($AZ44&gt;INDEX('How This Works &amp; Sources'!$B$211:$J$214,0,7))*($AZ44-INDEX('How This Works &amp; Sources'!$B$211:$J$214,0,7))*INDEX('How This Works &amp; Sources'!$B$211:$J$214,0,7+2)),IF($AN44="VT",IF($AU44="Married",SUMPRODUCT(($AZ44&gt;INDEX('How This Works &amp; Sources'!$B$228:$J$232,0,1))*($AZ44-INDEX('How This Works &amp; Sources'!$B$228:$J$232,0,1))*INDEX('How This Works &amp; Sources'!$B$228:$J$232,0,1+2)),SUMPRODUCT(($AZ44&gt;INDEX('How This Works &amp; Sources'!$B$219:$J$223,0,7))*($AZ44-INDEX('How This Works &amp; Sources'!$B$219:$J$223,0,7))*INDEX('How This Works &amp; Sources'!$B$219:$J$223,0,7+2))),IF($AN44="WV",IF($AU44="Married",SUMPRODUCT(($AZ44&gt;INDEX('How This Works &amp; Sources'!$B$237:$J$241,0,7))*($AZ44-INDEX('How This Works &amp; Sources'!$B$237:$J$241,0,7))*INDEX('How This Works &amp; Sources'!$B$237:$J$241,0,7+2)),SUMPRODUCT(($AZ44&gt;INDEX('How This Works &amp; Sources'!$B$228:$J$232,0,7))*($AZ44-INDEX('How This Works &amp; Sources'!$B$228:$J$232,0,7))*INDEX('How This Works &amp; Sources'!$B$228:$J$232,0,7+2))),""))))))))))</f>
      </c>
      <c r="BY44" s="7">
        <f>IF($B44="","",IF($AN44="AR",SUMPRODUCT(($AZ44&gt;INDEX('How This Works &amp; Sources'!$B$82:$J$86,0,7))*($AZ44-INDEX('How This Works &amp; Sources'!$B$82:$J$86,0,7))*INDEX('How This Works &amp; Sources'!$B$82:$J$86,0,7+2)),IF($AN44="DE",SUMPRODUCT(($AZ44&gt;INDEX('How This Works &amp; Sources'!$B$91:$J$98,0,1))*($AZ44-INDEX('How This Works &amp; Sources'!$B$91:$J$98,0,1))*INDEX('How This Works &amp; Sources'!$B$91:$J$98,0,1+2)),IF($AN44="HI",IF($AU44="Married",SUMPRODUCT(($AZ44&gt;INDEX('How This Works &amp; Sources'!$B$91:$J$98,0,7))*($AZ44-INDEX('How This Works &amp; Sources'!$B$91:$J$98,0,7))*INDEX('How This Works &amp; Sources'!$B$91:$J$98,0,7+2)),SUMPRODUCT(($AZ44&gt;INDEX('How This Works &amp; Sources'!$B$91:$J$98,0,4))*($AZ44-INDEX('How This Works &amp; Sources'!$B$91:$J$98,0,4))*INDEX('How This Works &amp; Sources'!$B$91:$J$98,0,4+2))),IF($AN44="SC",SUMPRODUCT(($AZ44&gt;INDEX('How This Works &amp; Sources'!$B$219:$J$223,0,1))*($AZ44-INDEX('How This Works &amp; Sources'!$B$219:$J$223,0,1))*INDEX('How This Works &amp; Sources'!$B$219:$J$223,0,1+2)),IF($AN44="VA",SUMPRODUCT(($AZ44&gt;INDEX('How This Works &amp; Sources'!$B$219:$J$223,0,4))*($AZ44-INDEX('How This Works &amp; Sources'!$B$219:$J$223,0,4))*INDEX('How This Works &amp; Sources'!$B$219:$J$223,0,4+2)),IF($AN44="WI",SUMPRODUCT(($AZ44&gt;INDEX('How This Works &amp; Sources'!$B$228:$J$232,0,4))*($AZ44-INDEX('How This Works &amp; Sources'!$B$228:$J$232,0,4))*INDEX('How This Works &amp; Sources'!$B$228:$J$232,0,4+2)),"")))))))</f>
      </c>
      <c r="BZ44" s="24">
        <f>IF($B44="","",IF($AN44="NJ",IF('Your Pay &amp; Benefits'!$C$77="B",SUMPRODUCT(($AZ44&gt;=INDEX('How This Works &amp; Sources'!$B$155:$J$162,0,4))*INDEX('How This Works &amp; Sources'!$B$155:$J$162,0,4+2)),IF('Your Pay &amp; Benefits'!$C$77="C",SUMPRODUCT(($AZ44&gt;=INDEX('How This Works &amp; Sources'!$B$155:$J$162,0,7))*INDEX('How This Works &amp; Sources'!$B$155:$J$162,0,7+2)),IF('Your Pay &amp; Benefits'!$C$77="D",SUMPRODUCT(($AZ44&gt;=INDEX('How This Works &amp; Sources'!$B$167:$J$179,0,1))*INDEX('How This Works &amp; Sources'!$B$167:$J$179,0,1+2)),IF('Your Pay &amp; Benefits'!$C$77="E",SUMPRODUCT(($AZ44&gt;=INDEX('How This Works &amp; Sources'!$B$167:$J$179,0,4))*INDEX('How This Works &amp; Sources'!$B$167:$J$179,0,4+2)),SUMPRODUCT(($AZ44&gt;=INDEX('How This Works &amp; Sources'!$B$155:$J$162,0,1))*INDEX('How This Works &amp; Sources'!$B$155:$J$162,0,1+2)))))),IF($AN44="OR",IF(OR($AU44="Married",AND($AU44="Single",$AS44&gt;=3)),SUMPRODUCT((MAX(0,$AY44-MIN(($P44-'How This Works &amp; Sources'!$C$10*$D44)*'Your Pay &amp; Benefits'!$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Sources'!$B$211:$J$214,0,4))*INDEX('How This Works &amp; Sources'!$B$211:$J$214,0,4+2)),SUMPRODUCT((MAX(0,$AY44-MIN(($P44-'How This Works &amp; Sources'!$C$10*$D44)*'Your Pay &amp; Benefits'!$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Sources'!$B$211:$J$214,0,1))*INDEX('How This Works &amp; Sources'!$B$211:$J$214,0,1+2)))*IF(($P44-'How This Works &amp; Sources'!$C$10*$D44)*'Your Pay &amp; Benefits'!$C$8&gt;=IF(OR($AU44="Married",AND($AU44="Single",$AS44&gt;=3)),IF($AY44&lt;250000,8750,IF($AY44&lt;260000,7000,IF($AY44&lt;270000,5250,IF($AY44&lt;280000,3500,IF($AY44&lt;290000,1750,0))))),IF($AY44&lt;125000,8750,IF($AY44&lt;130000,7000,IF($AY44&lt;135000,5250,IF($AY44&lt;140000,3500,IF($AY44&lt;145000,1750,0)))))),1,1-IF('Your Pay &amp; Benefits'!$C$13,SUMPRODUCT(($AH44&gt;=INDEX('How This Works &amp; Sources'!$B$29:$J$36,0,IF('Your Pay &amp; Benefits'!$C$12="MFJ",1,IF('Your Pay &amp; Benefits'!$C$12="HoH",7,4))))*INDEX('How This Works &amp; Sources'!$B$29:$J$36,0,IF('Your Pay &amp; Benefits'!$C$12="MFJ",1,IF('Your Pay &amp; Benefits'!$C$12="HoH",7,4))+2)),SUMPRODUCT(($AH44&gt;=INDEX('How This Works &amp; Sources'!$B$19:$J$26,0,IF('Your Pay &amp; Benefits'!$C$12="MFJ",1,IF('Your Pay &amp; Benefits'!$C$12="HoH",7,4))))*INDEX('How This Works &amp; Sources'!$B$19:$J$26,0,IF('Your Pay &amp; Benefits'!$C$12="MFJ",1,IF('Your Pay &amp; Benefits'!$C$12="HoH",7,4))+2)))),IF($AN44="MI",IF($AY44&gt;5900*$AS44,0.0425,0),""))))</f>
      </c>
      <c r="CA44" s="24">
        <f>IF($B44="","",IF($AN44="AL",IF(OR($AU44="Married",$AU44="Head of household"),SUMPRODUCT(($AZ44&gt;=INDEX('How This Works &amp; Sources'!$B$82:$J$86,0,4))*INDEX('How This Works &amp; Sources'!$B$82:$J$86,0,4+2)),SUMPRODUCT(($AZ44&gt;=INDEX('How This Works &amp; Sources'!$B$82:$J$86,0,1))*INDEX('How This Works &amp; Sources'!$B$82:$J$86,0,1+2)))*(1-IF('Your Pay &amp; Benefits'!$C$13,SUMPRODUCT(($AH44&gt;=INDEX('How This Works &amp; Sources'!$B$29:$J$36,0,IF('Your Pay &amp; Benefits'!$C$12="MFJ",1,IF('Your Pay &amp; Benefits'!$C$12="HoH",7,4))))*INDEX('How This Works &amp; Sources'!$B$29:$J$36,0,IF('Your Pay &amp; Benefits'!$C$12="MFJ",1,IF('Your Pay &amp; Benefits'!$C$12="HoH",7,4))+2)),SUMPRODUCT(($AH44&gt;=INDEX('How This Works &amp; Sources'!$B$19:$J$26,0,IF('Your Pay &amp; Benefits'!$C$12="MFJ",1,IF('Your Pay &amp; Benefits'!$C$12="HoH",7,4))))*INDEX('How This Works &amp; Sources'!$B$19:$J$26,0,IF('Your Pay &amp; Benefits'!$C$12="MFJ",1,IF('Your Pay &amp; Benefits'!$C$12="HoH",7,4))+2)))),IF($AN44="KS",IF($AU44="Married",SUMPRODUCT(($AZ44&gt;=INDEX('How This Works &amp; Sources'!$B$103:$J$109,0,4))*INDEX('How This Works &amp; Sources'!$B$103:$J$109,0,4+2)),SUMPRODUCT(($AZ44&gt;=INDEX('How This Works &amp; Sources'!$B$103:$J$109,0,1))*INDEX('How This Works &amp; Sources'!$B$103:$J$109,0,1+2))),IF($AN44="MD",IF(OR($AU44="Married",$AU44="Head of household"),SUMPRODUCT(($AZ44&gt;=INDEX('How This Works &amp; Sources'!$B$114:$J$120,0,1))*INDEX('How This Works &amp; Sources'!$B$114:$J$120,0,1+2)),SUMPRODUCT(($AZ44&gt;=INDEX('How This Works &amp; Sources'!$B$103:$J$109,0,7))*INDEX('How This Works &amp; Sources'!$B$103:$J$109,0,7+2)))+'Your Pay &amp; Benefits'!$C$74,IF($AN44="MT",IF($AU44="Head of household",SUMPRODUCT(($AZ44&gt;=INDEX('How This Works &amp; Sources'!$B$137:$J$139,0,1))*INDEX('How This Works &amp; Sources'!$B$137:$J$139,0,1+2)),IF($AU44="Married",SUMPRODUCT(($AZ44&gt;=INDEX('How This Works &amp; Sources'!$B$125:$J$132,0,7))*INDEX('How This Works &amp; Sources'!$B$125:$J$132,0,7+2)),SUMPRODUCT(($AZ44&gt;=INDEX('How This Works &amp; Sources'!$B$125:$J$132,0,4))*INDEX('How This Works &amp; Sources'!$B$125:$J$132,0,4+2)))),IF($AN44="ND",IF($AU44="Head of household",SUMPRODUCT(($AZ44&gt;=INDEX('How This Works &amp; Sources'!$B$144:$J$150,0,1))*INDEX('How This Works &amp; Sources'!$B$144:$J$150,0,1+2)),IF($AU44="Married",SUMPRODUCT(($AZ44&gt;=INDEX('How This Works &amp; Sources'!$B$137:$J$139,0,7))*INDEX('How This Works &amp; Sources'!$B$137:$J$139,0,7+2)),SUMPRODUCT(($AZ44&gt;=INDEX('How This Works &amp; Sources'!$B$137:$J$139,0,4))*INDEX('How This Works &amp; Sources'!$B$137:$J$139,0,4+2)))),IF($AN44="NY",IF($AU44="Married",IF($AZ44&gt;=2155350,IF($AZ44&gt;25000000,0.117,IF($AZ44&gt;5000000,0.111,0.1045)),SUMPRODUCT(($AZ44&gt;=INDEX('How This Works &amp; Sources'!$B$184:$J$198,0,1))*INDEX('How This Works &amp; Sources'!$B$184:$J$198,0,1+2))),IF($AZ44&gt;=1077550,IF($AZ44&gt;25000000,0.117,IF($AZ44&gt;5000000,0.111,0.1045)),SUMPRODUCT(($AZ44&gt;=INDEX('How This Works &amp; Sources'!$B$167:$J$179,0,7))*INDEX('How This Works &amp; Sources'!$B$167:$J$179,0,7+2)))),"")))))))</f>
      </c>
      <c r="CB44" s="24">
        <f>IF($B44="","",IF($AN44="CA",SUMPRODUCT(($AJ44&gt;=INDEX('How This Works &amp; Sources'!$B$39:$J$48,0,IF($AU44="Married",4,IF($AU44="Head of household",7,1))))*INDEX('How This Works &amp; Sources'!$B$39:$J$48,0,IF($AU44="Married",4,IF($AU44="Head of household",7,1))+2)),IF($AN44="HI",IF($AU44="Married",SUMPRODUCT(($AZ44&gt;=INDEX('How This Works &amp; Sources'!$B$91:$J$98,0,7))*INDEX('How This Works &amp; Sources'!$B$91:$J$98,0,7+2)),SUMPRODUCT(($AZ44&gt;=INDEX('How This Works &amp; Sources'!$B$91:$J$98,0,4))*INDEX('How This Works &amp; Sources'!$B$91:$J$98,0,4+2))),IF($AN44="MN",IF($AU44="Married",SUMPRODUCT(($AZ44&gt;=INDEX('How This Works &amp; Sources'!$B$114:$J$120,0,7))*INDEX('How This Works &amp; Sources'!$B$114:$J$120,0,7+2)),SUMPRODUCT(($AZ44&gt;=INDEX('How This Works &amp; Sources'!$B$114:$J$120,0,4))*INDEX('How This Works &amp; Sources'!$B$114:$J$120,0,4+2))),IF($AN44="MO",SUMPRODUCT(($AZ44&gt;=INDEX('How This Works &amp; Sources'!$B$125:$J$132,0,1))*INDEX('How This Works &amp; Sources'!$B$125:$J$132,0,1+2)),IF($AN44="NE",MAX(IF($AU44="Married",SUMPRODUCT(($AZ44&gt;=INDEX('How This Works &amp; Sources'!$B$144:$J$150,0,7))*INDEX('How This Works &amp; Sources'!$B$144:$J$150,0,7+2)),SUMPRODUCT(($AZ44&gt;=INDEX('How This Works &amp; Sources'!$B$144:$J$150,0,4))*INDEX('How This Works &amp; Sources'!$B$144:$J$150,0,4+2))),0.015),IF($AN44="OH",IF($B44&gt;=DATE(2026,8,1),SUMPRODUCT(($AZ44&gt;=INDEX('How This Works &amp; Sources'!$B$203:$J$206,0,1))*INDEX('How This Works &amp; Sources'!$B$203:$J$206,0,1+2)),SUMPRODUCT(($AZ44&gt;=INDEX('How This Works &amp; Sources'!$B$184:$J$198,0,7))*INDEX('How This Works &amp; Sources'!$B$184:$J$198,0,7+2))),IF($AN44="OK",IF($AU44="Married",SUMPRODUCT(($AZ44&gt;=INDEX('How This Works &amp; Sources'!$B$203:$J$206,0,7))*INDEX('How This Works &amp; Sources'!$B$203:$J$206,0,7+2)),SUMPRODUCT(($AZ44&gt;=INDEX('How This Works &amp; Sources'!$B$203:$J$206,0,4))*INDEX('How This Works &amp; Sources'!$B$203:$J$206,0,4+2))),IF($AN44="RI",SUMPRODUCT(($AZ44&gt;=INDEX('How This Works &amp; Sources'!$B$211:$J$214,0,7))*INDEX('How This Works &amp; Sources'!$B$211:$J$214,0,7+2)),IF($AN44="SC",SUMPRODUCT(($AZ44&gt;=INDEX('How This Works &amp; Sources'!$B$219:$J$223,0,1))*INDEX('How This Works &amp; Sources'!$B$219:$J$223,0,1+2)),IF($AN44="VT",IF($AU44="Married",SUMPRODUCT(($AZ44&gt;=INDEX('How This Works &amp; Sources'!$B$228:$J$232,0,1))*INDEX('How This Works &amp; Sources'!$B$228:$J$232,0,1+2)),SUMPRODUCT(($AZ44&gt;=INDEX('How This Works &amp; Sources'!$B$219:$J$223,0,7))*INDEX('How This Works &amp; Sources'!$B$219:$J$223,0,7+2))),IF($AN44="WV",IF($AU44="Married",SUMPRODUCT(($AZ44&gt;=INDEX('How This Works &amp; Sources'!$B$237:$J$241,0,7))*INDEX('How This Works &amp; Sources'!$B$237:$J$241,0,7+2)),SUMPRODUCT(($AZ44&gt;=INDEX('How This Works &amp; Sources'!$B$228:$J$232,0,7))*INDEX('How This Works &amp; Sources'!$B$228:$J$232,0,7+2))),IF($AN44="IN",(0.0295+'Your Pay &amp; Benefits'!$C$76),"")))))))))))))</f>
      </c>
      <c r="CC44" s="24">
        <f>IF($B44="","",IF($AN44="AR",SUMPRODUCT(($AZ44&gt;=INDEX('How This Works &amp; Sources'!$B$82:$J$86,0,7))*INDEX('How This Works &amp; Sources'!$B$82:$J$86,0,7+2)),IF($AN44="DE",SUMPRODUCT(($AZ44&gt;=INDEX('How This Works &amp; Sources'!$B$91:$J$98,0,1))*INDEX('How This Works &amp; Sources'!$B$91:$J$98,0,1+2)),IF($AN44="VA",SUMPRODUCT(($AZ44&gt;=INDEX('How This Works &amp; Sources'!$B$219:$J$223,0,4))*INDEX('How This Works &amp; Sources'!$B$219:$J$223,0,4+2)),IF($AN44="WI",SUMPRODUCT(($AZ44&gt;=INDEX('How This Works &amp; Sources'!$B$228:$J$232,0,4))*INDEX('How This Works &amp; Sources'!$B$228:$J$232,0,4+2)),IF($AN44="AZ",'Your Pay &amp; Benefits'!$C$82,IF($AN44="CO",IF($AY44&gt;IF($AU44="Married",10000,5000),0.044,0),IF($AN44="IA",IF($AY44&gt;IF($AU44="Head of household",19500,IF($AU44="Married",26000,13000)),0.038,0),IF($AN44="ID",IF($AY44&gt;IF($AU44="Married",32000,16094),0.053,0),IF($AN44="IL",IF($AY44&gt;(2925*$AS44+1000*$AT44),0.0495,0),IF($AN44="KY",IF($AI44&gt;3360,0.035,0),IF($AN44="LA",0.0309,IF($AN44="MA",IF(MAX(0,$AY44-MIN(($BD43+$Q44+$R44+$S44),2000)-IF($AS44=0,0,IF($AS44=1,4400,1000*$AS44+3400)))&gt;=1107750,0.09,0.05),IF($AN44="MS",IF($AI44-IF($AU44="Head of household",3400,IF($AU44="Married",4600,2300))-'Your Pay &amp; Benefits'!$C$85&gt;10000,0.04,0),IF($AN44="PA",0.0307,"")))))))))))))))</f>
      </c>
      <c r="CD44" s="21">
        <f>IF(YEAR(IF('Your Pay &amp; Benefits'!$C$7="Weekly",'Your Pay &amp; Benefits'!$C$9+7*(($BE43+1)-1),IF('Your Pay &amp; Benefits'!$C$7="Biweekly",'Your Pay &amp; Benefits'!$C$9+14*(($BE43+1)-1),IF('Your Pay &amp; Benefits'!$C$7="Semimonthly",DATE(YEAR('Your Pay &amp; Benefits'!$C$9),MONTH('Your Pay &amp; Benefits'!$C$9)+INT((($BE43+1)-1)/2),MIN(DAY('Your Pay &amp; Benefits'!$C$9),DAY(EOMONTH(DATE(YEAR('Your Pay &amp; Benefits'!$C$9),MONTH('Your Pay &amp; Benefits'!$C$9)+INT((($BE43+1)-1)/2),1),0))))+IF(MOD(($BE43+1)-1,2)=1,15,0),EDATE('Your Pay &amp; Benefits'!$C$9,($BE43+1)-1)))))&lt;&gt;'Your Pay &amp; Benefits'!$C$10,"",IF('Your Pay &amp; Benefits'!$C$7="Weekly",'Your Pay &amp; Benefits'!$C$9+7*(($BE43+1)-1),IF('Your Pay &amp; Benefits'!$C$7="Biweekly",'Your Pay &amp; Benefits'!$C$9+14*(($BE43+1)-1),IF('Your Pay &amp; Benefits'!$C$7="Semimonthly",DATE(YEAR('Your Pay &amp; Benefits'!$C$9),MONTH('Your Pay &amp; Benefits'!$C$9)+INT((($BE43+1)-1)/2),MIN(DAY('Your Pay &amp; Benefits'!$C$9),DAY(EOMONTH(DATE(YEAR('Your Pay &amp; Benefits'!$C$9),MONTH('Your Pay &amp; Benefits'!$C$9)+INT((($BE43+1)-1)/2),1),0))))+IF(MOD(($BE43+1)-1,2)=1,15,0),EDATE('Your Pay &amp; Benefits'!$C$9,($BE43+1)-1)))))</f>
      </c>
      <c r="CE44" s="21">
        <f>IF(MIN(IF(AND('Your Pay &amp; Benefits'!$C$58&gt;MAX($B$6:$B43),'Your Pay &amp; Benefits'!$C$58&gt;=DATE('Your Pay &amp; Benefits'!$C$10,1,1),'Your Pay &amp; Benefits'!$C$58&lt;=DATE('Your Pay &amp; Benefits'!$C$10,12,31)),'Your Pay &amp; Benefits'!$C$58,999999),IF(AND('Your Pay &amp; Benefits'!$C$59&gt;MAX($B$6:$B43),'Your Pay &amp; Benefits'!$C$59&gt;=DATE('Your Pay &amp; Benefits'!$C$10,1,1),'Your Pay &amp; Benefits'!$C$59&lt;=DATE('Your Pay &amp; Benefits'!$C$10,12,31)),'Your Pay &amp; Benefits'!$C$59,999999),IF(AND('Your Pay &amp; Benefits'!$C$60&gt;MAX($B$6:$B43),'Your Pay &amp; Benefits'!$C$60&gt;=DATE('Your Pay &amp; Benefits'!$C$10,1,1),'Your Pay &amp; Benefits'!$C$60&lt;=DATE('Your Pay &amp; Benefits'!$C$10,12,31)),'Your Pay &amp; Benefits'!$C$60,999999),IF(AND('Your Pay &amp; Benefits'!$C$61&gt;MAX($B$6:$B43),'Your Pay &amp; Benefits'!$C$61&gt;=DATE('Your Pay &amp; Benefits'!$C$10,1,1),'Your Pay &amp; Benefits'!$C$61&lt;=DATE('Your Pay &amp; Benefits'!$C$10,12,31)),'Your Pay &amp; Benefits'!$C$61,999999),IF(AND('Your Pay &amp; Benefits'!$C$62&gt;MAX($B$6:$B43),'Your Pay &amp; Benefits'!$C$62&gt;=DATE('Your Pay &amp; Benefits'!$C$10,1,1),'Your Pay &amp; Benefits'!$C$62&lt;=DATE('Your Pay &amp; Benefits'!$C$10,12,31)),'Your Pay &amp; Benefits'!$C$62,999999),IF(AND('Your Pay &amp; Benefits'!$C$63&gt;MAX($B$6:$B43),'Your Pay &amp; Benefits'!$C$63&gt;=DATE('Your Pay &amp; Benefits'!$C$10,1,1),'Your Pay &amp; Benefits'!$C$63&lt;=DATE('Your Pay &amp; Benefits'!$C$10,12,31)),'Your Pay &amp; Benefits'!$C$63,999999),IF(AND('Your Pay &amp; Benefits'!$C$64&gt;MAX($B$6:$B43),'Your Pay &amp; Benefits'!$C$64&gt;=DATE('Your Pay &amp; Benefits'!$C$10,1,1),'Your Pay &amp; Benefits'!$C$64&lt;=DATE('Your Pay &amp; Benefits'!$C$10,12,31)),'Your Pay &amp; Benefits'!$C$64,999999),IF(AND('Your Pay &amp; Benefits'!$C$65&gt;MAX($B$6:$B43),'Your Pay &amp; Benefits'!$C$65&gt;=DATE('Your Pay &amp; Benefits'!$C$10,1,1),'Your Pay &amp; Benefits'!$C$65&lt;=DATE('Your Pay &amp; Benefits'!$C$10,12,31)),'Your Pay &amp; Benefits'!$C$65,999999),IF(AND('Your Pay &amp; Benefits'!$C$66&gt;MAX($B$6:$B43),'Your Pay &amp; Benefits'!$C$66&gt;=DATE('Your Pay &amp; Benefits'!$C$10,1,1),'Your Pay &amp; Benefits'!$C$66&lt;=DATE('Your Pay &amp; Benefits'!$C$10,12,31)),'Your Pay &amp; Benefits'!$C$66,999999),IF(AND('Your Pay &amp; Benefits'!$C$67&gt;MAX($B$6:$B43),'Your Pay &amp; Benefits'!$C$67&gt;=DATE('Your Pay &amp; Benefits'!$C$10,1,1),'Your Pay &amp; Benefits'!$C$67&lt;=DATE('Your Pay &amp; Benefits'!$C$10,12,31)),'Your Pay &amp; Benefits'!$C$67,999999))=999999,"",MIN(IF(AND('Your Pay &amp; Benefits'!$C$58&gt;MAX($B$6:$B43),'Your Pay &amp; Benefits'!$C$58&gt;=DATE('Your Pay &amp; Benefits'!$C$10,1,1),'Your Pay &amp; Benefits'!$C$58&lt;=DATE('Your Pay &amp; Benefits'!$C$10,12,31)),'Your Pay &amp; Benefits'!$C$58,999999),IF(AND('Your Pay &amp; Benefits'!$C$59&gt;MAX($B$6:$B43),'Your Pay &amp; Benefits'!$C$59&gt;=DATE('Your Pay &amp; Benefits'!$C$10,1,1),'Your Pay &amp; Benefits'!$C$59&lt;=DATE('Your Pay &amp; Benefits'!$C$10,12,31)),'Your Pay &amp; Benefits'!$C$59,999999),IF(AND('Your Pay &amp; Benefits'!$C$60&gt;MAX($B$6:$B43),'Your Pay &amp; Benefits'!$C$60&gt;=DATE('Your Pay &amp; Benefits'!$C$10,1,1),'Your Pay &amp; Benefits'!$C$60&lt;=DATE('Your Pay &amp; Benefits'!$C$10,12,31)),'Your Pay &amp; Benefits'!$C$60,999999),IF(AND('Your Pay &amp; Benefits'!$C$61&gt;MAX($B$6:$B43),'Your Pay &amp; Benefits'!$C$61&gt;=DATE('Your Pay &amp; Benefits'!$C$10,1,1),'Your Pay &amp; Benefits'!$C$61&lt;=DATE('Your Pay &amp; Benefits'!$C$10,12,31)),'Your Pay &amp; Benefits'!$C$61,999999),IF(AND('Your Pay &amp; Benefits'!$C$62&gt;MAX($B$6:$B43),'Your Pay &amp; Benefits'!$C$62&gt;=DATE('Your Pay &amp; Benefits'!$C$10,1,1),'Your Pay &amp; Benefits'!$C$62&lt;=DATE('Your Pay &amp; Benefits'!$C$10,12,31)),'Your Pay &amp; Benefits'!$C$62,999999),IF(AND('Your Pay &amp; Benefits'!$C$63&gt;MAX($B$6:$B43),'Your Pay &amp; Benefits'!$C$63&gt;=DATE('Your Pay &amp; Benefits'!$C$10,1,1),'Your Pay &amp; Benefits'!$C$63&lt;=DATE('Your Pay &amp; Benefits'!$C$10,12,31)),'Your Pay &amp; Benefits'!$C$63,999999),IF(AND('Your Pay &amp; Benefits'!$C$64&gt;MAX($B$6:$B43),'Your Pay &amp; Benefits'!$C$64&gt;=DATE('Your Pay &amp; Benefits'!$C$10,1,1),'Your Pay &amp; Benefits'!$C$64&lt;=DATE('Your Pay &amp; Benefits'!$C$10,12,31)),'Your Pay &amp; Benefits'!$C$64,999999),IF(AND('Your Pay &amp; Benefits'!$C$65&gt;MAX($B$6:$B43),'Your Pay &amp; Benefits'!$C$65&gt;=DATE('Your Pay &amp; Benefits'!$C$10,1,1),'Your Pay &amp; Benefits'!$C$65&lt;=DATE('Your Pay &amp; Benefits'!$C$10,12,31)),'Your Pay &amp; Benefits'!$C$65,999999),IF(AND('Your Pay &amp; Benefits'!$C$66&gt;MAX($B$6:$B43),'Your Pay &amp; Benefits'!$C$66&gt;=DATE('Your Pay &amp; Benefits'!$C$10,1,1),'Your Pay &amp; Benefits'!$C$66&lt;=DATE('Your Pay &amp; Benefits'!$C$10,12,31)),'Your Pay &amp; Benefits'!$C$66,999999),IF(AND('Your Pay &amp; Benefits'!$C$67&gt;MAX($B$6:$B43),'Your Pay &amp; Benefits'!$C$67&gt;=DATE('Your Pay &amp; Benefits'!$C$10,1,1),'Your Pay &amp; Benefits'!$C$67&lt;=DATE('Your Pay &amp; Benefits'!$C$10,12,31)),'Your Pay &amp; Benefits'!$C$67,999999)))</f>
      </c>
      <c r="CF44">
        <f>IF($B44="","",IF($D44=0,$Y44,""))</f>
      </c>
    </row>
    <row r="45">
      <c r="A45" t="n">
        <v>40</v>
      </c>
      <c r="B45" s="21">
        <f>IF(AND($CD45="",$CE45=""),"",IF($CE45="",$CD45,IF($CD45="",$CE45,MIN($CD45,$CE45))))</f>
      </c>
      <c r="C45" s="7">
        <f>IF($B45="","",IF($BF45=0,0,IF('Your Pay &amp; Benefits'!$C$4="Annual salary",ROUND($AK45/IF(AND('Your Pay &amp; Benefits'!$C$88="Actual paydays",MONTH('Your Pay &amp; Benefits'!$C$9)=1),MAX(1,MAX($BE$6:$BE$68)),'Your Pay &amp; Benefits'!$C$8),2),$AK45)))</f>
      </c>
      <c r="D45" s="7">
        <f>IF($B45="","",SUMIF('Your Pay &amp; Benefits'!$C$58:$C$67,$B45,'Your Pay &amp; Benefits'!$D$58:$D$67))</f>
      </c>
      <c r="E45" s="7">
        <f>IF($B45="","",ROUND(MAX(0,MIN(IF($AL45="Percent",$AM45*($C45+$D45),$AM45),MAX(0,'Your Pay &amp; Benefits'!$C$34-$AC44))),2))</f>
      </c>
      <c r="F45" s="7">
        <f>IF($B45="","",ROUND(MAX(0,MIN(IF('Your Pay &amp; Benefits'!$C$32="Percent",'Your Pay &amp; Benefits'!$D$32*($C45+$D45),'Your Pay &amp; Benefits'!$D$32),MAX(0,'Your Pay &amp; Benefits'!$C$34-$AC44-$E45))),2))</f>
      </c>
      <c r="G45" s="7">
        <f>IF($B45="","",IF($BF45=0,0,ROUND(MAX(0,MIN($BL45,'Your Pay &amp; Benefits'!$C$37-'Your Pay &amp; Benefits'!$C$54-$BI44)),2)))</f>
      </c>
      <c r="H45" s="7">
        <f>IF($B45="","",IF(OR($BF45=0,$BQ45=1),0,ROUND(MAX(0,MIN(IF($BS45=1,ROUND(MAX(0,MIN($BJ45,'How This Works &amp; Sources'!$C$13)-$BG44)/MAX(1,MAX($BE$6:$BE$68)-($BE44)),2),ROUND(MIN($BJ45,'How This Works &amp; Sources'!$C$13)/'Your Pay &amp; Benefits'!$C$8,2)),MIN($BJ45,'How This Works &amp; Sources'!$C$13)-$BG44)),2)))</f>
      </c>
      <c r="I45" s="7">
        <f>IF($B45="","",IF(OR($BF45=0,$BR45=1),0,ROUND(MAX(0,MIN(IF($BT45=1,ROUND(MAX(0,MIN($BK45,IF('Your Pay &amp; Benefits'!$C$12="MFJ",'How This Works &amp; Sources'!$C$14,'How This Works &amp; Sources'!$C$15))-$BH44)/MAX(1,MAX($BE$6:$BE$68)-($BE44)),2),ROUND(MIN($BK45,IF('Your Pay &amp; Benefits'!$C$12="MFJ",'How This Works &amp; Sources'!$C$14,'How This Works &amp; Sources'!$C$15))/'Your Pay &amp; Benefits'!$C$8,2)),MIN($BK45,IF('Your Pay &amp; Benefits'!$C$12="MFJ",'How This Works &amp; Sources'!$C$14,'How This Works &amp; Sources'!$C$15))-$BH44)),2)))</f>
      </c>
      <c r="J45" s="7">
        <f>IF($B45="","",IF($BF45=0,0,$BM45))</f>
      </c>
      <c r="K45" s="7">
        <f>IF($B45="","",IF($BF45=0,0,$BN45+$BO45))</f>
      </c>
      <c r="L45" s="7">
        <f>IF($B45="","",IF($BF45=0,0,'Your Pay &amp; Benefits'!$D$46))</f>
      </c>
      <c r="M45" s="7">
        <f>IF($B45="","",$C45+$D45+$L45-$E45-$G45-$H45-$I45-$J45-$K45)</f>
      </c>
      <c r="N45" s="7">
        <f>IF($B45="","",$C45+$D45+$L45-$G45-$H45-$I45-$J45-$K45)</f>
      </c>
      <c r="O45" s="7">
        <f>IF($B45="","",$C45+$D45+$L45-$E45-$H45-$I45-$J45-$K45-IF(OR($AN45="CA",$AN45="NJ"),0,$G45))</f>
      </c>
      <c r="P45" s="7">
        <f>IF($B45="","",IF('Your Pay &amp; Benefits'!$C$18,0,ROUND(MAX(0,IF('Your Pay &amp; Benefits'!$C$13,SUMPRODUCT(($AH45&gt;INDEX('How This Works &amp; Sources'!$B$29:$J$36,0,IF('Your Pay &amp; Benefits'!$C$12="MFJ",1,IF('Your Pay &amp; Benefits'!$C$12="HoH",7,4))))*($AH45-INDEX('How This Works &amp; Sources'!$B$29:$J$36,0,IF('Your Pay &amp; Benefits'!$C$12="MFJ",1,IF('Your Pay &amp; Benefits'!$C$12="HoH",7,4))))*INDEX('How This Works &amp; Sources'!$B$29:$J$36,0,IF('Your Pay &amp; Benefits'!$C$12="MFJ",1,IF('Your Pay &amp; Benefits'!$C$12="HoH",7,4))+2)),SUMPRODUCT(($AH45&gt;INDEX('How This Works &amp; Sources'!$B$19:$J$26,0,IF('Your Pay &amp; Benefits'!$C$12="MFJ",1,IF('Your Pay &amp; Benefits'!$C$12="HoH",7,4))))*($AH45-INDEX('How This Works &amp; Sources'!$B$19:$J$26,0,IF('Your Pay &amp; Benefits'!$C$12="MFJ",1,IF('Your Pay &amp; Benefits'!$C$12="HoH",7,4))))*INDEX('How This Works &amp; Sources'!$B$19:$J$26,0,IF('Your Pay &amp; Benefits'!$C$12="MFJ",1,IF('Your Pay &amp; Benefits'!$C$12="HoH",7,4))+2)))/'Your Pay &amp; Benefits'!$C$8-$AO45/'Your Pay &amp; Benefits'!$C$8)+$AR45+IF('Your Pay &amp; Benefits'!$C$89="Aggregate",MAX(0,IF('Your Pay &amp; Benefits'!$C$13,SUMPRODUCT((($AH45+$D45)&gt;INDEX('How This Works &amp; Sources'!$B$29:$J$36,0,IF('Your Pay &amp; Benefits'!$C$12="MFJ",1,IF('Your Pay &amp; Benefits'!$C$12="HoH",7,4))))*(($AH45+$D45)-INDEX('How This Works &amp; Sources'!$B$29:$J$36,0,IF('Your Pay &amp; Benefits'!$C$12="MFJ",1,IF('Your Pay &amp; Benefits'!$C$12="HoH",7,4))))*INDEX('How This Works &amp; Sources'!$B$29:$J$36,0,IF('Your Pay &amp; Benefits'!$C$12="MFJ",1,IF('Your Pay &amp; Benefits'!$C$12="HoH",7,4))+2)),SUMPRODUCT((($AH45+$D45)&gt;INDEX('How This Works &amp; Sources'!$B$19:$J$26,0,IF('Your Pay &amp; Benefits'!$C$12="MFJ",1,IF('Your Pay &amp; Benefits'!$C$12="HoH",7,4))))*(($AH45+$D45)-INDEX('How This Works &amp; Sources'!$B$19:$J$26,0,IF('Your Pay &amp; Benefits'!$C$12="MFJ",1,IF('Your Pay &amp; Benefits'!$C$12="HoH",7,4))))*INDEX('How This Works &amp; Sources'!$B$19:$J$26,0,IF('Your Pay &amp; Benefits'!$C$12="MFJ",1,IF('Your Pay &amp; Benefits'!$C$12="HoH",7,4))+2)))-IF('Your Pay &amp; Benefits'!$C$13,SUMPRODUCT(($AH45&gt;INDEX('How This Works &amp; Sources'!$B$29:$J$36,0,IF('Your Pay &amp; Benefits'!$C$12="MFJ",1,IF('Your Pay &amp; Benefits'!$C$12="HoH",7,4))))*($AH45-INDEX('How This Works &amp; Sources'!$B$29:$J$36,0,IF('Your Pay &amp; Benefits'!$C$12="MFJ",1,IF('Your Pay &amp; Benefits'!$C$12="HoH",7,4))))*INDEX('How This Works &amp; Sources'!$B$29:$J$36,0,IF('Your Pay &amp; Benefits'!$C$12="MFJ",1,IF('Your Pay &amp; Benefits'!$C$12="HoH",7,4))+2)),SUMPRODUCT(($AH45&gt;INDEX('How This Works &amp; Sources'!$B$19:$J$26,0,IF('Your Pay &amp; Benefits'!$C$12="MFJ",1,IF('Your Pay &amp; Benefits'!$C$12="HoH",7,4))))*($AH45-INDEX('How This Works &amp; Sources'!$B$19:$J$26,0,IF('Your Pay &amp; Benefits'!$C$12="MFJ",1,IF('Your Pay &amp; Benefits'!$C$12="HoH",7,4))))*INDEX('How This Works &amp; Sources'!$B$19:$J$26,0,IF('Your Pay &amp; Benefits'!$C$12="MFJ",1,IF('Your Pay &amp; Benefits'!$C$12="HoH",7,4))+2)))),'How This Works &amp; Sources'!$C$10*$D45),2)))</f>
      </c>
      <c r="Q45" s="7">
        <f>IF($B45="","",ROUND('How This Works &amp; Sources'!$C$4*MIN($N45,MAX(0,'How This Works &amp; Sources'!$C$3-($AX45+$AB44-$AW45))),2))</f>
      </c>
      <c r="R45" s="7">
        <f>IF($B45="","",ROUND('How This Works &amp; Sources'!$C$5*$N45,2))</f>
      </c>
      <c r="S45" s="7">
        <f>IF($B45="","",ROUND('How This Works &amp; Sources'!$C$6*MAX(0,MIN($N45,$AG44+$N45-'How This Works &amp; Sources'!$C$7)),2))</f>
      </c>
      <c r="T45" s="7">
        <f>IF($B45="","",IF('Your Pay &amp; Benefits'!$C$26,0,IF($AN45="CA",ROUND(IF($AI45&lt;=IF(($AS45+$AT45)&gt;=2,VLOOKUP($AN45,StateTables!$A$6:$AB$56,10,FALSE),VLOOKUP($AN45,StateTables!$A$6:$AB$56,9,FALSE)),0,MAX(0,SUMPRODUCT(($AJ45&gt;INDEX('How This Works &amp; Sources'!$B$39:$J$48,0,IF($AU45="Married",4,IF($AU45="Head of household",7,1))))*($AJ45-INDEX('How This Works &amp; Sources'!$B$39:$J$48,0,IF($AU45="Married",4,IF($AU45="Head of household",7,1))))*INDEX('How This Works &amp; Sources'!$B$39:$J$48,0,IF($AU45="Married",4,IF($AU45="Head of household",7,1))+2))-VLOOKUP($AN45,StateTables!$A$6:$AB$56,11,FALSE)*$AS45)/'Your Pay &amp; Benefits'!$C$8)+'Your Pay &amp; Benefits'!$C$25+VLOOKUP($AN45,StateTables!$A$6:$AB$56,13,FALSE)*$D45,2),IF(VLOOKUP($AN45,StateTables!$A$6:$AB$56,4,FALSE)="None",0,IF(ISNUMBER(SEARCH("MANUAL",VLOOKUP($AN45,StateTables!$A$6:$AB$56,5,FALSE))),'Your Pay &amp; Benefits'!$C$28,ROUND(MAX(0,$BA45+$BB45)/'Your Pay &amp; Benefits'!$C$8+'Your Pay &amp; Benefits'!$C$25+$BC45,2))))))</f>
      </c>
      <c r="U45" s="7">
        <f>IF($B45="","",IF(VLOOKUP($AN45,StateTables!$A$6:$AB$56,24,FALSE)="flatq",IF(OR(MONTH($B45)=1,MONTH($B45)=4,MONTH($B45)=7,MONTH($B45)=10),VLOOKUP($AN45,StateTables!$A$6:$AB$56,25,FALSE),0),IF(VLOOKUP($AN45,StateTables!$A$6:$AB$56,24,FALSE)="dbl",MIN(ROUND(0.005*$N45,2),ROUND(0.6*52/'Your Pay &amp; Benefits'!$C$8,2)),IF(OR(VLOOKUP($AN45,StateTables!$A$6:$AB$56,15,FALSE)="",VLOOKUP($AN45,StateTables!$A$6:$AB$56,15,FALSE)=0),0,ROUND(VLOOKUP($AN45,StateTables!$A$6:$AB$56,15,FALSE)*IF(OR(VLOOKUP($AN45,StateTables!$A$6:$AB$56,16,FALSE)="",VLOOKUP($AN45,StateTables!$A$6:$AB$56,16,FALSE)=0),$N45,MIN($N45,MAX(0,VLOOKUP($AN45,StateTables!$A$6:$AB$56,16,FALSE)-($AX45+$AB44-$AW45)))),2))))+IF(VLOOKUP($AN45,StateTables!$A$6:$AB$56,27,FALSE)="flatq",IF(OR(MONTH($B45)=1,MONTH($B45)=4,MONTH($B45)=7,MONTH($B45)=10),VLOOKUP($AN45,StateTables!$A$6:$AB$56,28,FALSE),0),IF(VLOOKUP($AN45,StateTables!$A$6:$AB$56,27,FALSE)="dbl",MIN(ROUND(0.005*$N45,2),ROUND(0.6*52/'Your Pay &amp; Benefits'!$C$8,2)),IF(OR(VLOOKUP($AN45,StateTables!$A$6:$AB$56,18,FALSE)="",VLOOKUP($AN45,StateTables!$A$6:$AB$56,18,FALSE)=0),0,ROUND(VLOOKUP($AN45,StateTables!$A$6:$AB$56,18,FALSE)*IF(OR(VLOOKUP($AN45,StateTables!$A$6:$AB$56,19,FALSE)="",VLOOKUP($AN45,StateTables!$A$6:$AB$56,19,FALSE)=0),$N45,MIN($N45,MAX(0,VLOOKUP($AN45,StateTables!$A$6:$AB$56,19,FALSE)-($AX45+$AB44-$AW45)))),2)))))</f>
      </c>
      <c r="V45" s="7">
        <f>IF($B45="","",IF($AN45="NY",IF('Your Pay &amp; Benefits'!$C$78,ROUND(SUMPRODUCT((MAX(0,($O45-$D45)*'Your Pay &amp; Benefits'!$C$8-(IF($AU45="Married",5500,5000)+1000*$AS45))&gt;INDEX('How This Works &amp; Sources'!$B$184:$J$198,0,4))*(MAX(0,($O45-$D45)*'Your Pay &amp; Benefits'!$C$8-(IF($AU45="Married",5500,5000)+1000*$AS45))-INDEX('How This Works &amp; Sources'!$B$184:$J$198,0,4))*INDEX('How This Works &amp; Sources'!$B$184:$J$198,0,4+2))/'Your Pay &amp; Benefits'!$C$8+0.0425*$D45,2),0)+IF('Your Pay &amp; Benefits'!$C$79="Resident",ROUND(0.1675*$T45,2),IF('Your Pay &amp; Benefits'!$C$79="Nonresident",ROUND(0.005*MAX(0,($O45-$D45)-(IF($AU45="Married",7950,7400)+1000*$AS45)/'Your Pay &amp; Benefits'!$C$8),2),0)),IF($AN45="PA",IF('Your Pay &amp; Benefits'!$C$80="None",'Your Pay &amp; Benefits'!$C$27+ROUND('Your Pay &amp; Benefits'!$C$81*($C45+$D45),2),ROUND(IF('Your Pay &amp; Benefits'!$C$80="Resident",IF($B45&lt;DATE(2026,7,1),0.0374,0.03735),IF($B45&lt;DATE(2026,7,1),0.0343,0.03425))*($C45+$D45),2)),IF($BF45=0,ROUND('Your Pay &amp; Benefits'!$C$81*($C45+$D45),2),'Your Pay &amp; Benefits'!$C$27+ROUND('Your Pay &amp; Benefits'!$C$81*($C45+$D45),2)))))</f>
      </c>
      <c r="W45" s="7">
        <f>IF($B45="","",IF($BF45=0,0,$BP45))</f>
      </c>
      <c r="X45" s="7">
        <f>IF($B45="","",SUM($E45:$K45)+$P45+$Q45+$R45+$S45+$T45+$U45+$V45+$W45)</f>
      </c>
      <c r="Y45" s="22">
        <f>IF($B45="","",$C45+$D45-$X45)</f>
      </c>
      <c r="Z45" s="7">
        <f>IF($B45="","",$Z44+$C45+$D45)</f>
      </c>
      <c r="AA45" s="7">
        <f>IF($B45="","",$AA44+$Y45)</f>
      </c>
      <c r="AB45" s="7">
        <f>IF($B45="","",$AB44+MIN($N45,MAX(0,'How This Works &amp; Sources'!$C$3-($AX45+$AB44-$AW45))))</f>
      </c>
      <c r="AC45" s="7">
        <f>IF($B45="","",$AC44+$E45+$F45)</f>
      </c>
      <c r="AD45" s="3">
        <f>IF($B45="","",IF(AND($AB44&lt;'How This Works &amp; Sources'!$C$3,$AB45&gt;='How This Works &amp; Sources'!$C$3),"★ Social Security maxed on this check — from the next check your net rises by about $"&amp;TEXT(ROUND('How This Works &amp; Sources'!$C$4*$N45,2),"#,##0.00")&amp;". ","")&amp;IF(AND($AC44&lt;'Your Pay &amp; Benefits'!$C$34,$AC45&gt;='Your Pay &amp; Benefits'!$C$34),"★ 401(k) reaches the $"&amp;TEXT('Your Pay &amp; Benefits'!$C$34,"#,##0")&amp;" cap on this check — deferrals stop and net pay rises. ","")&amp;IF(AND($AG44&lt;'How This Works &amp; Sources'!$C$7,$AG45&gt;='How This Works &amp; Sources'!$C$7),"★ Wages pass $200,000 — the 0.9% Additional Medicare Tax starts here. ","")&amp;IF(AND($BJ45&gt;0,$H45&gt;0,$BG44&lt;MIN($BJ45,'How This Works &amp; Sources'!$C$13),$BG44+$H45&gt;=MIN($BJ45,'How This Works &amp; Sources'!$C$13)),"★ Health FSA election is now fully deferred for the year. ",""))</f>
      </c>
      <c r="AE45" s="41" t="n"/>
      <c r="AF45" s="7">
        <f>IF(OR($B45="",$AE45=""),"",$AE45-$Y45)</f>
      </c>
      <c r="AG45" s="7">
        <f>IF($B45="","",$AG44+$N45)</f>
      </c>
      <c r="AH45" s="7">
        <f>IF($B45="","",MAX(0,($M45-$D45)*'Your Pay &amp; Benefits'!$C$8+$AP45-$AQ45-IF('Your Pay &amp; Benefits'!$C$13,0,IF('Your Pay &amp; Benefits'!$C$12="MFJ",'How This Works &amp; Sources'!$C$8,'How This Works &amp; Sources'!$C$9))))</f>
      </c>
      <c r="AI45" s="7">
        <f>IF($B45="","",$O45*'Your Pay &amp; Benefits'!$C$8)</f>
      </c>
      <c r="AJ45" s="7">
        <f>IF($B45="","",MAX(0,$AI45-VLOOKUP($AN45,StateTables!$A$6:$AB$56,12,FALSE)*$AT45-IF(($AS45+$AT45)&gt;=2,VLOOKUP($AN45,StateTables!$A$6:$AB$56,8,FALSE),VLOOKUP($AN45,StateTables!$A$6:$AB$56,7,FALSE))))</f>
      </c>
      <c r="AK45" s="7">
        <f>IF($B45="","",IFERROR(LOOKUP(2,1/(('Changes &amp; Events'!$C$6:$C$17="Salary change")*('Changes &amp; Events'!$B$6:$B$17&lt;=$B45)*('Changes &amp; Events'!$B$6:$B$17&lt;&gt;"")),'Changes &amp; Events'!$D$6:$D$17),IF('Your Pay &amp; Benefits'!$C$4="Annual salary",'Your Pay &amp; Benefits'!$C$5,'Your Pay &amp; Benefits'!$C$6)))</f>
      </c>
      <c r="AL45">
        <f>IF($B45="","",IFERROR(LOOKUP(2,1/(('Changes &amp; Events'!$C$6:$C$17="401(k) change")*('Changes &amp; Events'!$B$6:$B$17&lt;=$B45)*('Changes &amp; Events'!$B$6:$B$17&lt;&gt;"")),'Changes &amp; Events'!$D$6:$D$17),'Your Pay &amp; Benefits'!$C$30))</f>
      </c>
      <c r="AM45" s="7">
        <f>IF($B45="","",IFERROR(LOOKUP(2,1/(('Changes &amp; Events'!$C$6:$C$17="401(k) change")*('Changes &amp; Events'!$B$6:$B$17&lt;=$B45)*('Changes &amp; Events'!$B$6:$B$17&lt;&gt;"")),'Changes &amp; Events'!$E$6:$E$17),'Your Pay &amp; Benefits'!$D$31))</f>
      </c>
      <c r="AN45">
        <f>IF($B45="","",IFERROR(LOOKUP(2,1/(('Changes &amp; Events'!$C$6:$C$17="State move")*('Changes &amp; Events'!$B$6:$B$17&lt;=$B45)*('Changes &amp; Events'!$B$6:$B$17&lt;&gt;"")),'Changes &amp; Events'!$D$6:$D$17),'Your Pay &amp; Benefits'!$C$21))</f>
      </c>
      <c r="AO45" s="7">
        <f>IF($B45="","",IFERROR(LOOKUP(2,1/(('Changes &amp; Events'!$C$6:$C$17="W-4 change")*('Changes &amp; Events'!$B$6:$B$17&lt;=$B45)*('Changes &amp; Events'!$B$6:$B$17&lt;&gt;"")),'Changes &amp; Events'!$D$6:$D$17),'Your Pay &amp; Benefits'!$C$14))</f>
      </c>
      <c r="AP45" s="7">
        <f>IF($B45="","",IFERROR(LOOKUP(2,1/(('Changes &amp; Events'!$C$6:$C$17="W-4 change")*('Changes &amp; Events'!$B$6:$B$17&lt;=$B45)*('Changes &amp; Events'!$B$6:$B$17&lt;&gt;"")),'Changes &amp; Events'!$E$6:$E$17),'Your Pay &amp; Benefits'!$C$15))</f>
      </c>
      <c r="AQ45" s="7">
        <f>IF($B45="","",IFERROR(LOOKUP(2,1/(('Changes &amp; Events'!$C$6:$C$17="W-4 change")*('Changes &amp; Events'!$B$6:$B$17&lt;=$B45)*('Changes &amp; Events'!$B$6:$B$17&lt;&gt;"")),'Changes &amp; Events'!$F$6:$F$17),'Your Pay &amp; Benefits'!$C$16))</f>
      </c>
      <c r="AR45" s="7">
        <f>IF($B45="","",IFERROR(LOOKUP(2,1/(('Changes &amp; Events'!$C$6:$C$17="W-4 change")*('Changes &amp; Events'!$B$6:$B$17&lt;=$B45)*('Changes &amp; Events'!$B$6:$B$17&lt;&gt;"")),'Changes &amp; Events'!$G$6:$G$17),'Your Pay &amp; Benefits'!$C$17))</f>
      </c>
      <c r="AS45" s="6">
        <f>IF($B45="","",IFERROR(LOOKUP(2,1/((('Changes &amp; Events'!$C$6:$C$17="State move")+('Changes &amp; Events'!$C$6:$C$17="State cert change"))*('Changes &amp; Events'!$B$6:$B$17&lt;=$B45)*('Changes &amp; Events'!$B$6:$B$17&lt;&gt;"")),'Changes &amp; Events'!$F$6:$F$17),'Your Pay &amp; Benefits'!$C$23))</f>
      </c>
      <c r="AT45" s="6">
        <f>IF($B45="","",IFERROR(LOOKUP(2,1/((('Changes &amp; Events'!$C$6:$C$17="State move")+('Changes &amp; Events'!$C$6:$C$17="State cert change"))*('Changes &amp; Events'!$B$6:$B$17&lt;=$B45)*('Changes &amp; Events'!$B$6:$B$17&lt;&gt;"")),'Changes &amp; Events'!$G$6:$G$17),'Your Pay &amp; Benefits'!$C$24))</f>
      </c>
      <c r="AU45">
        <f>IF($B45="","",IFERROR(LOOKUP(2,1/(('Changes &amp; Events'!$C$6:$C$17="State move")*('Changes &amp; Events'!$B$6:$B$17&lt;=$B45)*('Changes &amp; Events'!$B$6:$B$17&lt;&gt;"")),'Changes &amp; Events'!$E$6:$E$17),'Your Pay &amp; Benefits'!$C$22))</f>
      </c>
      <c r="AV45" s="6">
        <f>IF($B45="","",1+COUNTIFS('Changes &amp; Events'!$C$6:$C$17,"Employer change",'Changes &amp; Events'!$B$6:$B$17,"&lt;="&amp;$B45,'Changes &amp; Events'!$B$6:$B$17,"&lt;&gt;"))</f>
      </c>
      <c r="AW45" s="7">
        <f>IF($B45="","",IF($AV45=1,'Your Pay &amp; Benefits'!$C$49,IF(IFERROR(MATCH(IFERROR(LOOKUP(2,1/(('Changes &amp; Events'!$C$6:$C$17="Employer change")*('Changes &amp; Events'!$B$6:$B$17&lt;=$B45)*('Changes &amp; Events'!$B$6:$B$17&lt;&gt;"")),'Changes &amp; Events'!$B$6:$B$17),""),$B$6:$B$68,1),1)&lt;=1,'Your Pay &amp; Benefits'!$C$49,INDEX($AB$6:$AB$68,MATCH(IFERROR(LOOKUP(2,1/(('Changes &amp; Events'!$C$6:$C$17="Employer change")*('Changes &amp; Events'!$B$6:$B$17&lt;=$B45)*('Changes &amp; Events'!$B$6:$B$17&lt;&gt;"")),'Changes &amp; Events'!$B$6:$B$17),""),$B$6:$B$68,1)-1))))</f>
      </c>
      <c r="AX45" s="7">
        <f>IF($B45="","",IF($AV45=1,'Your Pay &amp; Benefits'!$C$49,IFERROR(LOOKUP(2,1/(('Changes &amp; Events'!$C$6:$C$17="Employer change")*('Changes &amp; Events'!$B$6:$B$17&lt;=$B45)*('Changes &amp; Events'!$B$6:$B$17&lt;&gt;"")),'Changes &amp; Events'!$D$6:$D$17),0)))</f>
      </c>
      <c r="AY45" s="7">
        <f>IF($B45="","",($O45-$D45)*'Your Pay &amp; Benefits'!$C$8)</f>
      </c>
      <c r="AZ45" s="7">
        <f>IF($B45="","",IF($AN45="AL",MAX(0,$AY45-IF($AU45="Married",IF($AY45&lt;=25999,8500,MAX(5000,8500-175*CEILING(($AY45-25999)/500,1))),IF($AU45="Head of household",IF($AY45&lt;=25999,5200,MAX(2500,5200-135*CEILING(($AY45-25999)/500,1))),IF($AY45&lt;=25999,3000,MAX(2500,3000-25*CEILING(($AY45-25999)/500,1)))))-($P45-'How This Works &amp; Sources'!$C$10*$D45)*'Your Pay &amp; Benefits'!$C$8-IF(OR($AU45="Married",$AU45="Head of household"),3000,1500)-$AT45*IF($AY45&lt;=50000,1000,IF($AY45&lt;=100000,500,300))),IF($AN45="AR",IF(MAX(0,$AY45-2470)&lt;97701,INT(MAX(0,$AY45-2470)/100)*100+50,MAX(0,$AY45-2470)),IF($AN45="DE",MAX(0,$AI45-3250),IF($AN45="HI",MAX(0,$AI45-1144*$AS45-4350),IF($AN45="KS",MAX(0,$AI45-(9160*IF($AU45="Married",2,1)+2320*$AT45+IF($AU45="Head of household",2320,0))),IF($AN45="MD",MAX(0,$AI45-3400-3200*$AS45),IF($AN45="MN",MAX(0,$AY45-5300*$AS45),IF($AN45="MO",MAX(0,$AI45-IF($AU45="Head of household",24150,IF($AU45="Married",IF('Your Pay &amp; Benefits'!$C$83,16100,32200),16100))),IF($AN45="MT",$AY45,IF($AN45="ND",($C45+$L45)*'Your Pay &amp; Benefits'!$C$8,IF($AN45="NE",MAX(0,$AY45-2440*$AS45),IF($AN45="NJ",MAX(0,$AY45-1000*$AS45),IF($AN45="NY",MAX(0,$AY45-(IF($AU45="Married",7950,7400)+1000*$AS45)),IF($AN45="OH",MAX(0,$AY45-650*$AS45),IF($AN45="OK",MAX(0,$AY45-1000*$AS45),IF($AN45="RI",MAX(0,$AI45-1000*$AS45),IF($AN45="SC",MAX(0,$AI45-5000*$AS45-IF($AS45=0,0,MIN(0.1*$AI45,7500))),IF($AN45="VA",MAX(0,$AI45-IF($AU45="Married",17500,8750)-930*$AS45-800*$AT45),IF($AN45="VT",MAX(0,$AI45-5400*$AS45),IF($AN45="WI",MAX(0,$AI45-MAX(0,IF($AU45="Married",9461-0.2*MAX(0,$AI45-25727),6702-0.12*MAX(0,$AI45-17780)))-400*$AS45),IF($AN45="WV",MAX(0,$AI45-2000*$AS45),$AI45))))))))))))))))))))))</f>
      </c>
      <c r="BA45" s="7">
        <f>IF($B45="","",IF($BW45&lt;&gt;"",$BW45,IF($BX45&lt;&gt;"",$BX45,IF($BY45&lt;&gt;"",$BY45,0))))</f>
      </c>
      <c r="BB45" s="7">
        <f>IF($B45="","",IF($AN45="AR",-29*$AS45,IF($AN45="DE",-110*$AS45,IF($AN45="MD",$AZ45*'Your Pay &amp; Benefits'!$C$74,IF($AN45="AZ",'Your Pay &amp; Benefits'!$C$82*($M45-$D45)*'Your Pay &amp; Benefits'!$C$8,IF($AN45="CO",0.044*MAX(0,$AY45-IF($AU45="Married",10000,5000)),IF($AN45="IA",MAX(0,0.038*MAX(0,$AY45-IF($AU45="Head of household",19500,IF($AU45="Married",26000,13000)))-40*$AS45),IF($AN45="ID",0.053*MAX(0,$AY45-IF($AU45="Married",32000,16094)),IF($AN45="IL",0.0495*MAX(0,$AY45-(2925*$AS45+1000*$AT45)),IF($AN45="IN",(0.0295+'Your Pay &amp; Benefits'!$C$76)*MAX(0,$AY45-(1000*$AS45+1500*$AT45+3000*'Your Pay &amp; Benefits'!$C$86)),IF($AN45="KY",0.035*MAX(0,$AI45-3360),IF($AN45="LA",IF('Your Pay &amp; Benefits'!$C$84="0",0.0309*$AI45,0.0309*MAX(0,$AI45-IF('Your Pay &amp; Benefits'!$C$84="2",25750,12875))),IF($AN45="MA",0.05*MIN(MAX(0,$AY45-MIN(($BD44+$Q45+$R45+$S45),2000)-IF($AS45=0,0,IF($AS45=1,4400,1000*$AS45+3400))),1107750)+0.09*MAX(0,MAX(0,$AY45-MIN(($BD44+$Q45+$R45+$S45),2000)-IF($AS45=0,0,IF($AS45=1,4400,1000*$AS45+3400)))-1107750)-IF($AU45="Head of household",120,0)-110*'Your Pay &amp; Benefits'!$C$75,IF($AN45="MI",0.0425*MAX(0,$AY45-5900*$AS45),IF($AN45="MS",0.04*MAX(0,$AI45-IF($AU45="Head of household",3400,IF($AU45="Married",4600,2300))-'Your Pay &amp; Benefits'!$C$85-10000),IF($AN45="OR",IF(OR($AU45="Married",AND($AU45="Single",$AS45&gt;=3)),SUMPRODUCT((MAX(0,$AY45-MIN(($P45-'How This Works &amp; Sources'!$C$10*$D45)*'Your Pay &amp; Benefits'!$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Sources'!$B$211:$J$214,0,4))*(MAX(0,$AY45-MIN(($P45-'How This Works &amp; Sources'!$C$10*$D45)*'Your Pay &amp; Benefits'!$C$8,IF(OR($AU45="Married",AND($AU45="Single",$AS45&gt;=3)),IF($AY45&lt;250000,8750,IF($AY45&lt;260000,7000,IF($AY45&lt;270000,5250,IF($AY45&lt;280000,3500,IF($AY45&lt;290000,1750,0))))),IF($AY45&lt;125000,8750,IF($AY45&lt;130000,7000,IF($AY45&lt;135000,5250,IF($AY45&lt;140000,3500,IF($AY45&lt;145000,1750,0)))))))-IF(OR($AU45="Married",AND($AU45="Single",$AS45&gt;=3)),5820,2910))-INDEX('How This Works &amp; Sources'!$B$211:$J$214,0,4))*INDEX('How This Works &amp; Sources'!$B$211:$J$214,0,4+2)),SUMPRODUCT((MAX(0,$AY45-MIN(($P45-'How This Works &amp; Sources'!$C$10*$D45)*'Your Pay &amp; Benefits'!$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Sources'!$B$211:$J$214,0,1))*(MAX(0,$AY45-MIN(($P45-'How This Works &amp; Sources'!$C$10*$D45)*'Your Pay &amp; Benefits'!$C$8,IF(OR($AU45="Married",AND($AU45="Single",$AS45&gt;=3)),IF($AY45&lt;250000,8750,IF($AY45&lt;260000,7000,IF($AY45&lt;270000,5250,IF($AY45&lt;280000,3500,IF($AY45&lt;290000,1750,0))))),IF($AY45&lt;125000,8750,IF($AY45&lt;130000,7000,IF($AY45&lt;135000,5250,IF($AY45&lt;140000,3500,IF($AY45&lt;145000,1750,0)))))))-IF(OR($AU45="Married",AND($AU45="Single",$AS45&gt;=3)),5820,2910))-INDEX('How This Works &amp; Sources'!$B$211:$J$214,0,1))*INDEX('How This Works &amp; Sources'!$B$211:$J$214,0,1+2)))+263-263*IF(IF($AU45="Married",$AY45&gt;200000,$AY45&gt;100000),0,$AS45),IF($AN45="PA",0.0307*(($O45+$E45+$G45)*'Your Pay &amp; Benefits'!$C$8),IF($AN45="NY",IF($AU45="Married",IF($AZ45&gt;=2155350,0,IF($AZ45&gt;=1077550,0.48,IF($AZ45&gt;=373200,1.21,IF($AZ45&gt;=323200,0.21,IF($AZ45&gt;=211550,-0.19,IF($AZ45&gt;=157650,-2.8,IF($AZ45&gt;=107650,-0.8,IF($AZ45&gt;=96800,0.05,IF($AZ45&gt;=80650,-0.1,IF($AZ45&gt;=13900,0.4,IF($AZ45&gt;=11700,-0.3,IF($AZ45&gt;=8500,0.5,0)))))))))))),IF($AZ45&gt;=1077550,0,IF($AZ45&gt;=265400,4.29,IF($AZ45&gt;=215400,2.29,IF($AZ45&gt;=157650,2.29,IF($AZ45&gt;=107650,0.29,IF($AZ45&gt;=96800,0.05,IF($AZ45&gt;=80650,-0.1,IF($AZ45&gt;=13900,0.4,IF($AZ45&gt;=11700,-0.3,IF($AZ45&gt;=8500,0.5,0))))))))))),0))))))))))))))))))</f>
      </c>
      <c r="BC45" s="7">
        <f>IF($B45="","",IF($AN45="AL",0.05*$D45,IF($AN45="AR",0.039*$D45,IF($AN45="ID",0.053*$D45,IF($AN45="IN",(0.0295+'Your Pay &amp; Benefits'!$C$76)*$D45,IF($AN45="KS",0.05*$D45,IF($AN45="MA",0.09*MIN($D45,MAX(0,MAX(0,$AY45-MIN(($BD44+$Q45+$R45+$S45),2000)-IF($AS45=0,0,IF($AS45=1,4400,1000*$AS45+3400)))+$D45-1107750))+0.05*($D45-MIN($D45,MAX(0,MAX(0,$AY45-MIN(($BD44+$Q45+$R45+$S45),2000)-IF($AS45=0,0,IF($AS45=1,4400,1000*$AS45+3400)))+$D45-1107750))),IF($AN45="MD",(0.065+'Your Pay &amp; Benefits'!$C$74)*$D45,IF($AN45="MI",0.0425*$D45,IF($AN45="MN",0.0625*$D45,IF($AN45="MO",0.047*$D45,IF($AN45="MT",0.05*$D45,IF($AN45="ND",0.015*$D45,IF($AN45="NE",0.035*$D45,IF($AN45="NJ",IF('Your Pay &amp; Benefits'!$C$77="B",SUMPRODUCT(($D45*'Your Pay &amp; Benefits'!$C$8&gt;INDEX('How This Works &amp; Sources'!$B$155:$J$162,0,4))*($D45*'Your Pay &amp; Benefits'!$C$8-INDEX('How This Works &amp; Sources'!$B$155:$J$162,0,4))*INDEX('How This Works &amp; Sources'!$B$155:$J$162,0,4+2)),IF('Your Pay &amp; Benefits'!$C$77="C",SUMPRODUCT(($D45*'Your Pay &amp; Benefits'!$C$8&gt;INDEX('How This Works &amp; Sources'!$B$155:$J$162,0,7))*($D45*'Your Pay &amp; Benefits'!$C$8-INDEX('How This Works &amp; Sources'!$B$155:$J$162,0,7))*INDEX('How This Works &amp; Sources'!$B$155:$J$162,0,7+2)),IF('Your Pay &amp; Benefits'!$C$77="D",SUMPRODUCT(($D45*'Your Pay &amp; Benefits'!$C$8&gt;INDEX('How This Works &amp; Sources'!$B$167:$J$179,0,1))*($D45*'Your Pay &amp; Benefits'!$C$8-INDEX('How This Works &amp; Sources'!$B$167:$J$179,0,1))*INDEX('How This Works &amp; Sources'!$B$167:$J$179,0,1+2)),IF('Your Pay &amp; Benefits'!$C$77="E",SUMPRODUCT(($D45*'Your Pay &amp; Benefits'!$C$8&gt;INDEX('How This Works &amp; Sources'!$B$167:$J$179,0,4))*($D45*'Your Pay &amp; Benefits'!$C$8-INDEX('How This Works &amp; Sources'!$B$167:$J$179,0,4))*INDEX('How This Works &amp; Sources'!$B$167:$J$179,0,4+2)),SUMPRODUCT(($D45*'Your Pay &amp; Benefits'!$C$8&gt;INDEX('How This Works &amp; Sources'!$B$155:$J$162,0,1))*($D45*'Your Pay &amp; Benefits'!$C$8-INDEX('How This Works &amp; Sources'!$B$155:$J$162,0,1))*INDEX('How This Works &amp; Sources'!$B$155:$J$162,0,1+2))))))/'Your Pay &amp; Benefits'!$C$8,IF($AN45="NY",0.117*$D45,IF($AN45="OH",0.0275*$D45,IF($AN45="OK",0.045*$D45,IF($AN45="OR",0.08*$D45,IF($AN45="WI",IF($AY45&lt;12760,0.0354,IF($AY45&lt;25520,0.0465,IF($AY45&lt;280950,0.053,0.0765)))*$D45,0))))))))))))))))))))</f>
      </c>
      <c r="BD45" s="7">
        <f>IF($B45="","",$BD44+$Q45+$R45+$S45)</f>
      </c>
      <c r="BE45" s="6">
        <f>IF($B45="",$BE44,$BE44+$BF45)</f>
      </c>
      <c r="BF45" s="6">
        <f>IF($B45="","",IF(AND(IF(YEAR(IF('Your Pay &amp; Benefits'!$C$7="Weekly",'Your Pay &amp; Benefits'!$C$9+7*(($BE44+1)-1),IF('Your Pay &amp; Benefits'!$C$7="Biweekly",'Your Pay &amp; Benefits'!$C$9+14*(($BE44+1)-1),IF('Your Pay &amp; Benefits'!$C$7="Semimonthly",DATE(YEAR('Your Pay &amp; Benefits'!$C$9),MONTH('Your Pay &amp; Benefits'!$C$9)+INT((($BE44+1)-1)/2),MIN(DAY('Your Pay &amp; Benefits'!$C$9),DAY(EOMONTH(DATE(YEAR('Your Pay &amp; Benefits'!$C$9),MONTH('Your Pay &amp; Benefits'!$C$9)+INT((($BE44+1)-1)/2),1),0))))+IF(MOD(($BE44+1)-1,2)=1,15,0),EDATE('Your Pay &amp; Benefits'!$C$9,($BE44+1)-1)))))&lt;&gt;'Your Pay &amp; Benefits'!$C$10,"",IF('Your Pay &amp; Benefits'!$C$7="Weekly",'Your Pay &amp; Benefits'!$C$9+7*(($BE44+1)-1),IF('Your Pay &amp; Benefits'!$C$7="Biweekly",'Your Pay &amp; Benefits'!$C$9+14*(($BE44+1)-1),IF('Your Pay &amp; Benefits'!$C$7="Semimonthly",DATE(YEAR('Your Pay &amp; Benefits'!$C$9),MONTH('Your Pay &amp; Benefits'!$C$9)+INT((($BE44+1)-1)/2),MIN(DAY('Your Pay &amp; Benefits'!$C$9),DAY(EOMONTH(DATE(YEAR('Your Pay &amp; Benefits'!$C$9),MONTH('Your Pay &amp; Benefits'!$C$9)+INT((($BE44+1)-1)/2),1),0))))+IF(MOD(($BE44+1)-1,2)=1,15,0),EDATE('Your Pay &amp; Benefits'!$C$9,($BE44+1)-1)))))&lt;&gt;"",$B45=IF(YEAR(IF('Your Pay &amp; Benefits'!$C$7="Weekly",'Your Pay &amp; Benefits'!$C$9+7*(($BE44+1)-1),IF('Your Pay &amp; Benefits'!$C$7="Biweekly",'Your Pay &amp; Benefits'!$C$9+14*(($BE44+1)-1),IF('Your Pay &amp; Benefits'!$C$7="Semimonthly",DATE(YEAR('Your Pay &amp; Benefits'!$C$9),MONTH('Your Pay &amp; Benefits'!$C$9)+INT((($BE44+1)-1)/2),MIN(DAY('Your Pay &amp; Benefits'!$C$9),DAY(EOMONTH(DATE(YEAR('Your Pay &amp; Benefits'!$C$9),MONTH('Your Pay &amp; Benefits'!$C$9)+INT((($BE44+1)-1)/2),1),0))))+IF(MOD(($BE44+1)-1,2)=1,15,0),EDATE('Your Pay &amp; Benefits'!$C$9,($BE44+1)-1)))))&lt;&gt;'Your Pay &amp; Benefits'!$C$10,"",IF('Your Pay &amp; Benefits'!$C$7="Weekly",'Your Pay &amp; Benefits'!$C$9+7*(($BE44+1)-1),IF('Your Pay &amp; Benefits'!$C$7="Biweekly",'Your Pay &amp; Benefits'!$C$9+14*(($BE44+1)-1),IF('Your Pay &amp; Benefits'!$C$7="Semimonthly",DATE(YEAR('Your Pay &amp; Benefits'!$C$9),MONTH('Your Pay &amp; Benefits'!$C$9)+INT((($BE44+1)-1)/2),MIN(DAY('Your Pay &amp; Benefits'!$C$9),DAY(EOMONTH(DATE(YEAR('Your Pay &amp; Benefits'!$C$9),MONTH('Your Pay &amp; Benefits'!$C$9)+INT((($BE44+1)-1)/2),1),0))))+IF(MOD(($BE44+1)-1,2)=1,15,0),EDATE('Your Pay &amp; Benefits'!$C$9,($BE44+1)-1)))))),1,0))</f>
      </c>
      <c r="BG45" s="7">
        <f>IF($B45="","",$BG44+$H45)</f>
      </c>
      <c r="BH45" s="7">
        <f>IF($B45="","",$BH44+$I45)</f>
      </c>
      <c r="BI45" s="7">
        <f>IF($B45="","",$BI44+$G45)</f>
      </c>
      <c r="BJ45" s="7">
        <f>IF($B45="","",IFERROR(LOOKUP(2,1/(((('Changes &amp; Events'!$C$6:$C$17="Deduction start"))*('Changes &amp; Events'!$D$6:$D$17="Health FSA"))*('Changes &amp; Events'!$B$6:$B$17&lt;=$B45)*('Changes &amp; Events'!$B$6:$B$17&lt;&gt;"")),'Changes &amp; Events'!$E$6:$E$17),'Your Pay &amp; Benefits'!$D$38))</f>
      </c>
      <c r="BK45" s="7">
        <f>IF($B45="","",IFERROR(LOOKUP(2,1/(((('Changes &amp; Events'!$C$6:$C$17="Deduction start"))*('Changes &amp; Events'!$D$6:$D$17="Dependent-care FSA"))*('Changes &amp; Events'!$B$6:$B$17&lt;=$B45)*('Changes &amp; Events'!$B$6:$B$17&lt;&gt;"")),'Changes &amp; Events'!$E$6:$E$17),'Your Pay &amp; Benefits'!$D$39))</f>
      </c>
      <c r="BL45" s="7">
        <f>IF($B45="","",IFERROR(LOOKUP(2,1/(((('Changes &amp; Events'!$C$6:$C$17="Deduction start")+('Changes &amp; Events'!$C$6:$C$17="Deduction stop"))*('Changes &amp; Events'!$D$6:$D$17="HSA"))*('Changes &amp; Events'!$B$6:$B$17&lt;=$B45)*('Changes &amp; Events'!$B$6:$B$17&lt;&gt;"")),'Changes &amp; Events'!$I$6:$I$17),'Your Pay &amp; Benefits'!$D$35))</f>
      </c>
      <c r="BM45" s="7">
        <f>IF($B45="","",IFERROR(LOOKUP(2,1/(((('Changes &amp; Events'!$C$6:$C$17="Deduction start")+('Changes &amp; Events'!$C$6:$C$17="Deduction stop"))*('Changes &amp; Events'!$D$6:$D$17="Premiums"))*('Changes &amp; Events'!$B$6:$B$17&lt;=$B45)*('Changes &amp; Events'!$B$6:$B$17&lt;&gt;"")),'Changes &amp; Events'!$I$6:$I$17),'Your Pay &amp; Benefits'!$D$40+'Your Pay &amp; Benefits'!$D$41+'Your Pay &amp; Benefits'!$D$42))</f>
      </c>
      <c r="BN45" s="7">
        <f>IF($B45="","",IFERROR(LOOKUP(2,1/(((('Changes &amp; Events'!$C$6:$C$17="Deduction start")+('Changes &amp; Events'!$C$6:$C$17="Deduction stop"))*('Changes &amp; Events'!$D$6:$D$17="Commuter"))*('Changes &amp; Events'!$B$6:$B$17&lt;=$B45)*('Changes &amp; Events'!$B$6:$B$17&lt;&gt;"")),'Changes &amp; Events'!$I$6:$I$17),'Your Pay &amp; Benefits'!$D$43))</f>
      </c>
      <c r="BO45" s="7">
        <f>IF($B45="","",IFERROR(LOOKUP(2,1/(((('Changes &amp; Events'!$C$6:$C$17="Deduction start")+('Changes &amp; Events'!$C$6:$C$17="Deduction stop"))*('Changes &amp; Events'!$D$6:$D$17="Other pre-tax"))*('Changes &amp; Events'!$B$6:$B$17&lt;=$B45)*('Changes &amp; Events'!$B$6:$B$17&lt;&gt;"")),'Changes &amp; Events'!$I$6:$I$17),'Your Pay &amp; Benefits'!$D$44))</f>
      </c>
      <c r="BP45" s="7">
        <f>IF($B45="","",IFERROR(LOOKUP(2,1/(((('Changes &amp; Events'!$C$6:$C$17="Deduction start")+('Changes &amp; Events'!$C$6:$C$17="Deduction stop"))*('Changes &amp; Events'!$D$6:$D$17="Other post-tax"))*('Changes &amp; Events'!$B$6:$B$17&lt;=$B45)*('Changes &amp; Events'!$B$6:$B$17&lt;&gt;"")),'Changes &amp; Events'!$I$6:$I$17),'Your Pay &amp; Benefits'!$D$45))</f>
      </c>
      <c r="BQ45" s="6">
        <f>IF($B45="","",IFERROR(LOOKUP(2,1/(((('Changes &amp; Events'!$C$6:$C$17="Deduction start")+('Changes &amp; Events'!$C$6:$C$17="Deduction stop"))*('Changes &amp; Events'!$D$6:$D$17="Health FSA"))*('Changes &amp; Events'!$B$6:$B$17&lt;=$B45)*('Changes &amp; Events'!$B$6:$B$17&lt;&gt;"")),'Changes &amp; Events'!$J$6:$J$17),0))</f>
      </c>
      <c r="BR45" s="6">
        <f>IF($B45="","",IFERROR(LOOKUP(2,1/(((('Changes &amp; Events'!$C$6:$C$17="Deduction start")+('Changes &amp; Events'!$C$6:$C$17="Deduction stop"))*('Changes &amp; Events'!$D$6:$D$17="Dependent-care FSA"))*('Changes &amp; Events'!$B$6:$B$17&lt;=$B45)*('Changes &amp; Events'!$B$6:$B$17&lt;&gt;"")),'Changes &amp; Events'!$J$6:$J$17),0))</f>
      </c>
      <c r="BS45" s="6">
        <f>IF($B45="","",IF(SUMPRODUCT(('Changes &amp; Events'!$C$6:$C$17="Deduction start")*('Changes &amp; Events'!$B$6:$B$17&lt;=$B45)*('Changes &amp; Events'!$B$6:$B$17&lt;&gt;"")*('Changes &amp; Events'!$D$6:$D$17="Health FSA"))&gt;0,1,0))</f>
      </c>
      <c r="BT45" s="6">
        <f>IF($B45="","",IF(SUMPRODUCT(('Changes &amp; Events'!$C$6:$C$17="Deduction start")*('Changes &amp; Events'!$B$6:$B$17&lt;=$B45)*('Changes &amp; Events'!$B$6:$B$17&lt;&gt;"")*('Changes &amp; Events'!$D$6:$D$17="Dependent-care FSA"))&gt;0,1,0))</f>
      </c>
      <c r="BU45" s="24">
        <f>IF($B45="","",IF('Your Pay &amp; Benefits'!$C$13,SUMPRODUCT(($AH45&gt;=INDEX('How This Works &amp; Sources'!$B$29:$J$36,0,IF('Your Pay &amp; Benefits'!$C$12="MFJ",1,IF('Your Pay &amp; Benefits'!$C$12="HoH",7,4))))*INDEX('How This Works &amp; Sources'!$B$29:$J$36,0,IF('Your Pay &amp; Benefits'!$C$12="MFJ",1,IF('Your Pay &amp; Benefits'!$C$12="HoH",7,4))+2)),SUMPRODUCT(($AH45&gt;=INDEX('How This Works &amp; Sources'!$B$19:$J$26,0,IF('Your Pay &amp; Benefits'!$C$12="MFJ",1,IF('Your Pay &amp; Benefits'!$C$12="HoH",7,4))))*INDEX('How This Works &amp; Sources'!$B$19:$J$26,0,IF('Your Pay &amp; Benefits'!$C$12="MFJ",1,IF('Your Pay &amp; Benefits'!$C$12="HoH",7,4))+2))))</f>
      </c>
      <c r="BV45" s="24">
        <f>IF($B45="","",IF($BZ45&lt;&gt;"",$BZ45,IF($CA45&lt;&gt;"",$CA45,IF($CB45&lt;&gt;"",$CB45,IF($CC45&lt;&gt;"",$CC45,0)))))</f>
      </c>
      <c r="BW45" s="7">
        <f>IF($B45="","",IF($AN45="MD",IF(OR($AU45="Married",$AU45="Head of household"),SUMPRODUCT(($AZ45&gt;INDEX('How This Works &amp; Sources'!$B$114:$J$120,0,1))*($AZ45-INDEX('How This Works &amp; Sources'!$B$114:$J$120,0,1))*INDEX('How This Works &amp; Sources'!$B$114:$J$120,0,1+2)),SUMPRODUCT(($AZ45&gt;INDEX('How This Works &amp; Sources'!$B$103:$J$109,0,7))*($AZ45-INDEX('How This Works &amp; Sources'!$B$103:$J$109,0,7))*INDEX('How This Works &amp; Sources'!$B$103:$J$109,0,7+2))),IF($AN45="MO",SUMPRODUCT(($AZ45&gt;INDEX('How This Works &amp; Sources'!$B$125:$J$132,0,1))*($AZ45-INDEX('How This Works &amp; Sources'!$B$125:$J$132,0,1))*INDEX('How This Works &amp; Sources'!$B$125:$J$132,0,1+2)),IF($AN45="MT",IF($AU45="Head of household",SUMPRODUCT(($AZ45&gt;INDEX('How This Works &amp; Sources'!$B$137:$J$139,0,1))*($AZ45-INDEX('How This Works &amp; Sources'!$B$137:$J$139,0,1))*INDEX('How This Works &amp; Sources'!$B$137:$J$139,0,1+2)),IF($AU45="Married",SUMPRODUCT(($AZ45&gt;INDEX('How This Works &amp; Sources'!$B$125:$J$132,0,7))*($AZ45-INDEX('How This Works &amp; Sources'!$B$125:$J$132,0,7))*INDEX('How This Works &amp; Sources'!$B$125:$J$132,0,7+2)),SUMPRODUCT(($AZ45&gt;INDEX('How This Works &amp; Sources'!$B$125:$J$132,0,4))*($AZ45-INDEX('How This Works &amp; Sources'!$B$125:$J$132,0,4))*INDEX('How This Works &amp; Sources'!$B$125:$J$132,0,4+2)))),IF($AN45="ND",IF($AU45="Head of household",SUMPRODUCT(($AZ45&gt;INDEX('How This Works &amp; Sources'!$B$144:$J$150,0,1))*($AZ45-INDEX('How This Works &amp; Sources'!$B$144:$J$150,0,1))*INDEX('How This Works &amp; Sources'!$B$144:$J$150,0,1+2)),IF($AU45="Married",SUMPRODUCT(($AZ45&gt;INDEX('How This Works &amp; Sources'!$B$137:$J$139,0,7))*($AZ45-INDEX('How This Works &amp; Sources'!$B$137:$J$139,0,7))*INDEX('How This Works &amp; Sources'!$B$137:$J$139,0,7+2)),SUMPRODUCT(($AZ45&gt;INDEX('How This Works &amp; Sources'!$B$137:$J$139,0,4))*($AZ45-INDEX('How This Works &amp; Sources'!$B$137:$J$139,0,4))*INDEX('How This Works &amp; Sources'!$B$137:$J$139,0,4+2)))),IF($AN45="NJ",IF('Your Pay &amp; Benefits'!$C$77="B",SUMPRODUCT(($AZ45&gt;INDEX('How This Works &amp; Sources'!$B$155:$J$162,0,4))*($AZ45-INDEX('How This Works &amp; Sources'!$B$155:$J$162,0,4))*INDEX('How This Works &amp; Sources'!$B$155:$J$162,0,4+2)),IF('Your Pay &amp; Benefits'!$C$77="C",SUMPRODUCT(($AZ45&gt;INDEX('How This Works &amp; Sources'!$B$155:$J$162,0,7))*($AZ45-INDEX('How This Works &amp; Sources'!$B$155:$J$162,0,7))*INDEX('How This Works &amp; Sources'!$B$155:$J$162,0,7+2)),IF('Your Pay &amp; Benefits'!$C$77="D",SUMPRODUCT(($AZ45&gt;INDEX('How This Works &amp; Sources'!$B$167:$J$179,0,1))*($AZ45-INDEX('How This Works &amp; Sources'!$B$167:$J$179,0,1))*INDEX('How This Works &amp; Sources'!$B$167:$J$179,0,1+2)),IF('Your Pay &amp; Benefits'!$C$77="E",SUMPRODUCT(($AZ45&gt;INDEX('How This Works &amp; Sources'!$B$167:$J$179,0,4))*($AZ45-INDEX('How This Works &amp; Sources'!$B$167:$J$179,0,4))*INDEX('How This Works &amp; Sources'!$B$167:$J$179,0,4+2)),SUMPRODUCT(($AZ45&gt;INDEX('How This Works &amp; Sources'!$B$155:$J$162,0,1))*($AZ45-INDEX('How This Works &amp; Sources'!$B$155:$J$162,0,1))*INDEX('How This Works &amp; Sources'!$B$155:$J$162,0,1+2)))))),IF($AN45="NY",IF($AU45="Married",IF($AZ45&gt;=2155350,$AZ45*IF($AZ45&gt;25000000,0.117,IF($AZ45&gt;5000000,0.111,0.1045)),SUMPRODUCT(($AZ45&gt;INDEX('How This Works &amp; Sources'!$B$184:$J$198,0,1))*($AZ45-INDEX('How This Works &amp; Sources'!$B$184:$J$198,0,1))*INDEX('How This Works &amp; Sources'!$B$184:$J$198,0,1+2))),IF($AZ45&gt;=1077550,$AZ45*IF($AZ45&gt;25000000,0.117,IF($AZ45&gt;5000000,0.111,0.1045)),SUMPRODUCT(($AZ45&gt;INDEX('How This Works &amp; Sources'!$B$167:$J$179,0,7))*($AZ45-INDEX('How This Works &amp; Sources'!$B$167:$J$179,0,7))*INDEX('How This Works &amp; Sources'!$B$167:$J$179,0,7+2)))),"")))))))</f>
      </c>
      <c r="BX45" s="7">
        <f>IF($B45="","",IF($AN45="AL",IF(OR($AU45="Married",$AU45="Head of household"),SUMPRODUCT(($AZ45&gt;INDEX('How This Works &amp; Sources'!$B$82:$J$86,0,4))*($AZ45-INDEX('How This Works &amp; Sources'!$B$82:$J$86,0,4))*INDEX('How This Works &amp; Sources'!$B$82:$J$86,0,4+2)),SUMPRODUCT(($AZ45&gt;INDEX('How This Works &amp; Sources'!$B$82:$J$86,0,1))*($AZ45-INDEX('How This Works &amp; Sources'!$B$82:$J$86,0,1))*INDEX('How This Works &amp; Sources'!$B$82:$J$86,0,1+2))),IF($AN45="KS",IF($AU45="Married",SUMPRODUCT(($AZ45&gt;INDEX('How This Works &amp; Sources'!$B$103:$J$109,0,4))*($AZ45-INDEX('How This Works &amp; Sources'!$B$103:$J$109,0,4))*INDEX('How This Works &amp; Sources'!$B$103:$J$109,0,4+2)),SUMPRODUCT(($AZ45&gt;INDEX('How This Works &amp; Sources'!$B$103:$J$109,0,1))*($AZ45-INDEX('How This Works &amp; Sources'!$B$103:$J$109,0,1))*INDEX('How This Works &amp; Sources'!$B$103:$J$109,0,1+2))),IF($AN45="MN",IF($AU45="Married",SUMPRODUCT(($AZ45&gt;INDEX('How This Works &amp; Sources'!$B$114:$J$120,0,7))*($AZ45-INDEX('How This Works &amp; Sources'!$B$114:$J$120,0,7))*INDEX('How This Works &amp; Sources'!$B$114:$J$120,0,7+2)),SUMPRODUCT(($AZ45&gt;INDEX('How This Works &amp; Sources'!$B$114:$J$120,0,4))*($AZ45-INDEX('How This Works &amp; Sources'!$B$114:$J$120,0,4))*INDEX('How This Works &amp; Sources'!$B$114:$J$120,0,4+2))),IF($AN45="NE",MAX(IF($AU45="Married",SUMPRODUCT(($AZ45&gt;INDEX('How This Works &amp; Sources'!$B$144:$J$150,0,7))*($AZ45-INDEX('How This Works &amp; Sources'!$B$144:$J$150,0,7))*INDEX('How This Works &amp; Sources'!$B$144:$J$150,0,7+2)),SUMPRODUCT(($AZ45&gt;INDEX('How This Works &amp; Sources'!$B$144:$J$150,0,4))*($AZ45-INDEX('How This Works &amp; Sources'!$B$144:$J$150,0,4))*INDEX('How This Works &amp; Sources'!$B$144:$J$150,0,4+2))),0.015*$AZ45),IF($AN45="OH",IF($B45&gt;=DATE(2026,8,1),SUMPRODUCT(($AZ45&gt;INDEX('How This Works &amp; Sources'!$B$203:$J$206,0,1))*($AZ45-INDEX('How This Works &amp; Sources'!$B$203:$J$206,0,1))*INDEX('How This Works &amp; Sources'!$B$203:$J$206,0,1+2)),SUMPRODUCT(($AZ45&gt;INDEX('How This Works &amp; Sources'!$B$184:$J$198,0,7))*($AZ45-INDEX('How This Works &amp; Sources'!$B$184:$J$198,0,7))*INDEX('How This Works &amp; Sources'!$B$184:$J$198,0,7+2))),IF($AN45="OK",IF($AU45="Married",SUMPRODUCT(($AZ45&gt;INDEX('How This Works &amp; Sources'!$B$203:$J$206,0,7))*($AZ45-INDEX('How This Works &amp; Sources'!$B$203:$J$206,0,7))*INDEX('How This Works &amp; Sources'!$B$203:$J$206,0,7+2)),SUMPRODUCT(($AZ45&gt;INDEX('How This Works &amp; Sources'!$B$203:$J$206,0,4))*($AZ45-INDEX('How This Works &amp; Sources'!$B$203:$J$206,0,4))*INDEX('How This Works &amp; Sources'!$B$203:$J$206,0,4+2))),IF($AN45="RI",SUMPRODUCT(($AZ45&gt;INDEX('How This Works &amp; Sources'!$B$211:$J$214,0,7))*($AZ45-INDEX('How This Works &amp; Sources'!$B$211:$J$214,0,7))*INDEX('How This Works &amp; Sources'!$B$211:$J$214,0,7+2)),IF($AN45="VT",IF($AU45="Married",SUMPRODUCT(($AZ45&gt;INDEX('How This Works &amp; Sources'!$B$228:$J$232,0,1))*($AZ45-INDEX('How This Works &amp; Sources'!$B$228:$J$232,0,1))*INDEX('How This Works &amp; Sources'!$B$228:$J$232,0,1+2)),SUMPRODUCT(($AZ45&gt;INDEX('How This Works &amp; Sources'!$B$219:$J$223,0,7))*($AZ45-INDEX('How This Works &amp; Sources'!$B$219:$J$223,0,7))*INDEX('How This Works &amp; Sources'!$B$219:$J$223,0,7+2))),IF($AN45="WV",IF($AU45="Married",SUMPRODUCT(($AZ45&gt;INDEX('How This Works &amp; Sources'!$B$237:$J$241,0,7))*($AZ45-INDEX('How This Works &amp; Sources'!$B$237:$J$241,0,7))*INDEX('How This Works &amp; Sources'!$B$237:$J$241,0,7+2)),SUMPRODUCT(($AZ45&gt;INDEX('How This Works &amp; Sources'!$B$228:$J$232,0,7))*($AZ45-INDEX('How This Works &amp; Sources'!$B$228:$J$232,0,7))*INDEX('How This Works &amp; Sources'!$B$228:$J$232,0,7+2))),""))))))))))</f>
      </c>
      <c r="BY45" s="7">
        <f>IF($B45="","",IF($AN45="AR",SUMPRODUCT(($AZ45&gt;INDEX('How This Works &amp; Sources'!$B$82:$J$86,0,7))*($AZ45-INDEX('How This Works &amp; Sources'!$B$82:$J$86,0,7))*INDEX('How This Works &amp; Sources'!$B$82:$J$86,0,7+2)),IF($AN45="DE",SUMPRODUCT(($AZ45&gt;INDEX('How This Works &amp; Sources'!$B$91:$J$98,0,1))*($AZ45-INDEX('How This Works &amp; Sources'!$B$91:$J$98,0,1))*INDEX('How This Works &amp; Sources'!$B$91:$J$98,0,1+2)),IF($AN45="HI",IF($AU45="Married",SUMPRODUCT(($AZ45&gt;INDEX('How This Works &amp; Sources'!$B$91:$J$98,0,7))*($AZ45-INDEX('How This Works &amp; Sources'!$B$91:$J$98,0,7))*INDEX('How This Works &amp; Sources'!$B$91:$J$98,0,7+2)),SUMPRODUCT(($AZ45&gt;INDEX('How This Works &amp; Sources'!$B$91:$J$98,0,4))*($AZ45-INDEX('How This Works &amp; Sources'!$B$91:$J$98,0,4))*INDEX('How This Works &amp; Sources'!$B$91:$J$98,0,4+2))),IF($AN45="SC",SUMPRODUCT(($AZ45&gt;INDEX('How This Works &amp; Sources'!$B$219:$J$223,0,1))*($AZ45-INDEX('How This Works &amp; Sources'!$B$219:$J$223,0,1))*INDEX('How This Works &amp; Sources'!$B$219:$J$223,0,1+2)),IF($AN45="VA",SUMPRODUCT(($AZ45&gt;INDEX('How This Works &amp; Sources'!$B$219:$J$223,0,4))*($AZ45-INDEX('How This Works &amp; Sources'!$B$219:$J$223,0,4))*INDEX('How This Works &amp; Sources'!$B$219:$J$223,0,4+2)),IF($AN45="WI",SUMPRODUCT(($AZ45&gt;INDEX('How This Works &amp; Sources'!$B$228:$J$232,0,4))*($AZ45-INDEX('How This Works &amp; Sources'!$B$228:$J$232,0,4))*INDEX('How This Works &amp; Sources'!$B$228:$J$232,0,4+2)),"")))))))</f>
      </c>
      <c r="BZ45" s="24">
        <f>IF($B45="","",IF($AN45="NJ",IF('Your Pay &amp; Benefits'!$C$77="B",SUMPRODUCT(($AZ45&gt;=INDEX('How This Works &amp; Sources'!$B$155:$J$162,0,4))*INDEX('How This Works &amp; Sources'!$B$155:$J$162,0,4+2)),IF('Your Pay &amp; Benefits'!$C$77="C",SUMPRODUCT(($AZ45&gt;=INDEX('How This Works &amp; Sources'!$B$155:$J$162,0,7))*INDEX('How This Works &amp; Sources'!$B$155:$J$162,0,7+2)),IF('Your Pay &amp; Benefits'!$C$77="D",SUMPRODUCT(($AZ45&gt;=INDEX('How This Works &amp; Sources'!$B$167:$J$179,0,1))*INDEX('How This Works &amp; Sources'!$B$167:$J$179,0,1+2)),IF('Your Pay &amp; Benefits'!$C$77="E",SUMPRODUCT(($AZ45&gt;=INDEX('How This Works &amp; Sources'!$B$167:$J$179,0,4))*INDEX('How This Works &amp; Sources'!$B$167:$J$179,0,4+2)),SUMPRODUCT(($AZ45&gt;=INDEX('How This Works &amp; Sources'!$B$155:$J$162,0,1))*INDEX('How This Works &amp; Sources'!$B$155:$J$162,0,1+2)))))),IF($AN45="OR",IF(OR($AU45="Married",AND($AU45="Single",$AS45&gt;=3)),SUMPRODUCT((MAX(0,$AY45-MIN(($P45-'How This Works &amp; Sources'!$C$10*$D45)*'Your Pay &amp; Benefits'!$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Sources'!$B$211:$J$214,0,4))*INDEX('How This Works &amp; Sources'!$B$211:$J$214,0,4+2)),SUMPRODUCT((MAX(0,$AY45-MIN(($P45-'How This Works &amp; Sources'!$C$10*$D45)*'Your Pay &amp; Benefits'!$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Sources'!$B$211:$J$214,0,1))*INDEX('How This Works &amp; Sources'!$B$211:$J$214,0,1+2)))*IF(($P45-'How This Works &amp; Sources'!$C$10*$D45)*'Your Pay &amp; Benefits'!$C$8&gt;=IF(OR($AU45="Married",AND($AU45="Single",$AS45&gt;=3)),IF($AY45&lt;250000,8750,IF($AY45&lt;260000,7000,IF($AY45&lt;270000,5250,IF($AY45&lt;280000,3500,IF($AY45&lt;290000,1750,0))))),IF($AY45&lt;125000,8750,IF($AY45&lt;130000,7000,IF($AY45&lt;135000,5250,IF($AY45&lt;140000,3500,IF($AY45&lt;145000,1750,0)))))),1,1-IF('Your Pay &amp; Benefits'!$C$13,SUMPRODUCT(($AH45&gt;=INDEX('How This Works &amp; Sources'!$B$29:$J$36,0,IF('Your Pay &amp; Benefits'!$C$12="MFJ",1,IF('Your Pay &amp; Benefits'!$C$12="HoH",7,4))))*INDEX('How This Works &amp; Sources'!$B$29:$J$36,0,IF('Your Pay &amp; Benefits'!$C$12="MFJ",1,IF('Your Pay &amp; Benefits'!$C$12="HoH",7,4))+2)),SUMPRODUCT(($AH45&gt;=INDEX('How This Works &amp; Sources'!$B$19:$J$26,0,IF('Your Pay &amp; Benefits'!$C$12="MFJ",1,IF('Your Pay &amp; Benefits'!$C$12="HoH",7,4))))*INDEX('How This Works &amp; Sources'!$B$19:$J$26,0,IF('Your Pay &amp; Benefits'!$C$12="MFJ",1,IF('Your Pay &amp; Benefits'!$C$12="HoH",7,4))+2)))),IF($AN45="MI",IF($AY45&gt;5900*$AS45,0.0425,0),""))))</f>
      </c>
      <c r="CA45" s="24">
        <f>IF($B45="","",IF($AN45="AL",IF(OR($AU45="Married",$AU45="Head of household"),SUMPRODUCT(($AZ45&gt;=INDEX('How This Works &amp; Sources'!$B$82:$J$86,0,4))*INDEX('How This Works &amp; Sources'!$B$82:$J$86,0,4+2)),SUMPRODUCT(($AZ45&gt;=INDEX('How This Works &amp; Sources'!$B$82:$J$86,0,1))*INDEX('How This Works &amp; Sources'!$B$82:$J$86,0,1+2)))*(1-IF('Your Pay &amp; Benefits'!$C$13,SUMPRODUCT(($AH45&gt;=INDEX('How This Works &amp; Sources'!$B$29:$J$36,0,IF('Your Pay &amp; Benefits'!$C$12="MFJ",1,IF('Your Pay &amp; Benefits'!$C$12="HoH",7,4))))*INDEX('How This Works &amp; Sources'!$B$29:$J$36,0,IF('Your Pay &amp; Benefits'!$C$12="MFJ",1,IF('Your Pay &amp; Benefits'!$C$12="HoH",7,4))+2)),SUMPRODUCT(($AH45&gt;=INDEX('How This Works &amp; Sources'!$B$19:$J$26,0,IF('Your Pay &amp; Benefits'!$C$12="MFJ",1,IF('Your Pay &amp; Benefits'!$C$12="HoH",7,4))))*INDEX('How This Works &amp; Sources'!$B$19:$J$26,0,IF('Your Pay &amp; Benefits'!$C$12="MFJ",1,IF('Your Pay &amp; Benefits'!$C$12="HoH",7,4))+2)))),IF($AN45="KS",IF($AU45="Married",SUMPRODUCT(($AZ45&gt;=INDEX('How This Works &amp; Sources'!$B$103:$J$109,0,4))*INDEX('How This Works &amp; Sources'!$B$103:$J$109,0,4+2)),SUMPRODUCT(($AZ45&gt;=INDEX('How This Works &amp; Sources'!$B$103:$J$109,0,1))*INDEX('How This Works &amp; Sources'!$B$103:$J$109,0,1+2))),IF($AN45="MD",IF(OR($AU45="Married",$AU45="Head of household"),SUMPRODUCT(($AZ45&gt;=INDEX('How This Works &amp; Sources'!$B$114:$J$120,0,1))*INDEX('How This Works &amp; Sources'!$B$114:$J$120,0,1+2)),SUMPRODUCT(($AZ45&gt;=INDEX('How This Works &amp; Sources'!$B$103:$J$109,0,7))*INDEX('How This Works &amp; Sources'!$B$103:$J$109,0,7+2)))+'Your Pay &amp; Benefits'!$C$74,IF($AN45="MT",IF($AU45="Head of household",SUMPRODUCT(($AZ45&gt;=INDEX('How This Works &amp; Sources'!$B$137:$J$139,0,1))*INDEX('How This Works &amp; Sources'!$B$137:$J$139,0,1+2)),IF($AU45="Married",SUMPRODUCT(($AZ45&gt;=INDEX('How This Works &amp; Sources'!$B$125:$J$132,0,7))*INDEX('How This Works &amp; Sources'!$B$125:$J$132,0,7+2)),SUMPRODUCT(($AZ45&gt;=INDEX('How This Works &amp; Sources'!$B$125:$J$132,0,4))*INDEX('How This Works &amp; Sources'!$B$125:$J$132,0,4+2)))),IF($AN45="ND",IF($AU45="Head of household",SUMPRODUCT(($AZ45&gt;=INDEX('How This Works &amp; Sources'!$B$144:$J$150,0,1))*INDEX('How This Works &amp; Sources'!$B$144:$J$150,0,1+2)),IF($AU45="Married",SUMPRODUCT(($AZ45&gt;=INDEX('How This Works &amp; Sources'!$B$137:$J$139,0,7))*INDEX('How This Works &amp; Sources'!$B$137:$J$139,0,7+2)),SUMPRODUCT(($AZ45&gt;=INDEX('How This Works &amp; Sources'!$B$137:$J$139,0,4))*INDEX('How This Works &amp; Sources'!$B$137:$J$139,0,4+2)))),IF($AN45="NY",IF($AU45="Married",IF($AZ45&gt;=2155350,IF($AZ45&gt;25000000,0.117,IF($AZ45&gt;5000000,0.111,0.1045)),SUMPRODUCT(($AZ45&gt;=INDEX('How This Works &amp; Sources'!$B$184:$J$198,0,1))*INDEX('How This Works &amp; Sources'!$B$184:$J$198,0,1+2))),IF($AZ45&gt;=1077550,IF($AZ45&gt;25000000,0.117,IF($AZ45&gt;5000000,0.111,0.1045)),SUMPRODUCT(($AZ45&gt;=INDEX('How This Works &amp; Sources'!$B$167:$J$179,0,7))*INDEX('How This Works &amp; Sources'!$B$167:$J$179,0,7+2)))),"")))))))</f>
      </c>
      <c r="CB45" s="24">
        <f>IF($B45="","",IF($AN45="CA",SUMPRODUCT(($AJ45&gt;=INDEX('How This Works &amp; Sources'!$B$39:$J$48,0,IF($AU45="Married",4,IF($AU45="Head of household",7,1))))*INDEX('How This Works &amp; Sources'!$B$39:$J$48,0,IF($AU45="Married",4,IF($AU45="Head of household",7,1))+2)),IF($AN45="HI",IF($AU45="Married",SUMPRODUCT(($AZ45&gt;=INDEX('How This Works &amp; Sources'!$B$91:$J$98,0,7))*INDEX('How This Works &amp; Sources'!$B$91:$J$98,0,7+2)),SUMPRODUCT(($AZ45&gt;=INDEX('How This Works &amp; Sources'!$B$91:$J$98,0,4))*INDEX('How This Works &amp; Sources'!$B$91:$J$98,0,4+2))),IF($AN45="MN",IF($AU45="Married",SUMPRODUCT(($AZ45&gt;=INDEX('How This Works &amp; Sources'!$B$114:$J$120,0,7))*INDEX('How This Works &amp; Sources'!$B$114:$J$120,0,7+2)),SUMPRODUCT(($AZ45&gt;=INDEX('How This Works &amp; Sources'!$B$114:$J$120,0,4))*INDEX('How This Works &amp; Sources'!$B$114:$J$120,0,4+2))),IF($AN45="MO",SUMPRODUCT(($AZ45&gt;=INDEX('How This Works &amp; Sources'!$B$125:$J$132,0,1))*INDEX('How This Works &amp; Sources'!$B$125:$J$132,0,1+2)),IF($AN45="NE",MAX(IF($AU45="Married",SUMPRODUCT(($AZ45&gt;=INDEX('How This Works &amp; Sources'!$B$144:$J$150,0,7))*INDEX('How This Works &amp; Sources'!$B$144:$J$150,0,7+2)),SUMPRODUCT(($AZ45&gt;=INDEX('How This Works &amp; Sources'!$B$144:$J$150,0,4))*INDEX('How This Works &amp; Sources'!$B$144:$J$150,0,4+2))),0.015),IF($AN45="OH",IF($B45&gt;=DATE(2026,8,1),SUMPRODUCT(($AZ45&gt;=INDEX('How This Works &amp; Sources'!$B$203:$J$206,0,1))*INDEX('How This Works &amp; Sources'!$B$203:$J$206,0,1+2)),SUMPRODUCT(($AZ45&gt;=INDEX('How This Works &amp; Sources'!$B$184:$J$198,0,7))*INDEX('How This Works &amp; Sources'!$B$184:$J$198,0,7+2))),IF($AN45="OK",IF($AU45="Married",SUMPRODUCT(($AZ45&gt;=INDEX('How This Works &amp; Sources'!$B$203:$J$206,0,7))*INDEX('How This Works &amp; Sources'!$B$203:$J$206,0,7+2)),SUMPRODUCT(($AZ45&gt;=INDEX('How This Works &amp; Sources'!$B$203:$J$206,0,4))*INDEX('How This Works &amp; Sources'!$B$203:$J$206,0,4+2))),IF($AN45="RI",SUMPRODUCT(($AZ45&gt;=INDEX('How This Works &amp; Sources'!$B$211:$J$214,0,7))*INDEX('How This Works &amp; Sources'!$B$211:$J$214,0,7+2)),IF($AN45="SC",SUMPRODUCT(($AZ45&gt;=INDEX('How This Works &amp; Sources'!$B$219:$J$223,0,1))*INDEX('How This Works &amp; Sources'!$B$219:$J$223,0,1+2)),IF($AN45="VT",IF($AU45="Married",SUMPRODUCT(($AZ45&gt;=INDEX('How This Works &amp; Sources'!$B$228:$J$232,0,1))*INDEX('How This Works &amp; Sources'!$B$228:$J$232,0,1+2)),SUMPRODUCT(($AZ45&gt;=INDEX('How This Works &amp; Sources'!$B$219:$J$223,0,7))*INDEX('How This Works &amp; Sources'!$B$219:$J$223,0,7+2))),IF($AN45="WV",IF($AU45="Married",SUMPRODUCT(($AZ45&gt;=INDEX('How This Works &amp; Sources'!$B$237:$J$241,0,7))*INDEX('How This Works &amp; Sources'!$B$237:$J$241,0,7+2)),SUMPRODUCT(($AZ45&gt;=INDEX('How This Works &amp; Sources'!$B$228:$J$232,0,7))*INDEX('How This Works &amp; Sources'!$B$228:$J$232,0,7+2))),IF($AN45="IN",(0.0295+'Your Pay &amp; Benefits'!$C$76),"")))))))))))))</f>
      </c>
      <c r="CC45" s="24">
        <f>IF($B45="","",IF($AN45="AR",SUMPRODUCT(($AZ45&gt;=INDEX('How This Works &amp; Sources'!$B$82:$J$86,0,7))*INDEX('How This Works &amp; Sources'!$B$82:$J$86,0,7+2)),IF($AN45="DE",SUMPRODUCT(($AZ45&gt;=INDEX('How This Works &amp; Sources'!$B$91:$J$98,0,1))*INDEX('How This Works &amp; Sources'!$B$91:$J$98,0,1+2)),IF($AN45="VA",SUMPRODUCT(($AZ45&gt;=INDEX('How This Works &amp; Sources'!$B$219:$J$223,0,4))*INDEX('How This Works &amp; Sources'!$B$219:$J$223,0,4+2)),IF($AN45="WI",SUMPRODUCT(($AZ45&gt;=INDEX('How This Works &amp; Sources'!$B$228:$J$232,0,4))*INDEX('How This Works &amp; Sources'!$B$228:$J$232,0,4+2)),IF($AN45="AZ",'Your Pay &amp; Benefits'!$C$82,IF($AN45="CO",IF($AY45&gt;IF($AU45="Married",10000,5000),0.044,0),IF($AN45="IA",IF($AY45&gt;IF($AU45="Head of household",19500,IF($AU45="Married",26000,13000)),0.038,0),IF($AN45="ID",IF($AY45&gt;IF($AU45="Married",32000,16094),0.053,0),IF($AN45="IL",IF($AY45&gt;(2925*$AS45+1000*$AT45),0.0495,0),IF($AN45="KY",IF($AI45&gt;3360,0.035,0),IF($AN45="LA",0.0309,IF($AN45="MA",IF(MAX(0,$AY45-MIN(($BD44+$Q45+$R45+$S45),2000)-IF($AS45=0,0,IF($AS45=1,4400,1000*$AS45+3400)))&gt;=1107750,0.09,0.05),IF($AN45="MS",IF($AI45-IF($AU45="Head of household",3400,IF($AU45="Married",4600,2300))-'Your Pay &amp; Benefits'!$C$85&gt;10000,0.04,0),IF($AN45="PA",0.0307,"")))))))))))))))</f>
      </c>
      <c r="CD45" s="21">
        <f>IF(YEAR(IF('Your Pay &amp; Benefits'!$C$7="Weekly",'Your Pay &amp; Benefits'!$C$9+7*(($BE44+1)-1),IF('Your Pay &amp; Benefits'!$C$7="Biweekly",'Your Pay &amp; Benefits'!$C$9+14*(($BE44+1)-1),IF('Your Pay &amp; Benefits'!$C$7="Semimonthly",DATE(YEAR('Your Pay &amp; Benefits'!$C$9),MONTH('Your Pay &amp; Benefits'!$C$9)+INT((($BE44+1)-1)/2),MIN(DAY('Your Pay &amp; Benefits'!$C$9),DAY(EOMONTH(DATE(YEAR('Your Pay &amp; Benefits'!$C$9),MONTH('Your Pay &amp; Benefits'!$C$9)+INT((($BE44+1)-1)/2),1),0))))+IF(MOD(($BE44+1)-1,2)=1,15,0),EDATE('Your Pay &amp; Benefits'!$C$9,($BE44+1)-1)))))&lt;&gt;'Your Pay &amp; Benefits'!$C$10,"",IF('Your Pay &amp; Benefits'!$C$7="Weekly",'Your Pay &amp; Benefits'!$C$9+7*(($BE44+1)-1),IF('Your Pay &amp; Benefits'!$C$7="Biweekly",'Your Pay &amp; Benefits'!$C$9+14*(($BE44+1)-1),IF('Your Pay &amp; Benefits'!$C$7="Semimonthly",DATE(YEAR('Your Pay &amp; Benefits'!$C$9),MONTH('Your Pay &amp; Benefits'!$C$9)+INT((($BE44+1)-1)/2),MIN(DAY('Your Pay &amp; Benefits'!$C$9),DAY(EOMONTH(DATE(YEAR('Your Pay &amp; Benefits'!$C$9),MONTH('Your Pay &amp; Benefits'!$C$9)+INT((($BE44+1)-1)/2),1),0))))+IF(MOD(($BE44+1)-1,2)=1,15,0),EDATE('Your Pay &amp; Benefits'!$C$9,($BE44+1)-1)))))</f>
      </c>
      <c r="CE45" s="21">
        <f>IF(MIN(IF(AND('Your Pay &amp; Benefits'!$C$58&gt;MAX($B$6:$B44),'Your Pay &amp; Benefits'!$C$58&gt;=DATE('Your Pay &amp; Benefits'!$C$10,1,1),'Your Pay &amp; Benefits'!$C$58&lt;=DATE('Your Pay &amp; Benefits'!$C$10,12,31)),'Your Pay &amp; Benefits'!$C$58,999999),IF(AND('Your Pay &amp; Benefits'!$C$59&gt;MAX($B$6:$B44),'Your Pay &amp; Benefits'!$C$59&gt;=DATE('Your Pay &amp; Benefits'!$C$10,1,1),'Your Pay &amp; Benefits'!$C$59&lt;=DATE('Your Pay &amp; Benefits'!$C$10,12,31)),'Your Pay &amp; Benefits'!$C$59,999999),IF(AND('Your Pay &amp; Benefits'!$C$60&gt;MAX($B$6:$B44),'Your Pay &amp; Benefits'!$C$60&gt;=DATE('Your Pay &amp; Benefits'!$C$10,1,1),'Your Pay &amp; Benefits'!$C$60&lt;=DATE('Your Pay &amp; Benefits'!$C$10,12,31)),'Your Pay &amp; Benefits'!$C$60,999999),IF(AND('Your Pay &amp; Benefits'!$C$61&gt;MAX($B$6:$B44),'Your Pay &amp; Benefits'!$C$61&gt;=DATE('Your Pay &amp; Benefits'!$C$10,1,1),'Your Pay &amp; Benefits'!$C$61&lt;=DATE('Your Pay &amp; Benefits'!$C$10,12,31)),'Your Pay &amp; Benefits'!$C$61,999999),IF(AND('Your Pay &amp; Benefits'!$C$62&gt;MAX($B$6:$B44),'Your Pay &amp; Benefits'!$C$62&gt;=DATE('Your Pay &amp; Benefits'!$C$10,1,1),'Your Pay &amp; Benefits'!$C$62&lt;=DATE('Your Pay &amp; Benefits'!$C$10,12,31)),'Your Pay &amp; Benefits'!$C$62,999999),IF(AND('Your Pay &amp; Benefits'!$C$63&gt;MAX($B$6:$B44),'Your Pay &amp; Benefits'!$C$63&gt;=DATE('Your Pay &amp; Benefits'!$C$10,1,1),'Your Pay &amp; Benefits'!$C$63&lt;=DATE('Your Pay &amp; Benefits'!$C$10,12,31)),'Your Pay &amp; Benefits'!$C$63,999999),IF(AND('Your Pay &amp; Benefits'!$C$64&gt;MAX($B$6:$B44),'Your Pay &amp; Benefits'!$C$64&gt;=DATE('Your Pay &amp; Benefits'!$C$10,1,1),'Your Pay &amp; Benefits'!$C$64&lt;=DATE('Your Pay &amp; Benefits'!$C$10,12,31)),'Your Pay &amp; Benefits'!$C$64,999999),IF(AND('Your Pay &amp; Benefits'!$C$65&gt;MAX($B$6:$B44),'Your Pay &amp; Benefits'!$C$65&gt;=DATE('Your Pay &amp; Benefits'!$C$10,1,1),'Your Pay &amp; Benefits'!$C$65&lt;=DATE('Your Pay &amp; Benefits'!$C$10,12,31)),'Your Pay &amp; Benefits'!$C$65,999999),IF(AND('Your Pay &amp; Benefits'!$C$66&gt;MAX($B$6:$B44),'Your Pay &amp; Benefits'!$C$66&gt;=DATE('Your Pay &amp; Benefits'!$C$10,1,1),'Your Pay &amp; Benefits'!$C$66&lt;=DATE('Your Pay &amp; Benefits'!$C$10,12,31)),'Your Pay &amp; Benefits'!$C$66,999999),IF(AND('Your Pay &amp; Benefits'!$C$67&gt;MAX($B$6:$B44),'Your Pay &amp; Benefits'!$C$67&gt;=DATE('Your Pay &amp; Benefits'!$C$10,1,1),'Your Pay &amp; Benefits'!$C$67&lt;=DATE('Your Pay &amp; Benefits'!$C$10,12,31)),'Your Pay &amp; Benefits'!$C$67,999999))=999999,"",MIN(IF(AND('Your Pay &amp; Benefits'!$C$58&gt;MAX($B$6:$B44),'Your Pay &amp; Benefits'!$C$58&gt;=DATE('Your Pay &amp; Benefits'!$C$10,1,1),'Your Pay &amp; Benefits'!$C$58&lt;=DATE('Your Pay &amp; Benefits'!$C$10,12,31)),'Your Pay &amp; Benefits'!$C$58,999999),IF(AND('Your Pay &amp; Benefits'!$C$59&gt;MAX($B$6:$B44),'Your Pay &amp; Benefits'!$C$59&gt;=DATE('Your Pay &amp; Benefits'!$C$10,1,1),'Your Pay &amp; Benefits'!$C$59&lt;=DATE('Your Pay &amp; Benefits'!$C$10,12,31)),'Your Pay &amp; Benefits'!$C$59,999999),IF(AND('Your Pay &amp; Benefits'!$C$60&gt;MAX($B$6:$B44),'Your Pay &amp; Benefits'!$C$60&gt;=DATE('Your Pay &amp; Benefits'!$C$10,1,1),'Your Pay &amp; Benefits'!$C$60&lt;=DATE('Your Pay &amp; Benefits'!$C$10,12,31)),'Your Pay &amp; Benefits'!$C$60,999999),IF(AND('Your Pay &amp; Benefits'!$C$61&gt;MAX($B$6:$B44),'Your Pay &amp; Benefits'!$C$61&gt;=DATE('Your Pay &amp; Benefits'!$C$10,1,1),'Your Pay &amp; Benefits'!$C$61&lt;=DATE('Your Pay &amp; Benefits'!$C$10,12,31)),'Your Pay &amp; Benefits'!$C$61,999999),IF(AND('Your Pay &amp; Benefits'!$C$62&gt;MAX($B$6:$B44),'Your Pay &amp; Benefits'!$C$62&gt;=DATE('Your Pay &amp; Benefits'!$C$10,1,1),'Your Pay &amp; Benefits'!$C$62&lt;=DATE('Your Pay &amp; Benefits'!$C$10,12,31)),'Your Pay &amp; Benefits'!$C$62,999999),IF(AND('Your Pay &amp; Benefits'!$C$63&gt;MAX($B$6:$B44),'Your Pay &amp; Benefits'!$C$63&gt;=DATE('Your Pay &amp; Benefits'!$C$10,1,1),'Your Pay &amp; Benefits'!$C$63&lt;=DATE('Your Pay &amp; Benefits'!$C$10,12,31)),'Your Pay &amp; Benefits'!$C$63,999999),IF(AND('Your Pay &amp; Benefits'!$C$64&gt;MAX($B$6:$B44),'Your Pay &amp; Benefits'!$C$64&gt;=DATE('Your Pay &amp; Benefits'!$C$10,1,1),'Your Pay &amp; Benefits'!$C$64&lt;=DATE('Your Pay &amp; Benefits'!$C$10,12,31)),'Your Pay &amp; Benefits'!$C$64,999999),IF(AND('Your Pay &amp; Benefits'!$C$65&gt;MAX($B$6:$B44),'Your Pay &amp; Benefits'!$C$65&gt;=DATE('Your Pay &amp; Benefits'!$C$10,1,1),'Your Pay &amp; Benefits'!$C$65&lt;=DATE('Your Pay &amp; Benefits'!$C$10,12,31)),'Your Pay &amp; Benefits'!$C$65,999999),IF(AND('Your Pay &amp; Benefits'!$C$66&gt;MAX($B$6:$B44),'Your Pay &amp; Benefits'!$C$66&gt;=DATE('Your Pay &amp; Benefits'!$C$10,1,1),'Your Pay &amp; Benefits'!$C$66&lt;=DATE('Your Pay &amp; Benefits'!$C$10,12,31)),'Your Pay &amp; Benefits'!$C$66,999999),IF(AND('Your Pay &amp; Benefits'!$C$67&gt;MAX($B$6:$B44),'Your Pay &amp; Benefits'!$C$67&gt;=DATE('Your Pay &amp; Benefits'!$C$10,1,1),'Your Pay &amp; Benefits'!$C$67&lt;=DATE('Your Pay &amp; Benefits'!$C$10,12,31)),'Your Pay &amp; Benefits'!$C$67,999999)))</f>
      </c>
      <c r="CF45">
        <f>IF($B45="","",IF($D45=0,$Y45,""))</f>
      </c>
    </row>
    <row r="46">
      <c r="A46" t="n">
        <v>41</v>
      </c>
      <c r="B46" s="21">
        <f>IF(AND($CD46="",$CE46=""),"",IF($CE46="",$CD46,IF($CD46="",$CE46,MIN($CD46,$CE46))))</f>
      </c>
      <c r="C46" s="7">
        <f>IF($B46="","",IF($BF46=0,0,IF('Your Pay &amp; Benefits'!$C$4="Annual salary",ROUND($AK46/IF(AND('Your Pay &amp; Benefits'!$C$88="Actual paydays",MONTH('Your Pay &amp; Benefits'!$C$9)=1),MAX(1,MAX($BE$6:$BE$68)),'Your Pay &amp; Benefits'!$C$8),2),$AK46)))</f>
      </c>
      <c r="D46" s="7">
        <f>IF($B46="","",SUMIF('Your Pay &amp; Benefits'!$C$58:$C$67,$B46,'Your Pay &amp; Benefits'!$D$58:$D$67))</f>
      </c>
      <c r="E46" s="7">
        <f>IF($B46="","",ROUND(MAX(0,MIN(IF($AL46="Percent",$AM46*($C46+$D46),$AM46),MAX(0,'Your Pay &amp; Benefits'!$C$34-$AC45))),2))</f>
      </c>
      <c r="F46" s="7">
        <f>IF($B46="","",ROUND(MAX(0,MIN(IF('Your Pay &amp; Benefits'!$C$32="Percent",'Your Pay &amp; Benefits'!$D$32*($C46+$D46),'Your Pay &amp; Benefits'!$D$32),MAX(0,'Your Pay &amp; Benefits'!$C$34-$AC45-$E46))),2))</f>
      </c>
      <c r="G46" s="7">
        <f>IF($B46="","",IF($BF46=0,0,ROUND(MAX(0,MIN($BL46,'Your Pay &amp; Benefits'!$C$37-'Your Pay &amp; Benefits'!$C$54-$BI45)),2)))</f>
      </c>
      <c r="H46" s="7">
        <f>IF($B46="","",IF(OR($BF46=0,$BQ46=1),0,ROUND(MAX(0,MIN(IF($BS46=1,ROUND(MAX(0,MIN($BJ46,'How This Works &amp; Sources'!$C$13)-$BG45)/MAX(1,MAX($BE$6:$BE$68)-($BE45)),2),ROUND(MIN($BJ46,'How This Works &amp; Sources'!$C$13)/'Your Pay &amp; Benefits'!$C$8,2)),MIN($BJ46,'How This Works &amp; Sources'!$C$13)-$BG45)),2)))</f>
      </c>
      <c r="I46" s="7">
        <f>IF($B46="","",IF(OR($BF46=0,$BR46=1),0,ROUND(MAX(0,MIN(IF($BT46=1,ROUND(MAX(0,MIN($BK46,IF('Your Pay &amp; Benefits'!$C$12="MFJ",'How This Works &amp; Sources'!$C$14,'How This Works &amp; Sources'!$C$15))-$BH45)/MAX(1,MAX($BE$6:$BE$68)-($BE45)),2),ROUND(MIN($BK46,IF('Your Pay &amp; Benefits'!$C$12="MFJ",'How This Works &amp; Sources'!$C$14,'How This Works &amp; Sources'!$C$15))/'Your Pay &amp; Benefits'!$C$8,2)),MIN($BK46,IF('Your Pay &amp; Benefits'!$C$12="MFJ",'How This Works &amp; Sources'!$C$14,'How This Works &amp; Sources'!$C$15))-$BH45)),2)))</f>
      </c>
      <c r="J46" s="7">
        <f>IF($B46="","",IF($BF46=0,0,$BM46))</f>
      </c>
      <c r="K46" s="7">
        <f>IF($B46="","",IF($BF46=0,0,$BN46+$BO46))</f>
      </c>
      <c r="L46" s="7">
        <f>IF($B46="","",IF($BF46=0,0,'Your Pay &amp; Benefits'!$D$46))</f>
      </c>
      <c r="M46" s="7">
        <f>IF($B46="","",$C46+$D46+$L46-$E46-$G46-$H46-$I46-$J46-$K46)</f>
      </c>
      <c r="N46" s="7">
        <f>IF($B46="","",$C46+$D46+$L46-$G46-$H46-$I46-$J46-$K46)</f>
      </c>
      <c r="O46" s="7">
        <f>IF($B46="","",$C46+$D46+$L46-$E46-$H46-$I46-$J46-$K46-IF(OR($AN46="CA",$AN46="NJ"),0,$G46))</f>
      </c>
      <c r="P46" s="7">
        <f>IF($B46="","",IF('Your Pay &amp; Benefits'!$C$18,0,ROUND(MAX(0,IF('Your Pay &amp; Benefits'!$C$13,SUMPRODUCT(($AH46&gt;INDEX('How This Works &amp; Sources'!$B$29:$J$36,0,IF('Your Pay &amp; Benefits'!$C$12="MFJ",1,IF('Your Pay &amp; Benefits'!$C$12="HoH",7,4))))*($AH46-INDEX('How This Works &amp; Sources'!$B$29:$J$36,0,IF('Your Pay &amp; Benefits'!$C$12="MFJ",1,IF('Your Pay &amp; Benefits'!$C$12="HoH",7,4))))*INDEX('How This Works &amp; Sources'!$B$29:$J$36,0,IF('Your Pay &amp; Benefits'!$C$12="MFJ",1,IF('Your Pay &amp; Benefits'!$C$12="HoH",7,4))+2)),SUMPRODUCT(($AH46&gt;INDEX('How This Works &amp; Sources'!$B$19:$J$26,0,IF('Your Pay &amp; Benefits'!$C$12="MFJ",1,IF('Your Pay &amp; Benefits'!$C$12="HoH",7,4))))*($AH46-INDEX('How This Works &amp; Sources'!$B$19:$J$26,0,IF('Your Pay &amp; Benefits'!$C$12="MFJ",1,IF('Your Pay &amp; Benefits'!$C$12="HoH",7,4))))*INDEX('How This Works &amp; Sources'!$B$19:$J$26,0,IF('Your Pay &amp; Benefits'!$C$12="MFJ",1,IF('Your Pay &amp; Benefits'!$C$12="HoH",7,4))+2)))/'Your Pay &amp; Benefits'!$C$8-$AO46/'Your Pay &amp; Benefits'!$C$8)+$AR46+IF('Your Pay &amp; Benefits'!$C$89="Aggregate",MAX(0,IF('Your Pay &amp; Benefits'!$C$13,SUMPRODUCT((($AH46+$D46)&gt;INDEX('How This Works &amp; Sources'!$B$29:$J$36,0,IF('Your Pay &amp; Benefits'!$C$12="MFJ",1,IF('Your Pay &amp; Benefits'!$C$12="HoH",7,4))))*(($AH46+$D46)-INDEX('How This Works &amp; Sources'!$B$29:$J$36,0,IF('Your Pay &amp; Benefits'!$C$12="MFJ",1,IF('Your Pay &amp; Benefits'!$C$12="HoH",7,4))))*INDEX('How This Works &amp; Sources'!$B$29:$J$36,0,IF('Your Pay &amp; Benefits'!$C$12="MFJ",1,IF('Your Pay &amp; Benefits'!$C$12="HoH",7,4))+2)),SUMPRODUCT((($AH46+$D46)&gt;INDEX('How This Works &amp; Sources'!$B$19:$J$26,0,IF('Your Pay &amp; Benefits'!$C$12="MFJ",1,IF('Your Pay &amp; Benefits'!$C$12="HoH",7,4))))*(($AH46+$D46)-INDEX('How This Works &amp; Sources'!$B$19:$J$26,0,IF('Your Pay &amp; Benefits'!$C$12="MFJ",1,IF('Your Pay &amp; Benefits'!$C$12="HoH",7,4))))*INDEX('How This Works &amp; Sources'!$B$19:$J$26,0,IF('Your Pay &amp; Benefits'!$C$12="MFJ",1,IF('Your Pay &amp; Benefits'!$C$12="HoH",7,4))+2)))-IF('Your Pay &amp; Benefits'!$C$13,SUMPRODUCT(($AH46&gt;INDEX('How This Works &amp; Sources'!$B$29:$J$36,0,IF('Your Pay &amp; Benefits'!$C$12="MFJ",1,IF('Your Pay &amp; Benefits'!$C$12="HoH",7,4))))*($AH46-INDEX('How This Works &amp; Sources'!$B$29:$J$36,0,IF('Your Pay &amp; Benefits'!$C$12="MFJ",1,IF('Your Pay &amp; Benefits'!$C$12="HoH",7,4))))*INDEX('How This Works &amp; Sources'!$B$29:$J$36,0,IF('Your Pay &amp; Benefits'!$C$12="MFJ",1,IF('Your Pay &amp; Benefits'!$C$12="HoH",7,4))+2)),SUMPRODUCT(($AH46&gt;INDEX('How This Works &amp; Sources'!$B$19:$J$26,0,IF('Your Pay &amp; Benefits'!$C$12="MFJ",1,IF('Your Pay &amp; Benefits'!$C$12="HoH",7,4))))*($AH46-INDEX('How This Works &amp; Sources'!$B$19:$J$26,0,IF('Your Pay &amp; Benefits'!$C$12="MFJ",1,IF('Your Pay &amp; Benefits'!$C$12="HoH",7,4))))*INDEX('How This Works &amp; Sources'!$B$19:$J$26,0,IF('Your Pay &amp; Benefits'!$C$12="MFJ",1,IF('Your Pay &amp; Benefits'!$C$12="HoH",7,4))+2)))),'How This Works &amp; Sources'!$C$10*$D46),2)))</f>
      </c>
      <c r="Q46" s="7">
        <f>IF($B46="","",ROUND('How This Works &amp; Sources'!$C$4*MIN($N46,MAX(0,'How This Works &amp; Sources'!$C$3-($AX46+$AB45-$AW46))),2))</f>
      </c>
      <c r="R46" s="7">
        <f>IF($B46="","",ROUND('How This Works &amp; Sources'!$C$5*$N46,2))</f>
      </c>
      <c r="S46" s="7">
        <f>IF($B46="","",ROUND('How This Works &amp; Sources'!$C$6*MAX(0,MIN($N46,$AG45+$N46-'How This Works &amp; Sources'!$C$7)),2))</f>
      </c>
      <c r="T46" s="7">
        <f>IF($B46="","",IF('Your Pay &amp; Benefits'!$C$26,0,IF($AN46="CA",ROUND(IF($AI46&lt;=IF(($AS46+$AT46)&gt;=2,VLOOKUP($AN46,StateTables!$A$6:$AB$56,10,FALSE),VLOOKUP($AN46,StateTables!$A$6:$AB$56,9,FALSE)),0,MAX(0,SUMPRODUCT(($AJ46&gt;INDEX('How This Works &amp; Sources'!$B$39:$J$48,0,IF($AU46="Married",4,IF($AU46="Head of household",7,1))))*($AJ46-INDEX('How This Works &amp; Sources'!$B$39:$J$48,0,IF($AU46="Married",4,IF($AU46="Head of household",7,1))))*INDEX('How This Works &amp; Sources'!$B$39:$J$48,0,IF($AU46="Married",4,IF($AU46="Head of household",7,1))+2))-VLOOKUP($AN46,StateTables!$A$6:$AB$56,11,FALSE)*$AS46)/'Your Pay &amp; Benefits'!$C$8)+'Your Pay &amp; Benefits'!$C$25+VLOOKUP($AN46,StateTables!$A$6:$AB$56,13,FALSE)*$D46,2),IF(VLOOKUP($AN46,StateTables!$A$6:$AB$56,4,FALSE)="None",0,IF(ISNUMBER(SEARCH("MANUAL",VLOOKUP($AN46,StateTables!$A$6:$AB$56,5,FALSE))),'Your Pay &amp; Benefits'!$C$28,ROUND(MAX(0,$BA46+$BB46)/'Your Pay &amp; Benefits'!$C$8+'Your Pay &amp; Benefits'!$C$25+$BC46,2))))))</f>
      </c>
      <c r="U46" s="7">
        <f>IF($B46="","",IF(VLOOKUP($AN46,StateTables!$A$6:$AB$56,24,FALSE)="flatq",IF(OR(MONTH($B46)=1,MONTH($B46)=4,MONTH($B46)=7,MONTH($B46)=10),VLOOKUP($AN46,StateTables!$A$6:$AB$56,25,FALSE),0),IF(VLOOKUP($AN46,StateTables!$A$6:$AB$56,24,FALSE)="dbl",MIN(ROUND(0.005*$N46,2),ROUND(0.6*52/'Your Pay &amp; Benefits'!$C$8,2)),IF(OR(VLOOKUP($AN46,StateTables!$A$6:$AB$56,15,FALSE)="",VLOOKUP($AN46,StateTables!$A$6:$AB$56,15,FALSE)=0),0,ROUND(VLOOKUP($AN46,StateTables!$A$6:$AB$56,15,FALSE)*IF(OR(VLOOKUP($AN46,StateTables!$A$6:$AB$56,16,FALSE)="",VLOOKUP($AN46,StateTables!$A$6:$AB$56,16,FALSE)=0),$N46,MIN($N46,MAX(0,VLOOKUP($AN46,StateTables!$A$6:$AB$56,16,FALSE)-($AX46+$AB45-$AW46)))),2))))+IF(VLOOKUP($AN46,StateTables!$A$6:$AB$56,27,FALSE)="flatq",IF(OR(MONTH($B46)=1,MONTH($B46)=4,MONTH($B46)=7,MONTH($B46)=10),VLOOKUP($AN46,StateTables!$A$6:$AB$56,28,FALSE),0),IF(VLOOKUP($AN46,StateTables!$A$6:$AB$56,27,FALSE)="dbl",MIN(ROUND(0.005*$N46,2),ROUND(0.6*52/'Your Pay &amp; Benefits'!$C$8,2)),IF(OR(VLOOKUP($AN46,StateTables!$A$6:$AB$56,18,FALSE)="",VLOOKUP($AN46,StateTables!$A$6:$AB$56,18,FALSE)=0),0,ROUND(VLOOKUP($AN46,StateTables!$A$6:$AB$56,18,FALSE)*IF(OR(VLOOKUP($AN46,StateTables!$A$6:$AB$56,19,FALSE)="",VLOOKUP($AN46,StateTables!$A$6:$AB$56,19,FALSE)=0),$N46,MIN($N46,MAX(0,VLOOKUP($AN46,StateTables!$A$6:$AB$56,19,FALSE)-($AX46+$AB45-$AW46)))),2)))))</f>
      </c>
      <c r="V46" s="7">
        <f>IF($B46="","",IF($AN46="NY",IF('Your Pay &amp; Benefits'!$C$78,ROUND(SUMPRODUCT((MAX(0,($O46-$D46)*'Your Pay &amp; Benefits'!$C$8-(IF($AU46="Married",5500,5000)+1000*$AS46))&gt;INDEX('How This Works &amp; Sources'!$B$184:$J$198,0,4))*(MAX(0,($O46-$D46)*'Your Pay &amp; Benefits'!$C$8-(IF($AU46="Married",5500,5000)+1000*$AS46))-INDEX('How This Works &amp; Sources'!$B$184:$J$198,0,4))*INDEX('How This Works &amp; Sources'!$B$184:$J$198,0,4+2))/'Your Pay &amp; Benefits'!$C$8+0.0425*$D46,2),0)+IF('Your Pay &amp; Benefits'!$C$79="Resident",ROUND(0.1675*$T46,2),IF('Your Pay &amp; Benefits'!$C$79="Nonresident",ROUND(0.005*MAX(0,($O46-$D46)-(IF($AU46="Married",7950,7400)+1000*$AS46)/'Your Pay &amp; Benefits'!$C$8),2),0)),IF($AN46="PA",IF('Your Pay &amp; Benefits'!$C$80="None",'Your Pay &amp; Benefits'!$C$27+ROUND('Your Pay &amp; Benefits'!$C$81*($C46+$D46),2),ROUND(IF('Your Pay &amp; Benefits'!$C$80="Resident",IF($B46&lt;DATE(2026,7,1),0.0374,0.03735),IF($B46&lt;DATE(2026,7,1),0.0343,0.03425))*($C46+$D46),2)),IF($BF46=0,ROUND('Your Pay &amp; Benefits'!$C$81*($C46+$D46),2),'Your Pay &amp; Benefits'!$C$27+ROUND('Your Pay &amp; Benefits'!$C$81*($C46+$D46),2)))))</f>
      </c>
      <c r="W46" s="7">
        <f>IF($B46="","",IF($BF46=0,0,$BP46))</f>
      </c>
      <c r="X46" s="7">
        <f>IF($B46="","",SUM($E46:$K46)+$P46+$Q46+$R46+$S46+$T46+$U46+$V46+$W46)</f>
      </c>
      <c r="Y46" s="22">
        <f>IF($B46="","",$C46+$D46-$X46)</f>
      </c>
      <c r="Z46" s="7">
        <f>IF($B46="","",$Z45+$C46+$D46)</f>
      </c>
      <c r="AA46" s="7">
        <f>IF($B46="","",$AA45+$Y46)</f>
      </c>
      <c r="AB46" s="7">
        <f>IF($B46="","",$AB45+MIN($N46,MAX(0,'How This Works &amp; Sources'!$C$3-($AX46+$AB45-$AW46))))</f>
      </c>
      <c r="AC46" s="7">
        <f>IF($B46="","",$AC45+$E46+$F46)</f>
      </c>
      <c r="AD46" s="3">
        <f>IF($B46="","",IF(AND($AB45&lt;'How This Works &amp; Sources'!$C$3,$AB46&gt;='How This Works &amp; Sources'!$C$3),"★ Social Security maxed on this check — from the next check your net rises by about $"&amp;TEXT(ROUND('How This Works &amp; Sources'!$C$4*$N46,2),"#,##0.00")&amp;". ","")&amp;IF(AND($AC45&lt;'Your Pay &amp; Benefits'!$C$34,$AC46&gt;='Your Pay &amp; Benefits'!$C$34),"★ 401(k) reaches the $"&amp;TEXT('Your Pay &amp; Benefits'!$C$34,"#,##0")&amp;" cap on this check — deferrals stop and net pay rises. ","")&amp;IF(AND($AG45&lt;'How This Works &amp; Sources'!$C$7,$AG46&gt;='How This Works &amp; Sources'!$C$7),"★ Wages pass $200,000 — the 0.9% Additional Medicare Tax starts here. ","")&amp;IF(AND($BJ46&gt;0,$H46&gt;0,$BG45&lt;MIN($BJ46,'How This Works &amp; Sources'!$C$13),$BG45+$H46&gt;=MIN($BJ46,'How This Works &amp; Sources'!$C$13)),"★ Health FSA election is now fully deferred for the year. ",""))</f>
      </c>
      <c r="AE46" s="41" t="n"/>
      <c r="AF46" s="7">
        <f>IF(OR($B46="",$AE46=""),"",$AE46-$Y46)</f>
      </c>
      <c r="AG46" s="7">
        <f>IF($B46="","",$AG45+$N46)</f>
      </c>
      <c r="AH46" s="7">
        <f>IF($B46="","",MAX(0,($M46-$D46)*'Your Pay &amp; Benefits'!$C$8+$AP46-$AQ46-IF('Your Pay &amp; Benefits'!$C$13,0,IF('Your Pay &amp; Benefits'!$C$12="MFJ",'How This Works &amp; Sources'!$C$8,'How This Works &amp; Sources'!$C$9))))</f>
      </c>
      <c r="AI46" s="7">
        <f>IF($B46="","",$O46*'Your Pay &amp; Benefits'!$C$8)</f>
      </c>
      <c r="AJ46" s="7">
        <f>IF($B46="","",MAX(0,$AI46-VLOOKUP($AN46,StateTables!$A$6:$AB$56,12,FALSE)*$AT46-IF(($AS46+$AT46)&gt;=2,VLOOKUP($AN46,StateTables!$A$6:$AB$56,8,FALSE),VLOOKUP($AN46,StateTables!$A$6:$AB$56,7,FALSE))))</f>
      </c>
      <c r="AK46" s="7">
        <f>IF($B46="","",IFERROR(LOOKUP(2,1/(('Changes &amp; Events'!$C$6:$C$17="Salary change")*('Changes &amp; Events'!$B$6:$B$17&lt;=$B46)*('Changes &amp; Events'!$B$6:$B$17&lt;&gt;"")),'Changes &amp; Events'!$D$6:$D$17),IF('Your Pay &amp; Benefits'!$C$4="Annual salary",'Your Pay &amp; Benefits'!$C$5,'Your Pay &amp; Benefits'!$C$6)))</f>
      </c>
      <c r="AL46">
        <f>IF($B46="","",IFERROR(LOOKUP(2,1/(('Changes &amp; Events'!$C$6:$C$17="401(k) change")*('Changes &amp; Events'!$B$6:$B$17&lt;=$B46)*('Changes &amp; Events'!$B$6:$B$17&lt;&gt;"")),'Changes &amp; Events'!$D$6:$D$17),'Your Pay &amp; Benefits'!$C$30))</f>
      </c>
      <c r="AM46" s="7">
        <f>IF($B46="","",IFERROR(LOOKUP(2,1/(('Changes &amp; Events'!$C$6:$C$17="401(k) change")*('Changes &amp; Events'!$B$6:$B$17&lt;=$B46)*('Changes &amp; Events'!$B$6:$B$17&lt;&gt;"")),'Changes &amp; Events'!$E$6:$E$17),'Your Pay &amp; Benefits'!$D$31))</f>
      </c>
      <c r="AN46">
        <f>IF($B46="","",IFERROR(LOOKUP(2,1/(('Changes &amp; Events'!$C$6:$C$17="State move")*('Changes &amp; Events'!$B$6:$B$17&lt;=$B46)*('Changes &amp; Events'!$B$6:$B$17&lt;&gt;"")),'Changes &amp; Events'!$D$6:$D$17),'Your Pay &amp; Benefits'!$C$21))</f>
      </c>
      <c r="AO46" s="7">
        <f>IF($B46="","",IFERROR(LOOKUP(2,1/(('Changes &amp; Events'!$C$6:$C$17="W-4 change")*('Changes &amp; Events'!$B$6:$B$17&lt;=$B46)*('Changes &amp; Events'!$B$6:$B$17&lt;&gt;"")),'Changes &amp; Events'!$D$6:$D$17),'Your Pay &amp; Benefits'!$C$14))</f>
      </c>
      <c r="AP46" s="7">
        <f>IF($B46="","",IFERROR(LOOKUP(2,1/(('Changes &amp; Events'!$C$6:$C$17="W-4 change")*('Changes &amp; Events'!$B$6:$B$17&lt;=$B46)*('Changes &amp; Events'!$B$6:$B$17&lt;&gt;"")),'Changes &amp; Events'!$E$6:$E$17),'Your Pay &amp; Benefits'!$C$15))</f>
      </c>
      <c r="AQ46" s="7">
        <f>IF($B46="","",IFERROR(LOOKUP(2,1/(('Changes &amp; Events'!$C$6:$C$17="W-4 change")*('Changes &amp; Events'!$B$6:$B$17&lt;=$B46)*('Changes &amp; Events'!$B$6:$B$17&lt;&gt;"")),'Changes &amp; Events'!$F$6:$F$17),'Your Pay &amp; Benefits'!$C$16))</f>
      </c>
      <c r="AR46" s="7">
        <f>IF($B46="","",IFERROR(LOOKUP(2,1/(('Changes &amp; Events'!$C$6:$C$17="W-4 change")*('Changes &amp; Events'!$B$6:$B$17&lt;=$B46)*('Changes &amp; Events'!$B$6:$B$17&lt;&gt;"")),'Changes &amp; Events'!$G$6:$G$17),'Your Pay &amp; Benefits'!$C$17))</f>
      </c>
      <c r="AS46" s="6">
        <f>IF($B46="","",IFERROR(LOOKUP(2,1/((('Changes &amp; Events'!$C$6:$C$17="State move")+('Changes &amp; Events'!$C$6:$C$17="State cert change"))*('Changes &amp; Events'!$B$6:$B$17&lt;=$B46)*('Changes &amp; Events'!$B$6:$B$17&lt;&gt;"")),'Changes &amp; Events'!$F$6:$F$17),'Your Pay &amp; Benefits'!$C$23))</f>
      </c>
      <c r="AT46" s="6">
        <f>IF($B46="","",IFERROR(LOOKUP(2,1/((('Changes &amp; Events'!$C$6:$C$17="State move")+('Changes &amp; Events'!$C$6:$C$17="State cert change"))*('Changes &amp; Events'!$B$6:$B$17&lt;=$B46)*('Changes &amp; Events'!$B$6:$B$17&lt;&gt;"")),'Changes &amp; Events'!$G$6:$G$17),'Your Pay &amp; Benefits'!$C$24))</f>
      </c>
      <c r="AU46">
        <f>IF($B46="","",IFERROR(LOOKUP(2,1/(('Changes &amp; Events'!$C$6:$C$17="State move")*('Changes &amp; Events'!$B$6:$B$17&lt;=$B46)*('Changes &amp; Events'!$B$6:$B$17&lt;&gt;"")),'Changes &amp; Events'!$E$6:$E$17),'Your Pay &amp; Benefits'!$C$22))</f>
      </c>
      <c r="AV46" s="6">
        <f>IF($B46="","",1+COUNTIFS('Changes &amp; Events'!$C$6:$C$17,"Employer change",'Changes &amp; Events'!$B$6:$B$17,"&lt;="&amp;$B46,'Changes &amp; Events'!$B$6:$B$17,"&lt;&gt;"))</f>
      </c>
      <c r="AW46" s="7">
        <f>IF($B46="","",IF($AV46=1,'Your Pay &amp; Benefits'!$C$49,IF(IFERROR(MATCH(IFERROR(LOOKUP(2,1/(('Changes &amp; Events'!$C$6:$C$17="Employer change")*('Changes &amp; Events'!$B$6:$B$17&lt;=$B46)*('Changes &amp; Events'!$B$6:$B$17&lt;&gt;"")),'Changes &amp; Events'!$B$6:$B$17),""),$B$6:$B$68,1),1)&lt;=1,'Your Pay &amp; Benefits'!$C$49,INDEX($AB$6:$AB$68,MATCH(IFERROR(LOOKUP(2,1/(('Changes &amp; Events'!$C$6:$C$17="Employer change")*('Changes &amp; Events'!$B$6:$B$17&lt;=$B46)*('Changes &amp; Events'!$B$6:$B$17&lt;&gt;"")),'Changes &amp; Events'!$B$6:$B$17),""),$B$6:$B$68,1)-1))))</f>
      </c>
      <c r="AX46" s="7">
        <f>IF($B46="","",IF($AV46=1,'Your Pay &amp; Benefits'!$C$49,IFERROR(LOOKUP(2,1/(('Changes &amp; Events'!$C$6:$C$17="Employer change")*('Changes &amp; Events'!$B$6:$B$17&lt;=$B46)*('Changes &amp; Events'!$B$6:$B$17&lt;&gt;"")),'Changes &amp; Events'!$D$6:$D$17),0)))</f>
      </c>
      <c r="AY46" s="7">
        <f>IF($B46="","",($O46-$D46)*'Your Pay &amp; Benefits'!$C$8)</f>
      </c>
      <c r="AZ46" s="7">
        <f>IF($B46="","",IF($AN46="AL",MAX(0,$AY46-IF($AU46="Married",IF($AY46&lt;=25999,8500,MAX(5000,8500-175*CEILING(($AY46-25999)/500,1))),IF($AU46="Head of household",IF($AY46&lt;=25999,5200,MAX(2500,5200-135*CEILING(($AY46-25999)/500,1))),IF($AY46&lt;=25999,3000,MAX(2500,3000-25*CEILING(($AY46-25999)/500,1)))))-($P46-'How This Works &amp; Sources'!$C$10*$D46)*'Your Pay &amp; Benefits'!$C$8-IF(OR($AU46="Married",$AU46="Head of household"),3000,1500)-$AT46*IF($AY46&lt;=50000,1000,IF($AY46&lt;=100000,500,300))),IF($AN46="AR",IF(MAX(0,$AY46-2470)&lt;97701,INT(MAX(0,$AY46-2470)/100)*100+50,MAX(0,$AY46-2470)),IF($AN46="DE",MAX(0,$AI46-3250),IF($AN46="HI",MAX(0,$AI46-1144*$AS46-4350),IF($AN46="KS",MAX(0,$AI46-(9160*IF($AU46="Married",2,1)+2320*$AT46+IF($AU46="Head of household",2320,0))),IF($AN46="MD",MAX(0,$AI46-3400-3200*$AS46),IF($AN46="MN",MAX(0,$AY46-5300*$AS46),IF($AN46="MO",MAX(0,$AI46-IF($AU46="Head of household",24150,IF($AU46="Married",IF('Your Pay &amp; Benefits'!$C$83,16100,32200),16100))),IF($AN46="MT",$AY46,IF($AN46="ND",($C46+$L46)*'Your Pay &amp; Benefits'!$C$8,IF($AN46="NE",MAX(0,$AY46-2440*$AS46),IF($AN46="NJ",MAX(0,$AY46-1000*$AS46),IF($AN46="NY",MAX(0,$AY46-(IF($AU46="Married",7950,7400)+1000*$AS46)),IF($AN46="OH",MAX(0,$AY46-650*$AS46),IF($AN46="OK",MAX(0,$AY46-1000*$AS46),IF($AN46="RI",MAX(0,$AI46-1000*$AS46),IF($AN46="SC",MAX(0,$AI46-5000*$AS46-IF($AS46=0,0,MIN(0.1*$AI46,7500))),IF($AN46="VA",MAX(0,$AI46-IF($AU46="Married",17500,8750)-930*$AS46-800*$AT46),IF($AN46="VT",MAX(0,$AI46-5400*$AS46),IF($AN46="WI",MAX(0,$AI46-MAX(0,IF($AU46="Married",9461-0.2*MAX(0,$AI46-25727),6702-0.12*MAX(0,$AI46-17780)))-400*$AS46),IF($AN46="WV",MAX(0,$AI46-2000*$AS46),$AI46))))))))))))))))))))))</f>
      </c>
      <c r="BA46" s="7">
        <f>IF($B46="","",IF($BW46&lt;&gt;"",$BW46,IF($BX46&lt;&gt;"",$BX46,IF($BY46&lt;&gt;"",$BY46,0))))</f>
      </c>
      <c r="BB46" s="7">
        <f>IF($B46="","",IF($AN46="AR",-29*$AS46,IF($AN46="DE",-110*$AS46,IF($AN46="MD",$AZ46*'Your Pay &amp; Benefits'!$C$74,IF($AN46="AZ",'Your Pay &amp; Benefits'!$C$82*($M46-$D46)*'Your Pay &amp; Benefits'!$C$8,IF($AN46="CO",0.044*MAX(0,$AY46-IF($AU46="Married",10000,5000)),IF($AN46="IA",MAX(0,0.038*MAX(0,$AY46-IF($AU46="Head of household",19500,IF($AU46="Married",26000,13000)))-40*$AS46),IF($AN46="ID",0.053*MAX(0,$AY46-IF($AU46="Married",32000,16094)),IF($AN46="IL",0.0495*MAX(0,$AY46-(2925*$AS46+1000*$AT46)),IF($AN46="IN",(0.0295+'Your Pay &amp; Benefits'!$C$76)*MAX(0,$AY46-(1000*$AS46+1500*$AT46+3000*'Your Pay &amp; Benefits'!$C$86)),IF($AN46="KY",0.035*MAX(0,$AI46-3360),IF($AN46="LA",IF('Your Pay &amp; Benefits'!$C$84="0",0.0309*$AI46,0.0309*MAX(0,$AI46-IF('Your Pay &amp; Benefits'!$C$84="2",25750,12875))),IF($AN46="MA",0.05*MIN(MAX(0,$AY46-MIN(($BD45+$Q46+$R46+$S46),2000)-IF($AS46=0,0,IF($AS46=1,4400,1000*$AS46+3400))),1107750)+0.09*MAX(0,MAX(0,$AY46-MIN(($BD45+$Q46+$R46+$S46),2000)-IF($AS46=0,0,IF($AS46=1,4400,1000*$AS46+3400)))-1107750)-IF($AU46="Head of household",120,0)-110*'Your Pay &amp; Benefits'!$C$75,IF($AN46="MI",0.0425*MAX(0,$AY46-5900*$AS46),IF($AN46="MS",0.04*MAX(0,$AI46-IF($AU46="Head of household",3400,IF($AU46="Married",4600,2300))-'Your Pay &amp; Benefits'!$C$85-10000),IF($AN46="OR",IF(OR($AU46="Married",AND($AU46="Single",$AS46&gt;=3)),SUMPRODUCT((MAX(0,$AY46-MIN(($P46-'How This Works &amp; Sources'!$C$10*$D46)*'Your Pay &amp; Benefits'!$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Sources'!$B$211:$J$214,0,4))*(MAX(0,$AY46-MIN(($P46-'How This Works &amp; Sources'!$C$10*$D46)*'Your Pay &amp; Benefits'!$C$8,IF(OR($AU46="Married",AND($AU46="Single",$AS46&gt;=3)),IF($AY46&lt;250000,8750,IF($AY46&lt;260000,7000,IF($AY46&lt;270000,5250,IF($AY46&lt;280000,3500,IF($AY46&lt;290000,1750,0))))),IF($AY46&lt;125000,8750,IF($AY46&lt;130000,7000,IF($AY46&lt;135000,5250,IF($AY46&lt;140000,3500,IF($AY46&lt;145000,1750,0)))))))-IF(OR($AU46="Married",AND($AU46="Single",$AS46&gt;=3)),5820,2910))-INDEX('How This Works &amp; Sources'!$B$211:$J$214,0,4))*INDEX('How This Works &amp; Sources'!$B$211:$J$214,0,4+2)),SUMPRODUCT((MAX(0,$AY46-MIN(($P46-'How This Works &amp; Sources'!$C$10*$D46)*'Your Pay &amp; Benefits'!$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Sources'!$B$211:$J$214,0,1))*(MAX(0,$AY46-MIN(($P46-'How This Works &amp; Sources'!$C$10*$D46)*'Your Pay &amp; Benefits'!$C$8,IF(OR($AU46="Married",AND($AU46="Single",$AS46&gt;=3)),IF($AY46&lt;250000,8750,IF($AY46&lt;260000,7000,IF($AY46&lt;270000,5250,IF($AY46&lt;280000,3500,IF($AY46&lt;290000,1750,0))))),IF($AY46&lt;125000,8750,IF($AY46&lt;130000,7000,IF($AY46&lt;135000,5250,IF($AY46&lt;140000,3500,IF($AY46&lt;145000,1750,0)))))))-IF(OR($AU46="Married",AND($AU46="Single",$AS46&gt;=3)),5820,2910))-INDEX('How This Works &amp; Sources'!$B$211:$J$214,0,1))*INDEX('How This Works &amp; Sources'!$B$211:$J$214,0,1+2)))+263-263*IF(IF($AU46="Married",$AY46&gt;200000,$AY46&gt;100000),0,$AS46),IF($AN46="PA",0.0307*(($O46+$E46+$G46)*'Your Pay &amp; Benefits'!$C$8),IF($AN46="NY",IF($AU46="Married",IF($AZ46&gt;=2155350,0,IF($AZ46&gt;=1077550,0.48,IF($AZ46&gt;=373200,1.21,IF($AZ46&gt;=323200,0.21,IF($AZ46&gt;=211550,-0.19,IF($AZ46&gt;=157650,-2.8,IF($AZ46&gt;=107650,-0.8,IF($AZ46&gt;=96800,0.05,IF($AZ46&gt;=80650,-0.1,IF($AZ46&gt;=13900,0.4,IF($AZ46&gt;=11700,-0.3,IF($AZ46&gt;=8500,0.5,0)))))))))))),IF($AZ46&gt;=1077550,0,IF($AZ46&gt;=265400,4.29,IF($AZ46&gt;=215400,2.29,IF($AZ46&gt;=157650,2.29,IF($AZ46&gt;=107650,0.29,IF($AZ46&gt;=96800,0.05,IF($AZ46&gt;=80650,-0.1,IF($AZ46&gt;=13900,0.4,IF($AZ46&gt;=11700,-0.3,IF($AZ46&gt;=8500,0.5,0))))))))))),0))))))))))))))))))</f>
      </c>
      <c r="BC46" s="7">
        <f>IF($B46="","",IF($AN46="AL",0.05*$D46,IF($AN46="AR",0.039*$D46,IF($AN46="ID",0.053*$D46,IF($AN46="IN",(0.0295+'Your Pay &amp; Benefits'!$C$76)*$D46,IF($AN46="KS",0.05*$D46,IF($AN46="MA",0.09*MIN($D46,MAX(0,MAX(0,$AY46-MIN(($BD45+$Q46+$R46+$S46),2000)-IF($AS46=0,0,IF($AS46=1,4400,1000*$AS46+3400)))+$D46-1107750))+0.05*($D46-MIN($D46,MAX(0,MAX(0,$AY46-MIN(($BD45+$Q46+$R46+$S46),2000)-IF($AS46=0,0,IF($AS46=1,4400,1000*$AS46+3400)))+$D46-1107750))),IF($AN46="MD",(0.065+'Your Pay &amp; Benefits'!$C$74)*$D46,IF($AN46="MI",0.0425*$D46,IF($AN46="MN",0.0625*$D46,IF($AN46="MO",0.047*$D46,IF($AN46="MT",0.05*$D46,IF($AN46="ND",0.015*$D46,IF($AN46="NE",0.035*$D46,IF($AN46="NJ",IF('Your Pay &amp; Benefits'!$C$77="B",SUMPRODUCT(($D46*'Your Pay &amp; Benefits'!$C$8&gt;INDEX('How This Works &amp; Sources'!$B$155:$J$162,0,4))*($D46*'Your Pay &amp; Benefits'!$C$8-INDEX('How This Works &amp; Sources'!$B$155:$J$162,0,4))*INDEX('How This Works &amp; Sources'!$B$155:$J$162,0,4+2)),IF('Your Pay &amp; Benefits'!$C$77="C",SUMPRODUCT(($D46*'Your Pay &amp; Benefits'!$C$8&gt;INDEX('How This Works &amp; Sources'!$B$155:$J$162,0,7))*($D46*'Your Pay &amp; Benefits'!$C$8-INDEX('How This Works &amp; Sources'!$B$155:$J$162,0,7))*INDEX('How This Works &amp; Sources'!$B$155:$J$162,0,7+2)),IF('Your Pay &amp; Benefits'!$C$77="D",SUMPRODUCT(($D46*'Your Pay &amp; Benefits'!$C$8&gt;INDEX('How This Works &amp; Sources'!$B$167:$J$179,0,1))*($D46*'Your Pay &amp; Benefits'!$C$8-INDEX('How This Works &amp; Sources'!$B$167:$J$179,0,1))*INDEX('How This Works &amp; Sources'!$B$167:$J$179,0,1+2)),IF('Your Pay &amp; Benefits'!$C$77="E",SUMPRODUCT(($D46*'Your Pay &amp; Benefits'!$C$8&gt;INDEX('How This Works &amp; Sources'!$B$167:$J$179,0,4))*($D46*'Your Pay &amp; Benefits'!$C$8-INDEX('How This Works &amp; Sources'!$B$167:$J$179,0,4))*INDEX('How This Works &amp; Sources'!$B$167:$J$179,0,4+2)),SUMPRODUCT(($D46*'Your Pay &amp; Benefits'!$C$8&gt;INDEX('How This Works &amp; Sources'!$B$155:$J$162,0,1))*($D46*'Your Pay &amp; Benefits'!$C$8-INDEX('How This Works &amp; Sources'!$B$155:$J$162,0,1))*INDEX('How This Works &amp; Sources'!$B$155:$J$162,0,1+2))))))/'Your Pay &amp; Benefits'!$C$8,IF($AN46="NY",0.117*$D46,IF($AN46="OH",0.0275*$D46,IF($AN46="OK",0.045*$D46,IF($AN46="OR",0.08*$D46,IF($AN46="WI",IF($AY46&lt;12760,0.0354,IF($AY46&lt;25520,0.0465,IF($AY46&lt;280950,0.053,0.0765)))*$D46,0))))))))))))))))))))</f>
      </c>
      <c r="BD46" s="7">
        <f>IF($B46="","",$BD45+$Q46+$R46+$S46)</f>
      </c>
      <c r="BE46" s="6">
        <f>IF($B46="",$BE45,$BE45+$BF46)</f>
      </c>
      <c r="BF46" s="6">
        <f>IF($B46="","",IF(AND(IF(YEAR(IF('Your Pay &amp; Benefits'!$C$7="Weekly",'Your Pay &amp; Benefits'!$C$9+7*(($BE45+1)-1),IF('Your Pay &amp; Benefits'!$C$7="Biweekly",'Your Pay &amp; Benefits'!$C$9+14*(($BE45+1)-1),IF('Your Pay &amp; Benefits'!$C$7="Semimonthly",DATE(YEAR('Your Pay &amp; Benefits'!$C$9),MONTH('Your Pay &amp; Benefits'!$C$9)+INT((($BE45+1)-1)/2),MIN(DAY('Your Pay &amp; Benefits'!$C$9),DAY(EOMONTH(DATE(YEAR('Your Pay &amp; Benefits'!$C$9),MONTH('Your Pay &amp; Benefits'!$C$9)+INT((($BE45+1)-1)/2),1),0))))+IF(MOD(($BE45+1)-1,2)=1,15,0),EDATE('Your Pay &amp; Benefits'!$C$9,($BE45+1)-1)))))&lt;&gt;'Your Pay &amp; Benefits'!$C$10,"",IF('Your Pay &amp; Benefits'!$C$7="Weekly",'Your Pay &amp; Benefits'!$C$9+7*(($BE45+1)-1),IF('Your Pay &amp; Benefits'!$C$7="Biweekly",'Your Pay &amp; Benefits'!$C$9+14*(($BE45+1)-1),IF('Your Pay &amp; Benefits'!$C$7="Semimonthly",DATE(YEAR('Your Pay &amp; Benefits'!$C$9),MONTH('Your Pay &amp; Benefits'!$C$9)+INT((($BE45+1)-1)/2),MIN(DAY('Your Pay &amp; Benefits'!$C$9),DAY(EOMONTH(DATE(YEAR('Your Pay &amp; Benefits'!$C$9),MONTH('Your Pay &amp; Benefits'!$C$9)+INT((($BE45+1)-1)/2),1),0))))+IF(MOD(($BE45+1)-1,2)=1,15,0),EDATE('Your Pay &amp; Benefits'!$C$9,($BE45+1)-1)))))&lt;&gt;"",$B46=IF(YEAR(IF('Your Pay &amp; Benefits'!$C$7="Weekly",'Your Pay &amp; Benefits'!$C$9+7*(($BE45+1)-1),IF('Your Pay &amp; Benefits'!$C$7="Biweekly",'Your Pay &amp; Benefits'!$C$9+14*(($BE45+1)-1),IF('Your Pay &amp; Benefits'!$C$7="Semimonthly",DATE(YEAR('Your Pay &amp; Benefits'!$C$9),MONTH('Your Pay &amp; Benefits'!$C$9)+INT((($BE45+1)-1)/2),MIN(DAY('Your Pay &amp; Benefits'!$C$9),DAY(EOMONTH(DATE(YEAR('Your Pay &amp; Benefits'!$C$9),MONTH('Your Pay &amp; Benefits'!$C$9)+INT((($BE45+1)-1)/2),1),0))))+IF(MOD(($BE45+1)-1,2)=1,15,0),EDATE('Your Pay &amp; Benefits'!$C$9,($BE45+1)-1)))))&lt;&gt;'Your Pay &amp; Benefits'!$C$10,"",IF('Your Pay &amp; Benefits'!$C$7="Weekly",'Your Pay &amp; Benefits'!$C$9+7*(($BE45+1)-1),IF('Your Pay &amp; Benefits'!$C$7="Biweekly",'Your Pay &amp; Benefits'!$C$9+14*(($BE45+1)-1),IF('Your Pay &amp; Benefits'!$C$7="Semimonthly",DATE(YEAR('Your Pay &amp; Benefits'!$C$9),MONTH('Your Pay &amp; Benefits'!$C$9)+INT((($BE45+1)-1)/2),MIN(DAY('Your Pay &amp; Benefits'!$C$9),DAY(EOMONTH(DATE(YEAR('Your Pay &amp; Benefits'!$C$9),MONTH('Your Pay &amp; Benefits'!$C$9)+INT((($BE45+1)-1)/2),1),0))))+IF(MOD(($BE45+1)-1,2)=1,15,0),EDATE('Your Pay &amp; Benefits'!$C$9,($BE45+1)-1)))))),1,0))</f>
      </c>
      <c r="BG46" s="7">
        <f>IF($B46="","",$BG45+$H46)</f>
      </c>
      <c r="BH46" s="7">
        <f>IF($B46="","",$BH45+$I46)</f>
      </c>
      <c r="BI46" s="7">
        <f>IF($B46="","",$BI45+$G46)</f>
      </c>
      <c r="BJ46" s="7">
        <f>IF($B46="","",IFERROR(LOOKUP(2,1/(((('Changes &amp; Events'!$C$6:$C$17="Deduction start"))*('Changes &amp; Events'!$D$6:$D$17="Health FSA"))*('Changes &amp; Events'!$B$6:$B$17&lt;=$B46)*('Changes &amp; Events'!$B$6:$B$17&lt;&gt;"")),'Changes &amp; Events'!$E$6:$E$17),'Your Pay &amp; Benefits'!$D$38))</f>
      </c>
      <c r="BK46" s="7">
        <f>IF($B46="","",IFERROR(LOOKUP(2,1/(((('Changes &amp; Events'!$C$6:$C$17="Deduction start"))*('Changes &amp; Events'!$D$6:$D$17="Dependent-care FSA"))*('Changes &amp; Events'!$B$6:$B$17&lt;=$B46)*('Changes &amp; Events'!$B$6:$B$17&lt;&gt;"")),'Changes &amp; Events'!$E$6:$E$17),'Your Pay &amp; Benefits'!$D$39))</f>
      </c>
      <c r="BL46" s="7">
        <f>IF($B46="","",IFERROR(LOOKUP(2,1/(((('Changes &amp; Events'!$C$6:$C$17="Deduction start")+('Changes &amp; Events'!$C$6:$C$17="Deduction stop"))*('Changes &amp; Events'!$D$6:$D$17="HSA"))*('Changes &amp; Events'!$B$6:$B$17&lt;=$B46)*('Changes &amp; Events'!$B$6:$B$17&lt;&gt;"")),'Changes &amp; Events'!$I$6:$I$17),'Your Pay &amp; Benefits'!$D$35))</f>
      </c>
      <c r="BM46" s="7">
        <f>IF($B46="","",IFERROR(LOOKUP(2,1/(((('Changes &amp; Events'!$C$6:$C$17="Deduction start")+('Changes &amp; Events'!$C$6:$C$17="Deduction stop"))*('Changes &amp; Events'!$D$6:$D$17="Premiums"))*('Changes &amp; Events'!$B$6:$B$17&lt;=$B46)*('Changes &amp; Events'!$B$6:$B$17&lt;&gt;"")),'Changes &amp; Events'!$I$6:$I$17),'Your Pay &amp; Benefits'!$D$40+'Your Pay &amp; Benefits'!$D$41+'Your Pay &amp; Benefits'!$D$42))</f>
      </c>
      <c r="BN46" s="7">
        <f>IF($B46="","",IFERROR(LOOKUP(2,1/(((('Changes &amp; Events'!$C$6:$C$17="Deduction start")+('Changes &amp; Events'!$C$6:$C$17="Deduction stop"))*('Changes &amp; Events'!$D$6:$D$17="Commuter"))*('Changes &amp; Events'!$B$6:$B$17&lt;=$B46)*('Changes &amp; Events'!$B$6:$B$17&lt;&gt;"")),'Changes &amp; Events'!$I$6:$I$17),'Your Pay &amp; Benefits'!$D$43))</f>
      </c>
      <c r="BO46" s="7">
        <f>IF($B46="","",IFERROR(LOOKUP(2,1/(((('Changes &amp; Events'!$C$6:$C$17="Deduction start")+('Changes &amp; Events'!$C$6:$C$17="Deduction stop"))*('Changes &amp; Events'!$D$6:$D$17="Other pre-tax"))*('Changes &amp; Events'!$B$6:$B$17&lt;=$B46)*('Changes &amp; Events'!$B$6:$B$17&lt;&gt;"")),'Changes &amp; Events'!$I$6:$I$17),'Your Pay &amp; Benefits'!$D$44))</f>
      </c>
      <c r="BP46" s="7">
        <f>IF($B46="","",IFERROR(LOOKUP(2,1/(((('Changes &amp; Events'!$C$6:$C$17="Deduction start")+('Changes &amp; Events'!$C$6:$C$17="Deduction stop"))*('Changes &amp; Events'!$D$6:$D$17="Other post-tax"))*('Changes &amp; Events'!$B$6:$B$17&lt;=$B46)*('Changes &amp; Events'!$B$6:$B$17&lt;&gt;"")),'Changes &amp; Events'!$I$6:$I$17),'Your Pay &amp; Benefits'!$D$45))</f>
      </c>
      <c r="BQ46" s="6">
        <f>IF($B46="","",IFERROR(LOOKUP(2,1/(((('Changes &amp; Events'!$C$6:$C$17="Deduction start")+('Changes &amp; Events'!$C$6:$C$17="Deduction stop"))*('Changes &amp; Events'!$D$6:$D$17="Health FSA"))*('Changes &amp; Events'!$B$6:$B$17&lt;=$B46)*('Changes &amp; Events'!$B$6:$B$17&lt;&gt;"")),'Changes &amp; Events'!$J$6:$J$17),0))</f>
      </c>
      <c r="BR46" s="6">
        <f>IF($B46="","",IFERROR(LOOKUP(2,1/(((('Changes &amp; Events'!$C$6:$C$17="Deduction start")+('Changes &amp; Events'!$C$6:$C$17="Deduction stop"))*('Changes &amp; Events'!$D$6:$D$17="Dependent-care FSA"))*('Changes &amp; Events'!$B$6:$B$17&lt;=$B46)*('Changes &amp; Events'!$B$6:$B$17&lt;&gt;"")),'Changes &amp; Events'!$J$6:$J$17),0))</f>
      </c>
      <c r="BS46" s="6">
        <f>IF($B46="","",IF(SUMPRODUCT(('Changes &amp; Events'!$C$6:$C$17="Deduction start")*('Changes &amp; Events'!$B$6:$B$17&lt;=$B46)*('Changes &amp; Events'!$B$6:$B$17&lt;&gt;"")*('Changes &amp; Events'!$D$6:$D$17="Health FSA"))&gt;0,1,0))</f>
      </c>
      <c r="BT46" s="6">
        <f>IF($B46="","",IF(SUMPRODUCT(('Changes &amp; Events'!$C$6:$C$17="Deduction start")*('Changes &amp; Events'!$B$6:$B$17&lt;=$B46)*('Changes &amp; Events'!$B$6:$B$17&lt;&gt;"")*('Changes &amp; Events'!$D$6:$D$17="Dependent-care FSA"))&gt;0,1,0))</f>
      </c>
      <c r="BU46" s="24">
        <f>IF($B46="","",IF('Your Pay &amp; Benefits'!$C$13,SUMPRODUCT(($AH46&gt;=INDEX('How This Works &amp; Sources'!$B$29:$J$36,0,IF('Your Pay &amp; Benefits'!$C$12="MFJ",1,IF('Your Pay &amp; Benefits'!$C$12="HoH",7,4))))*INDEX('How This Works &amp; Sources'!$B$29:$J$36,0,IF('Your Pay &amp; Benefits'!$C$12="MFJ",1,IF('Your Pay &amp; Benefits'!$C$12="HoH",7,4))+2)),SUMPRODUCT(($AH46&gt;=INDEX('How This Works &amp; Sources'!$B$19:$J$26,0,IF('Your Pay &amp; Benefits'!$C$12="MFJ",1,IF('Your Pay &amp; Benefits'!$C$12="HoH",7,4))))*INDEX('How This Works &amp; Sources'!$B$19:$J$26,0,IF('Your Pay &amp; Benefits'!$C$12="MFJ",1,IF('Your Pay &amp; Benefits'!$C$12="HoH",7,4))+2))))</f>
      </c>
      <c r="BV46" s="24">
        <f>IF($B46="","",IF($BZ46&lt;&gt;"",$BZ46,IF($CA46&lt;&gt;"",$CA46,IF($CB46&lt;&gt;"",$CB46,IF($CC46&lt;&gt;"",$CC46,0)))))</f>
      </c>
      <c r="BW46" s="7">
        <f>IF($B46="","",IF($AN46="MD",IF(OR($AU46="Married",$AU46="Head of household"),SUMPRODUCT(($AZ46&gt;INDEX('How This Works &amp; Sources'!$B$114:$J$120,0,1))*($AZ46-INDEX('How This Works &amp; Sources'!$B$114:$J$120,0,1))*INDEX('How This Works &amp; Sources'!$B$114:$J$120,0,1+2)),SUMPRODUCT(($AZ46&gt;INDEX('How This Works &amp; Sources'!$B$103:$J$109,0,7))*($AZ46-INDEX('How This Works &amp; Sources'!$B$103:$J$109,0,7))*INDEX('How This Works &amp; Sources'!$B$103:$J$109,0,7+2))),IF($AN46="MO",SUMPRODUCT(($AZ46&gt;INDEX('How This Works &amp; Sources'!$B$125:$J$132,0,1))*($AZ46-INDEX('How This Works &amp; Sources'!$B$125:$J$132,0,1))*INDEX('How This Works &amp; Sources'!$B$125:$J$132,0,1+2)),IF($AN46="MT",IF($AU46="Head of household",SUMPRODUCT(($AZ46&gt;INDEX('How This Works &amp; Sources'!$B$137:$J$139,0,1))*($AZ46-INDEX('How This Works &amp; Sources'!$B$137:$J$139,0,1))*INDEX('How This Works &amp; Sources'!$B$137:$J$139,0,1+2)),IF($AU46="Married",SUMPRODUCT(($AZ46&gt;INDEX('How This Works &amp; Sources'!$B$125:$J$132,0,7))*($AZ46-INDEX('How This Works &amp; Sources'!$B$125:$J$132,0,7))*INDEX('How This Works &amp; Sources'!$B$125:$J$132,0,7+2)),SUMPRODUCT(($AZ46&gt;INDEX('How This Works &amp; Sources'!$B$125:$J$132,0,4))*($AZ46-INDEX('How This Works &amp; Sources'!$B$125:$J$132,0,4))*INDEX('How This Works &amp; Sources'!$B$125:$J$132,0,4+2)))),IF($AN46="ND",IF($AU46="Head of household",SUMPRODUCT(($AZ46&gt;INDEX('How This Works &amp; Sources'!$B$144:$J$150,0,1))*($AZ46-INDEX('How This Works &amp; Sources'!$B$144:$J$150,0,1))*INDEX('How This Works &amp; Sources'!$B$144:$J$150,0,1+2)),IF($AU46="Married",SUMPRODUCT(($AZ46&gt;INDEX('How This Works &amp; Sources'!$B$137:$J$139,0,7))*($AZ46-INDEX('How This Works &amp; Sources'!$B$137:$J$139,0,7))*INDEX('How This Works &amp; Sources'!$B$137:$J$139,0,7+2)),SUMPRODUCT(($AZ46&gt;INDEX('How This Works &amp; Sources'!$B$137:$J$139,0,4))*($AZ46-INDEX('How This Works &amp; Sources'!$B$137:$J$139,0,4))*INDEX('How This Works &amp; Sources'!$B$137:$J$139,0,4+2)))),IF($AN46="NJ",IF('Your Pay &amp; Benefits'!$C$77="B",SUMPRODUCT(($AZ46&gt;INDEX('How This Works &amp; Sources'!$B$155:$J$162,0,4))*($AZ46-INDEX('How This Works &amp; Sources'!$B$155:$J$162,0,4))*INDEX('How This Works &amp; Sources'!$B$155:$J$162,0,4+2)),IF('Your Pay &amp; Benefits'!$C$77="C",SUMPRODUCT(($AZ46&gt;INDEX('How This Works &amp; Sources'!$B$155:$J$162,0,7))*($AZ46-INDEX('How This Works &amp; Sources'!$B$155:$J$162,0,7))*INDEX('How This Works &amp; Sources'!$B$155:$J$162,0,7+2)),IF('Your Pay &amp; Benefits'!$C$77="D",SUMPRODUCT(($AZ46&gt;INDEX('How This Works &amp; Sources'!$B$167:$J$179,0,1))*($AZ46-INDEX('How This Works &amp; Sources'!$B$167:$J$179,0,1))*INDEX('How This Works &amp; Sources'!$B$167:$J$179,0,1+2)),IF('Your Pay &amp; Benefits'!$C$77="E",SUMPRODUCT(($AZ46&gt;INDEX('How This Works &amp; Sources'!$B$167:$J$179,0,4))*($AZ46-INDEX('How This Works &amp; Sources'!$B$167:$J$179,0,4))*INDEX('How This Works &amp; Sources'!$B$167:$J$179,0,4+2)),SUMPRODUCT(($AZ46&gt;INDEX('How This Works &amp; Sources'!$B$155:$J$162,0,1))*($AZ46-INDEX('How This Works &amp; Sources'!$B$155:$J$162,0,1))*INDEX('How This Works &amp; Sources'!$B$155:$J$162,0,1+2)))))),IF($AN46="NY",IF($AU46="Married",IF($AZ46&gt;=2155350,$AZ46*IF($AZ46&gt;25000000,0.117,IF($AZ46&gt;5000000,0.111,0.1045)),SUMPRODUCT(($AZ46&gt;INDEX('How This Works &amp; Sources'!$B$184:$J$198,0,1))*($AZ46-INDEX('How This Works &amp; Sources'!$B$184:$J$198,0,1))*INDEX('How This Works &amp; Sources'!$B$184:$J$198,0,1+2))),IF($AZ46&gt;=1077550,$AZ46*IF($AZ46&gt;25000000,0.117,IF($AZ46&gt;5000000,0.111,0.1045)),SUMPRODUCT(($AZ46&gt;INDEX('How This Works &amp; Sources'!$B$167:$J$179,0,7))*($AZ46-INDEX('How This Works &amp; Sources'!$B$167:$J$179,0,7))*INDEX('How This Works &amp; Sources'!$B$167:$J$179,0,7+2)))),"")))))))</f>
      </c>
      <c r="BX46" s="7">
        <f>IF($B46="","",IF($AN46="AL",IF(OR($AU46="Married",$AU46="Head of household"),SUMPRODUCT(($AZ46&gt;INDEX('How This Works &amp; Sources'!$B$82:$J$86,0,4))*($AZ46-INDEX('How This Works &amp; Sources'!$B$82:$J$86,0,4))*INDEX('How This Works &amp; Sources'!$B$82:$J$86,0,4+2)),SUMPRODUCT(($AZ46&gt;INDEX('How This Works &amp; Sources'!$B$82:$J$86,0,1))*($AZ46-INDEX('How This Works &amp; Sources'!$B$82:$J$86,0,1))*INDEX('How This Works &amp; Sources'!$B$82:$J$86,0,1+2))),IF($AN46="KS",IF($AU46="Married",SUMPRODUCT(($AZ46&gt;INDEX('How This Works &amp; Sources'!$B$103:$J$109,0,4))*($AZ46-INDEX('How This Works &amp; Sources'!$B$103:$J$109,0,4))*INDEX('How This Works &amp; Sources'!$B$103:$J$109,0,4+2)),SUMPRODUCT(($AZ46&gt;INDEX('How This Works &amp; Sources'!$B$103:$J$109,0,1))*($AZ46-INDEX('How This Works &amp; Sources'!$B$103:$J$109,0,1))*INDEX('How This Works &amp; Sources'!$B$103:$J$109,0,1+2))),IF($AN46="MN",IF($AU46="Married",SUMPRODUCT(($AZ46&gt;INDEX('How This Works &amp; Sources'!$B$114:$J$120,0,7))*($AZ46-INDEX('How This Works &amp; Sources'!$B$114:$J$120,0,7))*INDEX('How This Works &amp; Sources'!$B$114:$J$120,0,7+2)),SUMPRODUCT(($AZ46&gt;INDEX('How This Works &amp; Sources'!$B$114:$J$120,0,4))*($AZ46-INDEX('How This Works &amp; Sources'!$B$114:$J$120,0,4))*INDEX('How This Works &amp; Sources'!$B$114:$J$120,0,4+2))),IF($AN46="NE",MAX(IF($AU46="Married",SUMPRODUCT(($AZ46&gt;INDEX('How This Works &amp; Sources'!$B$144:$J$150,0,7))*($AZ46-INDEX('How This Works &amp; Sources'!$B$144:$J$150,0,7))*INDEX('How This Works &amp; Sources'!$B$144:$J$150,0,7+2)),SUMPRODUCT(($AZ46&gt;INDEX('How This Works &amp; Sources'!$B$144:$J$150,0,4))*($AZ46-INDEX('How This Works &amp; Sources'!$B$144:$J$150,0,4))*INDEX('How This Works &amp; Sources'!$B$144:$J$150,0,4+2))),0.015*$AZ46),IF($AN46="OH",IF($B46&gt;=DATE(2026,8,1),SUMPRODUCT(($AZ46&gt;INDEX('How This Works &amp; Sources'!$B$203:$J$206,0,1))*($AZ46-INDEX('How This Works &amp; Sources'!$B$203:$J$206,0,1))*INDEX('How This Works &amp; Sources'!$B$203:$J$206,0,1+2)),SUMPRODUCT(($AZ46&gt;INDEX('How This Works &amp; Sources'!$B$184:$J$198,0,7))*($AZ46-INDEX('How This Works &amp; Sources'!$B$184:$J$198,0,7))*INDEX('How This Works &amp; Sources'!$B$184:$J$198,0,7+2))),IF($AN46="OK",IF($AU46="Married",SUMPRODUCT(($AZ46&gt;INDEX('How This Works &amp; Sources'!$B$203:$J$206,0,7))*($AZ46-INDEX('How This Works &amp; Sources'!$B$203:$J$206,0,7))*INDEX('How This Works &amp; Sources'!$B$203:$J$206,0,7+2)),SUMPRODUCT(($AZ46&gt;INDEX('How This Works &amp; Sources'!$B$203:$J$206,0,4))*($AZ46-INDEX('How This Works &amp; Sources'!$B$203:$J$206,0,4))*INDEX('How This Works &amp; Sources'!$B$203:$J$206,0,4+2))),IF($AN46="RI",SUMPRODUCT(($AZ46&gt;INDEX('How This Works &amp; Sources'!$B$211:$J$214,0,7))*($AZ46-INDEX('How This Works &amp; Sources'!$B$211:$J$214,0,7))*INDEX('How This Works &amp; Sources'!$B$211:$J$214,0,7+2)),IF($AN46="VT",IF($AU46="Married",SUMPRODUCT(($AZ46&gt;INDEX('How This Works &amp; Sources'!$B$228:$J$232,0,1))*($AZ46-INDEX('How This Works &amp; Sources'!$B$228:$J$232,0,1))*INDEX('How This Works &amp; Sources'!$B$228:$J$232,0,1+2)),SUMPRODUCT(($AZ46&gt;INDEX('How This Works &amp; Sources'!$B$219:$J$223,0,7))*($AZ46-INDEX('How This Works &amp; Sources'!$B$219:$J$223,0,7))*INDEX('How This Works &amp; Sources'!$B$219:$J$223,0,7+2))),IF($AN46="WV",IF($AU46="Married",SUMPRODUCT(($AZ46&gt;INDEX('How This Works &amp; Sources'!$B$237:$J$241,0,7))*($AZ46-INDEX('How This Works &amp; Sources'!$B$237:$J$241,0,7))*INDEX('How This Works &amp; Sources'!$B$237:$J$241,0,7+2)),SUMPRODUCT(($AZ46&gt;INDEX('How This Works &amp; Sources'!$B$228:$J$232,0,7))*($AZ46-INDEX('How This Works &amp; Sources'!$B$228:$J$232,0,7))*INDEX('How This Works &amp; Sources'!$B$228:$J$232,0,7+2))),""))))))))))</f>
      </c>
      <c r="BY46" s="7">
        <f>IF($B46="","",IF($AN46="AR",SUMPRODUCT(($AZ46&gt;INDEX('How This Works &amp; Sources'!$B$82:$J$86,0,7))*($AZ46-INDEX('How This Works &amp; Sources'!$B$82:$J$86,0,7))*INDEX('How This Works &amp; Sources'!$B$82:$J$86,0,7+2)),IF($AN46="DE",SUMPRODUCT(($AZ46&gt;INDEX('How This Works &amp; Sources'!$B$91:$J$98,0,1))*($AZ46-INDEX('How This Works &amp; Sources'!$B$91:$J$98,0,1))*INDEX('How This Works &amp; Sources'!$B$91:$J$98,0,1+2)),IF($AN46="HI",IF($AU46="Married",SUMPRODUCT(($AZ46&gt;INDEX('How This Works &amp; Sources'!$B$91:$J$98,0,7))*($AZ46-INDEX('How This Works &amp; Sources'!$B$91:$J$98,0,7))*INDEX('How This Works &amp; Sources'!$B$91:$J$98,0,7+2)),SUMPRODUCT(($AZ46&gt;INDEX('How This Works &amp; Sources'!$B$91:$J$98,0,4))*($AZ46-INDEX('How This Works &amp; Sources'!$B$91:$J$98,0,4))*INDEX('How This Works &amp; Sources'!$B$91:$J$98,0,4+2))),IF($AN46="SC",SUMPRODUCT(($AZ46&gt;INDEX('How This Works &amp; Sources'!$B$219:$J$223,0,1))*($AZ46-INDEX('How This Works &amp; Sources'!$B$219:$J$223,0,1))*INDEX('How This Works &amp; Sources'!$B$219:$J$223,0,1+2)),IF($AN46="VA",SUMPRODUCT(($AZ46&gt;INDEX('How This Works &amp; Sources'!$B$219:$J$223,0,4))*($AZ46-INDEX('How This Works &amp; Sources'!$B$219:$J$223,0,4))*INDEX('How This Works &amp; Sources'!$B$219:$J$223,0,4+2)),IF($AN46="WI",SUMPRODUCT(($AZ46&gt;INDEX('How This Works &amp; Sources'!$B$228:$J$232,0,4))*($AZ46-INDEX('How This Works &amp; Sources'!$B$228:$J$232,0,4))*INDEX('How This Works &amp; Sources'!$B$228:$J$232,0,4+2)),"")))))))</f>
      </c>
      <c r="BZ46" s="24">
        <f>IF($B46="","",IF($AN46="NJ",IF('Your Pay &amp; Benefits'!$C$77="B",SUMPRODUCT(($AZ46&gt;=INDEX('How This Works &amp; Sources'!$B$155:$J$162,0,4))*INDEX('How This Works &amp; Sources'!$B$155:$J$162,0,4+2)),IF('Your Pay &amp; Benefits'!$C$77="C",SUMPRODUCT(($AZ46&gt;=INDEX('How This Works &amp; Sources'!$B$155:$J$162,0,7))*INDEX('How This Works &amp; Sources'!$B$155:$J$162,0,7+2)),IF('Your Pay &amp; Benefits'!$C$77="D",SUMPRODUCT(($AZ46&gt;=INDEX('How This Works &amp; Sources'!$B$167:$J$179,0,1))*INDEX('How This Works &amp; Sources'!$B$167:$J$179,0,1+2)),IF('Your Pay &amp; Benefits'!$C$77="E",SUMPRODUCT(($AZ46&gt;=INDEX('How This Works &amp; Sources'!$B$167:$J$179,0,4))*INDEX('How This Works &amp; Sources'!$B$167:$J$179,0,4+2)),SUMPRODUCT(($AZ46&gt;=INDEX('How This Works &amp; Sources'!$B$155:$J$162,0,1))*INDEX('How This Works &amp; Sources'!$B$155:$J$162,0,1+2)))))),IF($AN46="OR",IF(OR($AU46="Married",AND($AU46="Single",$AS46&gt;=3)),SUMPRODUCT((MAX(0,$AY46-MIN(($P46-'How This Works &amp; Sources'!$C$10*$D46)*'Your Pay &amp; Benefits'!$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Sources'!$B$211:$J$214,0,4))*INDEX('How This Works &amp; Sources'!$B$211:$J$214,0,4+2)),SUMPRODUCT((MAX(0,$AY46-MIN(($P46-'How This Works &amp; Sources'!$C$10*$D46)*'Your Pay &amp; Benefits'!$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Sources'!$B$211:$J$214,0,1))*INDEX('How This Works &amp; Sources'!$B$211:$J$214,0,1+2)))*IF(($P46-'How This Works &amp; Sources'!$C$10*$D46)*'Your Pay &amp; Benefits'!$C$8&gt;=IF(OR($AU46="Married",AND($AU46="Single",$AS46&gt;=3)),IF($AY46&lt;250000,8750,IF($AY46&lt;260000,7000,IF($AY46&lt;270000,5250,IF($AY46&lt;280000,3500,IF($AY46&lt;290000,1750,0))))),IF($AY46&lt;125000,8750,IF($AY46&lt;130000,7000,IF($AY46&lt;135000,5250,IF($AY46&lt;140000,3500,IF($AY46&lt;145000,1750,0)))))),1,1-IF('Your Pay &amp; Benefits'!$C$13,SUMPRODUCT(($AH46&gt;=INDEX('How This Works &amp; Sources'!$B$29:$J$36,0,IF('Your Pay &amp; Benefits'!$C$12="MFJ",1,IF('Your Pay &amp; Benefits'!$C$12="HoH",7,4))))*INDEX('How This Works &amp; Sources'!$B$29:$J$36,0,IF('Your Pay &amp; Benefits'!$C$12="MFJ",1,IF('Your Pay &amp; Benefits'!$C$12="HoH",7,4))+2)),SUMPRODUCT(($AH46&gt;=INDEX('How This Works &amp; Sources'!$B$19:$J$26,0,IF('Your Pay &amp; Benefits'!$C$12="MFJ",1,IF('Your Pay &amp; Benefits'!$C$12="HoH",7,4))))*INDEX('How This Works &amp; Sources'!$B$19:$J$26,0,IF('Your Pay &amp; Benefits'!$C$12="MFJ",1,IF('Your Pay &amp; Benefits'!$C$12="HoH",7,4))+2)))),IF($AN46="MI",IF($AY46&gt;5900*$AS46,0.0425,0),""))))</f>
      </c>
      <c r="CA46" s="24">
        <f>IF($B46="","",IF($AN46="AL",IF(OR($AU46="Married",$AU46="Head of household"),SUMPRODUCT(($AZ46&gt;=INDEX('How This Works &amp; Sources'!$B$82:$J$86,0,4))*INDEX('How This Works &amp; Sources'!$B$82:$J$86,0,4+2)),SUMPRODUCT(($AZ46&gt;=INDEX('How This Works &amp; Sources'!$B$82:$J$86,0,1))*INDEX('How This Works &amp; Sources'!$B$82:$J$86,0,1+2)))*(1-IF('Your Pay &amp; Benefits'!$C$13,SUMPRODUCT(($AH46&gt;=INDEX('How This Works &amp; Sources'!$B$29:$J$36,0,IF('Your Pay &amp; Benefits'!$C$12="MFJ",1,IF('Your Pay &amp; Benefits'!$C$12="HoH",7,4))))*INDEX('How This Works &amp; Sources'!$B$29:$J$36,0,IF('Your Pay &amp; Benefits'!$C$12="MFJ",1,IF('Your Pay &amp; Benefits'!$C$12="HoH",7,4))+2)),SUMPRODUCT(($AH46&gt;=INDEX('How This Works &amp; Sources'!$B$19:$J$26,0,IF('Your Pay &amp; Benefits'!$C$12="MFJ",1,IF('Your Pay &amp; Benefits'!$C$12="HoH",7,4))))*INDEX('How This Works &amp; Sources'!$B$19:$J$26,0,IF('Your Pay &amp; Benefits'!$C$12="MFJ",1,IF('Your Pay &amp; Benefits'!$C$12="HoH",7,4))+2)))),IF($AN46="KS",IF($AU46="Married",SUMPRODUCT(($AZ46&gt;=INDEX('How This Works &amp; Sources'!$B$103:$J$109,0,4))*INDEX('How This Works &amp; Sources'!$B$103:$J$109,0,4+2)),SUMPRODUCT(($AZ46&gt;=INDEX('How This Works &amp; Sources'!$B$103:$J$109,0,1))*INDEX('How This Works &amp; Sources'!$B$103:$J$109,0,1+2))),IF($AN46="MD",IF(OR($AU46="Married",$AU46="Head of household"),SUMPRODUCT(($AZ46&gt;=INDEX('How This Works &amp; Sources'!$B$114:$J$120,0,1))*INDEX('How This Works &amp; Sources'!$B$114:$J$120,0,1+2)),SUMPRODUCT(($AZ46&gt;=INDEX('How This Works &amp; Sources'!$B$103:$J$109,0,7))*INDEX('How This Works &amp; Sources'!$B$103:$J$109,0,7+2)))+'Your Pay &amp; Benefits'!$C$74,IF($AN46="MT",IF($AU46="Head of household",SUMPRODUCT(($AZ46&gt;=INDEX('How This Works &amp; Sources'!$B$137:$J$139,0,1))*INDEX('How This Works &amp; Sources'!$B$137:$J$139,0,1+2)),IF($AU46="Married",SUMPRODUCT(($AZ46&gt;=INDEX('How This Works &amp; Sources'!$B$125:$J$132,0,7))*INDEX('How This Works &amp; Sources'!$B$125:$J$132,0,7+2)),SUMPRODUCT(($AZ46&gt;=INDEX('How This Works &amp; Sources'!$B$125:$J$132,0,4))*INDEX('How This Works &amp; Sources'!$B$125:$J$132,0,4+2)))),IF($AN46="ND",IF($AU46="Head of household",SUMPRODUCT(($AZ46&gt;=INDEX('How This Works &amp; Sources'!$B$144:$J$150,0,1))*INDEX('How This Works &amp; Sources'!$B$144:$J$150,0,1+2)),IF($AU46="Married",SUMPRODUCT(($AZ46&gt;=INDEX('How This Works &amp; Sources'!$B$137:$J$139,0,7))*INDEX('How This Works &amp; Sources'!$B$137:$J$139,0,7+2)),SUMPRODUCT(($AZ46&gt;=INDEX('How This Works &amp; Sources'!$B$137:$J$139,0,4))*INDEX('How This Works &amp; Sources'!$B$137:$J$139,0,4+2)))),IF($AN46="NY",IF($AU46="Married",IF($AZ46&gt;=2155350,IF($AZ46&gt;25000000,0.117,IF($AZ46&gt;5000000,0.111,0.1045)),SUMPRODUCT(($AZ46&gt;=INDEX('How This Works &amp; Sources'!$B$184:$J$198,0,1))*INDEX('How This Works &amp; Sources'!$B$184:$J$198,0,1+2))),IF($AZ46&gt;=1077550,IF($AZ46&gt;25000000,0.117,IF($AZ46&gt;5000000,0.111,0.1045)),SUMPRODUCT(($AZ46&gt;=INDEX('How This Works &amp; Sources'!$B$167:$J$179,0,7))*INDEX('How This Works &amp; Sources'!$B$167:$J$179,0,7+2)))),"")))))))</f>
      </c>
      <c r="CB46" s="24">
        <f>IF($B46="","",IF($AN46="CA",SUMPRODUCT(($AJ46&gt;=INDEX('How This Works &amp; Sources'!$B$39:$J$48,0,IF($AU46="Married",4,IF($AU46="Head of household",7,1))))*INDEX('How This Works &amp; Sources'!$B$39:$J$48,0,IF($AU46="Married",4,IF($AU46="Head of household",7,1))+2)),IF($AN46="HI",IF($AU46="Married",SUMPRODUCT(($AZ46&gt;=INDEX('How This Works &amp; Sources'!$B$91:$J$98,0,7))*INDEX('How This Works &amp; Sources'!$B$91:$J$98,0,7+2)),SUMPRODUCT(($AZ46&gt;=INDEX('How This Works &amp; Sources'!$B$91:$J$98,0,4))*INDEX('How This Works &amp; Sources'!$B$91:$J$98,0,4+2))),IF($AN46="MN",IF($AU46="Married",SUMPRODUCT(($AZ46&gt;=INDEX('How This Works &amp; Sources'!$B$114:$J$120,0,7))*INDEX('How This Works &amp; Sources'!$B$114:$J$120,0,7+2)),SUMPRODUCT(($AZ46&gt;=INDEX('How This Works &amp; Sources'!$B$114:$J$120,0,4))*INDEX('How This Works &amp; Sources'!$B$114:$J$120,0,4+2))),IF($AN46="MO",SUMPRODUCT(($AZ46&gt;=INDEX('How This Works &amp; Sources'!$B$125:$J$132,0,1))*INDEX('How This Works &amp; Sources'!$B$125:$J$132,0,1+2)),IF($AN46="NE",MAX(IF($AU46="Married",SUMPRODUCT(($AZ46&gt;=INDEX('How This Works &amp; Sources'!$B$144:$J$150,0,7))*INDEX('How This Works &amp; Sources'!$B$144:$J$150,0,7+2)),SUMPRODUCT(($AZ46&gt;=INDEX('How This Works &amp; Sources'!$B$144:$J$150,0,4))*INDEX('How This Works &amp; Sources'!$B$144:$J$150,0,4+2))),0.015),IF($AN46="OH",IF($B46&gt;=DATE(2026,8,1),SUMPRODUCT(($AZ46&gt;=INDEX('How This Works &amp; Sources'!$B$203:$J$206,0,1))*INDEX('How This Works &amp; Sources'!$B$203:$J$206,0,1+2)),SUMPRODUCT(($AZ46&gt;=INDEX('How This Works &amp; Sources'!$B$184:$J$198,0,7))*INDEX('How This Works &amp; Sources'!$B$184:$J$198,0,7+2))),IF($AN46="OK",IF($AU46="Married",SUMPRODUCT(($AZ46&gt;=INDEX('How This Works &amp; Sources'!$B$203:$J$206,0,7))*INDEX('How This Works &amp; Sources'!$B$203:$J$206,0,7+2)),SUMPRODUCT(($AZ46&gt;=INDEX('How This Works &amp; Sources'!$B$203:$J$206,0,4))*INDEX('How This Works &amp; Sources'!$B$203:$J$206,0,4+2))),IF($AN46="RI",SUMPRODUCT(($AZ46&gt;=INDEX('How This Works &amp; Sources'!$B$211:$J$214,0,7))*INDEX('How This Works &amp; Sources'!$B$211:$J$214,0,7+2)),IF($AN46="SC",SUMPRODUCT(($AZ46&gt;=INDEX('How This Works &amp; Sources'!$B$219:$J$223,0,1))*INDEX('How This Works &amp; Sources'!$B$219:$J$223,0,1+2)),IF($AN46="VT",IF($AU46="Married",SUMPRODUCT(($AZ46&gt;=INDEX('How This Works &amp; Sources'!$B$228:$J$232,0,1))*INDEX('How This Works &amp; Sources'!$B$228:$J$232,0,1+2)),SUMPRODUCT(($AZ46&gt;=INDEX('How This Works &amp; Sources'!$B$219:$J$223,0,7))*INDEX('How This Works &amp; Sources'!$B$219:$J$223,0,7+2))),IF($AN46="WV",IF($AU46="Married",SUMPRODUCT(($AZ46&gt;=INDEX('How This Works &amp; Sources'!$B$237:$J$241,0,7))*INDEX('How This Works &amp; Sources'!$B$237:$J$241,0,7+2)),SUMPRODUCT(($AZ46&gt;=INDEX('How This Works &amp; Sources'!$B$228:$J$232,0,7))*INDEX('How This Works &amp; Sources'!$B$228:$J$232,0,7+2))),IF($AN46="IN",(0.0295+'Your Pay &amp; Benefits'!$C$76),"")))))))))))))</f>
      </c>
      <c r="CC46" s="24">
        <f>IF($B46="","",IF($AN46="AR",SUMPRODUCT(($AZ46&gt;=INDEX('How This Works &amp; Sources'!$B$82:$J$86,0,7))*INDEX('How This Works &amp; Sources'!$B$82:$J$86,0,7+2)),IF($AN46="DE",SUMPRODUCT(($AZ46&gt;=INDEX('How This Works &amp; Sources'!$B$91:$J$98,0,1))*INDEX('How This Works &amp; Sources'!$B$91:$J$98,0,1+2)),IF($AN46="VA",SUMPRODUCT(($AZ46&gt;=INDEX('How This Works &amp; Sources'!$B$219:$J$223,0,4))*INDEX('How This Works &amp; Sources'!$B$219:$J$223,0,4+2)),IF($AN46="WI",SUMPRODUCT(($AZ46&gt;=INDEX('How This Works &amp; Sources'!$B$228:$J$232,0,4))*INDEX('How This Works &amp; Sources'!$B$228:$J$232,0,4+2)),IF($AN46="AZ",'Your Pay &amp; Benefits'!$C$82,IF($AN46="CO",IF($AY46&gt;IF($AU46="Married",10000,5000),0.044,0),IF($AN46="IA",IF($AY46&gt;IF($AU46="Head of household",19500,IF($AU46="Married",26000,13000)),0.038,0),IF($AN46="ID",IF($AY46&gt;IF($AU46="Married",32000,16094),0.053,0),IF($AN46="IL",IF($AY46&gt;(2925*$AS46+1000*$AT46),0.0495,0),IF($AN46="KY",IF($AI46&gt;3360,0.035,0),IF($AN46="LA",0.0309,IF($AN46="MA",IF(MAX(0,$AY46-MIN(($BD45+$Q46+$R46+$S46),2000)-IF($AS46=0,0,IF($AS46=1,4400,1000*$AS46+3400)))&gt;=1107750,0.09,0.05),IF($AN46="MS",IF($AI46-IF($AU46="Head of household",3400,IF($AU46="Married",4600,2300))-'Your Pay &amp; Benefits'!$C$85&gt;10000,0.04,0),IF($AN46="PA",0.0307,"")))))))))))))))</f>
      </c>
      <c r="CD46" s="21">
        <f>IF(YEAR(IF('Your Pay &amp; Benefits'!$C$7="Weekly",'Your Pay &amp; Benefits'!$C$9+7*(($BE45+1)-1),IF('Your Pay &amp; Benefits'!$C$7="Biweekly",'Your Pay &amp; Benefits'!$C$9+14*(($BE45+1)-1),IF('Your Pay &amp; Benefits'!$C$7="Semimonthly",DATE(YEAR('Your Pay &amp; Benefits'!$C$9),MONTH('Your Pay &amp; Benefits'!$C$9)+INT((($BE45+1)-1)/2),MIN(DAY('Your Pay &amp; Benefits'!$C$9),DAY(EOMONTH(DATE(YEAR('Your Pay &amp; Benefits'!$C$9),MONTH('Your Pay &amp; Benefits'!$C$9)+INT((($BE45+1)-1)/2),1),0))))+IF(MOD(($BE45+1)-1,2)=1,15,0),EDATE('Your Pay &amp; Benefits'!$C$9,($BE45+1)-1)))))&lt;&gt;'Your Pay &amp; Benefits'!$C$10,"",IF('Your Pay &amp; Benefits'!$C$7="Weekly",'Your Pay &amp; Benefits'!$C$9+7*(($BE45+1)-1),IF('Your Pay &amp; Benefits'!$C$7="Biweekly",'Your Pay &amp; Benefits'!$C$9+14*(($BE45+1)-1),IF('Your Pay &amp; Benefits'!$C$7="Semimonthly",DATE(YEAR('Your Pay &amp; Benefits'!$C$9),MONTH('Your Pay &amp; Benefits'!$C$9)+INT((($BE45+1)-1)/2),MIN(DAY('Your Pay &amp; Benefits'!$C$9),DAY(EOMONTH(DATE(YEAR('Your Pay &amp; Benefits'!$C$9),MONTH('Your Pay &amp; Benefits'!$C$9)+INT((($BE45+1)-1)/2),1),0))))+IF(MOD(($BE45+1)-1,2)=1,15,0),EDATE('Your Pay &amp; Benefits'!$C$9,($BE45+1)-1)))))</f>
      </c>
      <c r="CE46" s="21">
        <f>IF(MIN(IF(AND('Your Pay &amp; Benefits'!$C$58&gt;MAX($B$6:$B45),'Your Pay &amp; Benefits'!$C$58&gt;=DATE('Your Pay &amp; Benefits'!$C$10,1,1),'Your Pay &amp; Benefits'!$C$58&lt;=DATE('Your Pay &amp; Benefits'!$C$10,12,31)),'Your Pay &amp; Benefits'!$C$58,999999),IF(AND('Your Pay &amp; Benefits'!$C$59&gt;MAX($B$6:$B45),'Your Pay &amp; Benefits'!$C$59&gt;=DATE('Your Pay &amp; Benefits'!$C$10,1,1),'Your Pay &amp; Benefits'!$C$59&lt;=DATE('Your Pay &amp; Benefits'!$C$10,12,31)),'Your Pay &amp; Benefits'!$C$59,999999),IF(AND('Your Pay &amp; Benefits'!$C$60&gt;MAX($B$6:$B45),'Your Pay &amp; Benefits'!$C$60&gt;=DATE('Your Pay &amp; Benefits'!$C$10,1,1),'Your Pay &amp; Benefits'!$C$60&lt;=DATE('Your Pay &amp; Benefits'!$C$10,12,31)),'Your Pay &amp; Benefits'!$C$60,999999),IF(AND('Your Pay &amp; Benefits'!$C$61&gt;MAX($B$6:$B45),'Your Pay &amp; Benefits'!$C$61&gt;=DATE('Your Pay &amp; Benefits'!$C$10,1,1),'Your Pay &amp; Benefits'!$C$61&lt;=DATE('Your Pay &amp; Benefits'!$C$10,12,31)),'Your Pay &amp; Benefits'!$C$61,999999),IF(AND('Your Pay &amp; Benefits'!$C$62&gt;MAX($B$6:$B45),'Your Pay &amp; Benefits'!$C$62&gt;=DATE('Your Pay &amp; Benefits'!$C$10,1,1),'Your Pay &amp; Benefits'!$C$62&lt;=DATE('Your Pay &amp; Benefits'!$C$10,12,31)),'Your Pay &amp; Benefits'!$C$62,999999),IF(AND('Your Pay &amp; Benefits'!$C$63&gt;MAX($B$6:$B45),'Your Pay &amp; Benefits'!$C$63&gt;=DATE('Your Pay &amp; Benefits'!$C$10,1,1),'Your Pay &amp; Benefits'!$C$63&lt;=DATE('Your Pay &amp; Benefits'!$C$10,12,31)),'Your Pay &amp; Benefits'!$C$63,999999),IF(AND('Your Pay &amp; Benefits'!$C$64&gt;MAX($B$6:$B45),'Your Pay &amp; Benefits'!$C$64&gt;=DATE('Your Pay &amp; Benefits'!$C$10,1,1),'Your Pay &amp; Benefits'!$C$64&lt;=DATE('Your Pay &amp; Benefits'!$C$10,12,31)),'Your Pay &amp; Benefits'!$C$64,999999),IF(AND('Your Pay &amp; Benefits'!$C$65&gt;MAX($B$6:$B45),'Your Pay &amp; Benefits'!$C$65&gt;=DATE('Your Pay &amp; Benefits'!$C$10,1,1),'Your Pay &amp; Benefits'!$C$65&lt;=DATE('Your Pay &amp; Benefits'!$C$10,12,31)),'Your Pay &amp; Benefits'!$C$65,999999),IF(AND('Your Pay &amp; Benefits'!$C$66&gt;MAX($B$6:$B45),'Your Pay &amp; Benefits'!$C$66&gt;=DATE('Your Pay &amp; Benefits'!$C$10,1,1),'Your Pay &amp; Benefits'!$C$66&lt;=DATE('Your Pay &amp; Benefits'!$C$10,12,31)),'Your Pay &amp; Benefits'!$C$66,999999),IF(AND('Your Pay &amp; Benefits'!$C$67&gt;MAX($B$6:$B45),'Your Pay &amp; Benefits'!$C$67&gt;=DATE('Your Pay &amp; Benefits'!$C$10,1,1),'Your Pay &amp; Benefits'!$C$67&lt;=DATE('Your Pay &amp; Benefits'!$C$10,12,31)),'Your Pay &amp; Benefits'!$C$67,999999))=999999,"",MIN(IF(AND('Your Pay &amp; Benefits'!$C$58&gt;MAX($B$6:$B45),'Your Pay &amp; Benefits'!$C$58&gt;=DATE('Your Pay &amp; Benefits'!$C$10,1,1),'Your Pay &amp; Benefits'!$C$58&lt;=DATE('Your Pay &amp; Benefits'!$C$10,12,31)),'Your Pay &amp; Benefits'!$C$58,999999),IF(AND('Your Pay &amp; Benefits'!$C$59&gt;MAX($B$6:$B45),'Your Pay &amp; Benefits'!$C$59&gt;=DATE('Your Pay &amp; Benefits'!$C$10,1,1),'Your Pay &amp; Benefits'!$C$59&lt;=DATE('Your Pay &amp; Benefits'!$C$10,12,31)),'Your Pay &amp; Benefits'!$C$59,999999),IF(AND('Your Pay &amp; Benefits'!$C$60&gt;MAX($B$6:$B45),'Your Pay &amp; Benefits'!$C$60&gt;=DATE('Your Pay &amp; Benefits'!$C$10,1,1),'Your Pay &amp; Benefits'!$C$60&lt;=DATE('Your Pay &amp; Benefits'!$C$10,12,31)),'Your Pay &amp; Benefits'!$C$60,999999),IF(AND('Your Pay &amp; Benefits'!$C$61&gt;MAX($B$6:$B45),'Your Pay &amp; Benefits'!$C$61&gt;=DATE('Your Pay &amp; Benefits'!$C$10,1,1),'Your Pay &amp; Benefits'!$C$61&lt;=DATE('Your Pay &amp; Benefits'!$C$10,12,31)),'Your Pay &amp; Benefits'!$C$61,999999),IF(AND('Your Pay &amp; Benefits'!$C$62&gt;MAX($B$6:$B45),'Your Pay &amp; Benefits'!$C$62&gt;=DATE('Your Pay &amp; Benefits'!$C$10,1,1),'Your Pay &amp; Benefits'!$C$62&lt;=DATE('Your Pay &amp; Benefits'!$C$10,12,31)),'Your Pay &amp; Benefits'!$C$62,999999),IF(AND('Your Pay &amp; Benefits'!$C$63&gt;MAX($B$6:$B45),'Your Pay &amp; Benefits'!$C$63&gt;=DATE('Your Pay &amp; Benefits'!$C$10,1,1),'Your Pay &amp; Benefits'!$C$63&lt;=DATE('Your Pay &amp; Benefits'!$C$10,12,31)),'Your Pay &amp; Benefits'!$C$63,999999),IF(AND('Your Pay &amp; Benefits'!$C$64&gt;MAX($B$6:$B45),'Your Pay &amp; Benefits'!$C$64&gt;=DATE('Your Pay &amp; Benefits'!$C$10,1,1),'Your Pay &amp; Benefits'!$C$64&lt;=DATE('Your Pay &amp; Benefits'!$C$10,12,31)),'Your Pay &amp; Benefits'!$C$64,999999),IF(AND('Your Pay &amp; Benefits'!$C$65&gt;MAX($B$6:$B45),'Your Pay &amp; Benefits'!$C$65&gt;=DATE('Your Pay &amp; Benefits'!$C$10,1,1),'Your Pay &amp; Benefits'!$C$65&lt;=DATE('Your Pay &amp; Benefits'!$C$10,12,31)),'Your Pay &amp; Benefits'!$C$65,999999),IF(AND('Your Pay &amp; Benefits'!$C$66&gt;MAX($B$6:$B45),'Your Pay &amp; Benefits'!$C$66&gt;=DATE('Your Pay &amp; Benefits'!$C$10,1,1),'Your Pay &amp; Benefits'!$C$66&lt;=DATE('Your Pay &amp; Benefits'!$C$10,12,31)),'Your Pay &amp; Benefits'!$C$66,999999),IF(AND('Your Pay &amp; Benefits'!$C$67&gt;MAX($B$6:$B45),'Your Pay &amp; Benefits'!$C$67&gt;=DATE('Your Pay &amp; Benefits'!$C$10,1,1),'Your Pay &amp; Benefits'!$C$67&lt;=DATE('Your Pay &amp; Benefits'!$C$10,12,31)),'Your Pay &amp; Benefits'!$C$67,999999)))</f>
      </c>
      <c r="CF46">
        <f>IF($B46="","",IF($D46=0,$Y46,""))</f>
      </c>
    </row>
    <row r="47">
      <c r="A47" t="n">
        <v>42</v>
      </c>
      <c r="B47" s="21">
        <f>IF(AND($CD47="",$CE47=""),"",IF($CE47="",$CD47,IF($CD47="",$CE47,MIN($CD47,$CE47))))</f>
      </c>
      <c r="C47" s="7">
        <f>IF($B47="","",IF($BF47=0,0,IF('Your Pay &amp; Benefits'!$C$4="Annual salary",ROUND($AK47/IF(AND('Your Pay &amp; Benefits'!$C$88="Actual paydays",MONTH('Your Pay &amp; Benefits'!$C$9)=1),MAX(1,MAX($BE$6:$BE$68)),'Your Pay &amp; Benefits'!$C$8),2),$AK47)))</f>
      </c>
      <c r="D47" s="7">
        <f>IF($B47="","",SUMIF('Your Pay &amp; Benefits'!$C$58:$C$67,$B47,'Your Pay &amp; Benefits'!$D$58:$D$67))</f>
      </c>
      <c r="E47" s="7">
        <f>IF($B47="","",ROUND(MAX(0,MIN(IF($AL47="Percent",$AM47*($C47+$D47),$AM47),MAX(0,'Your Pay &amp; Benefits'!$C$34-$AC46))),2))</f>
      </c>
      <c r="F47" s="7">
        <f>IF($B47="","",ROUND(MAX(0,MIN(IF('Your Pay &amp; Benefits'!$C$32="Percent",'Your Pay &amp; Benefits'!$D$32*($C47+$D47),'Your Pay &amp; Benefits'!$D$32),MAX(0,'Your Pay &amp; Benefits'!$C$34-$AC46-$E47))),2))</f>
      </c>
      <c r="G47" s="7">
        <f>IF($B47="","",IF($BF47=0,0,ROUND(MAX(0,MIN($BL47,'Your Pay &amp; Benefits'!$C$37-'Your Pay &amp; Benefits'!$C$54-$BI46)),2)))</f>
      </c>
      <c r="H47" s="7">
        <f>IF($B47="","",IF(OR($BF47=0,$BQ47=1),0,ROUND(MAX(0,MIN(IF($BS47=1,ROUND(MAX(0,MIN($BJ47,'How This Works &amp; Sources'!$C$13)-$BG46)/MAX(1,MAX($BE$6:$BE$68)-($BE46)),2),ROUND(MIN($BJ47,'How This Works &amp; Sources'!$C$13)/'Your Pay &amp; Benefits'!$C$8,2)),MIN($BJ47,'How This Works &amp; Sources'!$C$13)-$BG46)),2)))</f>
      </c>
      <c r="I47" s="7">
        <f>IF($B47="","",IF(OR($BF47=0,$BR47=1),0,ROUND(MAX(0,MIN(IF($BT47=1,ROUND(MAX(0,MIN($BK47,IF('Your Pay &amp; Benefits'!$C$12="MFJ",'How This Works &amp; Sources'!$C$14,'How This Works &amp; Sources'!$C$15))-$BH46)/MAX(1,MAX($BE$6:$BE$68)-($BE46)),2),ROUND(MIN($BK47,IF('Your Pay &amp; Benefits'!$C$12="MFJ",'How This Works &amp; Sources'!$C$14,'How This Works &amp; Sources'!$C$15))/'Your Pay &amp; Benefits'!$C$8,2)),MIN($BK47,IF('Your Pay &amp; Benefits'!$C$12="MFJ",'How This Works &amp; Sources'!$C$14,'How This Works &amp; Sources'!$C$15))-$BH46)),2)))</f>
      </c>
      <c r="J47" s="7">
        <f>IF($B47="","",IF($BF47=0,0,$BM47))</f>
      </c>
      <c r="K47" s="7">
        <f>IF($B47="","",IF($BF47=0,0,$BN47+$BO47))</f>
      </c>
      <c r="L47" s="7">
        <f>IF($B47="","",IF($BF47=0,0,'Your Pay &amp; Benefits'!$D$46))</f>
      </c>
      <c r="M47" s="7">
        <f>IF($B47="","",$C47+$D47+$L47-$E47-$G47-$H47-$I47-$J47-$K47)</f>
      </c>
      <c r="N47" s="7">
        <f>IF($B47="","",$C47+$D47+$L47-$G47-$H47-$I47-$J47-$K47)</f>
      </c>
      <c r="O47" s="7">
        <f>IF($B47="","",$C47+$D47+$L47-$E47-$H47-$I47-$J47-$K47-IF(OR($AN47="CA",$AN47="NJ"),0,$G47))</f>
      </c>
      <c r="P47" s="7">
        <f>IF($B47="","",IF('Your Pay &amp; Benefits'!$C$18,0,ROUND(MAX(0,IF('Your Pay &amp; Benefits'!$C$13,SUMPRODUCT(($AH47&gt;INDEX('How This Works &amp; Sources'!$B$29:$J$36,0,IF('Your Pay &amp; Benefits'!$C$12="MFJ",1,IF('Your Pay &amp; Benefits'!$C$12="HoH",7,4))))*($AH47-INDEX('How This Works &amp; Sources'!$B$29:$J$36,0,IF('Your Pay &amp; Benefits'!$C$12="MFJ",1,IF('Your Pay &amp; Benefits'!$C$12="HoH",7,4))))*INDEX('How This Works &amp; Sources'!$B$29:$J$36,0,IF('Your Pay &amp; Benefits'!$C$12="MFJ",1,IF('Your Pay &amp; Benefits'!$C$12="HoH",7,4))+2)),SUMPRODUCT(($AH47&gt;INDEX('How This Works &amp; Sources'!$B$19:$J$26,0,IF('Your Pay &amp; Benefits'!$C$12="MFJ",1,IF('Your Pay &amp; Benefits'!$C$12="HoH",7,4))))*($AH47-INDEX('How This Works &amp; Sources'!$B$19:$J$26,0,IF('Your Pay &amp; Benefits'!$C$12="MFJ",1,IF('Your Pay &amp; Benefits'!$C$12="HoH",7,4))))*INDEX('How This Works &amp; Sources'!$B$19:$J$26,0,IF('Your Pay &amp; Benefits'!$C$12="MFJ",1,IF('Your Pay &amp; Benefits'!$C$12="HoH",7,4))+2)))/'Your Pay &amp; Benefits'!$C$8-$AO47/'Your Pay &amp; Benefits'!$C$8)+$AR47+IF('Your Pay &amp; Benefits'!$C$89="Aggregate",MAX(0,IF('Your Pay &amp; Benefits'!$C$13,SUMPRODUCT((($AH47+$D47)&gt;INDEX('How This Works &amp; Sources'!$B$29:$J$36,0,IF('Your Pay &amp; Benefits'!$C$12="MFJ",1,IF('Your Pay &amp; Benefits'!$C$12="HoH",7,4))))*(($AH47+$D47)-INDEX('How This Works &amp; Sources'!$B$29:$J$36,0,IF('Your Pay &amp; Benefits'!$C$12="MFJ",1,IF('Your Pay &amp; Benefits'!$C$12="HoH",7,4))))*INDEX('How This Works &amp; Sources'!$B$29:$J$36,0,IF('Your Pay &amp; Benefits'!$C$12="MFJ",1,IF('Your Pay &amp; Benefits'!$C$12="HoH",7,4))+2)),SUMPRODUCT((($AH47+$D47)&gt;INDEX('How This Works &amp; Sources'!$B$19:$J$26,0,IF('Your Pay &amp; Benefits'!$C$12="MFJ",1,IF('Your Pay &amp; Benefits'!$C$12="HoH",7,4))))*(($AH47+$D47)-INDEX('How This Works &amp; Sources'!$B$19:$J$26,0,IF('Your Pay &amp; Benefits'!$C$12="MFJ",1,IF('Your Pay &amp; Benefits'!$C$12="HoH",7,4))))*INDEX('How This Works &amp; Sources'!$B$19:$J$26,0,IF('Your Pay &amp; Benefits'!$C$12="MFJ",1,IF('Your Pay &amp; Benefits'!$C$12="HoH",7,4))+2)))-IF('Your Pay &amp; Benefits'!$C$13,SUMPRODUCT(($AH47&gt;INDEX('How This Works &amp; Sources'!$B$29:$J$36,0,IF('Your Pay &amp; Benefits'!$C$12="MFJ",1,IF('Your Pay &amp; Benefits'!$C$12="HoH",7,4))))*($AH47-INDEX('How This Works &amp; Sources'!$B$29:$J$36,0,IF('Your Pay &amp; Benefits'!$C$12="MFJ",1,IF('Your Pay &amp; Benefits'!$C$12="HoH",7,4))))*INDEX('How This Works &amp; Sources'!$B$29:$J$36,0,IF('Your Pay &amp; Benefits'!$C$12="MFJ",1,IF('Your Pay &amp; Benefits'!$C$12="HoH",7,4))+2)),SUMPRODUCT(($AH47&gt;INDEX('How This Works &amp; Sources'!$B$19:$J$26,0,IF('Your Pay &amp; Benefits'!$C$12="MFJ",1,IF('Your Pay &amp; Benefits'!$C$12="HoH",7,4))))*($AH47-INDEX('How This Works &amp; Sources'!$B$19:$J$26,0,IF('Your Pay &amp; Benefits'!$C$12="MFJ",1,IF('Your Pay &amp; Benefits'!$C$12="HoH",7,4))))*INDEX('How This Works &amp; Sources'!$B$19:$J$26,0,IF('Your Pay &amp; Benefits'!$C$12="MFJ",1,IF('Your Pay &amp; Benefits'!$C$12="HoH",7,4))+2)))),'How This Works &amp; Sources'!$C$10*$D47),2)))</f>
      </c>
      <c r="Q47" s="7">
        <f>IF($B47="","",ROUND('How This Works &amp; Sources'!$C$4*MIN($N47,MAX(0,'How This Works &amp; Sources'!$C$3-($AX47+$AB46-$AW47))),2))</f>
      </c>
      <c r="R47" s="7">
        <f>IF($B47="","",ROUND('How This Works &amp; Sources'!$C$5*$N47,2))</f>
      </c>
      <c r="S47" s="7">
        <f>IF($B47="","",ROUND('How This Works &amp; Sources'!$C$6*MAX(0,MIN($N47,$AG46+$N47-'How This Works &amp; Sources'!$C$7)),2))</f>
      </c>
      <c r="T47" s="7">
        <f>IF($B47="","",IF('Your Pay &amp; Benefits'!$C$26,0,IF($AN47="CA",ROUND(IF($AI47&lt;=IF(($AS47+$AT47)&gt;=2,VLOOKUP($AN47,StateTables!$A$6:$AB$56,10,FALSE),VLOOKUP($AN47,StateTables!$A$6:$AB$56,9,FALSE)),0,MAX(0,SUMPRODUCT(($AJ47&gt;INDEX('How This Works &amp; Sources'!$B$39:$J$48,0,IF($AU47="Married",4,IF($AU47="Head of household",7,1))))*($AJ47-INDEX('How This Works &amp; Sources'!$B$39:$J$48,0,IF($AU47="Married",4,IF($AU47="Head of household",7,1))))*INDEX('How This Works &amp; Sources'!$B$39:$J$48,0,IF($AU47="Married",4,IF($AU47="Head of household",7,1))+2))-VLOOKUP($AN47,StateTables!$A$6:$AB$56,11,FALSE)*$AS47)/'Your Pay &amp; Benefits'!$C$8)+'Your Pay &amp; Benefits'!$C$25+VLOOKUP($AN47,StateTables!$A$6:$AB$56,13,FALSE)*$D47,2),IF(VLOOKUP($AN47,StateTables!$A$6:$AB$56,4,FALSE)="None",0,IF(ISNUMBER(SEARCH("MANUAL",VLOOKUP($AN47,StateTables!$A$6:$AB$56,5,FALSE))),'Your Pay &amp; Benefits'!$C$28,ROUND(MAX(0,$BA47+$BB47)/'Your Pay &amp; Benefits'!$C$8+'Your Pay &amp; Benefits'!$C$25+$BC47,2))))))</f>
      </c>
      <c r="U47" s="7">
        <f>IF($B47="","",IF(VLOOKUP($AN47,StateTables!$A$6:$AB$56,24,FALSE)="flatq",IF(OR(MONTH($B47)=1,MONTH($B47)=4,MONTH($B47)=7,MONTH($B47)=10),VLOOKUP($AN47,StateTables!$A$6:$AB$56,25,FALSE),0),IF(VLOOKUP($AN47,StateTables!$A$6:$AB$56,24,FALSE)="dbl",MIN(ROUND(0.005*$N47,2),ROUND(0.6*52/'Your Pay &amp; Benefits'!$C$8,2)),IF(OR(VLOOKUP($AN47,StateTables!$A$6:$AB$56,15,FALSE)="",VLOOKUP($AN47,StateTables!$A$6:$AB$56,15,FALSE)=0),0,ROUND(VLOOKUP($AN47,StateTables!$A$6:$AB$56,15,FALSE)*IF(OR(VLOOKUP($AN47,StateTables!$A$6:$AB$56,16,FALSE)="",VLOOKUP($AN47,StateTables!$A$6:$AB$56,16,FALSE)=0),$N47,MIN($N47,MAX(0,VLOOKUP($AN47,StateTables!$A$6:$AB$56,16,FALSE)-($AX47+$AB46-$AW47)))),2))))+IF(VLOOKUP($AN47,StateTables!$A$6:$AB$56,27,FALSE)="flatq",IF(OR(MONTH($B47)=1,MONTH($B47)=4,MONTH($B47)=7,MONTH($B47)=10),VLOOKUP($AN47,StateTables!$A$6:$AB$56,28,FALSE),0),IF(VLOOKUP($AN47,StateTables!$A$6:$AB$56,27,FALSE)="dbl",MIN(ROUND(0.005*$N47,2),ROUND(0.6*52/'Your Pay &amp; Benefits'!$C$8,2)),IF(OR(VLOOKUP($AN47,StateTables!$A$6:$AB$56,18,FALSE)="",VLOOKUP($AN47,StateTables!$A$6:$AB$56,18,FALSE)=0),0,ROUND(VLOOKUP($AN47,StateTables!$A$6:$AB$56,18,FALSE)*IF(OR(VLOOKUP($AN47,StateTables!$A$6:$AB$56,19,FALSE)="",VLOOKUP($AN47,StateTables!$A$6:$AB$56,19,FALSE)=0),$N47,MIN($N47,MAX(0,VLOOKUP($AN47,StateTables!$A$6:$AB$56,19,FALSE)-($AX47+$AB46-$AW47)))),2)))))</f>
      </c>
      <c r="V47" s="7">
        <f>IF($B47="","",IF($AN47="NY",IF('Your Pay &amp; Benefits'!$C$78,ROUND(SUMPRODUCT((MAX(0,($O47-$D47)*'Your Pay &amp; Benefits'!$C$8-(IF($AU47="Married",5500,5000)+1000*$AS47))&gt;INDEX('How This Works &amp; Sources'!$B$184:$J$198,0,4))*(MAX(0,($O47-$D47)*'Your Pay &amp; Benefits'!$C$8-(IF($AU47="Married",5500,5000)+1000*$AS47))-INDEX('How This Works &amp; Sources'!$B$184:$J$198,0,4))*INDEX('How This Works &amp; Sources'!$B$184:$J$198,0,4+2))/'Your Pay &amp; Benefits'!$C$8+0.0425*$D47,2),0)+IF('Your Pay &amp; Benefits'!$C$79="Resident",ROUND(0.1675*$T47,2),IF('Your Pay &amp; Benefits'!$C$79="Nonresident",ROUND(0.005*MAX(0,($O47-$D47)-(IF($AU47="Married",7950,7400)+1000*$AS47)/'Your Pay &amp; Benefits'!$C$8),2),0)),IF($AN47="PA",IF('Your Pay &amp; Benefits'!$C$80="None",'Your Pay &amp; Benefits'!$C$27+ROUND('Your Pay &amp; Benefits'!$C$81*($C47+$D47),2),ROUND(IF('Your Pay &amp; Benefits'!$C$80="Resident",IF($B47&lt;DATE(2026,7,1),0.0374,0.03735),IF($B47&lt;DATE(2026,7,1),0.0343,0.03425))*($C47+$D47),2)),IF($BF47=0,ROUND('Your Pay &amp; Benefits'!$C$81*($C47+$D47),2),'Your Pay &amp; Benefits'!$C$27+ROUND('Your Pay &amp; Benefits'!$C$81*($C47+$D47),2)))))</f>
      </c>
      <c r="W47" s="7">
        <f>IF($B47="","",IF($BF47=0,0,$BP47))</f>
      </c>
      <c r="X47" s="7">
        <f>IF($B47="","",SUM($E47:$K47)+$P47+$Q47+$R47+$S47+$T47+$U47+$V47+$W47)</f>
      </c>
      <c r="Y47" s="22">
        <f>IF($B47="","",$C47+$D47-$X47)</f>
      </c>
      <c r="Z47" s="7">
        <f>IF($B47="","",$Z46+$C47+$D47)</f>
      </c>
      <c r="AA47" s="7">
        <f>IF($B47="","",$AA46+$Y47)</f>
      </c>
      <c r="AB47" s="7">
        <f>IF($B47="","",$AB46+MIN($N47,MAX(0,'How This Works &amp; Sources'!$C$3-($AX47+$AB46-$AW47))))</f>
      </c>
      <c r="AC47" s="7">
        <f>IF($B47="","",$AC46+$E47+$F47)</f>
      </c>
      <c r="AD47" s="3">
        <f>IF($B47="","",IF(AND($AB46&lt;'How This Works &amp; Sources'!$C$3,$AB47&gt;='How This Works &amp; Sources'!$C$3),"★ Social Security maxed on this check — from the next check your net rises by about $"&amp;TEXT(ROUND('How This Works &amp; Sources'!$C$4*$N47,2),"#,##0.00")&amp;". ","")&amp;IF(AND($AC46&lt;'Your Pay &amp; Benefits'!$C$34,$AC47&gt;='Your Pay &amp; Benefits'!$C$34),"★ 401(k) reaches the $"&amp;TEXT('Your Pay &amp; Benefits'!$C$34,"#,##0")&amp;" cap on this check — deferrals stop and net pay rises. ","")&amp;IF(AND($AG46&lt;'How This Works &amp; Sources'!$C$7,$AG47&gt;='How This Works &amp; Sources'!$C$7),"★ Wages pass $200,000 — the 0.9% Additional Medicare Tax starts here. ","")&amp;IF(AND($BJ47&gt;0,$H47&gt;0,$BG46&lt;MIN($BJ47,'How This Works &amp; Sources'!$C$13),$BG46+$H47&gt;=MIN($BJ47,'How This Works &amp; Sources'!$C$13)),"★ Health FSA election is now fully deferred for the year. ",""))</f>
      </c>
      <c r="AE47" s="41" t="n"/>
      <c r="AF47" s="7">
        <f>IF(OR($B47="",$AE47=""),"",$AE47-$Y47)</f>
      </c>
      <c r="AG47" s="7">
        <f>IF($B47="","",$AG46+$N47)</f>
      </c>
      <c r="AH47" s="7">
        <f>IF($B47="","",MAX(0,($M47-$D47)*'Your Pay &amp; Benefits'!$C$8+$AP47-$AQ47-IF('Your Pay &amp; Benefits'!$C$13,0,IF('Your Pay &amp; Benefits'!$C$12="MFJ",'How This Works &amp; Sources'!$C$8,'How This Works &amp; Sources'!$C$9))))</f>
      </c>
      <c r="AI47" s="7">
        <f>IF($B47="","",$O47*'Your Pay &amp; Benefits'!$C$8)</f>
      </c>
      <c r="AJ47" s="7">
        <f>IF($B47="","",MAX(0,$AI47-VLOOKUP($AN47,StateTables!$A$6:$AB$56,12,FALSE)*$AT47-IF(($AS47+$AT47)&gt;=2,VLOOKUP($AN47,StateTables!$A$6:$AB$56,8,FALSE),VLOOKUP($AN47,StateTables!$A$6:$AB$56,7,FALSE))))</f>
      </c>
      <c r="AK47" s="7">
        <f>IF($B47="","",IFERROR(LOOKUP(2,1/(('Changes &amp; Events'!$C$6:$C$17="Salary change")*('Changes &amp; Events'!$B$6:$B$17&lt;=$B47)*('Changes &amp; Events'!$B$6:$B$17&lt;&gt;"")),'Changes &amp; Events'!$D$6:$D$17),IF('Your Pay &amp; Benefits'!$C$4="Annual salary",'Your Pay &amp; Benefits'!$C$5,'Your Pay &amp; Benefits'!$C$6)))</f>
      </c>
      <c r="AL47">
        <f>IF($B47="","",IFERROR(LOOKUP(2,1/(('Changes &amp; Events'!$C$6:$C$17="401(k) change")*('Changes &amp; Events'!$B$6:$B$17&lt;=$B47)*('Changes &amp; Events'!$B$6:$B$17&lt;&gt;"")),'Changes &amp; Events'!$D$6:$D$17),'Your Pay &amp; Benefits'!$C$30))</f>
      </c>
      <c r="AM47" s="7">
        <f>IF($B47="","",IFERROR(LOOKUP(2,1/(('Changes &amp; Events'!$C$6:$C$17="401(k) change")*('Changes &amp; Events'!$B$6:$B$17&lt;=$B47)*('Changes &amp; Events'!$B$6:$B$17&lt;&gt;"")),'Changes &amp; Events'!$E$6:$E$17),'Your Pay &amp; Benefits'!$D$31))</f>
      </c>
      <c r="AN47">
        <f>IF($B47="","",IFERROR(LOOKUP(2,1/(('Changes &amp; Events'!$C$6:$C$17="State move")*('Changes &amp; Events'!$B$6:$B$17&lt;=$B47)*('Changes &amp; Events'!$B$6:$B$17&lt;&gt;"")),'Changes &amp; Events'!$D$6:$D$17),'Your Pay &amp; Benefits'!$C$21))</f>
      </c>
      <c r="AO47" s="7">
        <f>IF($B47="","",IFERROR(LOOKUP(2,1/(('Changes &amp; Events'!$C$6:$C$17="W-4 change")*('Changes &amp; Events'!$B$6:$B$17&lt;=$B47)*('Changes &amp; Events'!$B$6:$B$17&lt;&gt;"")),'Changes &amp; Events'!$D$6:$D$17),'Your Pay &amp; Benefits'!$C$14))</f>
      </c>
      <c r="AP47" s="7">
        <f>IF($B47="","",IFERROR(LOOKUP(2,1/(('Changes &amp; Events'!$C$6:$C$17="W-4 change")*('Changes &amp; Events'!$B$6:$B$17&lt;=$B47)*('Changes &amp; Events'!$B$6:$B$17&lt;&gt;"")),'Changes &amp; Events'!$E$6:$E$17),'Your Pay &amp; Benefits'!$C$15))</f>
      </c>
      <c r="AQ47" s="7">
        <f>IF($B47="","",IFERROR(LOOKUP(2,1/(('Changes &amp; Events'!$C$6:$C$17="W-4 change")*('Changes &amp; Events'!$B$6:$B$17&lt;=$B47)*('Changes &amp; Events'!$B$6:$B$17&lt;&gt;"")),'Changes &amp; Events'!$F$6:$F$17),'Your Pay &amp; Benefits'!$C$16))</f>
      </c>
      <c r="AR47" s="7">
        <f>IF($B47="","",IFERROR(LOOKUP(2,1/(('Changes &amp; Events'!$C$6:$C$17="W-4 change")*('Changes &amp; Events'!$B$6:$B$17&lt;=$B47)*('Changes &amp; Events'!$B$6:$B$17&lt;&gt;"")),'Changes &amp; Events'!$G$6:$G$17),'Your Pay &amp; Benefits'!$C$17))</f>
      </c>
      <c r="AS47" s="6">
        <f>IF($B47="","",IFERROR(LOOKUP(2,1/((('Changes &amp; Events'!$C$6:$C$17="State move")+('Changes &amp; Events'!$C$6:$C$17="State cert change"))*('Changes &amp; Events'!$B$6:$B$17&lt;=$B47)*('Changes &amp; Events'!$B$6:$B$17&lt;&gt;"")),'Changes &amp; Events'!$F$6:$F$17),'Your Pay &amp; Benefits'!$C$23))</f>
      </c>
      <c r="AT47" s="6">
        <f>IF($B47="","",IFERROR(LOOKUP(2,1/((('Changes &amp; Events'!$C$6:$C$17="State move")+('Changes &amp; Events'!$C$6:$C$17="State cert change"))*('Changes &amp; Events'!$B$6:$B$17&lt;=$B47)*('Changes &amp; Events'!$B$6:$B$17&lt;&gt;"")),'Changes &amp; Events'!$G$6:$G$17),'Your Pay &amp; Benefits'!$C$24))</f>
      </c>
      <c r="AU47">
        <f>IF($B47="","",IFERROR(LOOKUP(2,1/(('Changes &amp; Events'!$C$6:$C$17="State move")*('Changes &amp; Events'!$B$6:$B$17&lt;=$B47)*('Changes &amp; Events'!$B$6:$B$17&lt;&gt;"")),'Changes &amp; Events'!$E$6:$E$17),'Your Pay &amp; Benefits'!$C$22))</f>
      </c>
      <c r="AV47" s="6">
        <f>IF($B47="","",1+COUNTIFS('Changes &amp; Events'!$C$6:$C$17,"Employer change",'Changes &amp; Events'!$B$6:$B$17,"&lt;="&amp;$B47,'Changes &amp; Events'!$B$6:$B$17,"&lt;&gt;"))</f>
      </c>
      <c r="AW47" s="7">
        <f>IF($B47="","",IF($AV47=1,'Your Pay &amp; Benefits'!$C$49,IF(IFERROR(MATCH(IFERROR(LOOKUP(2,1/(('Changes &amp; Events'!$C$6:$C$17="Employer change")*('Changes &amp; Events'!$B$6:$B$17&lt;=$B47)*('Changes &amp; Events'!$B$6:$B$17&lt;&gt;"")),'Changes &amp; Events'!$B$6:$B$17),""),$B$6:$B$68,1),1)&lt;=1,'Your Pay &amp; Benefits'!$C$49,INDEX($AB$6:$AB$68,MATCH(IFERROR(LOOKUP(2,1/(('Changes &amp; Events'!$C$6:$C$17="Employer change")*('Changes &amp; Events'!$B$6:$B$17&lt;=$B47)*('Changes &amp; Events'!$B$6:$B$17&lt;&gt;"")),'Changes &amp; Events'!$B$6:$B$17),""),$B$6:$B$68,1)-1))))</f>
      </c>
      <c r="AX47" s="7">
        <f>IF($B47="","",IF($AV47=1,'Your Pay &amp; Benefits'!$C$49,IFERROR(LOOKUP(2,1/(('Changes &amp; Events'!$C$6:$C$17="Employer change")*('Changes &amp; Events'!$B$6:$B$17&lt;=$B47)*('Changes &amp; Events'!$B$6:$B$17&lt;&gt;"")),'Changes &amp; Events'!$D$6:$D$17),0)))</f>
      </c>
      <c r="AY47" s="7">
        <f>IF($B47="","",($O47-$D47)*'Your Pay &amp; Benefits'!$C$8)</f>
      </c>
      <c r="AZ47" s="7">
        <f>IF($B47="","",IF($AN47="AL",MAX(0,$AY47-IF($AU47="Married",IF($AY47&lt;=25999,8500,MAX(5000,8500-175*CEILING(($AY47-25999)/500,1))),IF($AU47="Head of household",IF($AY47&lt;=25999,5200,MAX(2500,5200-135*CEILING(($AY47-25999)/500,1))),IF($AY47&lt;=25999,3000,MAX(2500,3000-25*CEILING(($AY47-25999)/500,1)))))-($P47-'How This Works &amp; Sources'!$C$10*$D47)*'Your Pay &amp; Benefits'!$C$8-IF(OR($AU47="Married",$AU47="Head of household"),3000,1500)-$AT47*IF($AY47&lt;=50000,1000,IF($AY47&lt;=100000,500,300))),IF($AN47="AR",IF(MAX(0,$AY47-2470)&lt;97701,INT(MAX(0,$AY47-2470)/100)*100+50,MAX(0,$AY47-2470)),IF($AN47="DE",MAX(0,$AI47-3250),IF($AN47="HI",MAX(0,$AI47-1144*$AS47-4350),IF($AN47="KS",MAX(0,$AI47-(9160*IF($AU47="Married",2,1)+2320*$AT47+IF($AU47="Head of household",2320,0))),IF($AN47="MD",MAX(0,$AI47-3400-3200*$AS47),IF($AN47="MN",MAX(0,$AY47-5300*$AS47),IF($AN47="MO",MAX(0,$AI47-IF($AU47="Head of household",24150,IF($AU47="Married",IF('Your Pay &amp; Benefits'!$C$83,16100,32200),16100))),IF($AN47="MT",$AY47,IF($AN47="ND",($C47+$L47)*'Your Pay &amp; Benefits'!$C$8,IF($AN47="NE",MAX(0,$AY47-2440*$AS47),IF($AN47="NJ",MAX(0,$AY47-1000*$AS47),IF($AN47="NY",MAX(0,$AY47-(IF($AU47="Married",7950,7400)+1000*$AS47)),IF($AN47="OH",MAX(0,$AY47-650*$AS47),IF($AN47="OK",MAX(0,$AY47-1000*$AS47),IF($AN47="RI",MAX(0,$AI47-1000*$AS47),IF($AN47="SC",MAX(0,$AI47-5000*$AS47-IF($AS47=0,0,MIN(0.1*$AI47,7500))),IF($AN47="VA",MAX(0,$AI47-IF($AU47="Married",17500,8750)-930*$AS47-800*$AT47),IF($AN47="VT",MAX(0,$AI47-5400*$AS47),IF($AN47="WI",MAX(0,$AI47-MAX(0,IF($AU47="Married",9461-0.2*MAX(0,$AI47-25727),6702-0.12*MAX(0,$AI47-17780)))-400*$AS47),IF($AN47="WV",MAX(0,$AI47-2000*$AS47),$AI47))))))))))))))))))))))</f>
      </c>
      <c r="BA47" s="7">
        <f>IF($B47="","",IF($BW47&lt;&gt;"",$BW47,IF($BX47&lt;&gt;"",$BX47,IF($BY47&lt;&gt;"",$BY47,0))))</f>
      </c>
      <c r="BB47" s="7">
        <f>IF($B47="","",IF($AN47="AR",-29*$AS47,IF($AN47="DE",-110*$AS47,IF($AN47="MD",$AZ47*'Your Pay &amp; Benefits'!$C$74,IF($AN47="AZ",'Your Pay &amp; Benefits'!$C$82*($M47-$D47)*'Your Pay &amp; Benefits'!$C$8,IF($AN47="CO",0.044*MAX(0,$AY47-IF($AU47="Married",10000,5000)),IF($AN47="IA",MAX(0,0.038*MAX(0,$AY47-IF($AU47="Head of household",19500,IF($AU47="Married",26000,13000)))-40*$AS47),IF($AN47="ID",0.053*MAX(0,$AY47-IF($AU47="Married",32000,16094)),IF($AN47="IL",0.0495*MAX(0,$AY47-(2925*$AS47+1000*$AT47)),IF($AN47="IN",(0.0295+'Your Pay &amp; Benefits'!$C$76)*MAX(0,$AY47-(1000*$AS47+1500*$AT47+3000*'Your Pay &amp; Benefits'!$C$86)),IF($AN47="KY",0.035*MAX(0,$AI47-3360),IF($AN47="LA",IF('Your Pay &amp; Benefits'!$C$84="0",0.0309*$AI47,0.0309*MAX(0,$AI47-IF('Your Pay &amp; Benefits'!$C$84="2",25750,12875))),IF($AN47="MA",0.05*MIN(MAX(0,$AY47-MIN(($BD46+$Q47+$R47+$S47),2000)-IF($AS47=0,0,IF($AS47=1,4400,1000*$AS47+3400))),1107750)+0.09*MAX(0,MAX(0,$AY47-MIN(($BD46+$Q47+$R47+$S47),2000)-IF($AS47=0,0,IF($AS47=1,4400,1000*$AS47+3400)))-1107750)-IF($AU47="Head of household",120,0)-110*'Your Pay &amp; Benefits'!$C$75,IF($AN47="MI",0.0425*MAX(0,$AY47-5900*$AS47),IF($AN47="MS",0.04*MAX(0,$AI47-IF($AU47="Head of household",3400,IF($AU47="Married",4600,2300))-'Your Pay &amp; Benefits'!$C$85-10000),IF($AN47="OR",IF(OR($AU47="Married",AND($AU47="Single",$AS47&gt;=3)),SUMPRODUCT((MAX(0,$AY47-MIN(($P47-'How This Works &amp; Sources'!$C$10*$D47)*'Your Pay &amp; Benefits'!$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Sources'!$B$211:$J$214,0,4))*(MAX(0,$AY47-MIN(($P47-'How This Works &amp; Sources'!$C$10*$D47)*'Your Pay &amp; Benefits'!$C$8,IF(OR($AU47="Married",AND($AU47="Single",$AS47&gt;=3)),IF($AY47&lt;250000,8750,IF($AY47&lt;260000,7000,IF($AY47&lt;270000,5250,IF($AY47&lt;280000,3500,IF($AY47&lt;290000,1750,0))))),IF($AY47&lt;125000,8750,IF($AY47&lt;130000,7000,IF($AY47&lt;135000,5250,IF($AY47&lt;140000,3500,IF($AY47&lt;145000,1750,0)))))))-IF(OR($AU47="Married",AND($AU47="Single",$AS47&gt;=3)),5820,2910))-INDEX('How This Works &amp; Sources'!$B$211:$J$214,0,4))*INDEX('How This Works &amp; Sources'!$B$211:$J$214,0,4+2)),SUMPRODUCT((MAX(0,$AY47-MIN(($P47-'How This Works &amp; Sources'!$C$10*$D47)*'Your Pay &amp; Benefits'!$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Sources'!$B$211:$J$214,0,1))*(MAX(0,$AY47-MIN(($P47-'How This Works &amp; Sources'!$C$10*$D47)*'Your Pay &amp; Benefits'!$C$8,IF(OR($AU47="Married",AND($AU47="Single",$AS47&gt;=3)),IF($AY47&lt;250000,8750,IF($AY47&lt;260000,7000,IF($AY47&lt;270000,5250,IF($AY47&lt;280000,3500,IF($AY47&lt;290000,1750,0))))),IF($AY47&lt;125000,8750,IF($AY47&lt;130000,7000,IF($AY47&lt;135000,5250,IF($AY47&lt;140000,3500,IF($AY47&lt;145000,1750,0)))))))-IF(OR($AU47="Married",AND($AU47="Single",$AS47&gt;=3)),5820,2910))-INDEX('How This Works &amp; Sources'!$B$211:$J$214,0,1))*INDEX('How This Works &amp; Sources'!$B$211:$J$214,0,1+2)))+263-263*IF(IF($AU47="Married",$AY47&gt;200000,$AY47&gt;100000),0,$AS47),IF($AN47="PA",0.0307*(($O47+$E47+$G47)*'Your Pay &amp; Benefits'!$C$8),IF($AN47="NY",IF($AU47="Married",IF($AZ47&gt;=2155350,0,IF($AZ47&gt;=1077550,0.48,IF($AZ47&gt;=373200,1.21,IF($AZ47&gt;=323200,0.21,IF($AZ47&gt;=211550,-0.19,IF($AZ47&gt;=157650,-2.8,IF($AZ47&gt;=107650,-0.8,IF($AZ47&gt;=96800,0.05,IF($AZ47&gt;=80650,-0.1,IF($AZ47&gt;=13900,0.4,IF($AZ47&gt;=11700,-0.3,IF($AZ47&gt;=8500,0.5,0)))))))))))),IF($AZ47&gt;=1077550,0,IF($AZ47&gt;=265400,4.29,IF($AZ47&gt;=215400,2.29,IF($AZ47&gt;=157650,2.29,IF($AZ47&gt;=107650,0.29,IF($AZ47&gt;=96800,0.05,IF($AZ47&gt;=80650,-0.1,IF($AZ47&gt;=13900,0.4,IF($AZ47&gt;=11700,-0.3,IF($AZ47&gt;=8500,0.5,0))))))))))),0))))))))))))))))))</f>
      </c>
      <c r="BC47" s="7">
        <f>IF($B47="","",IF($AN47="AL",0.05*$D47,IF($AN47="AR",0.039*$D47,IF($AN47="ID",0.053*$D47,IF($AN47="IN",(0.0295+'Your Pay &amp; Benefits'!$C$76)*$D47,IF($AN47="KS",0.05*$D47,IF($AN47="MA",0.09*MIN($D47,MAX(0,MAX(0,$AY47-MIN(($BD46+$Q47+$R47+$S47),2000)-IF($AS47=0,0,IF($AS47=1,4400,1000*$AS47+3400)))+$D47-1107750))+0.05*($D47-MIN($D47,MAX(0,MAX(0,$AY47-MIN(($BD46+$Q47+$R47+$S47),2000)-IF($AS47=0,0,IF($AS47=1,4400,1000*$AS47+3400)))+$D47-1107750))),IF($AN47="MD",(0.065+'Your Pay &amp; Benefits'!$C$74)*$D47,IF($AN47="MI",0.0425*$D47,IF($AN47="MN",0.0625*$D47,IF($AN47="MO",0.047*$D47,IF($AN47="MT",0.05*$D47,IF($AN47="ND",0.015*$D47,IF($AN47="NE",0.035*$D47,IF($AN47="NJ",IF('Your Pay &amp; Benefits'!$C$77="B",SUMPRODUCT(($D47*'Your Pay &amp; Benefits'!$C$8&gt;INDEX('How This Works &amp; Sources'!$B$155:$J$162,0,4))*($D47*'Your Pay &amp; Benefits'!$C$8-INDEX('How This Works &amp; Sources'!$B$155:$J$162,0,4))*INDEX('How This Works &amp; Sources'!$B$155:$J$162,0,4+2)),IF('Your Pay &amp; Benefits'!$C$77="C",SUMPRODUCT(($D47*'Your Pay &amp; Benefits'!$C$8&gt;INDEX('How This Works &amp; Sources'!$B$155:$J$162,0,7))*($D47*'Your Pay &amp; Benefits'!$C$8-INDEX('How This Works &amp; Sources'!$B$155:$J$162,0,7))*INDEX('How This Works &amp; Sources'!$B$155:$J$162,0,7+2)),IF('Your Pay &amp; Benefits'!$C$77="D",SUMPRODUCT(($D47*'Your Pay &amp; Benefits'!$C$8&gt;INDEX('How This Works &amp; Sources'!$B$167:$J$179,0,1))*($D47*'Your Pay &amp; Benefits'!$C$8-INDEX('How This Works &amp; Sources'!$B$167:$J$179,0,1))*INDEX('How This Works &amp; Sources'!$B$167:$J$179,0,1+2)),IF('Your Pay &amp; Benefits'!$C$77="E",SUMPRODUCT(($D47*'Your Pay &amp; Benefits'!$C$8&gt;INDEX('How This Works &amp; Sources'!$B$167:$J$179,0,4))*($D47*'Your Pay &amp; Benefits'!$C$8-INDEX('How This Works &amp; Sources'!$B$167:$J$179,0,4))*INDEX('How This Works &amp; Sources'!$B$167:$J$179,0,4+2)),SUMPRODUCT(($D47*'Your Pay &amp; Benefits'!$C$8&gt;INDEX('How This Works &amp; Sources'!$B$155:$J$162,0,1))*($D47*'Your Pay &amp; Benefits'!$C$8-INDEX('How This Works &amp; Sources'!$B$155:$J$162,0,1))*INDEX('How This Works &amp; Sources'!$B$155:$J$162,0,1+2))))))/'Your Pay &amp; Benefits'!$C$8,IF($AN47="NY",0.117*$D47,IF($AN47="OH",0.0275*$D47,IF($AN47="OK",0.045*$D47,IF($AN47="OR",0.08*$D47,IF($AN47="WI",IF($AY47&lt;12760,0.0354,IF($AY47&lt;25520,0.0465,IF($AY47&lt;280950,0.053,0.0765)))*$D47,0))))))))))))))))))))</f>
      </c>
      <c r="BD47" s="7">
        <f>IF($B47="","",$BD46+$Q47+$R47+$S47)</f>
      </c>
      <c r="BE47" s="6">
        <f>IF($B47="",$BE46,$BE46+$BF47)</f>
      </c>
      <c r="BF47" s="6">
        <f>IF($B47="","",IF(AND(IF(YEAR(IF('Your Pay &amp; Benefits'!$C$7="Weekly",'Your Pay &amp; Benefits'!$C$9+7*(($BE46+1)-1),IF('Your Pay &amp; Benefits'!$C$7="Biweekly",'Your Pay &amp; Benefits'!$C$9+14*(($BE46+1)-1),IF('Your Pay &amp; Benefits'!$C$7="Semimonthly",DATE(YEAR('Your Pay &amp; Benefits'!$C$9),MONTH('Your Pay &amp; Benefits'!$C$9)+INT((($BE46+1)-1)/2),MIN(DAY('Your Pay &amp; Benefits'!$C$9),DAY(EOMONTH(DATE(YEAR('Your Pay &amp; Benefits'!$C$9),MONTH('Your Pay &amp; Benefits'!$C$9)+INT((($BE46+1)-1)/2),1),0))))+IF(MOD(($BE46+1)-1,2)=1,15,0),EDATE('Your Pay &amp; Benefits'!$C$9,($BE46+1)-1)))))&lt;&gt;'Your Pay &amp; Benefits'!$C$10,"",IF('Your Pay &amp; Benefits'!$C$7="Weekly",'Your Pay &amp; Benefits'!$C$9+7*(($BE46+1)-1),IF('Your Pay &amp; Benefits'!$C$7="Biweekly",'Your Pay &amp; Benefits'!$C$9+14*(($BE46+1)-1),IF('Your Pay &amp; Benefits'!$C$7="Semimonthly",DATE(YEAR('Your Pay &amp; Benefits'!$C$9),MONTH('Your Pay &amp; Benefits'!$C$9)+INT((($BE46+1)-1)/2),MIN(DAY('Your Pay &amp; Benefits'!$C$9),DAY(EOMONTH(DATE(YEAR('Your Pay &amp; Benefits'!$C$9),MONTH('Your Pay &amp; Benefits'!$C$9)+INT((($BE46+1)-1)/2),1),0))))+IF(MOD(($BE46+1)-1,2)=1,15,0),EDATE('Your Pay &amp; Benefits'!$C$9,($BE46+1)-1)))))&lt;&gt;"",$B47=IF(YEAR(IF('Your Pay &amp; Benefits'!$C$7="Weekly",'Your Pay &amp; Benefits'!$C$9+7*(($BE46+1)-1),IF('Your Pay &amp; Benefits'!$C$7="Biweekly",'Your Pay &amp; Benefits'!$C$9+14*(($BE46+1)-1),IF('Your Pay &amp; Benefits'!$C$7="Semimonthly",DATE(YEAR('Your Pay &amp; Benefits'!$C$9),MONTH('Your Pay &amp; Benefits'!$C$9)+INT((($BE46+1)-1)/2),MIN(DAY('Your Pay &amp; Benefits'!$C$9),DAY(EOMONTH(DATE(YEAR('Your Pay &amp; Benefits'!$C$9),MONTH('Your Pay &amp; Benefits'!$C$9)+INT((($BE46+1)-1)/2),1),0))))+IF(MOD(($BE46+1)-1,2)=1,15,0),EDATE('Your Pay &amp; Benefits'!$C$9,($BE46+1)-1)))))&lt;&gt;'Your Pay &amp; Benefits'!$C$10,"",IF('Your Pay &amp; Benefits'!$C$7="Weekly",'Your Pay &amp; Benefits'!$C$9+7*(($BE46+1)-1),IF('Your Pay &amp; Benefits'!$C$7="Biweekly",'Your Pay &amp; Benefits'!$C$9+14*(($BE46+1)-1),IF('Your Pay &amp; Benefits'!$C$7="Semimonthly",DATE(YEAR('Your Pay &amp; Benefits'!$C$9),MONTH('Your Pay &amp; Benefits'!$C$9)+INT((($BE46+1)-1)/2),MIN(DAY('Your Pay &amp; Benefits'!$C$9),DAY(EOMONTH(DATE(YEAR('Your Pay &amp; Benefits'!$C$9),MONTH('Your Pay &amp; Benefits'!$C$9)+INT((($BE46+1)-1)/2),1),0))))+IF(MOD(($BE46+1)-1,2)=1,15,0),EDATE('Your Pay &amp; Benefits'!$C$9,($BE46+1)-1)))))),1,0))</f>
      </c>
      <c r="BG47" s="7">
        <f>IF($B47="","",$BG46+$H47)</f>
      </c>
      <c r="BH47" s="7">
        <f>IF($B47="","",$BH46+$I47)</f>
      </c>
      <c r="BI47" s="7">
        <f>IF($B47="","",$BI46+$G47)</f>
      </c>
      <c r="BJ47" s="7">
        <f>IF($B47="","",IFERROR(LOOKUP(2,1/(((('Changes &amp; Events'!$C$6:$C$17="Deduction start"))*('Changes &amp; Events'!$D$6:$D$17="Health FSA"))*('Changes &amp; Events'!$B$6:$B$17&lt;=$B47)*('Changes &amp; Events'!$B$6:$B$17&lt;&gt;"")),'Changes &amp; Events'!$E$6:$E$17),'Your Pay &amp; Benefits'!$D$38))</f>
      </c>
      <c r="BK47" s="7">
        <f>IF($B47="","",IFERROR(LOOKUP(2,1/(((('Changes &amp; Events'!$C$6:$C$17="Deduction start"))*('Changes &amp; Events'!$D$6:$D$17="Dependent-care FSA"))*('Changes &amp; Events'!$B$6:$B$17&lt;=$B47)*('Changes &amp; Events'!$B$6:$B$17&lt;&gt;"")),'Changes &amp; Events'!$E$6:$E$17),'Your Pay &amp; Benefits'!$D$39))</f>
      </c>
      <c r="BL47" s="7">
        <f>IF($B47="","",IFERROR(LOOKUP(2,1/(((('Changes &amp; Events'!$C$6:$C$17="Deduction start")+('Changes &amp; Events'!$C$6:$C$17="Deduction stop"))*('Changes &amp; Events'!$D$6:$D$17="HSA"))*('Changes &amp; Events'!$B$6:$B$17&lt;=$B47)*('Changes &amp; Events'!$B$6:$B$17&lt;&gt;"")),'Changes &amp; Events'!$I$6:$I$17),'Your Pay &amp; Benefits'!$D$35))</f>
      </c>
      <c r="BM47" s="7">
        <f>IF($B47="","",IFERROR(LOOKUP(2,1/(((('Changes &amp; Events'!$C$6:$C$17="Deduction start")+('Changes &amp; Events'!$C$6:$C$17="Deduction stop"))*('Changes &amp; Events'!$D$6:$D$17="Premiums"))*('Changes &amp; Events'!$B$6:$B$17&lt;=$B47)*('Changes &amp; Events'!$B$6:$B$17&lt;&gt;"")),'Changes &amp; Events'!$I$6:$I$17),'Your Pay &amp; Benefits'!$D$40+'Your Pay &amp; Benefits'!$D$41+'Your Pay &amp; Benefits'!$D$42))</f>
      </c>
      <c r="BN47" s="7">
        <f>IF($B47="","",IFERROR(LOOKUP(2,1/(((('Changes &amp; Events'!$C$6:$C$17="Deduction start")+('Changes &amp; Events'!$C$6:$C$17="Deduction stop"))*('Changes &amp; Events'!$D$6:$D$17="Commuter"))*('Changes &amp; Events'!$B$6:$B$17&lt;=$B47)*('Changes &amp; Events'!$B$6:$B$17&lt;&gt;"")),'Changes &amp; Events'!$I$6:$I$17),'Your Pay &amp; Benefits'!$D$43))</f>
      </c>
      <c r="BO47" s="7">
        <f>IF($B47="","",IFERROR(LOOKUP(2,1/(((('Changes &amp; Events'!$C$6:$C$17="Deduction start")+('Changes &amp; Events'!$C$6:$C$17="Deduction stop"))*('Changes &amp; Events'!$D$6:$D$17="Other pre-tax"))*('Changes &amp; Events'!$B$6:$B$17&lt;=$B47)*('Changes &amp; Events'!$B$6:$B$17&lt;&gt;"")),'Changes &amp; Events'!$I$6:$I$17),'Your Pay &amp; Benefits'!$D$44))</f>
      </c>
      <c r="BP47" s="7">
        <f>IF($B47="","",IFERROR(LOOKUP(2,1/(((('Changes &amp; Events'!$C$6:$C$17="Deduction start")+('Changes &amp; Events'!$C$6:$C$17="Deduction stop"))*('Changes &amp; Events'!$D$6:$D$17="Other post-tax"))*('Changes &amp; Events'!$B$6:$B$17&lt;=$B47)*('Changes &amp; Events'!$B$6:$B$17&lt;&gt;"")),'Changes &amp; Events'!$I$6:$I$17),'Your Pay &amp; Benefits'!$D$45))</f>
      </c>
      <c r="BQ47" s="6">
        <f>IF($B47="","",IFERROR(LOOKUP(2,1/(((('Changes &amp; Events'!$C$6:$C$17="Deduction start")+('Changes &amp; Events'!$C$6:$C$17="Deduction stop"))*('Changes &amp; Events'!$D$6:$D$17="Health FSA"))*('Changes &amp; Events'!$B$6:$B$17&lt;=$B47)*('Changes &amp; Events'!$B$6:$B$17&lt;&gt;"")),'Changes &amp; Events'!$J$6:$J$17),0))</f>
      </c>
      <c r="BR47" s="6">
        <f>IF($B47="","",IFERROR(LOOKUP(2,1/(((('Changes &amp; Events'!$C$6:$C$17="Deduction start")+('Changes &amp; Events'!$C$6:$C$17="Deduction stop"))*('Changes &amp; Events'!$D$6:$D$17="Dependent-care FSA"))*('Changes &amp; Events'!$B$6:$B$17&lt;=$B47)*('Changes &amp; Events'!$B$6:$B$17&lt;&gt;"")),'Changes &amp; Events'!$J$6:$J$17),0))</f>
      </c>
      <c r="BS47" s="6">
        <f>IF($B47="","",IF(SUMPRODUCT(('Changes &amp; Events'!$C$6:$C$17="Deduction start")*('Changes &amp; Events'!$B$6:$B$17&lt;=$B47)*('Changes &amp; Events'!$B$6:$B$17&lt;&gt;"")*('Changes &amp; Events'!$D$6:$D$17="Health FSA"))&gt;0,1,0))</f>
      </c>
      <c r="BT47" s="6">
        <f>IF($B47="","",IF(SUMPRODUCT(('Changes &amp; Events'!$C$6:$C$17="Deduction start")*('Changes &amp; Events'!$B$6:$B$17&lt;=$B47)*('Changes &amp; Events'!$B$6:$B$17&lt;&gt;"")*('Changes &amp; Events'!$D$6:$D$17="Dependent-care FSA"))&gt;0,1,0))</f>
      </c>
      <c r="BU47" s="24">
        <f>IF($B47="","",IF('Your Pay &amp; Benefits'!$C$13,SUMPRODUCT(($AH47&gt;=INDEX('How This Works &amp; Sources'!$B$29:$J$36,0,IF('Your Pay &amp; Benefits'!$C$12="MFJ",1,IF('Your Pay &amp; Benefits'!$C$12="HoH",7,4))))*INDEX('How This Works &amp; Sources'!$B$29:$J$36,0,IF('Your Pay &amp; Benefits'!$C$12="MFJ",1,IF('Your Pay &amp; Benefits'!$C$12="HoH",7,4))+2)),SUMPRODUCT(($AH47&gt;=INDEX('How This Works &amp; Sources'!$B$19:$J$26,0,IF('Your Pay &amp; Benefits'!$C$12="MFJ",1,IF('Your Pay &amp; Benefits'!$C$12="HoH",7,4))))*INDEX('How This Works &amp; Sources'!$B$19:$J$26,0,IF('Your Pay &amp; Benefits'!$C$12="MFJ",1,IF('Your Pay &amp; Benefits'!$C$12="HoH",7,4))+2))))</f>
      </c>
      <c r="BV47" s="24">
        <f>IF($B47="","",IF($BZ47&lt;&gt;"",$BZ47,IF($CA47&lt;&gt;"",$CA47,IF($CB47&lt;&gt;"",$CB47,IF($CC47&lt;&gt;"",$CC47,0)))))</f>
      </c>
      <c r="BW47" s="7">
        <f>IF($B47="","",IF($AN47="MD",IF(OR($AU47="Married",$AU47="Head of household"),SUMPRODUCT(($AZ47&gt;INDEX('How This Works &amp; Sources'!$B$114:$J$120,0,1))*($AZ47-INDEX('How This Works &amp; Sources'!$B$114:$J$120,0,1))*INDEX('How This Works &amp; Sources'!$B$114:$J$120,0,1+2)),SUMPRODUCT(($AZ47&gt;INDEX('How This Works &amp; Sources'!$B$103:$J$109,0,7))*($AZ47-INDEX('How This Works &amp; Sources'!$B$103:$J$109,0,7))*INDEX('How This Works &amp; Sources'!$B$103:$J$109,0,7+2))),IF($AN47="MO",SUMPRODUCT(($AZ47&gt;INDEX('How This Works &amp; Sources'!$B$125:$J$132,0,1))*($AZ47-INDEX('How This Works &amp; Sources'!$B$125:$J$132,0,1))*INDEX('How This Works &amp; Sources'!$B$125:$J$132,0,1+2)),IF($AN47="MT",IF($AU47="Head of household",SUMPRODUCT(($AZ47&gt;INDEX('How This Works &amp; Sources'!$B$137:$J$139,0,1))*($AZ47-INDEX('How This Works &amp; Sources'!$B$137:$J$139,0,1))*INDEX('How This Works &amp; Sources'!$B$137:$J$139,0,1+2)),IF($AU47="Married",SUMPRODUCT(($AZ47&gt;INDEX('How This Works &amp; Sources'!$B$125:$J$132,0,7))*($AZ47-INDEX('How This Works &amp; Sources'!$B$125:$J$132,0,7))*INDEX('How This Works &amp; Sources'!$B$125:$J$132,0,7+2)),SUMPRODUCT(($AZ47&gt;INDEX('How This Works &amp; Sources'!$B$125:$J$132,0,4))*($AZ47-INDEX('How This Works &amp; Sources'!$B$125:$J$132,0,4))*INDEX('How This Works &amp; Sources'!$B$125:$J$132,0,4+2)))),IF($AN47="ND",IF($AU47="Head of household",SUMPRODUCT(($AZ47&gt;INDEX('How This Works &amp; Sources'!$B$144:$J$150,0,1))*($AZ47-INDEX('How This Works &amp; Sources'!$B$144:$J$150,0,1))*INDEX('How This Works &amp; Sources'!$B$144:$J$150,0,1+2)),IF($AU47="Married",SUMPRODUCT(($AZ47&gt;INDEX('How This Works &amp; Sources'!$B$137:$J$139,0,7))*($AZ47-INDEX('How This Works &amp; Sources'!$B$137:$J$139,0,7))*INDEX('How This Works &amp; Sources'!$B$137:$J$139,0,7+2)),SUMPRODUCT(($AZ47&gt;INDEX('How This Works &amp; Sources'!$B$137:$J$139,0,4))*($AZ47-INDEX('How This Works &amp; Sources'!$B$137:$J$139,0,4))*INDEX('How This Works &amp; Sources'!$B$137:$J$139,0,4+2)))),IF($AN47="NJ",IF('Your Pay &amp; Benefits'!$C$77="B",SUMPRODUCT(($AZ47&gt;INDEX('How This Works &amp; Sources'!$B$155:$J$162,0,4))*($AZ47-INDEX('How This Works &amp; Sources'!$B$155:$J$162,0,4))*INDEX('How This Works &amp; Sources'!$B$155:$J$162,0,4+2)),IF('Your Pay &amp; Benefits'!$C$77="C",SUMPRODUCT(($AZ47&gt;INDEX('How This Works &amp; Sources'!$B$155:$J$162,0,7))*($AZ47-INDEX('How This Works &amp; Sources'!$B$155:$J$162,0,7))*INDEX('How This Works &amp; Sources'!$B$155:$J$162,0,7+2)),IF('Your Pay &amp; Benefits'!$C$77="D",SUMPRODUCT(($AZ47&gt;INDEX('How This Works &amp; Sources'!$B$167:$J$179,0,1))*($AZ47-INDEX('How This Works &amp; Sources'!$B$167:$J$179,0,1))*INDEX('How This Works &amp; Sources'!$B$167:$J$179,0,1+2)),IF('Your Pay &amp; Benefits'!$C$77="E",SUMPRODUCT(($AZ47&gt;INDEX('How This Works &amp; Sources'!$B$167:$J$179,0,4))*($AZ47-INDEX('How This Works &amp; Sources'!$B$167:$J$179,0,4))*INDEX('How This Works &amp; Sources'!$B$167:$J$179,0,4+2)),SUMPRODUCT(($AZ47&gt;INDEX('How This Works &amp; Sources'!$B$155:$J$162,0,1))*($AZ47-INDEX('How This Works &amp; Sources'!$B$155:$J$162,0,1))*INDEX('How This Works &amp; Sources'!$B$155:$J$162,0,1+2)))))),IF($AN47="NY",IF($AU47="Married",IF($AZ47&gt;=2155350,$AZ47*IF($AZ47&gt;25000000,0.117,IF($AZ47&gt;5000000,0.111,0.1045)),SUMPRODUCT(($AZ47&gt;INDEX('How This Works &amp; Sources'!$B$184:$J$198,0,1))*($AZ47-INDEX('How This Works &amp; Sources'!$B$184:$J$198,0,1))*INDEX('How This Works &amp; Sources'!$B$184:$J$198,0,1+2))),IF($AZ47&gt;=1077550,$AZ47*IF($AZ47&gt;25000000,0.117,IF($AZ47&gt;5000000,0.111,0.1045)),SUMPRODUCT(($AZ47&gt;INDEX('How This Works &amp; Sources'!$B$167:$J$179,0,7))*($AZ47-INDEX('How This Works &amp; Sources'!$B$167:$J$179,0,7))*INDEX('How This Works &amp; Sources'!$B$167:$J$179,0,7+2)))),"")))))))</f>
      </c>
      <c r="BX47" s="7">
        <f>IF($B47="","",IF($AN47="AL",IF(OR($AU47="Married",$AU47="Head of household"),SUMPRODUCT(($AZ47&gt;INDEX('How This Works &amp; Sources'!$B$82:$J$86,0,4))*($AZ47-INDEX('How This Works &amp; Sources'!$B$82:$J$86,0,4))*INDEX('How This Works &amp; Sources'!$B$82:$J$86,0,4+2)),SUMPRODUCT(($AZ47&gt;INDEX('How This Works &amp; Sources'!$B$82:$J$86,0,1))*($AZ47-INDEX('How This Works &amp; Sources'!$B$82:$J$86,0,1))*INDEX('How This Works &amp; Sources'!$B$82:$J$86,0,1+2))),IF($AN47="KS",IF($AU47="Married",SUMPRODUCT(($AZ47&gt;INDEX('How This Works &amp; Sources'!$B$103:$J$109,0,4))*($AZ47-INDEX('How This Works &amp; Sources'!$B$103:$J$109,0,4))*INDEX('How This Works &amp; Sources'!$B$103:$J$109,0,4+2)),SUMPRODUCT(($AZ47&gt;INDEX('How This Works &amp; Sources'!$B$103:$J$109,0,1))*($AZ47-INDEX('How This Works &amp; Sources'!$B$103:$J$109,0,1))*INDEX('How This Works &amp; Sources'!$B$103:$J$109,0,1+2))),IF($AN47="MN",IF($AU47="Married",SUMPRODUCT(($AZ47&gt;INDEX('How This Works &amp; Sources'!$B$114:$J$120,0,7))*($AZ47-INDEX('How This Works &amp; Sources'!$B$114:$J$120,0,7))*INDEX('How This Works &amp; Sources'!$B$114:$J$120,0,7+2)),SUMPRODUCT(($AZ47&gt;INDEX('How This Works &amp; Sources'!$B$114:$J$120,0,4))*($AZ47-INDEX('How This Works &amp; Sources'!$B$114:$J$120,0,4))*INDEX('How This Works &amp; Sources'!$B$114:$J$120,0,4+2))),IF($AN47="NE",MAX(IF($AU47="Married",SUMPRODUCT(($AZ47&gt;INDEX('How This Works &amp; Sources'!$B$144:$J$150,0,7))*($AZ47-INDEX('How This Works &amp; Sources'!$B$144:$J$150,0,7))*INDEX('How This Works &amp; Sources'!$B$144:$J$150,0,7+2)),SUMPRODUCT(($AZ47&gt;INDEX('How This Works &amp; Sources'!$B$144:$J$150,0,4))*($AZ47-INDEX('How This Works &amp; Sources'!$B$144:$J$150,0,4))*INDEX('How This Works &amp; Sources'!$B$144:$J$150,0,4+2))),0.015*$AZ47),IF($AN47="OH",IF($B47&gt;=DATE(2026,8,1),SUMPRODUCT(($AZ47&gt;INDEX('How This Works &amp; Sources'!$B$203:$J$206,0,1))*($AZ47-INDEX('How This Works &amp; Sources'!$B$203:$J$206,0,1))*INDEX('How This Works &amp; Sources'!$B$203:$J$206,0,1+2)),SUMPRODUCT(($AZ47&gt;INDEX('How This Works &amp; Sources'!$B$184:$J$198,0,7))*($AZ47-INDEX('How This Works &amp; Sources'!$B$184:$J$198,0,7))*INDEX('How This Works &amp; Sources'!$B$184:$J$198,0,7+2))),IF($AN47="OK",IF($AU47="Married",SUMPRODUCT(($AZ47&gt;INDEX('How This Works &amp; Sources'!$B$203:$J$206,0,7))*($AZ47-INDEX('How This Works &amp; Sources'!$B$203:$J$206,0,7))*INDEX('How This Works &amp; Sources'!$B$203:$J$206,0,7+2)),SUMPRODUCT(($AZ47&gt;INDEX('How This Works &amp; Sources'!$B$203:$J$206,0,4))*($AZ47-INDEX('How This Works &amp; Sources'!$B$203:$J$206,0,4))*INDEX('How This Works &amp; Sources'!$B$203:$J$206,0,4+2))),IF($AN47="RI",SUMPRODUCT(($AZ47&gt;INDEX('How This Works &amp; Sources'!$B$211:$J$214,0,7))*($AZ47-INDEX('How This Works &amp; Sources'!$B$211:$J$214,0,7))*INDEX('How This Works &amp; Sources'!$B$211:$J$214,0,7+2)),IF($AN47="VT",IF($AU47="Married",SUMPRODUCT(($AZ47&gt;INDEX('How This Works &amp; Sources'!$B$228:$J$232,0,1))*($AZ47-INDEX('How This Works &amp; Sources'!$B$228:$J$232,0,1))*INDEX('How This Works &amp; Sources'!$B$228:$J$232,0,1+2)),SUMPRODUCT(($AZ47&gt;INDEX('How This Works &amp; Sources'!$B$219:$J$223,0,7))*($AZ47-INDEX('How This Works &amp; Sources'!$B$219:$J$223,0,7))*INDEX('How This Works &amp; Sources'!$B$219:$J$223,0,7+2))),IF($AN47="WV",IF($AU47="Married",SUMPRODUCT(($AZ47&gt;INDEX('How This Works &amp; Sources'!$B$237:$J$241,0,7))*($AZ47-INDEX('How This Works &amp; Sources'!$B$237:$J$241,0,7))*INDEX('How This Works &amp; Sources'!$B$237:$J$241,0,7+2)),SUMPRODUCT(($AZ47&gt;INDEX('How This Works &amp; Sources'!$B$228:$J$232,0,7))*($AZ47-INDEX('How This Works &amp; Sources'!$B$228:$J$232,0,7))*INDEX('How This Works &amp; Sources'!$B$228:$J$232,0,7+2))),""))))))))))</f>
      </c>
      <c r="BY47" s="7">
        <f>IF($B47="","",IF($AN47="AR",SUMPRODUCT(($AZ47&gt;INDEX('How This Works &amp; Sources'!$B$82:$J$86,0,7))*($AZ47-INDEX('How This Works &amp; Sources'!$B$82:$J$86,0,7))*INDEX('How This Works &amp; Sources'!$B$82:$J$86,0,7+2)),IF($AN47="DE",SUMPRODUCT(($AZ47&gt;INDEX('How This Works &amp; Sources'!$B$91:$J$98,0,1))*($AZ47-INDEX('How This Works &amp; Sources'!$B$91:$J$98,0,1))*INDEX('How This Works &amp; Sources'!$B$91:$J$98,0,1+2)),IF($AN47="HI",IF($AU47="Married",SUMPRODUCT(($AZ47&gt;INDEX('How This Works &amp; Sources'!$B$91:$J$98,0,7))*($AZ47-INDEX('How This Works &amp; Sources'!$B$91:$J$98,0,7))*INDEX('How This Works &amp; Sources'!$B$91:$J$98,0,7+2)),SUMPRODUCT(($AZ47&gt;INDEX('How This Works &amp; Sources'!$B$91:$J$98,0,4))*($AZ47-INDEX('How This Works &amp; Sources'!$B$91:$J$98,0,4))*INDEX('How This Works &amp; Sources'!$B$91:$J$98,0,4+2))),IF($AN47="SC",SUMPRODUCT(($AZ47&gt;INDEX('How This Works &amp; Sources'!$B$219:$J$223,0,1))*($AZ47-INDEX('How This Works &amp; Sources'!$B$219:$J$223,0,1))*INDEX('How This Works &amp; Sources'!$B$219:$J$223,0,1+2)),IF($AN47="VA",SUMPRODUCT(($AZ47&gt;INDEX('How This Works &amp; Sources'!$B$219:$J$223,0,4))*($AZ47-INDEX('How This Works &amp; Sources'!$B$219:$J$223,0,4))*INDEX('How This Works &amp; Sources'!$B$219:$J$223,0,4+2)),IF($AN47="WI",SUMPRODUCT(($AZ47&gt;INDEX('How This Works &amp; Sources'!$B$228:$J$232,0,4))*($AZ47-INDEX('How This Works &amp; Sources'!$B$228:$J$232,0,4))*INDEX('How This Works &amp; Sources'!$B$228:$J$232,0,4+2)),"")))))))</f>
      </c>
      <c r="BZ47" s="24">
        <f>IF($B47="","",IF($AN47="NJ",IF('Your Pay &amp; Benefits'!$C$77="B",SUMPRODUCT(($AZ47&gt;=INDEX('How This Works &amp; Sources'!$B$155:$J$162,0,4))*INDEX('How This Works &amp; Sources'!$B$155:$J$162,0,4+2)),IF('Your Pay &amp; Benefits'!$C$77="C",SUMPRODUCT(($AZ47&gt;=INDEX('How This Works &amp; Sources'!$B$155:$J$162,0,7))*INDEX('How This Works &amp; Sources'!$B$155:$J$162,0,7+2)),IF('Your Pay &amp; Benefits'!$C$77="D",SUMPRODUCT(($AZ47&gt;=INDEX('How This Works &amp; Sources'!$B$167:$J$179,0,1))*INDEX('How This Works &amp; Sources'!$B$167:$J$179,0,1+2)),IF('Your Pay &amp; Benefits'!$C$77="E",SUMPRODUCT(($AZ47&gt;=INDEX('How This Works &amp; Sources'!$B$167:$J$179,0,4))*INDEX('How This Works &amp; Sources'!$B$167:$J$179,0,4+2)),SUMPRODUCT(($AZ47&gt;=INDEX('How This Works &amp; Sources'!$B$155:$J$162,0,1))*INDEX('How This Works &amp; Sources'!$B$155:$J$162,0,1+2)))))),IF($AN47="OR",IF(OR($AU47="Married",AND($AU47="Single",$AS47&gt;=3)),SUMPRODUCT((MAX(0,$AY47-MIN(($P47-'How This Works &amp; Sources'!$C$10*$D47)*'Your Pay &amp; Benefits'!$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Sources'!$B$211:$J$214,0,4))*INDEX('How This Works &amp; Sources'!$B$211:$J$214,0,4+2)),SUMPRODUCT((MAX(0,$AY47-MIN(($P47-'How This Works &amp; Sources'!$C$10*$D47)*'Your Pay &amp; Benefits'!$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Sources'!$B$211:$J$214,0,1))*INDEX('How This Works &amp; Sources'!$B$211:$J$214,0,1+2)))*IF(($P47-'How This Works &amp; Sources'!$C$10*$D47)*'Your Pay &amp; Benefits'!$C$8&gt;=IF(OR($AU47="Married",AND($AU47="Single",$AS47&gt;=3)),IF($AY47&lt;250000,8750,IF($AY47&lt;260000,7000,IF($AY47&lt;270000,5250,IF($AY47&lt;280000,3500,IF($AY47&lt;290000,1750,0))))),IF($AY47&lt;125000,8750,IF($AY47&lt;130000,7000,IF($AY47&lt;135000,5250,IF($AY47&lt;140000,3500,IF($AY47&lt;145000,1750,0)))))),1,1-IF('Your Pay &amp; Benefits'!$C$13,SUMPRODUCT(($AH47&gt;=INDEX('How This Works &amp; Sources'!$B$29:$J$36,0,IF('Your Pay &amp; Benefits'!$C$12="MFJ",1,IF('Your Pay &amp; Benefits'!$C$12="HoH",7,4))))*INDEX('How This Works &amp; Sources'!$B$29:$J$36,0,IF('Your Pay &amp; Benefits'!$C$12="MFJ",1,IF('Your Pay &amp; Benefits'!$C$12="HoH",7,4))+2)),SUMPRODUCT(($AH47&gt;=INDEX('How This Works &amp; Sources'!$B$19:$J$26,0,IF('Your Pay &amp; Benefits'!$C$12="MFJ",1,IF('Your Pay &amp; Benefits'!$C$12="HoH",7,4))))*INDEX('How This Works &amp; Sources'!$B$19:$J$26,0,IF('Your Pay &amp; Benefits'!$C$12="MFJ",1,IF('Your Pay &amp; Benefits'!$C$12="HoH",7,4))+2)))),IF($AN47="MI",IF($AY47&gt;5900*$AS47,0.0425,0),""))))</f>
      </c>
      <c r="CA47" s="24">
        <f>IF($B47="","",IF($AN47="AL",IF(OR($AU47="Married",$AU47="Head of household"),SUMPRODUCT(($AZ47&gt;=INDEX('How This Works &amp; Sources'!$B$82:$J$86,0,4))*INDEX('How This Works &amp; Sources'!$B$82:$J$86,0,4+2)),SUMPRODUCT(($AZ47&gt;=INDEX('How This Works &amp; Sources'!$B$82:$J$86,0,1))*INDEX('How This Works &amp; Sources'!$B$82:$J$86,0,1+2)))*(1-IF('Your Pay &amp; Benefits'!$C$13,SUMPRODUCT(($AH47&gt;=INDEX('How This Works &amp; Sources'!$B$29:$J$36,0,IF('Your Pay &amp; Benefits'!$C$12="MFJ",1,IF('Your Pay &amp; Benefits'!$C$12="HoH",7,4))))*INDEX('How This Works &amp; Sources'!$B$29:$J$36,0,IF('Your Pay &amp; Benefits'!$C$12="MFJ",1,IF('Your Pay &amp; Benefits'!$C$12="HoH",7,4))+2)),SUMPRODUCT(($AH47&gt;=INDEX('How This Works &amp; Sources'!$B$19:$J$26,0,IF('Your Pay &amp; Benefits'!$C$12="MFJ",1,IF('Your Pay &amp; Benefits'!$C$12="HoH",7,4))))*INDEX('How This Works &amp; Sources'!$B$19:$J$26,0,IF('Your Pay &amp; Benefits'!$C$12="MFJ",1,IF('Your Pay &amp; Benefits'!$C$12="HoH",7,4))+2)))),IF($AN47="KS",IF($AU47="Married",SUMPRODUCT(($AZ47&gt;=INDEX('How This Works &amp; Sources'!$B$103:$J$109,0,4))*INDEX('How This Works &amp; Sources'!$B$103:$J$109,0,4+2)),SUMPRODUCT(($AZ47&gt;=INDEX('How This Works &amp; Sources'!$B$103:$J$109,0,1))*INDEX('How This Works &amp; Sources'!$B$103:$J$109,0,1+2))),IF($AN47="MD",IF(OR($AU47="Married",$AU47="Head of household"),SUMPRODUCT(($AZ47&gt;=INDEX('How This Works &amp; Sources'!$B$114:$J$120,0,1))*INDEX('How This Works &amp; Sources'!$B$114:$J$120,0,1+2)),SUMPRODUCT(($AZ47&gt;=INDEX('How This Works &amp; Sources'!$B$103:$J$109,0,7))*INDEX('How This Works &amp; Sources'!$B$103:$J$109,0,7+2)))+'Your Pay &amp; Benefits'!$C$74,IF($AN47="MT",IF($AU47="Head of household",SUMPRODUCT(($AZ47&gt;=INDEX('How This Works &amp; Sources'!$B$137:$J$139,0,1))*INDEX('How This Works &amp; Sources'!$B$137:$J$139,0,1+2)),IF($AU47="Married",SUMPRODUCT(($AZ47&gt;=INDEX('How This Works &amp; Sources'!$B$125:$J$132,0,7))*INDEX('How This Works &amp; Sources'!$B$125:$J$132,0,7+2)),SUMPRODUCT(($AZ47&gt;=INDEX('How This Works &amp; Sources'!$B$125:$J$132,0,4))*INDEX('How This Works &amp; Sources'!$B$125:$J$132,0,4+2)))),IF($AN47="ND",IF($AU47="Head of household",SUMPRODUCT(($AZ47&gt;=INDEX('How This Works &amp; Sources'!$B$144:$J$150,0,1))*INDEX('How This Works &amp; Sources'!$B$144:$J$150,0,1+2)),IF($AU47="Married",SUMPRODUCT(($AZ47&gt;=INDEX('How This Works &amp; Sources'!$B$137:$J$139,0,7))*INDEX('How This Works &amp; Sources'!$B$137:$J$139,0,7+2)),SUMPRODUCT(($AZ47&gt;=INDEX('How This Works &amp; Sources'!$B$137:$J$139,0,4))*INDEX('How This Works &amp; Sources'!$B$137:$J$139,0,4+2)))),IF($AN47="NY",IF($AU47="Married",IF($AZ47&gt;=2155350,IF($AZ47&gt;25000000,0.117,IF($AZ47&gt;5000000,0.111,0.1045)),SUMPRODUCT(($AZ47&gt;=INDEX('How This Works &amp; Sources'!$B$184:$J$198,0,1))*INDEX('How This Works &amp; Sources'!$B$184:$J$198,0,1+2))),IF($AZ47&gt;=1077550,IF($AZ47&gt;25000000,0.117,IF($AZ47&gt;5000000,0.111,0.1045)),SUMPRODUCT(($AZ47&gt;=INDEX('How This Works &amp; Sources'!$B$167:$J$179,0,7))*INDEX('How This Works &amp; Sources'!$B$167:$J$179,0,7+2)))),"")))))))</f>
      </c>
      <c r="CB47" s="24">
        <f>IF($B47="","",IF($AN47="CA",SUMPRODUCT(($AJ47&gt;=INDEX('How This Works &amp; Sources'!$B$39:$J$48,0,IF($AU47="Married",4,IF($AU47="Head of household",7,1))))*INDEX('How This Works &amp; Sources'!$B$39:$J$48,0,IF($AU47="Married",4,IF($AU47="Head of household",7,1))+2)),IF($AN47="HI",IF($AU47="Married",SUMPRODUCT(($AZ47&gt;=INDEX('How This Works &amp; Sources'!$B$91:$J$98,0,7))*INDEX('How This Works &amp; Sources'!$B$91:$J$98,0,7+2)),SUMPRODUCT(($AZ47&gt;=INDEX('How This Works &amp; Sources'!$B$91:$J$98,0,4))*INDEX('How This Works &amp; Sources'!$B$91:$J$98,0,4+2))),IF($AN47="MN",IF($AU47="Married",SUMPRODUCT(($AZ47&gt;=INDEX('How This Works &amp; Sources'!$B$114:$J$120,0,7))*INDEX('How This Works &amp; Sources'!$B$114:$J$120,0,7+2)),SUMPRODUCT(($AZ47&gt;=INDEX('How This Works &amp; Sources'!$B$114:$J$120,0,4))*INDEX('How This Works &amp; Sources'!$B$114:$J$120,0,4+2))),IF($AN47="MO",SUMPRODUCT(($AZ47&gt;=INDEX('How This Works &amp; Sources'!$B$125:$J$132,0,1))*INDEX('How This Works &amp; Sources'!$B$125:$J$132,0,1+2)),IF($AN47="NE",MAX(IF($AU47="Married",SUMPRODUCT(($AZ47&gt;=INDEX('How This Works &amp; Sources'!$B$144:$J$150,0,7))*INDEX('How This Works &amp; Sources'!$B$144:$J$150,0,7+2)),SUMPRODUCT(($AZ47&gt;=INDEX('How This Works &amp; Sources'!$B$144:$J$150,0,4))*INDEX('How This Works &amp; Sources'!$B$144:$J$150,0,4+2))),0.015),IF($AN47="OH",IF($B47&gt;=DATE(2026,8,1),SUMPRODUCT(($AZ47&gt;=INDEX('How This Works &amp; Sources'!$B$203:$J$206,0,1))*INDEX('How This Works &amp; Sources'!$B$203:$J$206,0,1+2)),SUMPRODUCT(($AZ47&gt;=INDEX('How This Works &amp; Sources'!$B$184:$J$198,0,7))*INDEX('How This Works &amp; Sources'!$B$184:$J$198,0,7+2))),IF($AN47="OK",IF($AU47="Married",SUMPRODUCT(($AZ47&gt;=INDEX('How This Works &amp; Sources'!$B$203:$J$206,0,7))*INDEX('How This Works &amp; Sources'!$B$203:$J$206,0,7+2)),SUMPRODUCT(($AZ47&gt;=INDEX('How This Works &amp; Sources'!$B$203:$J$206,0,4))*INDEX('How This Works &amp; Sources'!$B$203:$J$206,0,4+2))),IF($AN47="RI",SUMPRODUCT(($AZ47&gt;=INDEX('How This Works &amp; Sources'!$B$211:$J$214,0,7))*INDEX('How This Works &amp; Sources'!$B$211:$J$214,0,7+2)),IF($AN47="SC",SUMPRODUCT(($AZ47&gt;=INDEX('How This Works &amp; Sources'!$B$219:$J$223,0,1))*INDEX('How This Works &amp; Sources'!$B$219:$J$223,0,1+2)),IF($AN47="VT",IF($AU47="Married",SUMPRODUCT(($AZ47&gt;=INDEX('How This Works &amp; Sources'!$B$228:$J$232,0,1))*INDEX('How This Works &amp; Sources'!$B$228:$J$232,0,1+2)),SUMPRODUCT(($AZ47&gt;=INDEX('How This Works &amp; Sources'!$B$219:$J$223,0,7))*INDEX('How This Works &amp; Sources'!$B$219:$J$223,0,7+2))),IF($AN47="WV",IF($AU47="Married",SUMPRODUCT(($AZ47&gt;=INDEX('How This Works &amp; Sources'!$B$237:$J$241,0,7))*INDEX('How This Works &amp; Sources'!$B$237:$J$241,0,7+2)),SUMPRODUCT(($AZ47&gt;=INDEX('How This Works &amp; Sources'!$B$228:$J$232,0,7))*INDEX('How This Works &amp; Sources'!$B$228:$J$232,0,7+2))),IF($AN47="IN",(0.0295+'Your Pay &amp; Benefits'!$C$76),"")))))))))))))</f>
      </c>
      <c r="CC47" s="24">
        <f>IF($B47="","",IF($AN47="AR",SUMPRODUCT(($AZ47&gt;=INDEX('How This Works &amp; Sources'!$B$82:$J$86,0,7))*INDEX('How This Works &amp; Sources'!$B$82:$J$86,0,7+2)),IF($AN47="DE",SUMPRODUCT(($AZ47&gt;=INDEX('How This Works &amp; Sources'!$B$91:$J$98,0,1))*INDEX('How This Works &amp; Sources'!$B$91:$J$98,0,1+2)),IF($AN47="VA",SUMPRODUCT(($AZ47&gt;=INDEX('How This Works &amp; Sources'!$B$219:$J$223,0,4))*INDEX('How This Works &amp; Sources'!$B$219:$J$223,0,4+2)),IF($AN47="WI",SUMPRODUCT(($AZ47&gt;=INDEX('How This Works &amp; Sources'!$B$228:$J$232,0,4))*INDEX('How This Works &amp; Sources'!$B$228:$J$232,0,4+2)),IF($AN47="AZ",'Your Pay &amp; Benefits'!$C$82,IF($AN47="CO",IF($AY47&gt;IF($AU47="Married",10000,5000),0.044,0),IF($AN47="IA",IF($AY47&gt;IF($AU47="Head of household",19500,IF($AU47="Married",26000,13000)),0.038,0),IF($AN47="ID",IF($AY47&gt;IF($AU47="Married",32000,16094),0.053,0),IF($AN47="IL",IF($AY47&gt;(2925*$AS47+1000*$AT47),0.0495,0),IF($AN47="KY",IF($AI47&gt;3360,0.035,0),IF($AN47="LA",0.0309,IF($AN47="MA",IF(MAX(0,$AY47-MIN(($BD46+$Q47+$R47+$S47),2000)-IF($AS47=0,0,IF($AS47=1,4400,1000*$AS47+3400)))&gt;=1107750,0.09,0.05),IF($AN47="MS",IF($AI47-IF($AU47="Head of household",3400,IF($AU47="Married",4600,2300))-'Your Pay &amp; Benefits'!$C$85&gt;10000,0.04,0),IF($AN47="PA",0.0307,"")))))))))))))))</f>
      </c>
      <c r="CD47" s="21">
        <f>IF(YEAR(IF('Your Pay &amp; Benefits'!$C$7="Weekly",'Your Pay &amp; Benefits'!$C$9+7*(($BE46+1)-1),IF('Your Pay &amp; Benefits'!$C$7="Biweekly",'Your Pay &amp; Benefits'!$C$9+14*(($BE46+1)-1),IF('Your Pay &amp; Benefits'!$C$7="Semimonthly",DATE(YEAR('Your Pay &amp; Benefits'!$C$9),MONTH('Your Pay &amp; Benefits'!$C$9)+INT((($BE46+1)-1)/2),MIN(DAY('Your Pay &amp; Benefits'!$C$9),DAY(EOMONTH(DATE(YEAR('Your Pay &amp; Benefits'!$C$9),MONTH('Your Pay &amp; Benefits'!$C$9)+INT((($BE46+1)-1)/2),1),0))))+IF(MOD(($BE46+1)-1,2)=1,15,0),EDATE('Your Pay &amp; Benefits'!$C$9,($BE46+1)-1)))))&lt;&gt;'Your Pay &amp; Benefits'!$C$10,"",IF('Your Pay &amp; Benefits'!$C$7="Weekly",'Your Pay &amp; Benefits'!$C$9+7*(($BE46+1)-1),IF('Your Pay &amp; Benefits'!$C$7="Biweekly",'Your Pay &amp; Benefits'!$C$9+14*(($BE46+1)-1),IF('Your Pay &amp; Benefits'!$C$7="Semimonthly",DATE(YEAR('Your Pay &amp; Benefits'!$C$9),MONTH('Your Pay &amp; Benefits'!$C$9)+INT((($BE46+1)-1)/2),MIN(DAY('Your Pay &amp; Benefits'!$C$9),DAY(EOMONTH(DATE(YEAR('Your Pay &amp; Benefits'!$C$9),MONTH('Your Pay &amp; Benefits'!$C$9)+INT((($BE46+1)-1)/2),1),0))))+IF(MOD(($BE46+1)-1,2)=1,15,0),EDATE('Your Pay &amp; Benefits'!$C$9,($BE46+1)-1)))))</f>
      </c>
      <c r="CE47" s="21">
        <f>IF(MIN(IF(AND('Your Pay &amp; Benefits'!$C$58&gt;MAX($B$6:$B46),'Your Pay &amp; Benefits'!$C$58&gt;=DATE('Your Pay &amp; Benefits'!$C$10,1,1),'Your Pay &amp; Benefits'!$C$58&lt;=DATE('Your Pay &amp; Benefits'!$C$10,12,31)),'Your Pay &amp; Benefits'!$C$58,999999),IF(AND('Your Pay &amp; Benefits'!$C$59&gt;MAX($B$6:$B46),'Your Pay &amp; Benefits'!$C$59&gt;=DATE('Your Pay &amp; Benefits'!$C$10,1,1),'Your Pay &amp; Benefits'!$C$59&lt;=DATE('Your Pay &amp; Benefits'!$C$10,12,31)),'Your Pay &amp; Benefits'!$C$59,999999),IF(AND('Your Pay &amp; Benefits'!$C$60&gt;MAX($B$6:$B46),'Your Pay &amp; Benefits'!$C$60&gt;=DATE('Your Pay &amp; Benefits'!$C$10,1,1),'Your Pay &amp; Benefits'!$C$60&lt;=DATE('Your Pay &amp; Benefits'!$C$10,12,31)),'Your Pay &amp; Benefits'!$C$60,999999),IF(AND('Your Pay &amp; Benefits'!$C$61&gt;MAX($B$6:$B46),'Your Pay &amp; Benefits'!$C$61&gt;=DATE('Your Pay &amp; Benefits'!$C$10,1,1),'Your Pay &amp; Benefits'!$C$61&lt;=DATE('Your Pay &amp; Benefits'!$C$10,12,31)),'Your Pay &amp; Benefits'!$C$61,999999),IF(AND('Your Pay &amp; Benefits'!$C$62&gt;MAX($B$6:$B46),'Your Pay &amp; Benefits'!$C$62&gt;=DATE('Your Pay &amp; Benefits'!$C$10,1,1),'Your Pay &amp; Benefits'!$C$62&lt;=DATE('Your Pay &amp; Benefits'!$C$10,12,31)),'Your Pay &amp; Benefits'!$C$62,999999),IF(AND('Your Pay &amp; Benefits'!$C$63&gt;MAX($B$6:$B46),'Your Pay &amp; Benefits'!$C$63&gt;=DATE('Your Pay &amp; Benefits'!$C$10,1,1),'Your Pay &amp; Benefits'!$C$63&lt;=DATE('Your Pay &amp; Benefits'!$C$10,12,31)),'Your Pay &amp; Benefits'!$C$63,999999),IF(AND('Your Pay &amp; Benefits'!$C$64&gt;MAX($B$6:$B46),'Your Pay &amp; Benefits'!$C$64&gt;=DATE('Your Pay &amp; Benefits'!$C$10,1,1),'Your Pay &amp; Benefits'!$C$64&lt;=DATE('Your Pay &amp; Benefits'!$C$10,12,31)),'Your Pay &amp; Benefits'!$C$64,999999),IF(AND('Your Pay &amp; Benefits'!$C$65&gt;MAX($B$6:$B46),'Your Pay &amp; Benefits'!$C$65&gt;=DATE('Your Pay &amp; Benefits'!$C$10,1,1),'Your Pay &amp; Benefits'!$C$65&lt;=DATE('Your Pay &amp; Benefits'!$C$10,12,31)),'Your Pay &amp; Benefits'!$C$65,999999),IF(AND('Your Pay &amp; Benefits'!$C$66&gt;MAX($B$6:$B46),'Your Pay &amp; Benefits'!$C$66&gt;=DATE('Your Pay &amp; Benefits'!$C$10,1,1),'Your Pay &amp; Benefits'!$C$66&lt;=DATE('Your Pay &amp; Benefits'!$C$10,12,31)),'Your Pay &amp; Benefits'!$C$66,999999),IF(AND('Your Pay &amp; Benefits'!$C$67&gt;MAX($B$6:$B46),'Your Pay &amp; Benefits'!$C$67&gt;=DATE('Your Pay &amp; Benefits'!$C$10,1,1),'Your Pay &amp; Benefits'!$C$67&lt;=DATE('Your Pay &amp; Benefits'!$C$10,12,31)),'Your Pay &amp; Benefits'!$C$67,999999))=999999,"",MIN(IF(AND('Your Pay &amp; Benefits'!$C$58&gt;MAX($B$6:$B46),'Your Pay &amp; Benefits'!$C$58&gt;=DATE('Your Pay &amp; Benefits'!$C$10,1,1),'Your Pay &amp; Benefits'!$C$58&lt;=DATE('Your Pay &amp; Benefits'!$C$10,12,31)),'Your Pay &amp; Benefits'!$C$58,999999),IF(AND('Your Pay &amp; Benefits'!$C$59&gt;MAX($B$6:$B46),'Your Pay &amp; Benefits'!$C$59&gt;=DATE('Your Pay &amp; Benefits'!$C$10,1,1),'Your Pay &amp; Benefits'!$C$59&lt;=DATE('Your Pay &amp; Benefits'!$C$10,12,31)),'Your Pay &amp; Benefits'!$C$59,999999),IF(AND('Your Pay &amp; Benefits'!$C$60&gt;MAX($B$6:$B46),'Your Pay &amp; Benefits'!$C$60&gt;=DATE('Your Pay &amp; Benefits'!$C$10,1,1),'Your Pay &amp; Benefits'!$C$60&lt;=DATE('Your Pay &amp; Benefits'!$C$10,12,31)),'Your Pay &amp; Benefits'!$C$60,999999),IF(AND('Your Pay &amp; Benefits'!$C$61&gt;MAX($B$6:$B46),'Your Pay &amp; Benefits'!$C$61&gt;=DATE('Your Pay &amp; Benefits'!$C$10,1,1),'Your Pay &amp; Benefits'!$C$61&lt;=DATE('Your Pay &amp; Benefits'!$C$10,12,31)),'Your Pay &amp; Benefits'!$C$61,999999),IF(AND('Your Pay &amp; Benefits'!$C$62&gt;MAX($B$6:$B46),'Your Pay &amp; Benefits'!$C$62&gt;=DATE('Your Pay &amp; Benefits'!$C$10,1,1),'Your Pay &amp; Benefits'!$C$62&lt;=DATE('Your Pay &amp; Benefits'!$C$10,12,31)),'Your Pay &amp; Benefits'!$C$62,999999),IF(AND('Your Pay &amp; Benefits'!$C$63&gt;MAX($B$6:$B46),'Your Pay &amp; Benefits'!$C$63&gt;=DATE('Your Pay &amp; Benefits'!$C$10,1,1),'Your Pay &amp; Benefits'!$C$63&lt;=DATE('Your Pay &amp; Benefits'!$C$10,12,31)),'Your Pay &amp; Benefits'!$C$63,999999),IF(AND('Your Pay &amp; Benefits'!$C$64&gt;MAX($B$6:$B46),'Your Pay &amp; Benefits'!$C$64&gt;=DATE('Your Pay &amp; Benefits'!$C$10,1,1),'Your Pay &amp; Benefits'!$C$64&lt;=DATE('Your Pay &amp; Benefits'!$C$10,12,31)),'Your Pay &amp; Benefits'!$C$64,999999),IF(AND('Your Pay &amp; Benefits'!$C$65&gt;MAX($B$6:$B46),'Your Pay &amp; Benefits'!$C$65&gt;=DATE('Your Pay &amp; Benefits'!$C$10,1,1),'Your Pay &amp; Benefits'!$C$65&lt;=DATE('Your Pay &amp; Benefits'!$C$10,12,31)),'Your Pay &amp; Benefits'!$C$65,999999),IF(AND('Your Pay &amp; Benefits'!$C$66&gt;MAX($B$6:$B46),'Your Pay &amp; Benefits'!$C$66&gt;=DATE('Your Pay &amp; Benefits'!$C$10,1,1),'Your Pay &amp; Benefits'!$C$66&lt;=DATE('Your Pay &amp; Benefits'!$C$10,12,31)),'Your Pay &amp; Benefits'!$C$66,999999),IF(AND('Your Pay &amp; Benefits'!$C$67&gt;MAX($B$6:$B46),'Your Pay &amp; Benefits'!$C$67&gt;=DATE('Your Pay &amp; Benefits'!$C$10,1,1),'Your Pay &amp; Benefits'!$C$67&lt;=DATE('Your Pay &amp; Benefits'!$C$10,12,31)),'Your Pay &amp; Benefits'!$C$67,999999)))</f>
      </c>
      <c r="CF47">
        <f>IF($B47="","",IF($D47=0,$Y47,""))</f>
      </c>
    </row>
    <row r="48">
      <c r="A48" t="n">
        <v>43</v>
      </c>
      <c r="B48" s="21">
        <f>IF(AND($CD48="",$CE48=""),"",IF($CE48="",$CD48,IF($CD48="",$CE48,MIN($CD48,$CE48))))</f>
      </c>
      <c r="C48" s="7">
        <f>IF($B48="","",IF($BF48=0,0,IF('Your Pay &amp; Benefits'!$C$4="Annual salary",ROUND($AK48/IF(AND('Your Pay &amp; Benefits'!$C$88="Actual paydays",MONTH('Your Pay &amp; Benefits'!$C$9)=1),MAX(1,MAX($BE$6:$BE$68)),'Your Pay &amp; Benefits'!$C$8),2),$AK48)))</f>
      </c>
      <c r="D48" s="7">
        <f>IF($B48="","",SUMIF('Your Pay &amp; Benefits'!$C$58:$C$67,$B48,'Your Pay &amp; Benefits'!$D$58:$D$67))</f>
      </c>
      <c r="E48" s="7">
        <f>IF($B48="","",ROUND(MAX(0,MIN(IF($AL48="Percent",$AM48*($C48+$D48),$AM48),MAX(0,'Your Pay &amp; Benefits'!$C$34-$AC47))),2))</f>
      </c>
      <c r="F48" s="7">
        <f>IF($B48="","",ROUND(MAX(0,MIN(IF('Your Pay &amp; Benefits'!$C$32="Percent",'Your Pay &amp; Benefits'!$D$32*($C48+$D48),'Your Pay &amp; Benefits'!$D$32),MAX(0,'Your Pay &amp; Benefits'!$C$34-$AC47-$E48))),2))</f>
      </c>
      <c r="G48" s="7">
        <f>IF($B48="","",IF($BF48=0,0,ROUND(MAX(0,MIN($BL48,'Your Pay &amp; Benefits'!$C$37-'Your Pay &amp; Benefits'!$C$54-$BI47)),2)))</f>
      </c>
      <c r="H48" s="7">
        <f>IF($B48="","",IF(OR($BF48=0,$BQ48=1),0,ROUND(MAX(0,MIN(IF($BS48=1,ROUND(MAX(0,MIN($BJ48,'How This Works &amp; Sources'!$C$13)-$BG47)/MAX(1,MAX($BE$6:$BE$68)-($BE47)),2),ROUND(MIN($BJ48,'How This Works &amp; Sources'!$C$13)/'Your Pay &amp; Benefits'!$C$8,2)),MIN($BJ48,'How This Works &amp; Sources'!$C$13)-$BG47)),2)))</f>
      </c>
      <c r="I48" s="7">
        <f>IF($B48="","",IF(OR($BF48=0,$BR48=1),0,ROUND(MAX(0,MIN(IF($BT48=1,ROUND(MAX(0,MIN($BK48,IF('Your Pay &amp; Benefits'!$C$12="MFJ",'How This Works &amp; Sources'!$C$14,'How This Works &amp; Sources'!$C$15))-$BH47)/MAX(1,MAX($BE$6:$BE$68)-($BE47)),2),ROUND(MIN($BK48,IF('Your Pay &amp; Benefits'!$C$12="MFJ",'How This Works &amp; Sources'!$C$14,'How This Works &amp; Sources'!$C$15))/'Your Pay &amp; Benefits'!$C$8,2)),MIN($BK48,IF('Your Pay &amp; Benefits'!$C$12="MFJ",'How This Works &amp; Sources'!$C$14,'How This Works &amp; Sources'!$C$15))-$BH47)),2)))</f>
      </c>
      <c r="J48" s="7">
        <f>IF($B48="","",IF($BF48=0,0,$BM48))</f>
      </c>
      <c r="K48" s="7">
        <f>IF($B48="","",IF($BF48=0,0,$BN48+$BO48))</f>
      </c>
      <c r="L48" s="7">
        <f>IF($B48="","",IF($BF48=0,0,'Your Pay &amp; Benefits'!$D$46))</f>
      </c>
      <c r="M48" s="7">
        <f>IF($B48="","",$C48+$D48+$L48-$E48-$G48-$H48-$I48-$J48-$K48)</f>
      </c>
      <c r="N48" s="7">
        <f>IF($B48="","",$C48+$D48+$L48-$G48-$H48-$I48-$J48-$K48)</f>
      </c>
      <c r="O48" s="7">
        <f>IF($B48="","",$C48+$D48+$L48-$E48-$H48-$I48-$J48-$K48-IF(OR($AN48="CA",$AN48="NJ"),0,$G48))</f>
      </c>
      <c r="P48" s="7">
        <f>IF($B48="","",IF('Your Pay &amp; Benefits'!$C$18,0,ROUND(MAX(0,IF('Your Pay &amp; Benefits'!$C$13,SUMPRODUCT(($AH48&gt;INDEX('How This Works &amp; Sources'!$B$29:$J$36,0,IF('Your Pay &amp; Benefits'!$C$12="MFJ",1,IF('Your Pay &amp; Benefits'!$C$12="HoH",7,4))))*($AH48-INDEX('How This Works &amp; Sources'!$B$29:$J$36,0,IF('Your Pay &amp; Benefits'!$C$12="MFJ",1,IF('Your Pay &amp; Benefits'!$C$12="HoH",7,4))))*INDEX('How This Works &amp; Sources'!$B$29:$J$36,0,IF('Your Pay &amp; Benefits'!$C$12="MFJ",1,IF('Your Pay &amp; Benefits'!$C$12="HoH",7,4))+2)),SUMPRODUCT(($AH48&gt;INDEX('How This Works &amp; Sources'!$B$19:$J$26,0,IF('Your Pay &amp; Benefits'!$C$12="MFJ",1,IF('Your Pay &amp; Benefits'!$C$12="HoH",7,4))))*($AH48-INDEX('How This Works &amp; Sources'!$B$19:$J$26,0,IF('Your Pay &amp; Benefits'!$C$12="MFJ",1,IF('Your Pay &amp; Benefits'!$C$12="HoH",7,4))))*INDEX('How This Works &amp; Sources'!$B$19:$J$26,0,IF('Your Pay &amp; Benefits'!$C$12="MFJ",1,IF('Your Pay &amp; Benefits'!$C$12="HoH",7,4))+2)))/'Your Pay &amp; Benefits'!$C$8-$AO48/'Your Pay &amp; Benefits'!$C$8)+$AR48+IF('Your Pay &amp; Benefits'!$C$89="Aggregate",MAX(0,IF('Your Pay &amp; Benefits'!$C$13,SUMPRODUCT((($AH48+$D48)&gt;INDEX('How This Works &amp; Sources'!$B$29:$J$36,0,IF('Your Pay &amp; Benefits'!$C$12="MFJ",1,IF('Your Pay &amp; Benefits'!$C$12="HoH",7,4))))*(($AH48+$D48)-INDEX('How This Works &amp; Sources'!$B$29:$J$36,0,IF('Your Pay &amp; Benefits'!$C$12="MFJ",1,IF('Your Pay &amp; Benefits'!$C$12="HoH",7,4))))*INDEX('How This Works &amp; Sources'!$B$29:$J$36,0,IF('Your Pay &amp; Benefits'!$C$12="MFJ",1,IF('Your Pay &amp; Benefits'!$C$12="HoH",7,4))+2)),SUMPRODUCT((($AH48+$D48)&gt;INDEX('How This Works &amp; Sources'!$B$19:$J$26,0,IF('Your Pay &amp; Benefits'!$C$12="MFJ",1,IF('Your Pay &amp; Benefits'!$C$12="HoH",7,4))))*(($AH48+$D48)-INDEX('How This Works &amp; Sources'!$B$19:$J$26,0,IF('Your Pay &amp; Benefits'!$C$12="MFJ",1,IF('Your Pay &amp; Benefits'!$C$12="HoH",7,4))))*INDEX('How This Works &amp; Sources'!$B$19:$J$26,0,IF('Your Pay &amp; Benefits'!$C$12="MFJ",1,IF('Your Pay &amp; Benefits'!$C$12="HoH",7,4))+2)))-IF('Your Pay &amp; Benefits'!$C$13,SUMPRODUCT(($AH48&gt;INDEX('How This Works &amp; Sources'!$B$29:$J$36,0,IF('Your Pay &amp; Benefits'!$C$12="MFJ",1,IF('Your Pay &amp; Benefits'!$C$12="HoH",7,4))))*($AH48-INDEX('How This Works &amp; Sources'!$B$29:$J$36,0,IF('Your Pay &amp; Benefits'!$C$12="MFJ",1,IF('Your Pay &amp; Benefits'!$C$12="HoH",7,4))))*INDEX('How This Works &amp; Sources'!$B$29:$J$36,0,IF('Your Pay &amp; Benefits'!$C$12="MFJ",1,IF('Your Pay &amp; Benefits'!$C$12="HoH",7,4))+2)),SUMPRODUCT(($AH48&gt;INDEX('How This Works &amp; Sources'!$B$19:$J$26,0,IF('Your Pay &amp; Benefits'!$C$12="MFJ",1,IF('Your Pay &amp; Benefits'!$C$12="HoH",7,4))))*($AH48-INDEX('How This Works &amp; Sources'!$B$19:$J$26,0,IF('Your Pay &amp; Benefits'!$C$12="MFJ",1,IF('Your Pay &amp; Benefits'!$C$12="HoH",7,4))))*INDEX('How This Works &amp; Sources'!$B$19:$J$26,0,IF('Your Pay &amp; Benefits'!$C$12="MFJ",1,IF('Your Pay &amp; Benefits'!$C$12="HoH",7,4))+2)))),'How This Works &amp; Sources'!$C$10*$D48),2)))</f>
      </c>
      <c r="Q48" s="7">
        <f>IF($B48="","",ROUND('How This Works &amp; Sources'!$C$4*MIN($N48,MAX(0,'How This Works &amp; Sources'!$C$3-($AX48+$AB47-$AW48))),2))</f>
      </c>
      <c r="R48" s="7">
        <f>IF($B48="","",ROUND('How This Works &amp; Sources'!$C$5*$N48,2))</f>
      </c>
      <c r="S48" s="7">
        <f>IF($B48="","",ROUND('How This Works &amp; Sources'!$C$6*MAX(0,MIN($N48,$AG47+$N48-'How This Works &amp; Sources'!$C$7)),2))</f>
      </c>
      <c r="T48" s="7">
        <f>IF($B48="","",IF('Your Pay &amp; Benefits'!$C$26,0,IF($AN48="CA",ROUND(IF($AI48&lt;=IF(($AS48+$AT48)&gt;=2,VLOOKUP($AN48,StateTables!$A$6:$AB$56,10,FALSE),VLOOKUP($AN48,StateTables!$A$6:$AB$56,9,FALSE)),0,MAX(0,SUMPRODUCT(($AJ48&gt;INDEX('How This Works &amp; Sources'!$B$39:$J$48,0,IF($AU48="Married",4,IF($AU48="Head of household",7,1))))*($AJ48-INDEX('How This Works &amp; Sources'!$B$39:$J$48,0,IF($AU48="Married",4,IF($AU48="Head of household",7,1))))*INDEX('How This Works &amp; Sources'!$B$39:$J$48,0,IF($AU48="Married",4,IF($AU48="Head of household",7,1))+2))-VLOOKUP($AN48,StateTables!$A$6:$AB$56,11,FALSE)*$AS48)/'Your Pay &amp; Benefits'!$C$8)+'Your Pay &amp; Benefits'!$C$25+VLOOKUP($AN48,StateTables!$A$6:$AB$56,13,FALSE)*$D48,2),IF(VLOOKUP($AN48,StateTables!$A$6:$AB$56,4,FALSE)="None",0,IF(ISNUMBER(SEARCH("MANUAL",VLOOKUP($AN48,StateTables!$A$6:$AB$56,5,FALSE))),'Your Pay &amp; Benefits'!$C$28,ROUND(MAX(0,$BA48+$BB48)/'Your Pay &amp; Benefits'!$C$8+'Your Pay &amp; Benefits'!$C$25+$BC48,2))))))</f>
      </c>
      <c r="U48" s="7">
        <f>IF($B48="","",IF(VLOOKUP($AN48,StateTables!$A$6:$AB$56,24,FALSE)="flatq",IF(OR(MONTH($B48)=1,MONTH($B48)=4,MONTH($B48)=7,MONTH($B48)=10),VLOOKUP($AN48,StateTables!$A$6:$AB$56,25,FALSE),0),IF(VLOOKUP($AN48,StateTables!$A$6:$AB$56,24,FALSE)="dbl",MIN(ROUND(0.005*$N48,2),ROUND(0.6*52/'Your Pay &amp; Benefits'!$C$8,2)),IF(OR(VLOOKUP($AN48,StateTables!$A$6:$AB$56,15,FALSE)="",VLOOKUP($AN48,StateTables!$A$6:$AB$56,15,FALSE)=0),0,ROUND(VLOOKUP($AN48,StateTables!$A$6:$AB$56,15,FALSE)*IF(OR(VLOOKUP($AN48,StateTables!$A$6:$AB$56,16,FALSE)="",VLOOKUP($AN48,StateTables!$A$6:$AB$56,16,FALSE)=0),$N48,MIN($N48,MAX(0,VLOOKUP($AN48,StateTables!$A$6:$AB$56,16,FALSE)-($AX48+$AB47-$AW48)))),2))))+IF(VLOOKUP($AN48,StateTables!$A$6:$AB$56,27,FALSE)="flatq",IF(OR(MONTH($B48)=1,MONTH($B48)=4,MONTH($B48)=7,MONTH($B48)=10),VLOOKUP($AN48,StateTables!$A$6:$AB$56,28,FALSE),0),IF(VLOOKUP($AN48,StateTables!$A$6:$AB$56,27,FALSE)="dbl",MIN(ROUND(0.005*$N48,2),ROUND(0.6*52/'Your Pay &amp; Benefits'!$C$8,2)),IF(OR(VLOOKUP($AN48,StateTables!$A$6:$AB$56,18,FALSE)="",VLOOKUP($AN48,StateTables!$A$6:$AB$56,18,FALSE)=0),0,ROUND(VLOOKUP($AN48,StateTables!$A$6:$AB$56,18,FALSE)*IF(OR(VLOOKUP($AN48,StateTables!$A$6:$AB$56,19,FALSE)="",VLOOKUP($AN48,StateTables!$A$6:$AB$56,19,FALSE)=0),$N48,MIN($N48,MAX(0,VLOOKUP($AN48,StateTables!$A$6:$AB$56,19,FALSE)-($AX48+$AB47-$AW48)))),2)))))</f>
      </c>
      <c r="V48" s="7">
        <f>IF($B48="","",IF($AN48="NY",IF('Your Pay &amp; Benefits'!$C$78,ROUND(SUMPRODUCT((MAX(0,($O48-$D48)*'Your Pay &amp; Benefits'!$C$8-(IF($AU48="Married",5500,5000)+1000*$AS48))&gt;INDEX('How This Works &amp; Sources'!$B$184:$J$198,0,4))*(MAX(0,($O48-$D48)*'Your Pay &amp; Benefits'!$C$8-(IF($AU48="Married",5500,5000)+1000*$AS48))-INDEX('How This Works &amp; Sources'!$B$184:$J$198,0,4))*INDEX('How This Works &amp; Sources'!$B$184:$J$198,0,4+2))/'Your Pay &amp; Benefits'!$C$8+0.0425*$D48,2),0)+IF('Your Pay &amp; Benefits'!$C$79="Resident",ROUND(0.1675*$T48,2),IF('Your Pay &amp; Benefits'!$C$79="Nonresident",ROUND(0.005*MAX(0,($O48-$D48)-(IF($AU48="Married",7950,7400)+1000*$AS48)/'Your Pay &amp; Benefits'!$C$8),2),0)),IF($AN48="PA",IF('Your Pay &amp; Benefits'!$C$80="None",'Your Pay &amp; Benefits'!$C$27+ROUND('Your Pay &amp; Benefits'!$C$81*($C48+$D48),2),ROUND(IF('Your Pay &amp; Benefits'!$C$80="Resident",IF($B48&lt;DATE(2026,7,1),0.0374,0.03735),IF($B48&lt;DATE(2026,7,1),0.0343,0.03425))*($C48+$D48),2)),IF($BF48=0,ROUND('Your Pay &amp; Benefits'!$C$81*($C48+$D48),2),'Your Pay &amp; Benefits'!$C$27+ROUND('Your Pay &amp; Benefits'!$C$81*($C48+$D48),2)))))</f>
      </c>
      <c r="W48" s="7">
        <f>IF($B48="","",IF($BF48=0,0,$BP48))</f>
      </c>
      <c r="X48" s="7">
        <f>IF($B48="","",SUM($E48:$K48)+$P48+$Q48+$R48+$S48+$T48+$U48+$V48+$W48)</f>
      </c>
      <c r="Y48" s="22">
        <f>IF($B48="","",$C48+$D48-$X48)</f>
      </c>
      <c r="Z48" s="7">
        <f>IF($B48="","",$Z47+$C48+$D48)</f>
      </c>
      <c r="AA48" s="7">
        <f>IF($B48="","",$AA47+$Y48)</f>
      </c>
      <c r="AB48" s="7">
        <f>IF($B48="","",$AB47+MIN($N48,MAX(0,'How This Works &amp; Sources'!$C$3-($AX48+$AB47-$AW48))))</f>
      </c>
      <c r="AC48" s="7">
        <f>IF($B48="","",$AC47+$E48+$F48)</f>
      </c>
      <c r="AD48" s="3">
        <f>IF($B48="","",IF(AND($AB47&lt;'How This Works &amp; Sources'!$C$3,$AB48&gt;='How This Works &amp; Sources'!$C$3),"★ Social Security maxed on this check — from the next check your net rises by about $"&amp;TEXT(ROUND('How This Works &amp; Sources'!$C$4*$N48,2),"#,##0.00")&amp;". ","")&amp;IF(AND($AC47&lt;'Your Pay &amp; Benefits'!$C$34,$AC48&gt;='Your Pay &amp; Benefits'!$C$34),"★ 401(k) reaches the $"&amp;TEXT('Your Pay &amp; Benefits'!$C$34,"#,##0")&amp;" cap on this check — deferrals stop and net pay rises. ","")&amp;IF(AND($AG47&lt;'How This Works &amp; Sources'!$C$7,$AG48&gt;='How This Works &amp; Sources'!$C$7),"★ Wages pass $200,000 — the 0.9% Additional Medicare Tax starts here. ","")&amp;IF(AND($BJ48&gt;0,$H48&gt;0,$BG47&lt;MIN($BJ48,'How This Works &amp; Sources'!$C$13),$BG47+$H48&gt;=MIN($BJ48,'How This Works &amp; Sources'!$C$13)),"★ Health FSA election is now fully deferred for the year. ",""))</f>
      </c>
      <c r="AE48" s="41" t="n"/>
      <c r="AF48" s="7">
        <f>IF(OR($B48="",$AE48=""),"",$AE48-$Y48)</f>
      </c>
      <c r="AG48" s="7">
        <f>IF($B48="","",$AG47+$N48)</f>
      </c>
      <c r="AH48" s="7">
        <f>IF($B48="","",MAX(0,($M48-$D48)*'Your Pay &amp; Benefits'!$C$8+$AP48-$AQ48-IF('Your Pay &amp; Benefits'!$C$13,0,IF('Your Pay &amp; Benefits'!$C$12="MFJ",'How This Works &amp; Sources'!$C$8,'How This Works &amp; Sources'!$C$9))))</f>
      </c>
      <c r="AI48" s="7">
        <f>IF($B48="","",$O48*'Your Pay &amp; Benefits'!$C$8)</f>
      </c>
      <c r="AJ48" s="7">
        <f>IF($B48="","",MAX(0,$AI48-VLOOKUP($AN48,StateTables!$A$6:$AB$56,12,FALSE)*$AT48-IF(($AS48+$AT48)&gt;=2,VLOOKUP($AN48,StateTables!$A$6:$AB$56,8,FALSE),VLOOKUP($AN48,StateTables!$A$6:$AB$56,7,FALSE))))</f>
      </c>
      <c r="AK48" s="7">
        <f>IF($B48="","",IFERROR(LOOKUP(2,1/(('Changes &amp; Events'!$C$6:$C$17="Salary change")*('Changes &amp; Events'!$B$6:$B$17&lt;=$B48)*('Changes &amp; Events'!$B$6:$B$17&lt;&gt;"")),'Changes &amp; Events'!$D$6:$D$17),IF('Your Pay &amp; Benefits'!$C$4="Annual salary",'Your Pay &amp; Benefits'!$C$5,'Your Pay &amp; Benefits'!$C$6)))</f>
      </c>
      <c r="AL48">
        <f>IF($B48="","",IFERROR(LOOKUP(2,1/(('Changes &amp; Events'!$C$6:$C$17="401(k) change")*('Changes &amp; Events'!$B$6:$B$17&lt;=$B48)*('Changes &amp; Events'!$B$6:$B$17&lt;&gt;"")),'Changes &amp; Events'!$D$6:$D$17),'Your Pay &amp; Benefits'!$C$30))</f>
      </c>
      <c r="AM48" s="7">
        <f>IF($B48="","",IFERROR(LOOKUP(2,1/(('Changes &amp; Events'!$C$6:$C$17="401(k) change")*('Changes &amp; Events'!$B$6:$B$17&lt;=$B48)*('Changes &amp; Events'!$B$6:$B$17&lt;&gt;"")),'Changes &amp; Events'!$E$6:$E$17),'Your Pay &amp; Benefits'!$D$31))</f>
      </c>
      <c r="AN48">
        <f>IF($B48="","",IFERROR(LOOKUP(2,1/(('Changes &amp; Events'!$C$6:$C$17="State move")*('Changes &amp; Events'!$B$6:$B$17&lt;=$B48)*('Changes &amp; Events'!$B$6:$B$17&lt;&gt;"")),'Changes &amp; Events'!$D$6:$D$17),'Your Pay &amp; Benefits'!$C$21))</f>
      </c>
      <c r="AO48" s="7">
        <f>IF($B48="","",IFERROR(LOOKUP(2,1/(('Changes &amp; Events'!$C$6:$C$17="W-4 change")*('Changes &amp; Events'!$B$6:$B$17&lt;=$B48)*('Changes &amp; Events'!$B$6:$B$17&lt;&gt;"")),'Changes &amp; Events'!$D$6:$D$17),'Your Pay &amp; Benefits'!$C$14))</f>
      </c>
      <c r="AP48" s="7">
        <f>IF($B48="","",IFERROR(LOOKUP(2,1/(('Changes &amp; Events'!$C$6:$C$17="W-4 change")*('Changes &amp; Events'!$B$6:$B$17&lt;=$B48)*('Changes &amp; Events'!$B$6:$B$17&lt;&gt;"")),'Changes &amp; Events'!$E$6:$E$17),'Your Pay &amp; Benefits'!$C$15))</f>
      </c>
      <c r="AQ48" s="7">
        <f>IF($B48="","",IFERROR(LOOKUP(2,1/(('Changes &amp; Events'!$C$6:$C$17="W-4 change")*('Changes &amp; Events'!$B$6:$B$17&lt;=$B48)*('Changes &amp; Events'!$B$6:$B$17&lt;&gt;"")),'Changes &amp; Events'!$F$6:$F$17),'Your Pay &amp; Benefits'!$C$16))</f>
      </c>
      <c r="AR48" s="7">
        <f>IF($B48="","",IFERROR(LOOKUP(2,1/(('Changes &amp; Events'!$C$6:$C$17="W-4 change")*('Changes &amp; Events'!$B$6:$B$17&lt;=$B48)*('Changes &amp; Events'!$B$6:$B$17&lt;&gt;"")),'Changes &amp; Events'!$G$6:$G$17),'Your Pay &amp; Benefits'!$C$17))</f>
      </c>
      <c r="AS48" s="6">
        <f>IF($B48="","",IFERROR(LOOKUP(2,1/((('Changes &amp; Events'!$C$6:$C$17="State move")+('Changes &amp; Events'!$C$6:$C$17="State cert change"))*('Changes &amp; Events'!$B$6:$B$17&lt;=$B48)*('Changes &amp; Events'!$B$6:$B$17&lt;&gt;"")),'Changes &amp; Events'!$F$6:$F$17),'Your Pay &amp; Benefits'!$C$23))</f>
      </c>
      <c r="AT48" s="6">
        <f>IF($B48="","",IFERROR(LOOKUP(2,1/((('Changes &amp; Events'!$C$6:$C$17="State move")+('Changes &amp; Events'!$C$6:$C$17="State cert change"))*('Changes &amp; Events'!$B$6:$B$17&lt;=$B48)*('Changes &amp; Events'!$B$6:$B$17&lt;&gt;"")),'Changes &amp; Events'!$G$6:$G$17),'Your Pay &amp; Benefits'!$C$24))</f>
      </c>
      <c r="AU48">
        <f>IF($B48="","",IFERROR(LOOKUP(2,1/(('Changes &amp; Events'!$C$6:$C$17="State move")*('Changes &amp; Events'!$B$6:$B$17&lt;=$B48)*('Changes &amp; Events'!$B$6:$B$17&lt;&gt;"")),'Changes &amp; Events'!$E$6:$E$17),'Your Pay &amp; Benefits'!$C$22))</f>
      </c>
      <c r="AV48" s="6">
        <f>IF($B48="","",1+COUNTIFS('Changes &amp; Events'!$C$6:$C$17,"Employer change",'Changes &amp; Events'!$B$6:$B$17,"&lt;="&amp;$B48,'Changes &amp; Events'!$B$6:$B$17,"&lt;&gt;"))</f>
      </c>
      <c r="AW48" s="7">
        <f>IF($B48="","",IF($AV48=1,'Your Pay &amp; Benefits'!$C$49,IF(IFERROR(MATCH(IFERROR(LOOKUP(2,1/(('Changes &amp; Events'!$C$6:$C$17="Employer change")*('Changes &amp; Events'!$B$6:$B$17&lt;=$B48)*('Changes &amp; Events'!$B$6:$B$17&lt;&gt;"")),'Changes &amp; Events'!$B$6:$B$17),""),$B$6:$B$68,1),1)&lt;=1,'Your Pay &amp; Benefits'!$C$49,INDEX($AB$6:$AB$68,MATCH(IFERROR(LOOKUP(2,1/(('Changes &amp; Events'!$C$6:$C$17="Employer change")*('Changes &amp; Events'!$B$6:$B$17&lt;=$B48)*('Changes &amp; Events'!$B$6:$B$17&lt;&gt;"")),'Changes &amp; Events'!$B$6:$B$17),""),$B$6:$B$68,1)-1))))</f>
      </c>
      <c r="AX48" s="7">
        <f>IF($B48="","",IF($AV48=1,'Your Pay &amp; Benefits'!$C$49,IFERROR(LOOKUP(2,1/(('Changes &amp; Events'!$C$6:$C$17="Employer change")*('Changes &amp; Events'!$B$6:$B$17&lt;=$B48)*('Changes &amp; Events'!$B$6:$B$17&lt;&gt;"")),'Changes &amp; Events'!$D$6:$D$17),0)))</f>
      </c>
      <c r="AY48" s="7">
        <f>IF($B48="","",($O48-$D48)*'Your Pay &amp; Benefits'!$C$8)</f>
      </c>
      <c r="AZ48" s="7">
        <f>IF($B48="","",IF($AN48="AL",MAX(0,$AY48-IF($AU48="Married",IF($AY48&lt;=25999,8500,MAX(5000,8500-175*CEILING(($AY48-25999)/500,1))),IF($AU48="Head of household",IF($AY48&lt;=25999,5200,MAX(2500,5200-135*CEILING(($AY48-25999)/500,1))),IF($AY48&lt;=25999,3000,MAX(2500,3000-25*CEILING(($AY48-25999)/500,1)))))-($P48-'How This Works &amp; Sources'!$C$10*$D48)*'Your Pay &amp; Benefits'!$C$8-IF(OR($AU48="Married",$AU48="Head of household"),3000,1500)-$AT48*IF($AY48&lt;=50000,1000,IF($AY48&lt;=100000,500,300))),IF($AN48="AR",IF(MAX(0,$AY48-2470)&lt;97701,INT(MAX(0,$AY48-2470)/100)*100+50,MAX(0,$AY48-2470)),IF($AN48="DE",MAX(0,$AI48-3250),IF($AN48="HI",MAX(0,$AI48-1144*$AS48-4350),IF($AN48="KS",MAX(0,$AI48-(9160*IF($AU48="Married",2,1)+2320*$AT48+IF($AU48="Head of household",2320,0))),IF($AN48="MD",MAX(0,$AI48-3400-3200*$AS48),IF($AN48="MN",MAX(0,$AY48-5300*$AS48),IF($AN48="MO",MAX(0,$AI48-IF($AU48="Head of household",24150,IF($AU48="Married",IF('Your Pay &amp; Benefits'!$C$83,16100,32200),16100))),IF($AN48="MT",$AY48,IF($AN48="ND",($C48+$L48)*'Your Pay &amp; Benefits'!$C$8,IF($AN48="NE",MAX(0,$AY48-2440*$AS48),IF($AN48="NJ",MAX(0,$AY48-1000*$AS48),IF($AN48="NY",MAX(0,$AY48-(IF($AU48="Married",7950,7400)+1000*$AS48)),IF($AN48="OH",MAX(0,$AY48-650*$AS48),IF($AN48="OK",MAX(0,$AY48-1000*$AS48),IF($AN48="RI",MAX(0,$AI48-1000*$AS48),IF($AN48="SC",MAX(0,$AI48-5000*$AS48-IF($AS48=0,0,MIN(0.1*$AI48,7500))),IF($AN48="VA",MAX(0,$AI48-IF($AU48="Married",17500,8750)-930*$AS48-800*$AT48),IF($AN48="VT",MAX(0,$AI48-5400*$AS48),IF($AN48="WI",MAX(0,$AI48-MAX(0,IF($AU48="Married",9461-0.2*MAX(0,$AI48-25727),6702-0.12*MAX(0,$AI48-17780)))-400*$AS48),IF($AN48="WV",MAX(0,$AI48-2000*$AS48),$AI48))))))))))))))))))))))</f>
      </c>
      <c r="BA48" s="7">
        <f>IF($B48="","",IF($BW48&lt;&gt;"",$BW48,IF($BX48&lt;&gt;"",$BX48,IF($BY48&lt;&gt;"",$BY48,0))))</f>
      </c>
      <c r="BB48" s="7">
        <f>IF($B48="","",IF($AN48="AR",-29*$AS48,IF($AN48="DE",-110*$AS48,IF($AN48="MD",$AZ48*'Your Pay &amp; Benefits'!$C$74,IF($AN48="AZ",'Your Pay &amp; Benefits'!$C$82*($M48-$D48)*'Your Pay &amp; Benefits'!$C$8,IF($AN48="CO",0.044*MAX(0,$AY48-IF($AU48="Married",10000,5000)),IF($AN48="IA",MAX(0,0.038*MAX(0,$AY48-IF($AU48="Head of household",19500,IF($AU48="Married",26000,13000)))-40*$AS48),IF($AN48="ID",0.053*MAX(0,$AY48-IF($AU48="Married",32000,16094)),IF($AN48="IL",0.0495*MAX(0,$AY48-(2925*$AS48+1000*$AT48)),IF($AN48="IN",(0.0295+'Your Pay &amp; Benefits'!$C$76)*MAX(0,$AY48-(1000*$AS48+1500*$AT48+3000*'Your Pay &amp; Benefits'!$C$86)),IF($AN48="KY",0.035*MAX(0,$AI48-3360),IF($AN48="LA",IF('Your Pay &amp; Benefits'!$C$84="0",0.0309*$AI48,0.0309*MAX(0,$AI48-IF('Your Pay &amp; Benefits'!$C$84="2",25750,12875))),IF($AN48="MA",0.05*MIN(MAX(0,$AY48-MIN(($BD47+$Q48+$R48+$S48),2000)-IF($AS48=0,0,IF($AS48=1,4400,1000*$AS48+3400))),1107750)+0.09*MAX(0,MAX(0,$AY48-MIN(($BD47+$Q48+$R48+$S48),2000)-IF($AS48=0,0,IF($AS48=1,4400,1000*$AS48+3400)))-1107750)-IF($AU48="Head of household",120,0)-110*'Your Pay &amp; Benefits'!$C$75,IF($AN48="MI",0.0425*MAX(0,$AY48-5900*$AS48),IF($AN48="MS",0.04*MAX(0,$AI48-IF($AU48="Head of household",3400,IF($AU48="Married",4600,2300))-'Your Pay &amp; Benefits'!$C$85-10000),IF($AN48="OR",IF(OR($AU48="Married",AND($AU48="Single",$AS48&gt;=3)),SUMPRODUCT((MAX(0,$AY48-MIN(($P48-'How This Works &amp; Sources'!$C$10*$D48)*'Your Pay &amp; Benefits'!$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Sources'!$B$211:$J$214,0,4))*(MAX(0,$AY48-MIN(($P48-'How This Works &amp; Sources'!$C$10*$D48)*'Your Pay &amp; Benefits'!$C$8,IF(OR($AU48="Married",AND($AU48="Single",$AS48&gt;=3)),IF($AY48&lt;250000,8750,IF($AY48&lt;260000,7000,IF($AY48&lt;270000,5250,IF($AY48&lt;280000,3500,IF($AY48&lt;290000,1750,0))))),IF($AY48&lt;125000,8750,IF($AY48&lt;130000,7000,IF($AY48&lt;135000,5250,IF($AY48&lt;140000,3500,IF($AY48&lt;145000,1750,0)))))))-IF(OR($AU48="Married",AND($AU48="Single",$AS48&gt;=3)),5820,2910))-INDEX('How This Works &amp; Sources'!$B$211:$J$214,0,4))*INDEX('How This Works &amp; Sources'!$B$211:$J$214,0,4+2)),SUMPRODUCT((MAX(0,$AY48-MIN(($P48-'How This Works &amp; Sources'!$C$10*$D48)*'Your Pay &amp; Benefits'!$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Sources'!$B$211:$J$214,0,1))*(MAX(0,$AY48-MIN(($P48-'How This Works &amp; Sources'!$C$10*$D48)*'Your Pay &amp; Benefits'!$C$8,IF(OR($AU48="Married",AND($AU48="Single",$AS48&gt;=3)),IF($AY48&lt;250000,8750,IF($AY48&lt;260000,7000,IF($AY48&lt;270000,5250,IF($AY48&lt;280000,3500,IF($AY48&lt;290000,1750,0))))),IF($AY48&lt;125000,8750,IF($AY48&lt;130000,7000,IF($AY48&lt;135000,5250,IF($AY48&lt;140000,3500,IF($AY48&lt;145000,1750,0)))))))-IF(OR($AU48="Married",AND($AU48="Single",$AS48&gt;=3)),5820,2910))-INDEX('How This Works &amp; Sources'!$B$211:$J$214,0,1))*INDEX('How This Works &amp; Sources'!$B$211:$J$214,0,1+2)))+263-263*IF(IF($AU48="Married",$AY48&gt;200000,$AY48&gt;100000),0,$AS48),IF($AN48="PA",0.0307*(($O48+$E48+$G48)*'Your Pay &amp; Benefits'!$C$8),IF($AN48="NY",IF($AU48="Married",IF($AZ48&gt;=2155350,0,IF($AZ48&gt;=1077550,0.48,IF($AZ48&gt;=373200,1.21,IF($AZ48&gt;=323200,0.21,IF($AZ48&gt;=211550,-0.19,IF($AZ48&gt;=157650,-2.8,IF($AZ48&gt;=107650,-0.8,IF($AZ48&gt;=96800,0.05,IF($AZ48&gt;=80650,-0.1,IF($AZ48&gt;=13900,0.4,IF($AZ48&gt;=11700,-0.3,IF($AZ48&gt;=8500,0.5,0)))))))))))),IF($AZ48&gt;=1077550,0,IF($AZ48&gt;=265400,4.29,IF($AZ48&gt;=215400,2.29,IF($AZ48&gt;=157650,2.29,IF($AZ48&gt;=107650,0.29,IF($AZ48&gt;=96800,0.05,IF($AZ48&gt;=80650,-0.1,IF($AZ48&gt;=13900,0.4,IF($AZ48&gt;=11700,-0.3,IF($AZ48&gt;=8500,0.5,0))))))))))),0))))))))))))))))))</f>
      </c>
      <c r="BC48" s="7">
        <f>IF($B48="","",IF($AN48="AL",0.05*$D48,IF($AN48="AR",0.039*$D48,IF($AN48="ID",0.053*$D48,IF($AN48="IN",(0.0295+'Your Pay &amp; Benefits'!$C$76)*$D48,IF($AN48="KS",0.05*$D48,IF($AN48="MA",0.09*MIN($D48,MAX(0,MAX(0,$AY48-MIN(($BD47+$Q48+$R48+$S48),2000)-IF($AS48=0,0,IF($AS48=1,4400,1000*$AS48+3400)))+$D48-1107750))+0.05*($D48-MIN($D48,MAX(0,MAX(0,$AY48-MIN(($BD47+$Q48+$R48+$S48),2000)-IF($AS48=0,0,IF($AS48=1,4400,1000*$AS48+3400)))+$D48-1107750))),IF($AN48="MD",(0.065+'Your Pay &amp; Benefits'!$C$74)*$D48,IF($AN48="MI",0.0425*$D48,IF($AN48="MN",0.0625*$D48,IF($AN48="MO",0.047*$D48,IF($AN48="MT",0.05*$D48,IF($AN48="ND",0.015*$D48,IF($AN48="NE",0.035*$D48,IF($AN48="NJ",IF('Your Pay &amp; Benefits'!$C$77="B",SUMPRODUCT(($D48*'Your Pay &amp; Benefits'!$C$8&gt;INDEX('How This Works &amp; Sources'!$B$155:$J$162,0,4))*($D48*'Your Pay &amp; Benefits'!$C$8-INDEX('How This Works &amp; Sources'!$B$155:$J$162,0,4))*INDEX('How This Works &amp; Sources'!$B$155:$J$162,0,4+2)),IF('Your Pay &amp; Benefits'!$C$77="C",SUMPRODUCT(($D48*'Your Pay &amp; Benefits'!$C$8&gt;INDEX('How This Works &amp; Sources'!$B$155:$J$162,0,7))*($D48*'Your Pay &amp; Benefits'!$C$8-INDEX('How This Works &amp; Sources'!$B$155:$J$162,0,7))*INDEX('How This Works &amp; Sources'!$B$155:$J$162,0,7+2)),IF('Your Pay &amp; Benefits'!$C$77="D",SUMPRODUCT(($D48*'Your Pay &amp; Benefits'!$C$8&gt;INDEX('How This Works &amp; Sources'!$B$167:$J$179,0,1))*($D48*'Your Pay &amp; Benefits'!$C$8-INDEX('How This Works &amp; Sources'!$B$167:$J$179,0,1))*INDEX('How This Works &amp; Sources'!$B$167:$J$179,0,1+2)),IF('Your Pay &amp; Benefits'!$C$77="E",SUMPRODUCT(($D48*'Your Pay &amp; Benefits'!$C$8&gt;INDEX('How This Works &amp; Sources'!$B$167:$J$179,0,4))*($D48*'Your Pay &amp; Benefits'!$C$8-INDEX('How This Works &amp; Sources'!$B$167:$J$179,0,4))*INDEX('How This Works &amp; Sources'!$B$167:$J$179,0,4+2)),SUMPRODUCT(($D48*'Your Pay &amp; Benefits'!$C$8&gt;INDEX('How This Works &amp; Sources'!$B$155:$J$162,0,1))*($D48*'Your Pay &amp; Benefits'!$C$8-INDEX('How This Works &amp; Sources'!$B$155:$J$162,0,1))*INDEX('How This Works &amp; Sources'!$B$155:$J$162,0,1+2))))))/'Your Pay &amp; Benefits'!$C$8,IF($AN48="NY",0.117*$D48,IF($AN48="OH",0.0275*$D48,IF($AN48="OK",0.045*$D48,IF($AN48="OR",0.08*$D48,IF($AN48="WI",IF($AY48&lt;12760,0.0354,IF($AY48&lt;25520,0.0465,IF($AY48&lt;280950,0.053,0.0765)))*$D48,0))))))))))))))))))))</f>
      </c>
      <c r="BD48" s="7">
        <f>IF($B48="","",$BD47+$Q48+$R48+$S48)</f>
      </c>
      <c r="BE48" s="6">
        <f>IF($B48="",$BE47,$BE47+$BF48)</f>
      </c>
      <c r="BF48" s="6">
        <f>IF($B48="","",IF(AND(IF(YEAR(IF('Your Pay &amp; Benefits'!$C$7="Weekly",'Your Pay &amp; Benefits'!$C$9+7*(($BE47+1)-1),IF('Your Pay &amp; Benefits'!$C$7="Biweekly",'Your Pay &amp; Benefits'!$C$9+14*(($BE47+1)-1),IF('Your Pay &amp; Benefits'!$C$7="Semimonthly",DATE(YEAR('Your Pay &amp; Benefits'!$C$9),MONTH('Your Pay &amp; Benefits'!$C$9)+INT((($BE47+1)-1)/2),MIN(DAY('Your Pay &amp; Benefits'!$C$9),DAY(EOMONTH(DATE(YEAR('Your Pay &amp; Benefits'!$C$9),MONTH('Your Pay &amp; Benefits'!$C$9)+INT((($BE47+1)-1)/2),1),0))))+IF(MOD(($BE47+1)-1,2)=1,15,0),EDATE('Your Pay &amp; Benefits'!$C$9,($BE47+1)-1)))))&lt;&gt;'Your Pay &amp; Benefits'!$C$10,"",IF('Your Pay &amp; Benefits'!$C$7="Weekly",'Your Pay &amp; Benefits'!$C$9+7*(($BE47+1)-1),IF('Your Pay &amp; Benefits'!$C$7="Biweekly",'Your Pay &amp; Benefits'!$C$9+14*(($BE47+1)-1),IF('Your Pay &amp; Benefits'!$C$7="Semimonthly",DATE(YEAR('Your Pay &amp; Benefits'!$C$9),MONTH('Your Pay &amp; Benefits'!$C$9)+INT((($BE47+1)-1)/2),MIN(DAY('Your Pay &amp; Benefits'!$C$9),DAY(EOMONTH(DATE(YEAR('Your Pay &amp; Benefits'!$C$9),MONTH('Your Pay &amp; Benefits'!$C$9)+INT((($BE47+1)-1)/2),1),0))))+IF(MOD(($BE47+1)-1,2)=1,15,0),EDATE('Your Pay &amp; Benefits'!$C$9,($BE47+1)-1)))))&lt;&gt;"",$B48=IF(YEAR(IF('Your Pay &amp; Benefits'!$C$7="Weekly",'Your Pay &amp; Benefits'!$C$9+7*(($BE47+1)-1),IF('Your Pay &amp; Benefits'!$C$7="Biweekly",'Your Pay &amp; Benefits'!$C$9+14*(($BE47+1)-1),IF('Your Pay &amp; Benefits'!$C$7="Semimonthly",DATE(YEAR('Your Pay &amp; Benefits'!$C$9),MONTH('Your Pay &amp; Benefits'!$C$9)+INT((($BE47+1)-1)/2),MIN(DAY('Your Pay &amp; Benefits'!$C$9),DAY(EOMONTH(DATE(YEAR('Your Pay &amp; Benefits'!$C$9),MONTH('Your Pay &amp; Benefits'!$C$9)+INT((($BE47+1)-1)/2),1),0))))+IF(MOD(($BE47+1)-1,2)=1,15,0),EDATE('Your Pay &amp; Benefits'!$C$9,($BE47+1)-1)))))&lt;&gt;'Your Pay &amp; Benefits'!$C$10,"",IF('Your Pay &amp; Benefits'!$C$7="Weekly",'Your Pay &amp; Benefits'!$C$9+7*(($BE47+1)-1),IF('Your Pay &amp; Benefits'!$C$7="Biweekly",'Your Pay &amp; Benefits'!$C$9+14*(($BE47+1)-1),IF('Your Pay &amp; Benefits'!$C$7="Semimonthly",DATE(YEAR('Your Pay &amp; Benefits'!$C$9),MONTH('Your Pay &amp; Benefits'!$C$9)+INT((($BE47+1)-1)/2),MIN(DAY('Your Pay &amp; Benefits'!$C$9),DAY(EOMONTH(DATE(YEAR('Your Pay &amp; Benefits'!$C$9),MONTH('Your Pay &amp; Benefits'!$C$9)+INT((($BE47+1)-1)/2),1),0))))+IF(MOD(($BE47+1)-1,2)=1,15,0),EDATE('Your Pay &amp; Benefits'!$C$9,($BE47+1)-1)))))),1,0))</f>
      </c>
      <c r="BG48" s="7">
        <f>IF($B48="","",$BG47+$H48)</f>
      </c>
      <c r="BH48" s="7">
        <f>IF($B48="","",$BH47+$I48)</f>
      </c>
      <c r="BI48" s="7">
        <f>IF($B48="","",$BI47+$G48)</f>
      </c>
      <c r="BJ48" s="7">
        <f>IF($B48="","",IFERROR(LOOKUP(2,1/(((('Changes &amp; Events'!$C$6:$C$17="Deduction start"))*('Changes &amp; Events'!$D$6:$D$17="Health FSA"))*('Changes &amp; Events'!$B$6:$B$17&lt;=$B48)*('Changes &amp; Events'!$B$6:$B$17&lt;&gt;"")),'Changes &amp; Events'!$E$6:$E$17),'Your Pay &amp; Benefits'!$D$38))</f>
      </c>
      <c r="BK48" s="7">
        <f>IF($B48="","",IFERROR(LOOKUP(2,1/(((('Changes &amp; Events'!$C$6:$C$17="Deduction start"))*('Changes &amp; Events'!$D$6:$D$17="Dependent-care FSA"))*('Changes &amp; Events'!$B$6:$B$17&lt;=$B48)*('Changes &amp; Events'!$B$6:$B$17&lt;&gt;"")),'Changes &amp; Events'!$E$6:$E$17),'Your Pay &amp; Benefits'!$D$39))</f>
      </c>
      <c r="BL48" s="7">
        <f>IF($B48="","",IFERROR(LOOKUP(2,1/(((('Changes &amp; Events'!$C$6:$C$17="Deduction start")+('Changes &amp; Events'!$C$6:$C$17="Deduction stop"))*('Changes &amp; Events'!$D$6:$D$17="HSA"))*('Changes &amp; Events'!$B$6:$B$17&lt;=$B48)*('Changes &amp; Events'!$B$6:$B$17&lt;&gt;"")),'Changes &amp; Events'!$I$6:$I$17),'Your Pay &amp; Benefits'!$D$35))</f>
      </c>
      <c r="BM48" s="7">
        <f>IF($B48="","",IFERROR(LOOKUP(2,1/(((('Changes &amp; Events'!$C$6:$C$17="Deduction start")+('Changes &amp; Events'!$C$6:$C$17="Deduction stop"))*('Changes &amp; Events'!$D$6:$D$17="Premiums"))*('Changes &amp; Events'!$B$6:$B$17&lt;=$B48)*('Changes &amp; Events'!$B$6:$B$17&lt;&gt;"")),'Changes &amp; Events'!$I$6:$I$17),'Your Pay &amp; Benefits'!$D$40+'Your Pay &amp; Benefits'!$D$41+'Your Pay &amp; Benefits'!$D$42))</f>
      </c>
      <c r="BN48" s="7">
        <f>IF($B48="","",IFERROR(LOOKUP(2,1/(((('Changes &amp; Events'!$C$6:$C$17="Deduction start")+('Changes &amp; Events'!$C$6:$C$17="Deduction stop"))*('Changes &amp; Events'!$D$6:$D$17="Commuter"))*('Changes &amp; Events'!$B$6:$B$17&lt;=$B48)*('Changes &amp; Events'!$B$6:$B$17&lt;&gt;"")),'Changes &amp; Events'!$I$6:$I$17),'Your Pay &amp; Benefits'!$D$43))</f>
      </c>
      <c r="BO48" s="7">
        <f>IF($B48="","",IFERROR(LOOKUP(2,1/(((('Changes &amp; Events'!$C$6:$C$17="Deduction start")+('Changes &amp; Events'!$C$6:$C$17="Deduction stop"))*('Changes &amp; Events'!$D$6:$D$17="Other pre-tax"))*('Changes &amp; Events'!$B$6:$B$17&lt;=$B48)*('Changes &amp; Events'!$B$6:$B$17&lt;&gt;"")),'Changes &amp; Events'!$I$6:$I$17),'Your Pay &amp; Benefits'!$D$44))</f>
      </c>
      <c r="BP48" s="7">
        <f>IF($B48="","",IFERROR(LOOKUP(2,1/(((('Changes &amp; Events'!$C$6:$C$17="Deduction start")+('Changes &amp; Events'!$C$6:$C$17="Deduction stop"))*('Changes &amp; Events'!$D$6:$D$17="Other post-tax"))*('Changes &amp; Events'!$B$6:$B$17&lt;=$B48)*('Changes &amp; Events'!$B$6:$B$17&lt;&gt;"")),'Changes &amp; Events'!$I$6:$I$17),'Your Pay &amp; Benefits'!$D$45))</f>
      </c>
      <c r="BQ48" s="6">
        <f>IF($B48="","",IFERROR(LOOKUP(2,1/(((('Changes &amp; Events'!$C$6:$C$17="Deduction start")+('Changes &amp; Events'!$C$6:$C$17="Deduction stop"))*('Changes &amp; Events'!$D$6:$D$17="Health FSA"))*('Changes &amp; Events'!$B$6:$B$17&lt;=$B48)*('Changes &amp; Events'!$B$6:$B$17&lt;&gt;"")),'Changes &amp; Events'!$J$6:$J$17),0))</f>
      </c>
      <c r="BR48" s="6">
        <f>IF($B48="","",IFERROR(LOOKUP(2,1/(((('Changes &amp; Events'!$C$6:$C$17="Deduction start")+('Changes &amp; Events'!$C$6:$C$17="Deduction stop"))*('Changes &amp; Events'!$D$6:$D$17="Dependent-care FSA"))*('Changes &amp; Events'!$B$6:$B$17&lt;=$B48)*('Changes &amp; Events'!$B$6:$B$17&lt;&gt;"")),'Changes &amp; Events'!$J$6:$J$17),0))</f>
      </c>
      <c r="BS48" s="6">
        <f>IF($B48="","",IF(SUMPRODUCT(('Changes &amp; Events'!$C$6:$C$17="Deduction start")*('Changes &amp; Events'!$B$6:$B$17&lt;=$B48)*('Changes &amp; Events'!$B$6:$B$17&lt;&gt;"")*('Changes &amp; Events'!$D$6:$D$17="Health FSA"))&gt;0,1,0))</f>
      </c>
      <c r="BT48" s="6">
        <f>IF($B48="","",IF(SUMPRODUCT(('Changes &amp; Events'!$C$6:$C$17="Deduction start")*('Changes &amp; Events'!$B$6:$B$17&lt;=$B48)*('Changes &amp; Events'!$B$6:$B$17&lt;&gt;"")*('Changes &amp; Events'!$D$6:$D$17="Dependent-care FSA"))&gt;0,1,0))</f>
      </c>
      <c r="BU48" s="24">
        <f>IF($B48="","",IF('Your Pay &amp; Benefits'!$C$13,SUMPRODUCT(($AH48&gt;=INDEX('How This Works &amp; Sources'!$B$29:$J$36,0,IF('Your Pay &amp; Benefits'!$C$12="MFJ",1,IF('Your Pay &amp; Benefits'!$C$12="HoH",7,4))))*INDEX('How This Works &amp; Sources'!$B$29:$J$36,0,IF('Your Pay &amp; Benefits'!$C$12="MFJ",1,IF('Your Pay &amp; Benefits'!$C$12="HoH",7,4))+2)),SUMPRODUCT(($AH48&gt;=INDEX('How This Works &amp; Sources'!$B$19:$J$26,0,IF('Your Pay &amp; Benefits'!$C$12="MFJ",1,IF('Your Pay &amp; Benefits'!$C$12="HoH",7,4))))*INDEX('How This Works &amp; Sources'!$B$19:$J$26,0,IF('Your Pay &amp; Benefits'!$C$12="MFJ",1,IF('Your Pay &amp; Benefits'!$C$12="HoH",7,4))+2))))</f>
      </c>
      <c r="BV48" s="24">
        <f>IF($B48="","",IF($BZ48&lt;&gt;"",$BZ48,IF($CA48&lt;&gt;"",$CA48,IF($CB48&lt;&gt;"",$CB48,IF($CC48&lt;&gt;"",$CC48,0)))))</f>
      </c>
      <c r="BW48" s="7">
        <f>IF($B48="","",IF($AN48="MD",IF(OR($AU48="Married",$AU48="Head of household"),SUMPRODUCT(($AZ48&gt;INDEX('How This Works &amp; Sources'!$B$114:$J$120,0,1))*($AZ48-INDEX('How This Works &amp; Sources'!$B$114:$J$120,0,1))*INDEX('How This Works &amp; Sources'!$B$114:$J$120,0,1+2)),SUMPRODUCT(($AZ48&gt;INDEX('How This Works &amp; Sources'!$B$103:$J$109,0,7))*($AZ48-INDEX('How This Works &amp; Sources'!$B$103:$J$109,0,7))*INDEX('How This Works &amp; Sources'!$B$103:$J$109,0,7+2))),IF($AN48="MO",SUMPRODUCT(($AZ48&gt;INDEX('How This Works &amp; Sources'!$B$125:$J$132,0,1))*($AZ48-INDEX('How This Works &amp; Sources'!$B$125:$J$132,0,1))*INDEX('How This Works &amp; Sources'!$B$125:$J$132,0,1+2)),IF($AN48="MT",IF($AU48="Head of household",SUMPRODUCT(($AZ48&gt;INDEX('How This Works &amp; Sources'!$B$137:$J$139,0,1))*($AZ48-INDEX('How This Works &amp; Sources'!$B$137:$J$139,0,1))*INDEX('How This Works &amp; Sources'!$B$137:$J$139,0,1+2)),IF($AU48="Married",SUMPRODUCT(($AZ48&gt;INDEX('How This Works &amp; Sources'!$B$125:$J$132,0,7))*($AZ48-INDEX('How This Works &amp; Sources'!$B$125:$J$132,0,7))*INDEX('How This Works &amp; Sources'!$B$125:$J$132,0,7+2)),SUMPRODUCT(($AZ48&gt;INDEX('How This Works &amp; Sources'!$B$125:$J$132,0,4))*($AZ48-INDEX('How This Works &amp; Sources'!$B$125:$J$132,0,4))*INDEX('How This Works &amp; Sources'!$B$125:$J$132,0,4+2)))),IF($AN48="ND",IF($AU48="Head of household",SUMPRODUCT(($AZ48&gt;INDEX('How This Works &amp; Sources'!$B$144:$J$150,0,1))*($AZ48-INDEX('How This Works &amp; Sources'!$B$144:$J$150,0,1))*INDEX('How This Works &amp; Sources'!$B$144:$J$150,0,1+2)),IF($AU48="Married",SUMPRODUCT(($AZ48&gt;INDEX('How This Works &amp; Sources'!$B$137:$J$139,0,7))*($AZ48-INDEX('How This Works &amp; Sources'!$B$137:$J$139,0,7))*INDEX('How This Works &amp; Sources'!$B$137:$J$139,0,7+2)),SUMPRODUCT(($AZ48&gt;INDEX('How This Works &amp; Sources'!$B$137:$J$139,0,4))*($AZ48-INDEX('How This Works &amp; Sources'!$B$137:$J$139,0,4))*INDEX('How This Works &amp; Sources'!$B$137:$J$139,0,4+2)))),IF($AN48="NJ",IF('Your Pay &amp; Benefits'!$C$77="B",SUMPRODUCT(($AZ48&gt;INDEX('How This Works &amp; Sources'!$B$155:$J$162,0,4))*($AZ48-INDEX('How This Works &amp; Sources'!$B$155:$J$162,0,4))*INDEX('How This Works &amp; Sources'!$B$155:$J$162,0,4+2)),IF('Your Pay &amp; Benefits'!$C$77="C",SUMPRODUCT(($AZ48&gt;INDEX('How This Works &amp; Sources'!$B$155:$J$162,0,7))*($AZ48-INDEX('How This Works &amp; Sources'!$B$155:$J$162,0,7))*INDEX('How This Works &amp; Sources'!$B$155:$J$162,0,7+2)),IF('Your Pay &amp; Benefits'!$C$77="D",SUMPRODUCT(($AZ48&gt;INDEX('How This Works &amp; Sources'!$B$167:$J$179,0,1))*($AZ48-INDEX('How This Works &amp; Sources'!$B$167:$J$179,0,1))*INDEX('How This Works &amp; Sources'!$B$167:$J$179,0,1+2)),IF('Your Pay &amp; Benefits'!$C$77="E",SUMPRODUCT(($AZ48&gt;INDEX('How This Works &amp; Sources'!$B$167:$J$179,0,4))*($AZ48-INDEX('How This Works &amp; Sources'!$B$167:$J$179,0,4))*INDEX('How This Works &amp; Sources'!$B$167:$J$179,0,4+2)),SUMPRODUCT(($AZ48&gt;INDEX('How This Works &amp; Sources'!$B$155:$J$162,0,1))*($AZ48-INDEX('How This Works &amp; Sources'!$B$155:$J$162,0,1))*INDEX('How This Works &amp; Sources'!$B$155:$J$162,0,1+2)))))),IF($AN48="NY",IF($AU48="Married",IF($AZ48&gt;=2155350,$AZ48*IF($AZ48&gt;25000000,0.117,IF($AZ48&gt;5000000,0.111,0.1045)),SUMPRODUCT(($AZ48&gt;INDEX('How This Works &amp; Sources'!$B$184:$J$198,0,1))*($AZ48-INDEX('How This Works &amp; Sources'!$B$184:$J$198,0,1))*INDEX('How This Works &amp; Sources'!$B$184:$J$198,0,1+2))),IF($AZ48&gt;=1077550,$AZ48*IF($AZ48&gt;25000000,0.117,IF($AZ48&gt;5000000,0.111,0.1045)),SUMPRODUCT(($AZ48&gt;INDEX('How This Works &amp; Sources'!$B$167:$J$179,0,7))*($AZ48-INDEX('How This Works &amp; Sources'!$B$167:$J$179,0,7))*INDEX('How This Works &amp; Sources'!$B$167:$J$179,0,7+2)))),"")))))))</f>
      </c>
      <c r="BX48" s="7">
        <f>IF($B48="","",IF($AN48="AL",IF(OR($AU48="Married",$AU48="Head of household"),SUMPRODUCT(($AZ48&gt;INDEX('How This Works &amp; Sources'!$B$82:$J$86,0,4))*($AZ48-INDEX('How This Works &amp; Sources'!$B$82:$J$86,0,4))*INDEX('How This Works &amp; Sources'!$B$82:$J$86,0,4+2)),SUMPRODUCT(($AZ48&gt;INDEX('How This Works &amp; Sources'!$B$82:$J$86,0,1))*($AZ48-INDEX('How This Works &amp; Sources'!$B$82:$J$86,0,1))*INDEX('How This Works &amp; Sources'!$B$82:$J$86,0,1+2))),IF($AN48="KS",IF($AU48="Married",SUMPRODUCT(($AZ48&gt;INDEX('How This Works &amp; Sources'!$B$103:$J$109,0,4))*($AZ48-INDEX('How This Works &amp; Sources'!$B$103:$J$109,0,4))*INDEX('How This Works &amp; Sources'!$B$103:$J$109,0,4+2)),SUMPRODUCT(($AZ48&gt;INDEX('How This Works &amp; Sources'!$B$103:$J$109,0,1))*($AZ48-INDEX('How This Works &amp; Sources'!$B$103:$J$109,0,1))*INDEX('How This Works &amp; Sources'!$B$103:$J$109,0,1+2))),IF($AN48="MN",IF($AU48="Married",SUMPRODUCT(($AZ48&gt;INDEX('How This Works &amp; Sources'!$B$114:$J$120,0,7))*($AZ48-INDEX('How This Works &amp; Sources'!$B$114:$J$120,0,7))*INDEX('How This Works &amp; Sources'!$B$114:$J$120,0,7+2)),SUMPRODUCT(($AZ48&gt;INDEX('How This Works &amp; Sources'!$B$114:$J$120,0,4))*($AZ48-INDEX('How This Works &amp; Sources'!$B$114:$J$120,0,4))*INDEX('How This Works &amp; Sources'!$B$114:$J$120,0,4+2))),IF($AN48="NE",MAX(IF($AU48="Married",SUMPRODUCT(($AZ48&gt;INDEX('How This Works &amp; Sources'!$B$144:$J$150,0,7))*($AZ48-INDEX('How This Works &amp; Sources'!$B$144:$J$150,0,7))*INDEX('How This Works &amp; Sources'!$B$144:$J$150,0,7+2)),SUMPRODUCT(($AZ48&gt;INDEX('How This Works &amp; Sources'!$B$144:$J$150,0,4))*($AZ48-INDEX('How This Works &amp; Sources'!$B$144:$J$150,0,4))*INDEX('How This Works &amp; Sources'!$B$144:$J$150,0,4+2))),0.015*$AZ48),IF($AN48="OH",IF($B48&gt;=DATE(2026,8,1),SUMPRODUCT(($AZ48&gt;INDEX('How This Works &amp; Sources'!$B$203:$J$206,0,1))*($AZ48-INDEX('How This Works &amp; Sources'!$B$203:$J$206,0,1))*INDEX('How This Works &amp; Sources'!$B$203:$J$206,0,1+2)),SUMPRODUCT(($AZ48&gt;INDEX('How This Works &amp; Sources'!$B$184:$J$198,0,7))*($AZ48-INDEX('How This Works &amp; Sources'!$B$184:$J$198,0,7))*INDEX('How This Works &amp; Sources'!$B$184:$J$198,0,7+2))),IF($AN48="OK",IF($AU48="Married",SUMPRODUCT(($AZ48&gt;INDEX('How This Works &amp; Sources'!$B$203:$J$206,0,7))*($AZ48-INDEX('How This Works &amp; Sources'!$B$203:$J$206,0,7))*INDEX('How This Works &amp; Sources'!$B$203:$J$206,0,7+2)),SUMPRODUCT(($AZ48&gt;INDEX('How This Works &amp; Sources'!$B$203:$J$206,0,4))*($AZ48-INDEX('How This Works &amp; Sources'!$B$203:$J$206,0,4))*INDEX('How This Works &amp; Sources'!$B$203:$J$206,0,4+2))),IF($AN48="RI",SUMPRODUCT(($AZ48&gt;INDEX('How This Works &amp; Sources'!$B$211:$J$214,0,7))*($AZ48-INDEX('How This Works &amp; Sources'!$B$211:$J$214,0,7))*INDEX('How This Works &amp; Sources'!$B$211:$J$214,0,7+2)),IF($AN48="VT",IF($AU48="Married",SUMPRODUCT(($AZ48&gt;INDEX('How This Works &amp; Sources'!$B$228:$J$232,0,1))*($AZ48-INDEX('How This Works &amp; Sources'!$B$228:$J$232,0,1))*INDEX('How This Works &amp; Sources'!$B$228:$J$232,0,1+2)),SUMPRODUCT(($AZ48&gt;INDEX('How This Works &amp; Sources'!$B$219:$J$223,0,7))*($AZ48-INDEX('How This Works &amp; Sources'!$B$219:$J$223,0,7))*INDEX('How This Works &amp; Sources'!$B$219:$J$223,0,7+2))),IF($AN48="WV",IF($AU48="Married",SUMPRODUCT(($AZ48&gt;INDEX('How This Works &amp; Sources'!$B$237:$J$241,0,7))*($AZ48-INDEX('How This Works &amp; Sources'!$B$237:$J$241,0,7))*INDEX('How This Works &amp; Sources'!$B$237:$J$241,0,7+2)),SUMPRODUCT(($AZ48&gt;INDEX('How This Works &amp; Sources'!$B$228:$J$232,0,7))*($AZ48-INDEX('How This Works &amp; Sources'!$B$228:$J$232,0,7))*INDEX('How This Works &amp; Sources'!$B$228:$J$232,0,7+2))),""))))))))))</f>
      </c>
      <c r="BY48" s="7">
        <f>IF($B48="","",IF($AN48="AR",SUMPRODUCT(($AZ48&gt;INDEX('How This Works &amp; Sources'!$B$82:$J$86,0,7))*($AZ48-INDEX('How This Works &amp; Sources'!$B$82:$J$86,0,7))*INDEX('How This Works &amp; Sources'!$B$82:$J$86,0,7+2)),IF($AN48="DE",SUMPRODUCT(($AZ48&gt;INDEX('How This Works &amp; Sources'!$B$91:$J$98,0,1))*($AZ48-INDEX('How This Works &amp; Sources'!$B$91:$J$98,0,1))*INDEX('How This Works &amp; Sources'!$B$91:$J$98,0,1+2)),IF($AN48="HI",IF($AU48="Married",SUMPRODUCT(($AZ48&gt;INDEX('How This Works &amp; Sources'!$B$91:$J$98,0,7))*($AZ48-INDEX('How This Works &amp; Sources'!$B$91:$J$98,0,7))*INDEX('How This Works &amp; Sources'!$B$91:$J$98,0,7+2)),SUMPRODUCT(($AZ48&gt;INDEX('How This Works &amp; Sources'!$B$91:$J$98,0,4))*($AZ48-INDEX('How This Works &amp; Sources'!$B$91:$J$98,0,4))*INDEX('How This Works &amp; Sources'!$B$91:$J$98,0,4+2))),IF($AN48="SC",SUMPRODUCT(($AZ48&gt;INDEX('How This Works &amp; Sources'!$B$219:$J$223,0,1))*($AZ48-INDEX('How This Works &amp; Sources'!$B$219:$J$223,0,1))*INDEX('How This Works &amp; Sources'!$B$219:$J$223,0,1+2)),IF($AN48="VA",SUMPRODUCT(($AZ48&gt;INDEX('How This Works &amp; Sources'!$B$219:$J$223,0,4))*($AZ48-INDEX('How This Works &amp; Sources'!$B$219:$J$223,0,4))*INDEX('How This Works &amp; Sources'!$B$219:$J$223,0,4+2)),IF($AN48="WI",SUMPRODUCT(($AZ48&gt;INDEX('How This Works &amp; Sources'!$B$228:$J$232,0,4))*($AZ48-INDEX('How This Works &amp; Sources'!$B$228:$J$232,0,4))*INDEX('How This Works &amp; Sources'!$B$228:$J$232,0,4+2)),"")))))))</f>
      </c>
      <c r="BZ48" s="24">
        <f>IF($B48="","",IF($AN48="NJ",IF('Your Pay &amp; Benefits'!$C$77="B",SUMPRODUCT(($AZ48&gt;=INDEX('How This Works &amp; Sources'!$B$155:$J$162,0,4))*INDEX('How This Works &amp; Sources'!$B$155:$J$162,0,4+2)),IF('Your Pay &amp; Benefits'!$C$77="C",SUMPRODUCT(($AZ48&gt;=INDEX('How This Works &amp; Sources'!$B$155:$J$162,0,7))*INDEX('How This Works &amp; Sources'!$B$155:$J$162,0,7+2)),IF('Your Pay &amp; Benefits'!$C$77="D",SUMPRODUCT(($AZ48&gt;=INDEX('How This Works &amp; Sources'!$B$167:$J$179,0,1))*INDEX('How This Works &amp; Sources'!$B$167:$J$179,0,1+2)),IF('Your Pay &amp; Benefits'!$C$77="E",SUMPRODUCT(($AZ48&gt;=INDEX('How This Works &amp; Sources'!$B$167:$J$179,0,4))*INDEX('How This Works &amp; Sources'!$B$167:$J$179,0,4+2)),SUMPRODUCT(($AZ48&gt;=INDEX('How This Works &amp; Sources'!$B$155:$J$162,0,1))*INDEX('How This Works &amp; Sources'!$B$155:$J$162,0,1+2)))))),IF($AN48="OR",IF(OR($AU48="Married",AND($AU48="Single",$AS48&gt;=3)),SUMPRODUCT((MAX(0,$AY48-MIN(($P48-'How This Works &amp; Sources'!$C$10*$D48)*'Your Pay &amp; Benefits'!$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Sources'!$B$211:$J$214,0,4))*INDEX('How This Works &amp; Sources'!$B$211:$J$214,0,4+2)),SUMPRODUCT((MAX(0,$AY48-MIN(($P48-'How This Works &amp; Sources'!$C$10*$D48)*'Your Pay &amp; Benefits'!$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Sources'!$B$211:$J$214,0,1))*INDEX('How This Works &amp; Sources'!$B$211:$J$214,0,1+2)))*IF(($P48-'How This Works &amp; Sources'!$C$10*$D48)*'Your Pay &amp; Benefits'!$C$8&gt;=IF(OR($AU48="Married",AND($AU48="Single",$AS48&gt;=3)),IF($AY48&lt;250000,8750,IF($AY48&lt;260000,7000,IF($AY48&lt;270000,5250,IF($AY48&lt;280000,3500,IF($AY48&lt;290000,1750,0))))),IF($AY48&lt;125000,8750,IF($AY48&lt;130000,7000,IF($AY48&lt;135000,5250,IF($AY48&lt;140000,3500,IF($AY48&lt;145000,1750,0)))))),1,1-IF('Your Pay &amp; Benefits'!$C$13,SUMPRODUCT(($AH48&gt;=INDEX('How This Works &amp; Sources'!$B$29:$J$36,0,IF('Your Pay &amp; Benefits'!$C$12="MFJ",1,IF('Your Pay &amp; Benefits'!$C$12="HoH",7,4))))*INDEX('How This Works &amp; Sources'!$B$29:$J$36,0,IF('Your Pay &amp; Benefits'!$C$12="MFJ",1,IF('Your Pay &amp; Benefits'!$C$12="HoH",7,4))+2)),SUMPRODUCT(($AH48&gt;=INDEX('How This Works &amp; Sources'!$B$19:$J$26,0,IF('Your Pay &amp; Benefits'!$C$12="MFJ",1,IF('Your Pay &amp; Benefits'!$C$12="HoH",7,4))))*INDEX('How This Works &amp; Sources'!$B$19:$J$26,0,IF('Your Pay &amp; Benefits'!$C$12="MFJ",1,IF('Your Pay &amp; Benefits'!$C$12="HoH",7,4))+2)))),IF($AN48="MI",IF($AY48&gt;5900*$AS48,0.0425,0),""))))</f>
      </c>
      <c r="CA48" s="24">
        <f>IF($B48="","",IF($AN48="AL",IF(OR($AU48="Married",$AU48="Head of household"),SUMPRODUCT(($AZ48&gt;=INDEX('How This Works &amp; Sources'!$B$82:$J$86,0,4))*INDEX('How This Works &amp; Sources'!$B$82:$J$86,0,4+2)),SUMPRODUCT(($AZ48&gt;=INDEX('How This Works &amp; Sources'!$B$82:$J$86,0,1))*INDEX('How This Works &amp; Sources'!$B$82:$J$86,0,1+2)))*(1-IF('Your Pay &amp; Benefits'!$C$13,SUMPRODUCT(($AH48&gt;=INDEX('How This Works &amp; Sources'!$B$29:$J$36,0,IF('Your Pay &amp; Benefits'!$C$12="MFJ",1,IF('Your Pay &amp; Benefits'!$C$12="HoH",7,4))))*INDEX('How This Works &amp; Sources'!$B$29:$J$36,0,IF('Your Pay &amp; Benefits'!$C$12="MFJ",1,IF('Your Pay &amp; Benefits'!$C$12="HoH",7,4))+2)),SUMPRODUCT(($AH48&gt;=INDEX('How This Works &amp; Sources'!$B$19:$J$26,0,IF('Your Pay &amp; Benefits'!$C$12="MFJ",1,IF('Your Pay &amp; Benefits'!$C$12="HoH",7,4))))*INDEX('How This Works &amp; Sources'!$B$19:$J$26,0,IF('Your Pay &amp; Benefits'!$C$12="MFJ",1,IF('Your Pay &amp; Benefits'!$C$12="HoH",7,4))+2)))),IF($AN48="KS",IF($AU48="Married",SUMPRODUCT(($AZ48&gt;=INDEX('How This Works &amp; Sources'!$B$103:$J$109,0,4))*INDEX('How This Works &amp; Sources'!$B$103:$J$109,0,4+2)),SUMPRODUCT(($AZ48&gt;=INDEX('How This Works &amp; Sources'!$B$103:$J$109,0,1))*INDEX('How This Works &amp; Sources'!$B$103:$J$109,0,1+2))),IF($AN48="MD",IF(OR($AU48="Married",$AU48="Head of household"),SUMPRODUCT(($AZ48&gt;=INDEX('How This Works &amp; Sources'!$B$114:$J$120,0,1))*INDEX('How This Works &amp; Sources'!$B$114:$J$120,0,1+2)),SUMPRODUCT(($AZ48&gt;=INDEX('How This Works &amp; Sources'!$B$103:$J$109,0,7))*INDEX('How This Works &amp; Sources'!$B$103:$J$109,0,7+2)))+'Your Pay &amp; Benefits'!$C$74,IF($AN48="MT",IF($AU48="Head of household",SUMPRODUCT(($AZ48&gt;=INDEX('How This Works &amp; Sources'!$B$137:$J$139,0,1))*INDEX('How This Works &amp; Sources'!$B$137:$J$139,0,1+2)),IF($AU48="Married",SUMPRODUCT(($AZ48&gt;=INDEX('How This Works &amp; Sources'!$B$125:$J$132,0,7))*INDEX('How This Works &amp; Sources'!$B$125:$J$132,0,7+2)),SUMPRODUCT(($AZ48&gt;=INDEX('How This Works &amp; Sources'!$B$125:$J$132,0,4))*INDEX('How This Works &amp; Sources'!$B$125:$J$132,0,4+2)))),IF($AN48="ND",IF($AU48="Head of household",SUMPRODUCT(($AZ48&gt;=INDEX('How This Works &amp; Sources'!$B$144:$J$150,0,1))*INDEX('How This Works &amp; Sources'!$B$144:$J$150,0,1+2)),IF($AU48="Married",SUMPRODUCT(($AZ48&gt;=INDEX('How This Works &amp; Sources'!$B$137:$J$139,0,7))*INDEX('How This Works &amp; Sources'!$B$137:$J$139,0,7+2)),SUMPRODUCT(($AZ48&gt;=INDEX('How This Works &amp; Sources'!$B$137:$J$139,0,4))*INDEX('How This Works &amp; Sources'!$B$137:$J$139,0,4+2)))),IF($AN48="NY",IF($AU48="Married",IF($AZ48&gt;=2155350,IF($AZ48&gt;25000000,0.117,IF($AZ48&gt;5000000,0.111,0.1045)),SUMPRODUCT(($AZ48&gt;=INDEX('How This Works &amp; Sources'!$B$184:$J$198,0,1))*INDEX('How This Works &amp; Sources'!$B$184:$J$198,0,1+2))),IF($AZ48&gt;=1077550,IF($AZ48&gt;25000000,0.117,IF($AZ48&gt;5000000,0.111,0.1045)),SUMPRODUCT(($AZ48&gt;=INDEX('How This Works &amp; Sources'!$B$167:$J$179,0,7))*INDEX('How This Works &amp; Sources'!$B$167:$J$179,0,7+2)))),"")))))))</f>
      </c>
      <c r="CB48" s="24">
        <f>IF($B48="","",IF($AN48="CA",SUMPRODUCT(($AJ48&gt;=INDEX('How This Works &amp; Sources'!$B$39:$J$48,0,IF($AU48="Married",4,IF($AU48="Head of household",7,1))))*INDEX('How This Works &amp; Sources'!$B$39:$J$48,0,IF($AU48="Married",4,IF($AU48="Head of household",7,1))+2)),IF($AN48="HI",IF($AU48="Married",SUMPRODUCT(($AZ48&gt;=INDEX('How This Works &amp; Sources'!$B$91:$J$98,0,7))*INDEX('How This Works &amp; Sources'!$B$91:$J$98,0,7+2)),SUMPRODUCT(($AZ48&gt;=INDEX('How This Works &amp; Sources'!$B$91:$J$98,0,4))*INDEX('How This Works &amp; Sources'!$B$91:$J$98,0,4+2))),IF($AN48="MN",IF($AU48="Married",SUMPRODUCT(($AZ48&gt;=INDEX('How This Works &amp; Sources'!$B$114:$J$120,0,7))*INDEX('How This Works &amp; Sources'!$B$114:$J$120,0,7+2)),SUMPRODUCT(($AZ48&gt;=INDEX('How This Works &amp; Sources'!$B$114:$J$120,0,4))*INDEX('How This Works &amp; Sources'!$B$114:$J$120,0,4+2))),IF($AN48="MO",SUMPRODUCT(($AZ48&gt;=INDEX('How This Works &amp; Sources'!$B$125:$J$132,0,1))*INDEX('How This Works &amp; Sources'!$B$125:$J$132,0,1+2)),IF($AN48="NE",MAX(IF($AU48="Married",SUMPRODUCT(($AZ48&gt;=INDEX('How This Works &amp; Sources'!$B$144:$J$150,0,7))*INDEX('How This Works &amp; Sources'!$B$144:$J$150,0,7+2)),SUMPRODUCT(($AZ48&gt;=INDEX('How This Works &amp; Sources'!$B$144:$J$150,0,4))*INDEX('How This Works &amp; Sources'!$B$144:$J$150,0,4+2))),0.015),IF($AN48="OH",IF($B48&gt;=DATE(2026,8,1),SUMPRODUCT(($AZ48&gt;=INDEX('How This Works &amp; Sources'!$B$203:$J$206,0,1))*INDEX('How This Works &amp; Sources'!$B$203:$J$206,0,1+2)),SUMPRODUCT(($AZ48&gt;=INDEX('How This Works &amp; Sources'!$B$184:$J$198,0,7))*INDEX('How This Works &amp; Sources'!$B$184:$J$198,0,7+2))),IF($AN48="OK",IF($AU48="Married",SUMPRODUCT(($AZ48&gt;=INDEX('How This Works &amp; Sources'!$B$203:$J$206,0,7))*INDEX('How This Works &amp; Sources'!$B$203:$J$206,0,7+2)),SUMPRODUCT(($AZ48&gt;=INDEX('How This Works &amp; Sources'!$B$203:$J$206,0,4))*INDEX('How This Works &amp; Sources'!$B$203:$J$206,0,4+2))),IF($AN48="RI",SUMPRODUCT(($AZ48&gt;=INDEX('How This Works &amp; Sources'!$B$211:$J$214,0,7))*INDEX('How This Works &amp; Sources'!$B$211:$J$214,0,7+2)),IF($AN48="SC",SUMPRODUCT(($AZ48&gt;=INDEX('How This Works &amp; Sources'!$B$219:$J$223,0,1))*INDEX('How This Works &amp; Sources'!$B$219:$J$223,0,1+2)),IF($AN48="VT",IF($AU48="Married",SUMPRODUCT(($AZ48&gt;=INDEX('How This Works &amp; Sources'!$B$228:$J$232,0,1))*INDEX('How This Works &amp; Sources'!$B$228:$J$232,0,1+2)),SUMPRODUCT(($AZ48&gt;=INDEX('How This Works &amp; Sources'!$B$219:$J$223,0,7))*INDEX('How This Works &amp; Sources'!$B$219:$J$223,0,7+2))),IF($AN48="WV",IF($AU48="Married",SUMPRODUCT(($AZ48&gt;=INDEX('How This Works &amp; Sources'!$B$237:$J$241,0,7))*INDEX('How This Works &amp; Sources'!$B$237:$J$241,0,7+2)),SUMPRODUCT(($AZ48&gt;=INDEX('How This Works &amp; Sources'!$B$228:$J$232,0,7))*INDEX('How This Works &amp; Sources'!$B$228:$J$232,0,7+2))),IF($AN48="IN",(0.0295+'Your Pay &amp; Benefits'!$C$76),"")))))))))))))</f>
      </c>
      <c r="CC48" s="24">
        <f>IF($B48="","",IF($AN48="AR",SUMPRODUCT(($AZ48&gt;=INDEX('How This Works &amp; Sources'!$B$82:$J$86,0,7))*INDEX('How This Works &amp; Sources'!$B$82:$J$86,0,7+2)),IF($AN48="DE",SUMPRODUCT(($AZ48&gt;=INDEX('How This Works &amp; Sources'!$B$91:$J$98,0,1))*INDEX('How This Works &amp; Sources'!$B$91:$J$98,0,1+2)),IF($AN48="VA",SUMPRODUCT(($AZ48&gt;=INDEX('How This Works &amp; Sources'!$B$219:$J$223,0,4))*INDEX('How This Works &amp; Sources'!$B$219:$J$223,0,4+2)),IF($AN48="WI",SUMPRODUCT(($AZ48&gt;=INDEX('How This Works &amp; Sources'!$B$228:$J$232,0,4))*INDEX('How This Works &amp; Sources'!$B$228:$J$232,0,4+2)),IF($AN48="AZ",'Your Pay &amp; Benefits'!$C$82,IF($AN48="CO",IF($AY48&gt;IF($AU48="Married",10000,5000),0.044,0),IF($AN48="IA",IF($AY48&gt;IF($AU48="Head of household",19500,IF($AU48="Married",26000,13000)),0.038,0),IF($AN48="ID",IF($AY48&gt;IF($AU48="Married",32000,16094),0.053,0),IF($AN48="IL",IF($AY48&gt;(2925*$AS48+1000*$AT48),0.0495,0),IF($AN48="KY",IF($AI48&gt;3360,0.035,0),IF($AN48="LA",0.0309,IF($AN48="MA",IF(MAX(0,$AY48-MIN(($BD47+$Q48+$R48+$S48),2000)-IF($AS48=0,0,IF($AS48=1,4400,1000*$AS48+3400)))&gt;=1107750,0.09,0.05),IF($AN48="MS",IF($AI48-IF($AU48="Head of household",3400,IF($AU48="Married",4600,2300))-'Your Pay &amp; Benefits'!$C$85&gt;10000,0.04,0),IF($AN48="PA",0.0307,"")))))))))))))))</f>
      </c>
      <c r="CD48" s="21">
        <f>IF(YEAR(IF('Your Pay &amp; Benefits'!$C$7="Weekly",'Your Pay &amp; Benefits'!$C$9+7*(($BE47+1)-1),IF('Your Pay &amp; Benefits'!$C$7="Biweekly",'Your Pay &amp; Benefits'!$C$9+14*(($BE47+1)-1),IF('Your Pay &amp; Benefits'!$C$7="Semimonthly",DATE(YEAR('Your Pay &amp; Benefits'!$C$9),MONTH('Your Pay &amp; Benefits'!$C$9)+INT((($BE47+1)-1)/2),MIN(DAY('Your Pay &amp; Benefits'!$C$9),DAY(EOMONTH(DATE(YEAR('Your Pay &amp; Benefits'!$C$9),MONTH('Your Pay &amp; Benefits'!$C$9)+INT((($BE47+1)-1)/2),1),0))))+IF(MOD(($BE47+1)-1,2)=1,15,0),EDATE('Your Pay &amp; Benefits'!$C$9,($BE47+1)-1)))))&lt;&gt;'Your Pay &amp; Benefits'!$C$10,"",IF('Your Pay &amp; Benefits'!$C$7="Weekly",'Your Pay &amp; Benefits'!$C$9+7*(($BE47+1)-1),IF('Your Pay &amp; Benefits'!$C$7="Biweekly",'Your Pay &amp; Benefits'!$C$9+14*(($BE47+1)-1),IF('Your Pay &amp; Benefits'!$C$7="Semimonthly",DATE(YEAR('Your Pay &amp; Benefits'!$C$9),MONTH('Your Pay &amp; Benefits'!$C$9)+INT((($BE47+1)-1)/2),MIN(DAY('Your Pay &amp; Benefits'!$C$9),DAY(EOMONTH(DATE(YEAR('Your Pay &amp; Benefits'!$C$9),MONTH('Your Pay &amp; Benefits'!$C$9)+INT((($BE47+1)-1)/2),1),0))))+IF(MOD(($BE47+1)-1,2)=1,15,0),EDATE('Your Pay &amp; Benefits'!$C$9,($BE47+1)-1)))))</f>
      </c>
      <c r="CE48" s="21">
        <f>IF(MIN(IF(AND('Your Pay &amp; Benefits'!$C$58&gt;MAX($B$6:$B47),'Your Pay &amp; Benefits'!$C$58&gt;=DATE('Your Pay &amp; Benefits'!$C$10,1,1),'Your Pay &amp; Benefits'!$C$58&lt;=DATE('Your Pay &amp; Benefits'!$C$10,12,31)),'Your Pay &amp; Benefits'!$C$58,999999),IF(AND('Your Pay &amp; Benefits'!$C$59&gt;MAX($B$6:$B47),'Your Pay &amp; Benefits'!$C$59&gt;=DATE('Your Pay &amp; Benefits'!$C$10,1,1),'Your Pay &amp; Benefits'!$C$59&lt;=DATE('Your Pay &amp; Benefits'!$C$10,12,31)),'Your Pay &amp; Benefits'!$C$59,999999),IF(AND('Your Pay &amp; Benefits'!$C$60&gt;MAX($B$6:$B47),'Your Pay &amp; Benefits'!$C$60&gt;=DATE('Your Pay &amp; Benefits'!$C$10,1,1),'Your Pay &amp; Benefits'!$C$60&lt;=DATE('Your Pay &amp; Benefits'!$C$10,12,31)),'Your Pay &amp; Benefits'!$C$60,999999),IF(AND('Your Pay &amp; Benefits'!$C$61&gt;MAX($B$6:$B47),'Your Pay &amp; Benefits'!$C$61&gt;=DATE('Your Pay &amp; Benefits'!$C$10,1,1),'Your Pay &amp; Benefits'!$C$61&lt;=DATE('Your Pay &amp; Benefits'!$C$10,12,31)),'Your Pay &amp; Benefits'!$C$61,999999),IF(AND('Your Pay &amp; Benefits'!$C$62&gt;MAX($B$6:$B47),'Your Pay &amp; Benefits'!$C$62&gt;=DATE('Your Pay &amp; Benefits'!$C$10,1,1),'Your Pay &amp; Benefits'!$C$62&lt;=DATE('Your Pay &amp; Benefits'!$C$10,12,31)),'Your Pay &amp; Benefits'!$C$62,999999),IF(AND('Your Pay &amp; Benefits'!$C$63&gt;MAX($B$6:$B47),'Your Pay &amp; Benefits'!$C$63&gt;=DATE('Your Pay &amp; Benefits'!$C$10,1,1),'Your Pay &amp; Benefits'!$C$63&lt;=DATE('Your Pay &amp; Benefits'!$C$10,12,31)),'Your Pay &amp; Benefits'!$C$63,999999),IF(AND('Your Pay &amp; Benefits'!$C$64&gt;MAX($B$6:$B47),'Your Pay &amp; Benefits'!$C$64&gt;=DATE('Your Pay &amp; Benefits'!$C$10,1,1),'Your Pay &amp; Benefits'!$C$64&lt;=DATE('Your Pay &amp; Benefits'!$C$10,12,31)),'Your Pay &amp; Benefits'!$C$64,999999),IF(AND('Your Pay &amp; Benefits'!$C$65&gt;MAX($B$6:$B47),'Your Pay &amp; Benefits'!$C$65&gt;=DATE('Your Pay &amp; Benefits'!$C$10,1,1),'Your Pay &amp; Benefits'!$C$65&lt;=DATE('Your Pay &amp; Benefits'!$C$10,12,31)),'Your Pay &amp; Benefits'!$C$65,999999),IF(AND('Your Pay &amp; Benefits'!$C$66&gt;MAX($B$6:$B47),'Your Pay &amp; Benefits'!$C$66&gt;=DATE('Your Pay &amp; Benefits'!$C$10,1,1),'Your Pay &amp; Benefits'!$C$66&lt;=DATE('Your Pay &amp; Benefits'!$C$10,12,31)),'Your Pay &amp; Benefits'!$C$66,999999),IF(AND('Your Pay &amp; Benefits'!$C$67&gt;MAX($B$6:$B47),'Your Pay &amp; Benefits'!$C$67&gt;=DATE('Your Pay &amp; Benefits'!$C$10,1,1),'Your Pay &amp; Benefits'!$C$67&lt;=DATE('Your Pay &amp; Benefits'!$C$10,12,31)),'Your Pay &amp; Benefits'!$C$67,999999))=999999,"",MIN(IF(AND('Your Pay &amp; Benefits'!$C$58&gt;MAX($B$6:$B47),'Your Pay &amp; Benefits'!$C$58&gt;=DATE('Your Pay &amp; Benefits'!$C$10,1,1),'Your Pay &amp; Benefits'!$C$58&lt;=DATE('Your Pay &amp; Benefits'!$C$10,12,31)),'Your Pay &amp; Benefits'!$C$58,999999),IF(AND('Your Pay &amp; Benefits'!$C$59&gt;MAX($B$6:$B47),'Your Pay &amp; Benefits'!$C$59&gt;=DATE('Your Pay &amp; Benefits'!$C$10,1,1),'Your Pay &amp; Benefits'!$C$59&lt;=DATE('Your Pay &amp; Benefits'!$C$10,12,31)),'Your Pay &amp; Benefits'!$C$59,999999),IF(AND('Your Pay &amp; Benefits'!$C$60&gt;MAX($B$6:$B47),'Your Pay &amp; Benefits'!$C$60&gt;=DATE('Your Pay &amp; Benefits'!$C$10,1,1),'Your Pay &amp; Benefits'!$C$60&lt;=DATE('Your Pay &amp; Benefits'!$C$10,12,31)),'Your Pay &amp; Benefits'!$C$60,999999),IF(AND('Your Pay &amp; Benefits'!$C$61&gt;MAX($B$6:$B47),'Your Pay &amp; Benefits'!$C$61&gt;=DATE('Your Pay &amp; Benefits'!$C$10,1,1),'Your Pay &amp; Benefits'!$C$61&lt;=DATE('Your Pay &amp; Benefits'!$C$10,12,31)),'Your Pay &amp; Benefits'!$C$61,999999),IF(AND('Your Pay &amp; Benefits'!$C$62&gt;MAX($B$6:$B47),'Your Pay &amp; Benefits'!$C$62&gt;=DATE('Your Pay &amp; Benefits'!$C$10,1,1),'Your Pay &amp; Benefits'!$C$62&lt;=DATE('Your Pay &amp; Benefits'!$C$10,12,31)),'Your Pay &amp; Benefits'!$C$62,999999),IF(AND('Your Pay &amp; Benefits'!$C$63&gt;MAX($B$6:$B47),'Your Pay &amp; Benefits'!$C$63&gt;=DATE('Your Pay &amp; Benefits'!$C$10,1,1),'Your Pay &amp; Benefits'!$C$63&lt;=DATE('Your Pay &amp; Benefits'!$C$10,12,31)),'Your Pay &amp; Benefits'!$C$63,999999),IF(AND('Your Pay &amp; Benefits'!$C$64&gt;MAX($B$6:$B47),'Your Pay &amp; Benefits'!$C$64&gt;=DATE('Your Pay &amp; Benefits'!$C$10,1,1),'Your Pay &amp; Benefits'!$C$64&lt;=DATE('Your Pay &amp; Benefits'!$C$10,12,31)),'Your Pay &amp; Benefits'!$C$64,999999),IF(AND('Your Pay &amp; Benefits'!$C$65&gt;MAX($B$6:$B47),'Your Pay &amp; Benefits'!$C$65&gt;=DATE('Your Pay &amp; Benefits'!$C$10,1,1),'Your Pay &amp; Benefits'!$C$65&lt;=DATE('Your Pay &amp; Benefits'!$C$10,12,31)),'Your Pay &amp; Benefits'!$C$65,999999),IF(AND('Your Pay &amp; Benefits'!$C$66&gt;MAX($B$6:$B47),'Your Pay &amp; Benefits'!$C$66&gt;=DATE('Your Pay &amp; Benefits'!$C$10,1,1),'Your Pay &amp; Benefits'!$C$66&lt;=DATE('Your Pay &amp; Benefits'!$C$10,12,31)),'Your Pay &amp; Benefits'!$C$66,999999),IF(AND('Your Pay &amp; Benefits'!$C$67&gt;MAX($B$6:$B47),'Your Pay &amp; Benefits'!$C$67&gt;=DATE('Your Pay &amp; Benefits'!$C$10,1,1),'Your Pay &amp; Benefits'!$C$67&lt;=DATE('Your Pay &amp; Benefits'!$C$10,12,31)),'Your Pay &amp; Benefits'!$C$67,999999)))</f>
      </c>
      <c r="CF48">
        <f>IF($B48="","",IF($D48=0,$Y48,""))</f>
      </c>
    </row>
    <row r="49">
      <c r="A49" t="n">
        <v>44</v>
      </c>
      <c r="B49" s="21">
        <f>IF(AND($CD49="",$CE49=""),"",IF($CE49="",$CD49,IF($CD49="",$CE49,MIN($CD49,$CE49))))</f>
      </c>
      <c r="C49" s="7">
        <f>IF($B49="","",IF($BF49=0,0,IF('Your Pay &amp; Benefits'!$C$4="Annual salary",ROUND($AK49/IF(AND('Your Pay &amp; Benefits'!$C$88="Actual paydays",MONTH('Your Pay &amp; Benefits'!$C$9)=1),MAX(1,MAX($BE$6:$BE$68)),'Your Pay &amp; Benefits'!$C$8),2),$AK49)))</f>
      </c>
      <c r="D49" s="7">
        <f>IF($B49="","",SUMIF('Your Pay &amp; Benefits'!$C$58:$C$67,$B49,'Your Pay &amp; Benefits'!$D$58:$D$67))</f>
      </c>
      <c r="E49" s="7">
        <f>IF($B49="","",ROUND(MAX(0,MIN(IF($AL49="Percent",$AM49*($C49+$D49),$AM49),MAX(0,'Your Pay &amp; Benefits'!$C$34-$AC48))),2))</f>
      </c>
      <c r="F49" s="7">
        <f>IF($B49="","",ROUND(MAX(0,MIN(IF('Your Pay &amp; Benefits'!$C$32="Percent",'Your Pay &amp; Benefits'!$D$32*($C49+$D49),'Your Pay &amp; Benefits'!$D$32),MAX(0,'Your Pay &amp; Benefits'!$C$34-$AC48-$E49))),2))</f>
      </c>
      <c r="G49" s="7">
        <f>IF($B49="","",IF($BF49=0,0,ROUND(MAX(0,MIN($BL49,'Your Pay &amp; Benefits'!$C$37-'Your Pay &amp; Benefits'!$C$54-$BI48)),2)))</f>
      </c>
      <c r="H49" s="7">
        <f>IF($B49="","",IF(OR($BF49=0,$BQ49=1),0,ROUND(MAX(0,MIN(IF($BS49=1,ROUND(MAX(0,MIN($BJ49,'How This Works &amp; Sources'!$C$13)-$BG48)/MAX(1,MAX($BE$6:$BE$68)-($BE48)),2),ROUND(MIN($BJ49,'How This Works &amp; Sources'!$C$13)/'Your Pay &amp; Benefits'!$C$8,2)),MIN($BJ49,'How This Works &amp; Sources'!$C$13)-$BG48)),2)))</f>
      </c>
      <c r="I49" s="7">
        <f>IF($B49="","",IF(OR($BF49=0,$BR49=1),0,ROUND(MAX(0,MIN(IF($BT49=1,ROUND(MAX(0,MIN($BK49,IF('Your Pay &amp; Benefits'!$C$12="MFJ",'How This Works &amp; Sources'!$C$14,'How This Works &amp; Sources'!$C$15))-$BH48)/MAX(1,MAX($BE$6:$BE$68)-($BE48)),2),ROUND(MIN($BK49,IF('Your Pay &amp; Benefits'!$C$12="MFJ",'How This Works &amp; Sources'!$C$14,'How This Works &amp; Sources'!$C$15))/'Your Pay &amp; Benefits'!$C$8,2)),MIN($BK49,IF('Your Pay &amp; Benefits'!$C$12="MFJ",'How This Works &amp; Sources'!$C$14,'How This Works &amp; Sources'!$C$15))-$BH48)),2)))</f>
      </c>
      <c r="J49" s="7">
        <f>IF($B49="","",IF($BF49=0,0,$BM49))</f>
      </c>
      <c r="K49" s="7">
        <f>IF($B49="","",IF($BF49=0,0,$BN49+$BO49))</f>
      </c>
      <c r="L49" s="7">
        <f>IF($B49="","",IF($BF49=0,0,'Your Pay &amp; Benefits'!$D$46))</f>
      </c>
      <c r="M49" s="7">
        <f>IF($B49="","",$C49+$D49+$L49-$E49-$G49-$H49-$I49-$J49-$K49)</f>
      </c>
      <c r="N49" s="7">
        <f>IF($B49="","",$C49+$D49+$L49-$G49-$H49-$I49-$J49-$K49)</f>
      </c>
      <c r="O49" s="7">
        <f>IF($B49="","",$C49+$D49+$L49-$E49-$H49-$I49-$J49-$K49-IF(OR($AN49="CA",$AN49="NJ"),0,$G49))</f>
      </c>
      <c r="P49" s="7">
        <f>IF($B49="","",IF('Your Pay &amp; Benefits'!$C$18,0,ROUND(MAX(0,IF('Your Pay &amp; Benefits'!$C$13,SUMPRODUCT(($AH49&gt;INDEX('How This Works &amp; Sources'!$B$29:$J$36,0,IF('Your Pay &amp; Benefits'!$C$12="MFJ",1,IF('Your Pay &amp; Benefits'!$C$12="HoH",7,4))))*($AH49-INDEX('How This Works &amp; Sources'!$B$29:$J$36,0,IF('Your Pay &amp; Benefits'!$C$12="MFJ",1,IF('Your Pay &amp; Benefits'!$C$12="HoH",7,4))))*INDEX('How This Works &amp; Sources'!$B$29:$J$36,0,IF('Your Pay &amp; Benefits'!$C$12="MFJ",1,IF('Your Pay &amp; Benefits'!$C$12="HoH",7,4))+2)),SUMPRODUCT(($AH49&gt;INDEX('How This Works &amp; Sources'!$B$19:$J$26,0,IF('Your Pay &amp; Benefits'!$C$12="MFJ",1,IF('Your Pay &amp; Benefits'!$C$12="HoH",7,4))))*($AH49-INDEX('How This Works &amp; Sources'!$B$19:$J$26,0,IF('Your Pay &amp; Benefits'!$C$12="MFJ",1,IF('Your Pay &amp; Benefits'!$C$12="HoH",7,4))))*INDEX('How This Works &amp; Sources'!$B$19:$J$26,0,IF('Your Pay &amp; Benefits'!$C$12="MFJ",1,IF('Your Pay &amp; Benefits'!$C$12="HoH",7,4))+2)))/'Your Pay &amp; Benefits'!$C$8-$AO49/'Your Pay &amp; Benefits'!$C$8)+$AR49+IF('Your Pay &amp; Benefits'!$C$89="Aggregate",MAX(0,IF('Your Pay &amp; Benefits'!$C$13,SUMPRODUCT((($AH49+$D49)&gt;INDEX('How This Works &amp; Sources'!$B$29:$J$36,0,IF('Your Pay &amp; Benefits'!$C$12="MFJ",1,IF('Your Pay &amp; Benefits'!$C$12="HoH",7,4))))*(($AH49+$D49)-INDEX('How This Works &amp; Sources'!$B$29:$J$36,0,IF('Your Pay &amp; Benefits'!$C$12="MFJ",1,IF('Your Pay &amp; Benefits'!$C$12="HoH",7,4))))*INDEX('How This Works &amp; Sources'!$B$29:$J$36,0,IF('Your Pay &amp; Benefits'!$C$12="MFJ",1,IF('Your Pay &amp; Benefits'!$C$12="HoH",7,4))+2)),SUMPRODUCT((($AH49+$D49)&gt;INDEX('How This Works &amp; Sources'!$B$19:$J$26,0,IF('Your Pay &amp; Benefits'!$C$12="MFJ",1,IF('Your Pay &amp; Benefits'!$C$12="HoH",7,4))))*(($AH49+$D49)-INDEX('How This Works &amp; Sources'!$B$19:$J$26,0,IF('Your Pay &amp; Benefits'!$C$12="MFJ",1,IF('Your Pay &amp; Benefits'!$C$12="HoH",7,4))))*INDEX('How This Works &amp; Sources'!$B$19:$J$26,0,IF('Your Pay &amp; Benefits'!$C$12="MFJ",1,IF('Your Pay &amp; Benefits'!$C$12="HoH",7,4))+2)))-IF('Your Pay &amp; Benefits'!$C$13,SUMPRODUCT(($AH49&gt;INDEX('How This Works &amp; Sources'!$B$29:$J$36,0,IF('Your Pay &amp; Benefits'!$C$12="MFJ",1,IF('Your Pay &amp; Benefits'!$C$12="HoH",7,4))))*($AH49-INDEX('How This Works &amp; Sources'!$B$29:$J$36,0,IF('Your Pay &amp; Benefits'!$C$12="MFJ",1,IF('Your Pay &amp; Benefits'!$C$12="HoH",7,4))))*INDEX('How This Works &amp; Sources'!$B$29:$J$36,0,IF('Your Pay &amp; Benefits'!$C$12="MFJ",1,IF('Your Pay &amp; Benefits'!$C$12="HoH",7,4))+2)),SUMPRODUCT(($AH49&gt;INDEX('How This Works &amp; Sources'!$B$19:$J$26,0,IF('Your Pay &amp; Benefits'!$C$12="MFJ",1,IF('Your Pay &amp; Benefits'!$C$12="HoH",7,4))))*($AH49-INDEX('How This Works &amp; Sources'!$B$19:$J$26,0,IF('Your Pay &amp; Benefits'!$C$12="MFJ",1,IF('Your Pay &amp; Benefits'!$C$12="HoH",7,4))))*INDEX('How This Works &amp; Sources'!$B$19:$J$26,0,IF('Your Pay &amp; Benefits'!$C$12="MFJ",1,IF('Your Pay &amp; Benefits'!$C$12="HoH",7,4))+2)))),'How This Works &amp; Sources'!$C$10*$D49),2)))</f>
      </c>
      <c r="Q49" s="7">
        <f>IF($B49="","",ROUND('How This Works &amp; Sources'!$C$4*MIN($N49,MAX(0,'How This Works &amp; Sources'!$C$3-($AX49+$AB48-$AW49))),2))</f>
      </c>
      <c r="R49" s="7">
        <f>IF($B49="","",ROUND('How This Works &amp; Sources'!$C$5*$N49,2))</f>
      </c>
      <c r="S49" s="7">
        <f>IF($B49="","",ROUND('How This Works &amp; Sources'!$C$6*MAX(0,MIN($N49,$AG48+$N49-'How This Works &amp; Sources'!$C$7)),2))</f>
      </c>
      <c r="T49" s="7">
        <f>IF($B49="","",IF('Your Pay &amp; Benefits'!$C$26,0,IF($AN49="CA",ROUND(IF($AI49&lt;=IF(($AS49+$AT49)&gt;=2,VLOOKUP($AN49,StateTables!$A$6:$AB$56,10,FALSE),VLOOKUP($AN49,StateTables!$A$6:$AB$56,9,FALSE)),0,MAX(0,SUMPRODUCT(($AJ49&gt;INDEX('How This Works &amp; Sources'!$B$39:$J$48,0,IF($AU49="Married",4,IF($AU49="Head of household",7,1))))*($AJ49-INDEX('How This Works &amp; Sources'!$B$39:$J$48,0,IF($AU49="Married",4,IF($AU49="Head of household",7,1))))*INDEX('How This Works &amp; Sources'!$B$39:$J$48,0,IF($AU49="Married",4,IF($AU49="Head of household",7,1))+2))-VLOOKUP($AN49,StateTables!$A$6:$AB$56,11,FALSE)*$AS49)/'Your Pay &amp; Benefits'!$C$8)+'Your Pay &amp; Benefits'!$C$25+VLOOKUP($AN49,StateTables!$A$6:$AB$56,13,FALSE)*$D49,2),IF(VLOOKUP($AN49,StateTables!$A$6:$AB$56,4,FALSE)="None",0,IF(ISNUMBER(SEARCH("MANUAL",VLOOKUP($AN49,StateTables!$A$6:$AB$56,5,FALSE))),'Your Pay &amp; Benefits'!$C$28,ROUND(MAX(0,$BA49+$BB49)/'Your Pay &amp; Benefits'!$C$8+'Your Pay &amp; Benefits'!$C$25+$BC49,2))))))</f>
      </c>
      <c r="U49" s="7">
        <f>IF($B49="","",IF(VLOOKUP($AN49,StateTables!$A$6:$AB$56,24,FALSE)="flatq",IF(OR(MONTH($B49)=1,MONTH($B49)=4,MONTH($B49)=7,MONTH($B49)=10),VLOOKUP($AN49,StateTables!$A$6:$AB$56,25,FALSE),0),IF(VLOOKUP($AN49,StateTables!$A$6:$AB$56,24,FALSE)="dbl",MIN(ROUND(0.005*$N49,2),ROUND(0.6*52/'Your Pay &amp; Benefits'!$C$8,2)),IF(OR(VLOOKUP($AN49,StateTables!$A$6:$AB$56,15,FALSE)="",VLOOKUP($AN49,StateTables!$A$6:$AB$56,15,FALSE)=0),0,ROUND(VLOOKUP($AN49,StateTables!$A$6:$AB$56,15,FALSE)*IF(OR(VLOOKUP($AN49,StateTables!$A$6:$AB$56,16,FALSE)="",VLOOKUP($AN49,StateTables!$A$6:$AB$56,16,FALSE)=0),$N49,MIN($N49,MAX(0,VLOOKUP($AN49,StateTables!$A$6:$AB$56,16,FALSE)-($AX49+$AB48-$AW49)))),2))))+IF(VLOOKUP($AN49,StateTables!$A$6:$AB$56,27,FALSE)="flatq",IF(OR(MONTH($B49)=1,MONTH($B49)=4,MONTH($B49)=7,MONTH($B49)=10),VLOOKUP($AN49,StateTables!$A$6:$AB$56,28,FALSE),0),IF(VLOOKUP($AN49,StateTables!$A$6:$AB$56,27,FALSE)="dbl",MIN(ROUND(0.005*$N49,2),ROUND(0.6*52/'Your Pay &amp; Benefits'!$C$8,2)),IF(OR(VLOOKUP($AN49,StateTables!$A$6:$AB$56,18,FALSE)="",VLOOKUP($AN49,StateTables!$A$6:$AB$56,18,FALSE)=0),0,ROUND(VLOOKUP($AN49,StateTables!$A$6:$AB$56,18,FALSE)*IF(OR(VLOOKUP($AN49,StateTables!$A$6:$AB$56,19,FALSE)="",VLOOKUP($AN49,StateTables!$A$6:$AB$56,19,FALSE)=0),$N49,MIN($N49,MAX(0,VLOOKUP($AN49,StateTables!$A$6:$AB$56,19,FALSE)-($AX49+$AB48-$AW49)))),2)))))</f>
      </c>
      <c r="V49" s="7">
        <f>IF($B49="","",IF($AN49="NY",IF('Your Pay &amp; Benefits'!$C$78,ROUND(SUMPRODUCT((MAX(0,($O49-$D49)*'Your Pay &amp; Benefits'!$C$8-(IF($AU49="Married",5500,5000)+1000*$AS49))&gt;INDEX('How This Works &amp; Sources'!$B$184:$J$198,0,4))*(MAX(0,($O49-$D49)*'Your Pay &amp; Benefits'!$C$8-(IF($AU49="Married",5500,5000)+1000*$AS49))-INDEX('How This Works &amp; Sources'!$B$184:$J$198,0,4))*INDEX('How This Works &amp; Sources'!$B$184:$J$198,0,4+2))/'Your Pay &amp; Benefits'!$C$8+0.0425*$D49,2),0)+IF('Your Pay &amp; Benefits'!$C$79="Resident",ROUND(0.1675*$T49,2),IF('Your Pay &amp; Benefits'!$C$79="Nonresident",ROUND(0.005*MAX(0,($O49-$D49)-(IF($AU49="Married",7950,7400)+1000*$AS49)/'Your Pay &amp; Benefits'!$C$8),2),0)),IF($AN49="PA",IF('Your Pay &amp; Benefits'!$C$80="None",'Your Pay &amp; Benefits'!$C$27+ROUND('Your Pay &amp; Benefits'!$C$81*($C49+$D49),2),ROUND(IF('Your Pay &amp; Benefits'!$C$80="Resident",IF($B49&lt;DATE(2026,7,1),0.0374,0.03735),IF($B49&lt;DATE(2026,7,1),0.0343,0.03425))*($C49+$D49),2)),IF($BF49=0,ROUND('Your Pay &amp; Benefits'!$C$81*($C49+$D49),2),'Your Pay &amp; Benefits'!$C$27+ROUND('Your Pay &amp; Benefits'!$C$81*($C49+$D49),2)))))</f>
      </c>
      <c r="W49" s="7">
        <f>IF($B49="","",IF($BF49=0,0,$BP49))</f>
      </c>
      <c r="X49" s="7">
        <f>IF($B49="","",SUM($E49:$K49)+$P49+$Q49+$R49+$S49+$T49+$U49+$V49+$W49)</f>
      </c>
      <c r="Y49" s="22">
        <f>IF($B49="","",$C49+$D49-$X49)</f>
      </c>
      <c r="Z49" s="7">
        <f>IF($B49="","",$Z48+$C49+$D49)</f>
      </c>
      <c r="AA49" s="7">
        <f>IF($B49="","",$AA48+$Y49)</f>
      </c>
      <c r="AB49" s="7">
        <f>IF($B49="","",$AB48+MIN($N49,MAX(0,'How This Works &amp; Sources'!$C$3-($AX49+$AB48-$AW49))))</f>
      </c>
      <c r="AC49" s="7">
        <f>IF($B49="","",$AC48+$E49+$F49)</f>
      </c>
      <c r="AD49" s="3">
        <f>IF($B49="","",IF(AND($AB48&lt;'How This Works &amp; Sources'!$C$3,$AB49&gt;='How This Works &amp; Sources'!$C$3),"★ Social Security maxed on this check — from the next check your net rises by about $"&amp;TEXT(ROUND('How This Works &amp; Sources'!$C$4*$N49,2),"#,##0.00")&amp;". ","")&amp;IF(AND($AC48&lt;'Your Pay &amp; Benefits'!$C$34,$AC49&gt;='Your Pay &amp; Benefits'!$C$34),"★ 401(k) reaches the $"&amp;TEXT('Your Pay &amp; Benefits'!$C$34,"#,##0")&amp;" cap on this check — deferrals stop and net pay rises. ","")&amp;IF(AND($AG48&lt;'How This Works &amp; Sources'!$C$7,$AG49&gt;='How This Works &amp; Sources'!$C$7),"★ Wages pass $200,000 — the 0.9% Additional Medicare Tax starts here. ","")&amp;IF(AND($BJ49&gt;0,$H49&gt;0,$BG48&lt;MIN($BJ49,'How This Works &amp; Sources'!$C$13),$BG48+$H49&gt;=MIN($BJ49,'How This Works &amp; Sources'!$C$13)),"★ Health FSA election is now fully deferred for the year. ",""))</f>
      </c>
      <c r="AE49" s="41" t="n"/>
      <c r="AF49" s="7">
        <f>IF(OR($B49="",$AE49=""),"",$AE49-$Y49)</f>
      </c>
      <c r="AG49" s="7">
        <f>IF($B49="","",$AG48+$N49)</f>
      </c>
      <c r="AH49" s="7">
        <f>IF($B49="","",MAX(0,($M49-$D49)*'Your Pay &amp; Benefits'!$C$8+$AP49-$AQ49-IF('Your Pay &amp; Benefits'!$C$13,0,IF('Your Pay &amp; Benefits'!$C$12="MFJ",'How This Works &amp; Sources'!$C$8,'How This Works &amp; Sources'!$C$9))))</f>
      </c>
      <c r="AI49" s="7">
        <f>IF($B49="","",$O49*'Your Pay &amp; Benefits'!$C$8)</f>
      </c>
      <c r="AJ49" s="7">
        <f>IF($B49="","",MAX(0,$AI49-VLOOKUP($AN49,StateTables!$A$6:$AB$56,12,FALSE)*$AT49-IF(($AS49+$AT49)&gt;=2,VLOOKUP($AN49,StateTables!$A$6:$AB$56,8,FALSE),VLOOKUP($AN49,StateTables!$A$6:$AB$56,7,FALSE))))</f>
      </c>
      <c r="AK49" s="7">
        <f>IF($B49="","",IFERROR(LOOKUP(2,1/(('Changes &amp; Events'!$C$6:$C$17="Salary change")*('Changes &amp; Events'!$B$6:$B$17&lt;=$B49)*('Changes &amp; Events'!$B$6:$B$17&lt;&gt;"")),'Changes &amp; Events'!$D$6:$D$17),IF('Your Pay &amp; Benefits'!$C$4="Annual salary",'Your Pay &amp; Benefits'!$C$5,'Your Pay &amp; Benefits'!$C$6)))</f>
      </c>
      <c r="AL49">
        <f>IF($B49="","",IFERROR(LOOKUP(2,1/(('Changes &amp; Events'!$C$6:$C$17="401(k) change")*('Changes &amp; Events'!$B$6:$B$17&lt;=$B49)*('Changes &amp; Events'!$B$6:$B$17&lt;&gt;"")),'Changes &amp; Events'!$D$6:$D$17),'Your Pay &amp; Benefits'!$C$30))</f>
      </c>
      <c r="AM49" s="7">
        <f>IF($B49="","",IFERROR(LOOKUP(2,1/(('Changes &amp; Events'!$C$6:$C$17="401(k) change")*('Changes &amp; Events'!$B$6:$B$17&lt;=$B49)*('Changes &amp; Events'!$B$6:$B$17&lt;&gt;"")),'Changes &amp; Events'!$E$6:$E$17),'Your Pay &amp; Benefits'!$D$31))</f>
      </c>
      <c r="AN49">
        <f>IF($B49="","",IFERROR(LOOKUP(2,1/(('Changes &amp; Events'!$C$6:$C$17="State move")*('Changes &amp; Events'!$B$6:$B$17&lt;=$B49)*('Changes &amp; Events'!$B$6:$B$17&lt;&gt;"")),'Changes &amp; Events'!$D$6:$D$17),'Your Pay &amp; Benefits'!$C$21))</f>
      </c>
      <c r="AO49" s="7">
        <f>IF($B49="","",IFERROR(LOOKUP(2,1/(('Changes &amp; Events'!$C$6:$C$17="W-4 change")*('Changes &amp; Events'!$B$6:$B$17&lt;=$B49)*('Changes &amp; Events'!$B$6:$B$17&lt;&gt;"")),'Changes &amp; Events'!$D$6:$D$17),'Your Pay &amp; Benefits'!$C$14))</f>
      </c>
      <c r="AP49" s="7">
        <f>IF($B49="","",IFERROR(LOOKUP(2,1/(('Changes &amp; Events'!$C$6:$C$17="W-4 change")*('Changes &amp; Events'!$B$6:$B$17&lt;=$B49)*('Changes &amp; Events'!$B$6:$B$17&lt;&gt;"")),'Changes &amp; Events'!$E$6:$E$17),'Your Pay &amp; Benefits'!$C$15))</f>
      </c>
      <c r="AQ49" s="7">
        <f>IF($B49="","",IFERROR(LOOKUP(2,1/(('Changes &amp; Events'!$C$6:$C$17="W-4 change")*('Changes &amp; Events'!$B$6:$B$17&lt;=$B49)*('Changes &amp; Events'!$B$6:$B$17&lt;&gt;"")),'Changes &amp; Events'!$F$6:$F$17),'Your Pay &amp; Benefits'!$C$16))</f>
      </c>
      <c r="AR49" s="7">
        <f>IF($B49="","",IFERROR(LOOKUP(2,1/(('Changes &amp; Events'!$C$6:$C$17="W-4 change")*('Changes &amp; Events'!$B$6:$B$17&lt;=$B49)*('Changes &amp; Events'!$B$6:$B$17&lt;&gt;"")),'Changes &amp; Events'!$G$6:$G$17),'Your Pay &amp; Benefits'!$C$17))</f>
      </c>
      <c r="AS49" s="6">
        <f>IF($B49="","",IFERROR(LOOKUP(2,1/((('Changes &amp; Events'!$C$6:$C$17="State move")+('Changes &amp; Events'!$C$6:$C$17="State cert change"))*('Changes &amp; Events'!$B$6:$B$17&lt;=$B49)*('Changes &amp; Events'!$B$6:$B$17&lt;&gt;"")),'Changes &amp; Events'!$F$6:$F$17),'Your Pay &amp; Benefits'!$C$23))</f>
      </c>
      <c r="AT49" s="6">
        <f>IF($B49="","",IFERROR(LOOKUP(2,1/((('Changes &amp; Events'!$C$6:$C$17="State move")+('Changes &amp; Events'!$C$6:$C$17="State cert change"))*('Changes &amp; Events'!$B$6:$B$17&lt;=$B49)*('Changes &amp; Events'!$B$6:$B$17&lt;&gt;"")),'Changes &amp; Events'!$G$6:$G$17),'Your Pay &amp; Benefits'!$C$24))</f>
      </c>
      <c r="AU49">
        <f>IF($B49="","",IFERROR(LOOKUP(2,1/(('Changes &amp; Events'!$C$6:$C$17="State move")*('Changes &amp; Events'!$B$6:$B$17&lt;=$B49)*('Changes &amp; Events'!$B$6:$B$17&lt;&gt;"")),'Changes &amp; Events'!$E$6:$E$17),'Your Pay &amp; Benefits'!$C$22))</f>
      </c>
      <c r="AV49" s="6">
        <f>IF($B49="","",1+COUNTIFS('Changes &amp; Events'!$C$6:$C$17,"Employer change",'Changes &amp; Events'!$B$6:$B$17,"&lt;="&amp;$B49,'Changes &amp; Events'!$B$6:$B$17,"&lt;&gt;"))</f>
      </c>
      <c r="AW49" s="7">
        <f>IF($B49="","",IF($AV49=1,'Your Pay &amp; Benefits'!$C$49,IF(IFERROR(MATCH(IFERROR(LOOKUP(2,1/(('Changes &amp; Events'!$C$6:$C$17="Employer change")*('Changes &amp; Events'!$B$6:$B$17&lt;=$B49)*('Changes &amp; Events'!$B$6:$B$17&lt;&gt;"")),'Changes &amp; Events'!$B$6:$B$17),""),$B$6:$B$68,1),1)&lt;=1,'Your Pay &amp; Benefits'!$C$49,INDEX($AB$6:$AB$68,MATCH(IFERROR(LOOKUP(2,1/(('Changes &amp; Events'!$C$6:$C$17="Employer change")*('Changes &amp; Events'!$B$6:$B$17&lt;=$B49)*('Changes &amp; Events'!$B$6:$B$17&lt;&gt;"")),'Changes &amp; Events'!$B$6:$B$17),""),$B$6:$B$68,1)-1))))</f>
      </c>
      <c r="AX49" s="7">
        <f>IF($B49="","",IF($AV49=1,'Your Pay &amp; Benefits'!$C$49,IFERROR(LOOKUP(2,1/(('Changes &amp; Events'!$C$6:$C$17="Employer change")*('Changes &amp; Events'!$B$6:$B$17&lt;=$B49)*('Changes &amp; Events'!$B$6:$B$17&lt;&gt;"")),'Changes &amp; Events'!$D$6:$D$17),0)))</f>
      </c>
      <c r="AY49" s="7">
        <f>IF($B49="","",($O49-$D49)*'Your Pay &amp; Benefits'!$C$8)</f>
      </c>
      <c r="AZ49" s="7">
        <f>IF($B49="","",IF($AN49="AL",MAX(0,$AY49-IF($AU49="Married",IF($AY49&lt;=25999,8500,MAX(5000,8500-175*CEILING(($AY49-25999)/500,1))),IF($AU49="Head of household",IF($AY49&lt;=25999,5200,MAX(2500,5200-135*CEILING(($AY49-25999)/500,1))),IF($AY49&lt;=25999,3000,MAX(2500,3000-25*CEILING(($AY49-25999)/500,1)))))-($P49-'How This Works &amp; Sources'!$C$10*$D49)*'Your Pay &amp; Benefits'!$C$8-IF(OR($AU49="Married",$AU49="Head of household"),3000,1500)-$AT49*IF($AY49&lt;=50000,1000,IF($AY49&lt;=100000,500,300))),IF($AN49="AR",IF(MAX(0,$AY49-2470)&lt;97701,INT(MAX(0,$AY49-2470)/100)*100+50,MAX(0,$AY49-2470)),IF($AN49="DE",MAX(0,$AI49-3250),IF($AN49="HI",MAX(0,$AI49-1144*$AS49-4350),IF($AN49="KS",MAX(0,$AI49-(9160*IF($AU49="Married",2,1)+2320*$AT49+IF($AU49="Head of household",2320,0))),IF($AN49="MD",MAX(0,$AI49-3400-3200*$AS49),IF($AN49="MN",MAX(0,$AY49-5300*$AS49),IF($AN49="MO",MAX(0,$AI49-IF($AU49="Head of household",24150,IF($AU49="Married",IF('Your Pay &amp; Benefits'!$C$83,16100,32200),16100))),IF($AN49="MT",$AY49,IF($AN49="ND",($C49+$L49)*'Your Pay &amp; Benefits'!$C$8,IF($AN49="NE",MAX(0,$AY49-2440*$AS49),IF($AN49="NJ",MAX(0,$AY49-1000*$AS49),IF($AN49="NY",MAX(0,$AY49-(IF($AU49="Married",7950,7400)+1000*$AS49)),IF($AN49="OH",MAX(0,$AY49-650*$AS49),IF($AN49="OK",MAX(0,$AY49-1000*$AS49),IF($AN49="RI",MAX(0,$AI49-1000*$AS49),IF($AN49="SC",MAX(0,$AI49-5000*$AS49-IF($AS49=0,0,MIN(0.1*$AI49,7500))),IF($AN49="VA",MAX(0,$AI49-IF($AU49="Married",17500,8750)-930*$AS49-800*$AT49),IF($AN49="VT",MAX(0,$AI49-5400*$AS49),IF($AN49="WI",MAX(0,$AI49-MAX(0,IF($AU49="Married",9461-0.2*MAX(0,$AI49-25727),6702-0.12*MAX(0,$AI49-17780)))-400*$AS49),IF($AN49="WV",MAX(0,$AI49-2000*$AS49),$AI49))))))))))))))))))))))</f>
      </c>
      <c r="BA49" s="7">
        <f>IF($B49="","",IF($BW49&lt;&gt;"",$BW49,IF($BX49&lt;&gt;"",$BX49,IF($BY49&lt;&gt;"",$BY49,0))))</f>
      </c>
      <c r="BB49" s="7">
        <f>IF($B49="","",IF($AN49="AR",-29*$AS49,IF($AN49="DE",-110*$AS49,IF($AN49="MD",$AZ49*'Your Pay &amp; Benefits'!$C$74,IF($AN49="AZ",'Your Pay &amp; Benefits'!$C$82*($M49-$D49)*'Your Pay &amp; Benefits'!$C$8,IF($AN49="CO",0.044*MAX(0,$AY49-IF($AU49="Married",10000,5000)),IF($AN49="IA",MAX(0,0.038*MAX(0,$AY49-IF($AU49="Head of household",19500,IF($AU49="Married",26000,13000)))-40*$AS49),IF($AN49="ID",0.053*MAX(0,$AY49-IF($AU49="Married",32000,16094)),IF($AN49="IL",0.0495*MAX(0,$AY49-(2925*$AS49+1000*$AT49)),IF($AN49="IN",(0.0295+'Your Pay &amp; Benefits'!$C$76)*MAX(0,$AY49-(1000*$AS49+1500*$AT49+3000*'Your Pay &amp; Benefits'!$C$86)),IF($AN49="KY",0.035*MAX(0,$AI49-3360),IF($AN49="LA",IF('Your Pay &amp; Benefits'!$C$84="0",0.0309*$AI49,0.0309*MAX(0,$AI49-IF('Your Pay &amp; Benefits'!$C$84="2",25750,12875))),IF($AN49="MA",0.05*MIN(MAX(0,$AY49-MIN(($BD48+$Q49+$R49+$S49),2000)-IF($AS49=0,0,IF($AS49=1,4400,1000*$AS49+3400))),1107750)+0.09*MAX(0,MAX(0,$AY49-MIN(($BD48+$Q49+$R49+$S49),2000)-IF($AS49=0,0,IF($AS49=1,4400,1000*$AS49+3400)))-1107750)-IF($AU49="Head of household",120,0)-110*'Your Pay &amp; Benefits'!$C$75,IF($AN49="MI",0.0425*MAX(0,$AY49-5900*$AS49),IF($AN49="MS",0.04*MAX(0,$AI49-IF($AU49="Head of household",3400,IF($AU49="Married",4600,2300))-'Your Pay &amp; Benefits'!$C$85-10000),IF($AN49="OR",IF(OR($AU49="Married",AND($AU49="Single",$AS49&gt;=3)),SUMPRODUCT((MAX(0,$AY49-MIN(($P49-'How This Works &amp; Sources'!$C$10*$D49)*'Your Pay &amp; Benefits'!$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Sources'!$B$211:$J$214,0,4))*(MAX(0,$AY49-MIN(($P49-'How This Works &amp; Sources'!$C$10*$D49)*'Your Pay &amp; Benefits'!$C$8,IF(OR($AU49="Married",AND($AU49="Single",$AS49&gt;=3)),IF($AY49&lt;250000,8750,IF($AY49&lt;260000,7000,IF($AY49&lt;270000,5250,IF($AY49&lt;280000,3500,IF($AY49&lt;290000,1750,0))))),IF($AY49&lt;125000,8750,IF($AY49&lt;130000,7000,IF($AY49&lt;135000,5250,IF($AY49&lt;140000,3500,IF($AY49&lt;145000,1750,0)))))))-IF(OR($AU49="Married",AND($AU49="Single",$AS49&gt;=3)),5820,2910))-INDEX('How This Works &amp; Sources'!$B$211:$J$214,0,4))*INDEX('How This Works &amp; Sources'!$B$211:$J$214,0,4+2)),SUMPRODUCT((MAX(0,$AY49-MIN(($P49-'How This Works &amp; Sources'!$C$10*$D49)*'Your Pay &amp; Benefits'!$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Sources'!$B$211:$J$214,0,1))*(MAX(0,$AY49-MIN(($P49-'How This Works &amp; Sources'!$C$10*$D49)*'Your Pay &amp; Benefits'!$C$8,IF(OR($AU49="Married",AND($AU49="Single",$AS49&gt;=3)),IF($AY49&lt;250000,8750,IF($AY49&lt;260000,7000,IF($AY49&lt;270000,5250,IF($AY49&lt;280000,3500,IF($AY49&lt;290000,1750,0))))),IF($AY49&lt;125000,8750,IF($AY49&lt;130000,7000,IF($AY49&lt;135000,5250,IF($AY49&lt;140000,3500,IF($AY49&lt;145000,1750,0)))))))-IF(OR($AU49="Married",AND($AU49="Single",$AS49&gt;=3)),5820,2910))-INDEX('How This Works &amp; Sources'!$B$211:$J$214,0,1))*INDEX('How This Works &amp; Sources'!$B$211:$J$214,0,1+2)))+263-263*IF(IF($AU49="Married",$AY49&gt;200000,$AY49&gt;100000),0,$AS49),IF($AN49="PA",0.0307*(($O49+$E49+$G49)*'Your Pay &amp; Benefits'!$C$8),IF($AN49="NY",IF($AU49="Married",IF($AZ49&gt;=2155350,0,IF($AZ49&gt;=1077550,0.48,IF($AZ49&gt;=373200,1.21,IF($AZ49&gt;=323200,0.21,IF($AZ49&gt;=211550,-0.19,IF($AZ49&gt;=157650,-2.8,IF($AZ49&gt;=107650,-0.8,IF($AZ49&gt;=96800,0.05,IF($AZ49&gt;=80650,-0.1,IF($AZ49&gt;=13900,0.4,IF($AZ49&gt;=11700,-0.3,IF($AZ49&gt;=8500,0.5,0)))))))))))),IF($AZ49&gt;=1077550,0,IF($AZ49&gt;=265400,4.29,IF($AZ49&gt;=215400,2.29,IF($AZ49&gt;=157650,2.29,IF($AZ49&gt;=107650,0.29,IF($AZ49&gt;=96800,0.05,IF($AZ49&gt;=80650,-0.1,IF($AZ49&gt;=13900,0.4,IF($AZ49&gt;=11700,-0.3,IF($AZ49&gt;=8500,0.5,0))))))))))),0))))))))))))))))))</f>
      </c>
      <c r="BC49" s="7">
        <f>IF($B49="","",IF($AN49="AL",0.05*$D49,IF($AN49="AR",0.039*$D49,IF($AN49="ID",0.053*$D49,IF($AN49="IN",(0.0295+'Your Pay &amp; Benefits'!$C$76)*$D49,IF($AN49="KS",0.05*$D49,IF($AN49="MA",0.09*MIN($D49,MAX(0,MAX(0,$AY49-MIN(($BD48+$Q49+$R49+$S49),2000)-IF($AS49=0,0,IF($AS49=1,4400,1000*$AS49+3400)))+$D49-1107750))+0.05*($D49-MIN($D49,MAX(0,MAX(0,$AY49-MIN(($BD48+$Q49+$R49+$S49),2000)-IF($AS49=0,0,IF($AS49=1,4400,1000*$AS49+3400)))+$D49-1107750))),IF($AN49="MD",(0.065+'Your Pay &amp; Benefits'!$C$74)*$D49,IF($AN49="MI",0.0425*$D49,IF($AN49="MN",0.0625*$D49,IF($AN49="MO",0.047*$D49,IF($AN49="MT",0.05*$D49,IF($AN49="ND",0.015*$D49,IF($AN49="NE",0.035*$D49,IF($AN49="NJ",IF('Your Pay &amp; Benefits'!$C$77="B",SUMPRODUCT(($D49*'Your Pay &amp; Benefits'!$C$8&gt;INDEX('How This Works &amp; Sources'!$B$155:$J$162,0,4))*($D49*'Your Pay &amp; Benefits'!$C$8-INDEX('How This Works &amp; Sources'!$B$155:$J$162,0,4))*INDEX('How This Works &amp; Sources'!$B$155:$J$162,0,4+2)),IF('Your Pay &amp; Benefits'!$C$77="C",SUMPRODUCT(($D49*'Your Pay &amp; Benefits'!$C$8&gt;INDEX('How This Works &amp; Sources'!$B$155:$J$162,0,7))*($D49*'Your Pay &amp; Benefits'!$C$8-INDEX('How This Works &amp; Sources'!$B$155:$J$162,0,7))*INDEX('How This Works &amp; Sources'!$B$155:$J$162,0,7+2)),IF('Your Pay &amp; Benefits'!$C$77="D",SUMPRODUCT(($D49*'Your Pay &amp; Benefits'!$C$8&gt;INDEX('How This Works &amp; Sources'!$B$167:$J$179,0,1))*($D49*'Your Pay &amp; Benefits'!$C$8-INDEX('How This Works &amp; Sources'!$B$167:$J$179,0,1))*INDEX('How This Works &amp; Sources'!$B$167:$J$179,0,1+2)),IF('Your Pay &amp; Benefits'!$C$77="E",SUMPRODUCT(($D49*'Your Pay &amp; Benefits'!$C$8&gt;INDEX('How This Works &amp; Sources'!$B$167:$J$179,0,4))*($D49*'Your Pay &amp; Benefits'!$C$8-INDEX('How This Works &amp; Sources'!$B$167:$J$179,0,4))*INDEX('How This Works &amp; Sources'!$B$167:$J$179,0,4+2)),SUMPRODUCT(($D49*'Your Pay &amp; Benefits'!$C$8&gt;INDEX('How This Works &amp; Sources'!$B$155:$J$162,0,1))*($D49*'Your Pay &amp; Benefits'!$C$8-INDEX('How This Works &amp; Sources'!$B$155:$J$162,0,1))*INDEX('How This Works &amp; Sources'!$B$155:$J$162,0,1+2))))))/'Your Pay &amp; Benefits'!$C$8,IF($AN49="NY",0.117*$D49,IF($AN49="OH",0.0275*$D49,IF($AN49="OK",0.045*$D49,IF($AN49="OR",0.08*$D49,IF($AN49="WI",IF($AY49&lt;12760,0.0354,IF($AY49&lt;25520,0.0465,IF($AY49&lt;280950,0.053,0.0765)))*$D49,0))))))))))))))))))))</f>
      </c>
      <c r="BD49" s="7">
        <f>IF($B49="","",$BD48+$Q49+$R49+$S49)</f>
      </c>
      <c r="BE49" s="6">
        <f>IF($B49="",$BE48,$BE48+$BF49)</f>
      </c>
      <c r="BF49" s="6">
        <f>IF($B49="","",IF(AND(IF(YEAR(IF('Your Pay &amp; Benefits'!$C$7="Weekly",'Your Pay &amp; Benefits'!$C$9+7*(($BE48+1)-1),IF('Your Pay &amp; Benefits'!$C$7="Biweekly",'Your Pay &amp; Benefits'!$C$9+14*(($BE48+1)-1),IF('Your Pay &amp; Benefits'!$C$7="Semimonthly",DATE(YEAR('Your Pay &amp; Benefits'!$C$9),MONTH('Your Pay &amp; Benefits'!$C$9)+INT((($BE48+1)-1)/2),MIN(DAY('Your Pay &amp; Benefits'!$C$9),DAY(EOMONTH(DATE(YEAR('Your Pay &amp; Benefits'!$C$9),MONTH('Your Pay &amp; Benefits'!$C$9)+INT((($BE48+1)-1)/2),1),0))))+IF(MOD(($BE48+1)-1,2)=1,15,0),EDATE('Your Pay &amp; Benefits'!$C$9,($BE48+1)-1)))))&lt;&gt;'Your Pay &amp; Benefits'!$C$10,"",IF('Your Pay &amp; Benefits'!$C$7="Weekly",'Your Pay &amp; Benefits'!$C$9+7*(($BE48+1)-1),IF('Your Pay &amp; Benefits'!$C$7="Biweekly",'Your Pay &amp; Benefits'!$C$9+14*(($BE48+1)-1),IF('Your Pay &amp; Benefits'!$C$7="Semimonthly",DATE(YEAR('Your Pay &amp; Benefits'!$C$9),MONTH('Your Pay &amp; Benefits'!$C$9)+INT((($BE48+1)-1)/2),MIN(DAY('Your Pay &amp; Benefits'!$C$9),DAY(EOMONTH(DATE(YEAR('Your Pay &amp; Benefits'!$C$9),MONTH('Your Pay &amp; Benefits'!$C$9)+INT((($BE48+1)-1)/2),1),0))))+IF(MOD(($BE48+1)-1,2)=1,15,0),EDATE('Your Pay &amp; Benefits'!$C$9,($BE48+1)-1)))))&lt;&gt;"",$B49=IF(YEAR(IF('Your Pay &amp; Benefits'!$C$7="Weekly",'Your Pay &amp; Benefits'!$C$9+7*(($BE48+1)-1),IF('Your Pay &amp; Benefits'!$C$7="Biweekly",'Your Pay &amp; Benefits'!$C$9+14*(($BE48+1)-1),IF('Your Pay &amp; Benefits'!$C$7="Semimonthly",DATE(YEAR('Your Pay &amp; Benefits'!$C$9),MONTH('Your Pay &amp; Benefits'!$C$9)+INT((($BE48+1)-1)/2),MIN(DAY('Your Pay &amp; Benefits'!$C$9),DAY(EOMONTH(DATE(YEAR('Your Pay &amp; Benefits'!$C$9),MONTH('Your Pay &amp; Benefits'!$C$9)+INT((($BE48+1)-1)/2),1),0))))+IF(MOD(($BE48+1)-1,2)=1,15,0),EDATE('Your Pay &amp; Benefits'!$C$9,($BE48+1)-1)))))&lt;&gt;'Your Pay &amp; Benefits'!$C$10,"",IF('Your Pay &amp; Benefits'!$C$7="Weekly",'Your Pay &amp; Benefits'!$C$9+7*(($BE48+1)-1),IF('Your Pay &amp; Benefits'!$C$7="Biweekly",'Your Pay &amp; Benefits'!$C$9+14*(($BE48+1)-1),IF('Your Pay &amp; Benefits'!$C$7="Semimonthly",DATE(YEAR('Your Pay &amp; Benefits'!$C$9),MONTH('Your Pay &amp; Benefits'!$C$9)+INT((($BE48+1)-1)/2),MIN(DAY('Your Pay &amp; Benefits'!$C$9),DAY(EOMONTH(DATE(YEAR('Your Pay &amp; Benefits'!$C$9),MONTH('Your Pay &amp; Benefits'!$C$9)+INT((($BE48+1)-1)/2),1),0))))+IF(MOD(($BE48+1)-1,2)=1,15,0),EDATE('Your Pay &amp; Benefits'!$C$9,($BE48+1)-1)))))),1,0))</f>
      </c>
      <c r="BG49" s="7">
        <f>IF($B49="","",$BG48+$H49)</f>
      </c>
      <c r="BH49" s="7">
        <f>IF($B49="","",$BH48+$I49)</f>
      </c>
      <c r="BI49" s="7">
        <f>IF($B49="","",$BI48+$G49)</f>
      </c>
      <c r="BJ49" s="7">
        <f>IF($B49="","",IFERROR(LOOKUP(2,1/(((('Changes &amp; Events'!$C$6:$C$17="Deduction start"))*('Changes &amp; Events'!$D$6:$D$17="Health FSA"))*('Changes &amp; Events'!$B$6:$B$17&lt;=$B49)*('Changes &amp; Events'!$B$6:$B$17&lt;&gt;"")),'Changes &amp; Events'!$E$6:$E$17),'Your Pay &amp; Benefits'!$D$38))</f>
      </c>
      <c r="BK49" s="7">
        <f>IF($B49="","",IFERROR(LOOKUP(2,1/(((('Changes &amp; Events'!$C$6:$C$17="Deduction start"))*('Changes &amp; Events'!$D$6:$D$17="Dependent-care FSA"))*('Changes &amp; Events'!$B$6:$B$17&lt;=$B49)*('Changes &amp; Events'!$B$6:$B$17&lt;&gt;"")),'Changes &amp; Events'!$E$6:$E$17),'Your Pay &amp; Benefits'!$D$39))</f>
      </c>
      <c r="BL49" s="7">
        <f>IF($B49="","",IFERROR(LOOKUP(2,1/(((('Changes &amp; Events'!$C$6:$C$17="Deduction start")+('Changes &amp; Events'!$C$6:$C$17="Deduction stop"))*('Changes &amp; Events'!$D$6:$D$17="HSA"))*('Changes &amp; Events'!$B$6:$B$17&lt;=$B49)*('Changes &amp; Events'!$B$6:$B$17&lt;&gt;"")),'Changes &amp; Events'!$I$6:$I$17),'Your Pay &amp; Benefits'!$D$35))</f>
      </c>
      <c r="BM49" s="7">
        <f>IF($B49="","",IFERROR(LOOKUP(2,1/(((('Changes &amp; Events'!$C$6:$C$17="Deduction start")+('Changes &amp; Events'!$C$6:$C$17="Deduction stop"))*('Changes &amp; Events'!$D$6:$D$17="Premiums"))*('Changes &amp; Events'!$B$6:$B$17&lt;=$B49)*('Changes &amp; Events'!$B$6:$B$17&lt;&gt;"")),'Changes &amp; Events'!$I$6:$I$17),'Your Pay &amp; Benefits'!$D$40+'Your Pay &amp; Benefits'!$D$41+'Your Pay &amp; Benefits'!$D$42))</f>
      </c>
      <c r="BN49" s="7">
        <f>IF($B49="","",IFERROR(LOOKUP(2,1/(((('Changes &amp; Events'!$C$6:$C$17="Deduction start")+('Changes &amp; Events'!$C$6:$C$17="Deduction stop"))*('Changes &amp; Events'!$D$6:$D$17="Commuter"))*('Changes &amp; Events'!$B$6:$B$17&lt;=$B49)*('Changes &amp; Events'!$B$6:$B$17&lt;&gt;"")),'Changes &amp; Events'!$I$6:$I$17),'Your Pay &amp; Benefits'!$D$43))</f>
      </c>
      <c r="BO49" s="7">
        <f>IF($B49="","",IFERROR(LOOKUP(2,1/(((('Changes &amp; Events'!$C$6:$C$17="Deduction start")+('Changes &amp; Events'!$C$6:$C$17="Deduction stop"))*('Changes &amp; Events'!$D$6:$D$17="Other pre-tax"))*('Changes &amp; Events'!$B$6:$B$17&lt;=$B49)*('Changes &amp; Events'!$B$6:$B$17&lt;&gt;"")),'Changes &amp; Events'!$I$6:$I$17),'Your Pay &amp; Benefits'!$D$44))</f>
      </c>
      <c r="BP49" s="7">
        <f>IF($B49="","",IFERROR(LOOKUP(2,1/(((('Changes &amp; Events'!$C$6:$C$17="Deduction start")+('Changes &amp; Events'!$C$6:$C$17="Deduction stop"))*('Changes &amp; Events'!$D$6:$D$17="Other post-tax"))*('Changes &amp; Events'!$B$6:$B$17&lt;=$B49)*('Changes &amp; Events'!$B$6:$B$17&lt;&gt;"")),'Changes &amp; Events'!$I$6:$I$17),'Your Pay &amp; Benefits'!$D$45))</f>
      </c>
      <c r="BQ49" s="6">
        <f>IF($B49="","",IFERROR(LOOKUP(2,1/(((('Changes &amp; Events'!$C$6:$C$17="Deduction start")+('Changes &amp; Events'!$C$6:$C$17="Deduction stop"))*('Changes &amp; Events'!$D$6:$D$17="Health FSA"))*('Changes &amp; Events'!$B$6:$B$17&lt;=$B49)*('Changes &amp; Events'!$B$6:$B$17&lt;&gt;"")),'Changes &amp; Events'!$J$6:$J$17),0))</f>
      </c>
      <c r="BR49" s="6">
        <f>IF($B49="","",IFERROR(LOOKUP(2,1/(((('Changes &amp; Events'!$C$6:$C$17="Deduction start")+('Changes &amp; Events'!$C$6:$C$17="Deduction stop"))*('Changes &amp; Events'!$D$6:$D$17="Dependent-care FSA"))*('Changes &amp; Events'!$B$6:$B$17&lt;=$B49)*('Changes &amp; Events'!$B$6:$B$17&lt;&gt;"")),'Changes &amp; Events'!$J$6:$J$17),0))</f>
      </c>
      <c r="BS49" s="6">
        <f>IF($B49="","",IF(SUMPRODUCT(('Changes &amp; Events'!$C$6:$C$17="Deduction start")*('Changes &amp; Events'!$B$6:$B$17&lt;=$B49)*('Changes &amp; Events'!$B$6:$B$17&lt;&gt;"")*('Changes &amp; Events'!$D$6:$D$17="Health FSA"))&gt;0,1,0))</f>
      </c>
      <c r="BT49" s="6">
        <f>IF($B49="","",IF(SUMPRODUCT(('Changes &amp; Events'!$C$6:$C$17="Deduction start")*('Changes &amp; Events'!$B$6:$B$17&lt;=$B49)*('Changes &amp; Events'!$B$6:$B$17&lt;&gt;"")*('Changes &amp; Events'!$D$6:$D$17="Dependent-care FSA"))&gt;0,1,0))</f>
      </c>
      <c r="BU49" s="24">
        <f>IF($B49="","",IF('Your Pay &amp; Benefits'!$C$13,SUMPRODUCT(($AH49&gt;=INDEX('How This Works &amp; Sources'!$B$29:$J$36,0,IF('Your Pay &amp; Benefits'!$C$12="MFJ",1,IF('Your Pay &amp; Benefits'!$C$12="HoH",7,4))))*INDEX('How This Works &amp; Sources'!$B$29:$J$36,0,IF('Your Pay &amp; Benefits'!$C$12="MFJ",1,IF('Your Pay &amp; Benefits'!$C$12="HoH",7,4))+2)),SUMPRODUCT(($AH49&gt;=INDEX('How This Works &amp; Sources'!$B$19:$J$26,0,IF('Your Pay &amp; Benefits'!$C$12="MFJ",1,IF('Your Pay &amp; Benefits'!$C$12="HoH",7,4))))*INDEX('How This Works &amp; Sources'!$B$19:$J$26,0,IF('Your Pay &amp; Benefits'!$C$12="MFJ",1,IF('Your Pay &amp; Benefits'!$C$12="HoH",7,4))+2))))</f>
      </c>
      <c r="BV49" s="24">
        <f>IF($B49="","",IF($BZ49&lt;&gt;"",$BZ49,IF($CA49&lt;&gt;"",$CA49,IF($CB49&lt;&gt;"",$CB49,IF($CC49&lt;&gt;"",$CC49,0)))))</f>
      </c>
      <c r="BW49" s="7">
        <f>IF($B49="","",IF($AN49="MD",IF(OR($AU49="Married",$AU49="Head of household"),SUMPRODUCT(($AZ49&gt;INDEX('How This Works &amp; Sources'!$B$114:$J$120,0,1))*($AZ49-INDEX('How This Works &amp; Sources'!$B$114:$J$120,0,1))*INDEX('How This Works &amp; Sources'!$B$114:$J$120,0,1+2)),SUMPRODUCT(($AZ49&gt;INDEX('How This Works &amp; Sources'!$B$103:$J$109,0,7))*($AZ49-INDEX('How This Works &amp; Sources'!$B$103:$J$109,0,7))*INDEX('How This Works &amp; Sources'!$B$103:$J$109,0,7+2))),IF($AN49="MO",SUMPRODUCT(($AZ49&gt;INDEX('How This Works &amp; Sources'!$B$125:$J$132,0,1))*($AZ49-INDEX('How This Works &amp; Sources'!$B$125:$J$132,0,1))*INDEX('How This Works &amp; Sources'!$B$125:$J$132,0,1+2)),IF($AN49="MT",IF($AU49="Head of household",SUMPRODUCT(($AZ49&gt;INDEX('How This Works &amp; Sources'!$B$137:$J$139,0,1))*($AZ49-INDEX('How This Works &amp; Sources'!$B$137:$J$139,0,1))*INDEX('How This Works &amp; Sources'!$B$137:$J$139,0,1+2)),IF($AU49="Married",SUMPRODUCT(($AZ49&gt;INDEX('How This Works &amp; Sources'!$B$125:$J$132,0,7))*($AZ49-INDEX('How This Works &amp; Sources'!$B$125:$J$132,0,7))*INDEX('How This Works &amp; Sources'!$B$125:$J$132,0,7+2)),SUMPRODUCT(($AZ49&gt;INDEX('How This Works &amp; Sources'!$B$125:$J$132,0,4))*($AZ49-INDEX('How This Works &amp; Sources'!$B$125:$J$132,0,4))*INDEX('How This Works &amp; Sources'!$B$125:$J$132,0,4+2)))),IF($AN49="ND",IF($AU49="Head of household",SUMPRODUCT(($AZ49&gt;INDEX('How This Works &amp; Sources'!$B$144:$J$150,0,1))*($AZ49-INDEX('How This Works &amp; Sources'!$B$144:$J$150,0,1))*INDEX('How This Works &amp; Sources'!$B$144:$J$150,0,1+2)),IF($AU49="Married",SUMPRODUCT(($AZ49&gt;INDEX('How This Works &amp; Sources'!$B$137:$J$139,0,7))*($AZ49-INDEX('How This Works &amp; Sources'!$B$137:$J$139,0,7))*INDEX('How This Works &amp; Sources'!$B$137:$J$139,0,7+2)),SUMPRODUCT(($AZ49&gt;INDEX('How This Works &amp; Sources'!$B$137:$J$139,0,4))*($AZ49-INDEX('How This Works &amp; Sources'!$B$137:$J$139,0,4))*INDEX('How This Works &amp; Sources'!$B$137:$J$139,0,4+2)))),IF($AN49="NJ",IF('Your Pay &amp; Benefits'!$C$77="B",SUMPRODUCT(($AZ49&gt;INDEX('How This Works &amp; Sources'!$B$155:$J$162,0,4))*($AZ49-INDEX('How This Works &amp; Sources'!$B$155:$J$162,0,4))*INDEX('How This Works &amp; Sources'!$B$155:$J$162,0,4+2)),IF('Your Pay &amp; Benefits'!$C$77="C",SUMPRODUCT(($AZ49&gt;INDEX('How This Works &amp; Sources'!$B$155:$J$162,0,7))*($AZ49-INDEX('How This Works &amp; Sources'!$B$155:$J$162,0,7))*INDEX('How This Works &amp; Sources'!$B$155:$J$162,0,7+2)),IF('Your Pay &amp; Benefits'!$C$77="D",SUMPRODUCT(($AZ49&gt;INDEX('How This Works &amp; Sources'!$B$167:$J$179,0,1))*($AZ49-INDEX('How This Works &amp; Sources'!$B$167:$J$179,0,1))*INDEX('How This Works &amp; Sources'!$B$167:$J$179,0,1+2)),IF('Your Pay &amp; Benefits'!$C$77="E",SUMPRODUCT(($AZ49&gt;INDEX('How This Works &amp; Sources'!$B$167:$J$179,0,4))*($AZ49-INDEX('How This Works &amp; Sources'!$B$167:$J$179,0,4))*INDEX('How This Works &amp; Sources'!$B$167:$J$179,0,4+2)),SUMPRODUCT(($AZ49&gt;INDEX('How This Works &amp; Sources'!$B$155:$J$162,0,1))*($AZ49-INDEX('How This Works &amp; Sources'!$B$155:$J$162,0,1))*INDEX('How This Works &amp; Sources'!$B$155:$J$162,0,1+2)))))),IF($AN49="NY",IF($AU49="Married",IF($AZ49&gt;=2155350,$AZ49*IF($AZ49&gt;25000000,0.117,IF($AZ49&gt;5000000,0.111,0.1045)),SUMPRODUCT(($AZ49&gt;INDEX('How This Works &amp; Sources'!$B$184:$J$198,0,1))*($AZ49-INDEX('How This Works &amp; Sources'!$B$184:$J$198,0,1))*INDEX('How This Works &amp; Sources'!$B$184:$J$198,0,1+2))),IF($AZ49&gt;=1077550,$AZ49*IF($AZ49&gt;25000000,0.117,IF($AZ49&gt;5000000,0.111,0.1045)),SUMPRODUCT(($AZ49&gt;INDEX('How This Works &amp; Sources'!$B$167:$J$179,0,7))*($AZ49-INDEX('How This Works &amp; Sources'!$B$167:$J$179,0,7))*INDEX('How This Works &amp; Sources'!$B$167:$J$179,0,7+2)))),"")))))))</f>
      </c>
      <c r="BX49" s="7">
        <f>IF($B49="","",IF($AN49="AL",IF(OR($AU49="Married",$AU49="Head of household"),SUMPRODUCT(($AZ49&gt;INDEX('How This Works &amp; Sources'!$B$82:$J$86,0,4))*($AZ49-INDEX('How This Works &amp; Sources'!$B$82:$J$86,0,4))*INDEX('How This Works &amp; Sources'!$B$82:$J$86,0,4+2)),SUMPRODUCT(($AZ49&gt;INDEX('How This Works &amp; Sources'!$B$82:$J$86,0,1))*($AZ49-INDEX('How This Works &amp; Sources'!$B$82:$J$86,0,1))*INDEX('How This Works &amp; Sources'!$B$82:$J$86,0,1+2))),IF($AN49="KS",IF($AU49="Married",SUMPRODUCT(($AZ49&gt;INDEX('How This Works &amp; Sources'!$B$103:$J$109,0,4))*($AZ49-INDEX('How This Works &amp; Sources'!$B$103:$J$109,0,4))*INDEX('How This Works &amp; Sources'!$B$103:$J$109,0,4+2)),SUMPRODUCT(($AZ49&gt;INDEX('How This Works &amp; Sources'!$B$103:$J$109,0,1))*($AZ49-INDEX('How This Works &amp; Sources'!$B$103:$J$109,0,1))*INDEX('How This Works &amp; Sources'!$B$103:$J$109,0,1+2))),IF($AN49="MN",IF($AU49="Married",SUMPRODUCT(($AZ49&gt;INDEX('How This Works &amp; Sources'!$B$114:$J$120,0,7))*($AZ49-INDEX('How This Works &amp; Sources'!$B$114:$J$120,0,7))*INDEX('How This Works &amp; Sources'!$B$114:$J$120,0,7+2)),SUMPRODUCT(($AZ49&gt;INDEX('How This Works &amp; Sources'!$B$114:$J$120,0,4))*($AZ49-INDEX('How This Works &amp; Sources'!$B$114:$J$120,0,4))*INDEX('How This Works &amp; Sources'!$B$114:$J$120,0,4+2))),IF($AN49="NE",MAX(IF($AU49="Married",SUMPRODUCT(($AZ49&gt;INDEX('How This Works &amp; Sources'!$B$144:$J$150,0,7))*($AZ49-INDEX('How This Works &amp; Sources'!$B$144:$J$150,0,7))*INDEX('How This Works &amp; Sources'!$B$144:$J$150,0,7+2)),SUMPRODUCT(($AZ49&gt;INDEX('How This Works &amp; Sources'!$B$144:$J$150,0,4))*($AZ49-INDEX('How This Works &amp; Sources'!$B$144:$J$150,0,4))*INDEX('How This Works &amp; Sources'!$B$144:$J$150,0,4+2))),0.015*$AZ49),IF($AN49="OH",IF($B49&gt;=DATE(2026,8,1),SUMPRODUCT(($AZ49&gt;INDEX('How This Works &amp; Sources'!$B$203:$J$206,0,1))*($AZ49-INDEX('How This Works &amp; Sources'!$B$203:$J$206,0,1))*INDEX('How This Works &amp; Sources'!$B$203:$J$206,0,1+2)),SUMPRODUCT(($AZ49&gt;INDEX('How This Works &amp; Sources'!$B$184:$J$198,0,7))*($AZ49-INDEX('How This Works &amp; Sources'!$B$184:$J$198,0,7))*INDEX('How This Works &amp; Sources'!$B$184:$J$198,0,7+2))),IF($AN49="OK",IF($AU49="Married",SUMPRODUCT(($AZ49&gt;INDEX('How This Works &amp; Sources'!$B$203:$J$206,0,7))*($AZ49-INDEX('How This Works &amp; Sources'!$B$203:$J$206,0,7))*INDEX('How This Works &amp; Sources'!$B$203:$J$206,0,7+2)),SUMPRODUCT(($AZ49&gt;INDEX('How This Works &amp; Sources'!$B$203:$J$206,0,4))*($AZ49-INDEX('How This Works &amp; Sources'!$B$203:$J$206,0,4))*INDEX('How This Works &amp; Sources'!$B$203:$J$206,0,4+2))),IF($AN49="RI",SUMPRODUCT(($AZ49&gt;INDEX('How This Works &amp; Sources'!$B$211:$J$214,0,7))*($AZ49-INDEX('How This Works &amp; Sources'!$B$211:$J$214,0,7))*INDEX('How This Works &amp; Sources'!$B$211:$J$214,0,7+2)),IF($AN49="VT",IF($AU49="Married",SUMPRODUCT(($AZ49&gt;INDEX('How This Works &amp; Sources'!$B$228:$J$232,0,1))*($AZ49-INDEX('How This Works &amp; Sources'!$B$228:$J$232,0,1))*INDEX('How This Works &amp; Sources'!$B$228:$J$232,0,1+2)),SUMPRODUCT(($AZ49&gt;INDEX('How This Works &amp; Sources'!$B$219:$J$223,0,7))*($AZ49-INDEX('How This Works &amp; Sources'!$B$219:$J$223,0,7))*INDEX('How This Works &amp; Sources'!$B$219:$J$223,0,7+2))),IF($AN49="WV",IF($AU49="Married",SUMPRODUCT(($AZ49&gt;INDEX('How This Works &amp; Sources'!$B$237:$J$241,0,7))*($AZ49-INDEX('How This Works &amp; Sources'!$B$237:$J$241,0,7))*INDEX('How This Works &amp; Sources'!$B$237:$J$241,0,7+2)),SUMPRODUCT(($AZ49&gt;INDEX('How This Works &amp; Sources'!$B$228:$J$232,0,7))*($AZ49-INDEX('How This Works &amp; Sources'!$B$228:$J$232,0,7))*INDEX('How This Works &amp; Sources'!$B$228:$J$232,0,7+2))),""))))))))))</f>
      </c>
      <c r="BY49" s="7">
        <f>IF($B49="","",IF($AN49="AR",SUMPRODUCT(($AZ49&gt;INDEX('How This Works &amp; Sources'!$B$82:$J$86,0,7))*($AZ49-INDEX('How This Works &amp; Sources'!$B$82:$J$86,0,7))*INDEX('How This Works &amp; Sources'!$B$82:$J$86,0,7+2)),IF($AN49="DE",SUMPRODUCT(($AZ49&gt;INDEX('How This Works &amp; Sources'!$B$91:$J$98,0,1))*($AZ49-INDEX('How This Works &amp; Sources'!$B$91:$J$98,0,1))*INDEX('How This Works &amp; Sources'!$B$91:$J$98,0,1+2)),IF($AN49="HI",IF($AU49="Married",SUMPRODUCT(($AZ49&gt;INDEX('How This Works &amp; Sources'!$B$91:$J$98,0,7))*($AZ49-INDEX('How This Works &amp; Sources'!$B$91:$J$98,0,7))*INDEX('How This Works &amp; Sources'!$B$91:$J$98,0,7+2)),SUMPRODUCT(($AZ49&gt;INDEX('How This Works &amp; Sources'!$B$91:$J$98,0,4))*($AZ49-INDEX('How This Works &amp; Sources'!$B$91:$J$98,0,4))*INDEX('How This Works &amp; Sources'!$B$91:$J$98,0,4+2))),IF($AN49="SC",SUMPRODUCT(($AZ49&gt;INDEX('How This Works &amp; Sources'!$B$219:$J$223,0,1))*($AZ49-INDEX('How This Works &amp; Sources'!$B$219:$J$223,0,1))*INDEX('How This Works &amp; Sources'!$B$219:$J$223,0,1+2)),IF($AN49="VA",SUMPRODUCT(($AZ49&gt;INDEX('How This Works &amp; Sources'!$B$219:$J$223,0,4))*($AZ49-INDEX('How This Works &amp; Sources'!$B$219:$J$223,0,4))*INDEX('How This Works &amp; Sources'!$B$219:$J$223,0,4+2)),IF($AN49="WI",SUMPRODUCT(($AZ49&gt;INDEX('How This Works &amp; Sources'!$B$228:$J$232,0,4))*($AZ49-INDEX('How This Works &amp; Sources'!$B$228:$J$232,0,4))*INDEX('How This Works &amp; Sources'!$B$228:$J$232,0,4+2)),"")))))))</f>
      </c>
      <c r="BZ49" s="24">
        <f>IF($B49="","",IF($AN49="NJ",IF('Your Pay &amp; Benefits'!$C$77="B",SUMPRODUCT(($AZ49&gt;=INDEX('How This Works &amp; Sources'!$B$155:$J$162,0,4))*INDEX('How This Works &amp; Sources'!$B$155:$J$162,0,4+2)),IF('Your Pay &amp; Benefits'!$C$77="C",SUMPRODUCT(($AZ49&gt;=INDEX('How This Works &amp; Sources'!$B$155:$J$162,0,7))*INDEX('How This Works &amp; Sources'!$B$155:$J$162,0,7+2)),IF('Your Pay &amp; Benefits'!$C$77="D",SUMPRODUCT(($AZ49&gt;=INDEX('How This Works &amp; Sources'!$B$167:$J$179,0,1))*INDEX('How This Works &amp; Sources'!$B$167:$J$179,0,1+2)),IF('Your Pay &amp; Benefits'!$C$77="E",SUMPRODUCT(($AZ49&gt;=INDEX('How This Works &amp; Sources'!$B$167:$J$179,0,4))*INDEX('How This Works &amp; Sources'!$B$167:$J$179,0,4+2)),SUMPRODUCT(($AZ49&gt;=INDEX('How This Works &amp; Sources'!$B$155:$J$162,0,1))*INDEX('How This Works &amp; Sources'!$B$155:$J$162,0,1+2)))))),IF($AN49="OR",IF(OR($AU49="Married",AND($AU49="Single",$AS49&gt;=3)),SUMPRODUCT((MAX(0,$AY49-MIN(($P49-'How This Works &amp; Sources'!$C$10*$D49)*'Your Pay &amp; Benefits'!$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Sources'!$B$211:$J$214,0,4))*INDEX('How This Works &amp; Sources'!$B$211:$J$214,0,4+2)),SUMPRODUCT((MAX(0,$AY49-MIN(($P49-'How This Works &amp; Sources'!$C$10*$D49)*'Your Pay &amp; Benefits'!$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Sources'!$B$211:$J$214,0,1))*INDEX('How This Works &amp; Sources'!$B$211:$J$214,0,1+2)))*IF(($P49-'How This Works &amp; Sources'!$C$10*$D49)*'Your Pay &amp; Benefits'!$C$8&gt;=IF(OR($AU49="Married",AND($AU49="Single",$AS49&gt;=3)),IF($AY49&lt;250000,8750,IF($AY49&lt;260000,7000,IF($AY49&lt;270000,5250,IF($AY49&lt;280000,3500,IF($AY49&lt;290000,1750,0))))),IF($AY49&lt;125000,8750,IF($AY49&lt;130000,7000,IF($AY49&lt;135000,5250,IF($AY49&lt;140000,3500,IF($AY49&lt;145000,1750,0)))))),1,1-IF('Your Pay &amp; Benefits'!$C$13,SUMPRODUCT(($AH49&gt;=INDEX('How This Works &amp; Sources'!$B$29:$J$36,0,IF('Your Pay &amp; Benefits'!$C$12="MFJ",1,IF('Your Pay &amp; Benefits'!$C$12="HoH",7,4))))*INDEX('How This Works &amp; Sources'!$B$29:$J$36,0,IF('Your Pay &amp; Benefits'!$C$12="MFJ",1,IF('Your Pay &amp; Benefits'!$C$12="HoH",7,4))+2)),SUMPRODUCT(($AH49&gt;=INDEX('How This Works &amp; Sources'!$B$19:$J$26,0,IF('Your Pay &amp; Benefits'!$C$12="MFJ",1,IF('Your Pay &amp; Benefits'!$C$12="HoH",7,4))))*INDEX('How This Works &amp; Sources'!$B$19:$J$26,0,IF('Your Pay &amp; Benefits'!$C$12="MFJ",1,IF('Your Pay &amp; Benefits'!$C$12="HoH",7,4))+2)))),IF($AN49="MI",IF($AY49&gt;5900*$AS49,0.0425,0),""))))</f>
      </c>
      <c r="CA49" s="24">
        <f>IF($B49="","",IF($AN49="AL",IF(OR($AU49="Married",$AU49="Head of household"),SUMPRODUCT(($AZ49&gt;=INDEX('How This Works &amp; Sources'!$B$82:$J$86,0,4))*INDEX('How This Works &amp; Sources'!$B$82:$J$86,0,4+2)),SUMPRODUCT(($AZ49&gt;=INDEX('How This Works &amp; Sources'!$B$82:$J$86,0,1))*INDEX('How This Works &amp; Sources'!$B$82:$J$86,0,1+2)))*(1-IF('Your Pay &amp; Benefits'!$C$13,SUMPRODUCT(($AH49&gt;=INDEX('How This Works &amp; Sources'!$B$29:$J$36,0,IF('Your Pay &amp; Benefits'!$C$12="MFJ",1,IF('Your Pay &amp; Benefits'!$C$12="HoH",7,4))))*INDEX('How This Works &amp; Sources'!$B$29:$J$36,0,IF('Your Pay &amp; Benefits'!$C$12="MFJ",1,IF('Your Pay &amp; Benefits'!$C$12="HoH",7,4))+2)),SUMPRODUCT(($AH49&gt;=INDEX('How This Works &amp; Sources'!$B$19:$J$26,0,IF('Your Pay &amp; Benefits'!$C$12="MFJ",1,IF('Your Pay &amp; Benefits'!$C$12="HoH",7,4))))*INDEX('How This Works &amp; Sources'!$B$19:$J$26,0,IF('Your Pay &amp; Benefits'!$C$12="MFJ",1,IF('Your Pay &amp; Benefits'!$C$12="HoH",7,4))+2)))),IF($AN49="KS",IF($AU49="Married",SUMPRODUCT(($AZ49&gt;=INDEX('How This Works &amp; Sources'!$B$103:$J$109,0,4))*INDEX('How This Works &amp; Sources'!$B$103:$J$109,0,4+2)),SUMPRODUCT(($AZ49&gt;=INDEX('How This Works &amp; Sources'!$B$103:$J$109,0,1))*INDEX('How This Works &amp; Sources'!$B$103:$J$109,0,1+2))),IF($AN49="MD",IF(OR($AU49="Married",$AU49="Head of household"),SUMPRODUCT(($AZ49&gt;=INDEX('How This Works &amp; Sources'!$B$114:$J$120,0,1))*INDEX('How This Works &amp; Sources'!$B$114:$J$120,0,1+2)),SUMPRODUCT(($AZ49&gt;=INDEX('How This Works &amp; Sources'!$B$103:$J$109,0,7))*INDEX('How This Works &amp; Sources'!$B$103:$J$109,0,7+2)))+'Your Pay &amp; Benefits'!$C$74,IF($AN49="MT",IF($AU49="Head of household",SUMPRODUCT(($AZ49&gt;=INDEX('How This Works &amp; Sources'!$B$137:$J$139,0,1))*INDEX('How This Works &amp; Sources'!$B$137:$J$139,0,1+2)),IF($AU49="Married",SUMPRODUCT(($AZ49&gt;=INDEX('How This Works &amp; Sources'!$B$125:$J$132,0,7))*INDEX('How This Works &amp; Sources'!$B$125:$J$132,0,7+2)),SUMPRODUCT(($AZ49&gt;=INDEX('How This Works &amp; Sources'!$B$125:$J$132,0,4))*INDEX('How This Works &amp; Sources'!$B$125:$J$132,0,4+2)))),IF($AN49="ND",IF($AU49="Head of household",SUMPRODUCT(($AZ49&gt;=INDEX('How This Works &amp; Sources'!$B$144:$J$150,0,1))*INDEX('How This Works &amp; Sources'!$B$144:$J$150,0,1+2)),IF($AU49="Married",SUMPRODUCT(($AZ49&gt;=INDEX('How This Works &amp; Sources'!$B$137:$J$139,0,7))*INDEX('How This Works &amp; Sources'!$B$137:$J$139,0,7+2)),SUMPRODUCT(($AZ49&gt;=INDEX('How This Works &amp; Sources'!$B$137:$J$139,0,4))*INDEX('How This Works &amp; Sources'!$B$137:$J$139,0,4+2)))),IF($AN49="NY",IF($AU49="Married",IF($AZ49&gt;=2155350,IF($AZ49&gt;25000000,0.117,IF($AZ49&gt;5000000,0.111,0.1045)),SUMPRODUCT(($AZ49&gt;=INDEX('How This Works &amp; Sources'!$B$184:$J$198,0,1))*INDEX('How This Works &amp; Sources'!$B$184:$J$198,0,1+2))),IF($AZ49&gt;=1077550,IF($AZ49&gt;25000000,0.117,IF($AZ49&gt;5000000,0.111,0.1045)),SUMPRODUCT(($AZ49&gt;=INDEX('How This Works &amp; Sources'!$B$167:$J$179,0,7))*INDEX('How This Works &amp; Sources'!$B$167:$J$179,0,7+2)))),"")))))))</f>
      </c>
      <c r="CB49" s="24">
        <f>IF($B49="","",IF($AN49="CA",SUMPRODUCT(($AJ49&gt;=INDEX('How This Works &amp; Sources'!$B$39:$J$48,0,IF($AU49="Married",4,IF($AU49="Head of household",7,1))))*INDEX('How This Works &amp; Sources'!$B$39:$J$48,0,IF($AU49="Married",4,IF($AU49="Head of household",7,1))+2)),IF($AN49="HI",IF($AU49="Married",SUMPRODUCT(($AZ49&gt;=INDEX('How This Works &amp; Sources'!$B$91:$J$98,0,7))*INDEX('How This Works &amp; Sources'!$B$91:$J$98,0,7+2)),SUMPRODUCT(($AZ49&gt;=INDEX('How This Works &amp; Sources'!$B$91:$J$98,0,4))*INDEX('How This Works &amp; Sources'!$B$91:$J$98,0,4+2))),IF($AN49="MN",IF($AU49="Married",SUMPRODUCT(($AZ49&gt;=INDEX('How This Works &amp; Sources'!$B$114:$J$120,0,7))*INDEX('How This Works &amp; Sources'!$B$114:$J$120,0,7+2)),SUMPRODUCT(($AZ49&gt;=INDEX('How This Works &amp; Sources'!$B$114:$J$120,0,4))*INDEX('How This Works &amp; Sources'!$B$114:$J$120,0,4+2))),IF($AN49="MO",SUMPRODUCT(($AZ49&gt;=INDEX('How This Works &amp; Sources'!$B$125:$J$132,0,1))*INDEX('How This Works &amp; Sources'!$B$125:$J$132,0,1+2)),IF($AN49="NE",MAX(IF($AU49="Married",SUMPRODUCT(($AZ49&gt;=INDEX('How This Works &amp; Sources'!$B$144:$J$150,0,7))*INDEX('How This Works &amp; Sources'!$B$144:$J$150,0,7+2)),SUMPRODUCT(($AZ49&gt;=INDEX('How This Works &amp; Sources'!$B$144:$J$150,0,4))*INDEX('How This Works &amp; Sources'!$B$144:$J$150,0,4+2))),0.015),IF($AN49="OH",IF($B49&gt;=DATE(2026,8,1),SUMPRODUCT(($AZ49&gt;=INDEX('How This Works &amp; Sources'!$B$203:$J$206,0,1))*INDEX('How This Works &amp; Sources'!$B$203:$J$206,0,1+2)),SUMPRODUCT(($AZ49&gt;=INDEX('How This Works &amp; Sources'!$B$184:$J$198,0,7))*INDEX('How This Works &amp; Sources'!$B$184:$J$198,0,7+2))),IF($AN49="OK",IF($AU49="Married",SUMPRODUCT(($AZ49&gt;=INDEX('How This Works &amp; Sources'!$B$203:$J$206,0,7))*INDEX('How This Works &amp; Sources'!$B$203:$J$206,0,7+2)),SUMPRODUCT(($AZ49&gt;=INDEX('How This Works &amp; Sources'!$B$203:$J$206,0,4))*INDEX('How This Works &amp; Sources'!$B$203:$J$206,0,4+2))),IF($AN49="RI",SUMPRODUCT(($AZ49&gt;=INDEX('How This Works &amp; Sources'!$B$211:$J$214,0,7))*INDEX('How This Works &amp; Sources'!$B$211:$J$214,0,7+2)),IF($AN49="SC",SUMPRODUCT(($AZ49&gt;=INDEX('How This Works &amp; Sources'!$B$219:$J$223,0,1))*INDEX('How This Works &amp; Sources'!$B$219:$J$223,0,1+2)),IF($AN49="VT",IF($AU49="Married",SUMPRODUCT(($AZ49&gt;=INDEX('How This Works &amp; Sources'!$B$228:$J$232,0,1))*INDEX('How This Works &amp; Sources'!$B$228:$J$232,0,1+2)),SUMPRODUCT(($AZ49&gt;=INDEX('How This Works &amp; Sources'!$B$219:$J$223,0,7))*INDEX('How This Works &amp; Sources'!$B$219:$J$223,0,7+2))),IF($AN49="WV",IF($AU49="Married",SUMPRODUCT(($AZ49&gt;=INDEX('How This Works &amp; Sources'!$B$237:$J$241,0,7))*INDEX('How This Works &amp; Sources'!$B$237:$J$241,0,7+2)),SUMPRODUCT(($AZ49&gt;=INDEX('How This Works &amp; Sources'!$B$228:$J$232,0,7))*INDEX('How This Works &amp; Sources'!$B$228:$J$232,0,7+2))),IF($AN49="IN",(0.0295+'Your Pay &amp; Benefits'!$C$76),"")))))))))))))</f>
      </c>
      <c r="CC49" s="24">
        <f>IF($B49="","",IF($AN49="AR",SUMPRODUCT(($AZ49&gt;=INDEX('How This Works &amp; Sources'!$B$82:$J$86,0,7))*INDEX('How This Works &amp; Sources'!$B$82:$J$86,0,7+2)),IF($AN49="DE",SUMPRODUCT(($AZ49&gt;=INDEX('How This Works &amp; Sources'!$B$91:$J$98,0,1))*INDEX('How This Works &amp; Sources'!$B$91:$J$98,0,1+2)),IF($AN49="VA",SUMPRODUCT(($AZ49&gt;=INDEX('How This Works &amp; Sources'!$B$219:$J$223,0,4))*INDEX('How This Works &amp; Sources'!$B$219:$J$223,0,4+2)),IF($AN49="WI",SUMPRODUCT(($AZ49&gt;=INDEX('How This Works &amp; Sources'!$B$228:$J$232,0,4))*INDEX('How This Works &amp; Sources'!$B$228:$J$232,0,4+2)),IF($AN49="AZ",'Your Pay &amp; Benefits'!$C$82,IF($AN49="CO",IF($AY49&gt;IF($AU49="Married",10000,5000),0.044,0),IF($AN49="IA",IF($AY49&gt;IF($AU49="Head of household",19500,IF($AU49="Married",26000,13000)),0.038,0),IF($AN49="ID",IF($AY49&gt;IF($AU49="Married",32000,16094),0.053,0),IF($AN49="IL",IF($AY49&gt;(2925*$AS49+1000*$AT49),0.0495,0),IF($AN49="KY",IF($AI49&gt;3360,0.035,0),IF($AN49="LA",0.0309,IF($AN49="MA",IF(MAX(0,$AY49-MIN(($BD48+$Q49+$R49+$S49),2000)-IF($AS49=0,0,IF($AS49=1,4400,1000*$AS49+3400)))&gt;=1107750,0.09,0.05),IF($AN49="MS",IF($AI49-IF($AU49="Head of household",3400,IF($AU49="Married",4600,2300))-'Your Pay &amp; Benefits'!$C$85&gt;10000,0.04,0),IF($AN49="PA",0.0307,"")))))))))))))))</f>
      </c>
      <c r="CD49" s="21">
        <f>IF(YEAR(IF('Your Pay &amp; Benefits'!$C$7="Weekly",'Your Pay &amp; Benefits'!$C$9+7*(($BE48+1)-1),IF('Your Pay &amp; Benefits'!$C$7="Biweekly",'Your Pay &amp; Benefits'!$C$9+14*(($BE48+1)-1),IF('Your Pay &amp; Benefits'!$C$7="Semimonthly",DATE(YEAR('Your Pay &amp; Benefits'!$C$9),MONTH('Your Pay &amp; Benefits'!$C$9)+INT((($BE48+1)-1)/2),MIN(DAY('Your Pay &amp; Benefits'!$C$9),DAY(EOMONTH(DATE(YEAR('Your Pay &amp; Benefits'!$C$9),MONTH('Your Pay &amp; Benefits'!$C$9)+INT((($BE48+1)-1)/2),1),0))))+IF(MOD(($BE48+1)-1,2)=1,15,0),EDATE('Your Pay &amp; Benefits'!$C$9,($BE48+1)-1)))))&lt;&gt;'Your Pay &amp; Benefits'!$C$10,"",IF('Your Pay &amp; Benefits'!$C$7="Weekly",'Your Pay &amp; Benefits'!$C$9+7*(($BE48+1)-1),IF('Your Pay &amp; Benefits'!$C$7="Biweekly",'Your Pay &amp; Benefits'!$C$9+14*(($BE48+1)-1),IF('Your Pay &amp; Benefits'!$C$7="Semimonthly",DATE(YEAR('Your Pay &amp; Benefits'!$C$9),MONTH('Your Pay &amp; Benefits'!$C$9)+INT((($BE48+1)-1)/2),MIN(DAY('Your Pay &amp; Benefits'!$C$9),DAY(EOMONTH(DATE(YEAR('Your Pay &amp; Benefits'!$C$9),MONTH('Your Pay &amp; Benefits'!$C$9)+INT((($BE48+1)-1)/2),1),0))))+IF(MOD(($BE48+1)-1,2)=1,15,0),EDATE('Your Pay &amp; Benefits'!$C$9,($BE48+1)-1)))))</f>
      </c>
      <c r="CE49" s="21">
        <f>IF(MIN(IF(AND('Your Pay &amp; Benefits'!$C$58&gt;MAX($B$6:$B48),'Your Pay &amp; Benefits'!$C$58&gt;=DATE('Your Pay &amp; Benefits'!$C$10,1,1),'Your Pay &amp; Benefits'!$C$58&lt;=DATE('Your Pay &amp; Benefits'!$C$10,12,31)),'Your Pay &amp; Benefits'!$C$58,999999),IF(AND('Your Pay &amp; Benefits'!$C$59&gt;MAX($B$6:$B48),'Your Pay &amp; Benefits'!$C$59&gt;=DATE('Your Pay &amp; Benefits'!$C$10,1,1),'Your Pay &amp; Benefits'!$C$59&lt;=DATE('Your Pay &amp; Benefits'!$C$10,12,31)),'Your Pay &amp; Benefits'!$C$59,999999),IF(AND('Your Pay &amp; Benefits'!$C$60&gt;MAX($B$6:$B48),'Your Pay &amp; Benefits'!$C$60&gt;=DATE('Your Pay &amp; Benefits'!$C$10,1,1),'Your Pay &amp; Benefits'!$C$60&lt;=DATE('Your Pay &amp; Benefits'!$C$10,12,31)),'Your Pay &amp; Benefits'!$C$60,999999),IF(AND('Your Pay &amp; Benefits'!$C$61&gt;MAX($B$6:$B48),'Your Pay &amp; Benefits'!$C$61&gt;=DATE('Your Pay &amp; Benefits'!$C$10,1,1),'Your Pay &amp; Benefits'!$C$61&lt;=DATE('Your Pay &amp; Benefits'!$C$10,12,31)),'Your Pay &amp; Benefits'!$C$61,999999),IF(AND('Your Pay &amp; Benefits'!$C$62&gt;MAX($B$6:$B48),'Your Pay &amp; Benefits'!$C$62&gt;=DATE('Your Pay &amp; Benefits'!$C$10,1,1),'Your Pay &amp; Benefits'!$C$62&lt;=DATE('Your Pay &amp; Benefits'!$C$10,12,31)),'Your Pay &amp; Benefits'!$C$62,999999),IF(AND('Your Pay &amp; Benefits'!$C$63&gt;MAX($B$6:$B48),'Your Pay &amp; Benefits'!$C$63&gt;=DATE('Your Pay &amp; Benefits'!$C$10,1,1),'Your Pay &amp; Benefits'!$C$63&lt;=DATE('Your Pay &amp; Benefits'!$C$10,12,31)),'Your Pay &amp; Benefits'!$C$63,999999),IF(AND('Your Pay &amp; Benefits'!$C$64&gt;MAX($B$6:$B48),'Your Pay &amp; Benefits'!$C$64&gt;=DATE('Your Pay &amp; Benefits'!$C$10,1,1),'Your Pay &amp; Benefits'!$C$64&lt;=DATE('Your Pay &amp; Benefits'!$C$10,12,31)),'Your Pay &amp; Benefits'!$C$64,999999),IF(AND('Your Pay &amp; Benefits'!$C$65&gt;MAX($B$6:$B48),'Your Pay &amp; Benefits'!$C$65&gt;=DATE('Your Pay &amp; Benefits'!$C$10,1,1),'Your Pay &amp; Benefits'!$C$65&lt;=DATE('Your Pay &amp; Benefits'!$C$10,12,31)),'Your Pay &amp; Benefits'!$C$65,999999),IF(AND('Your Pay &amp; Benefits'!$C$66&gt;MAX($B$6:$B48),'Your Pay &amp; Benefits'!$C$66&gt;=DATE('Your Pay &amp; Benefits'!$C$10,1,1),'Your Pay &amp; Benefits'!$C$66&lt;=DATE('Your Pay &amp; Benefits'!$C$10,12,31)),'Your Pay &amp; Benefits'!$C$66,999999),IF(AND('Your Pay &amp; Benefits'!$C$67&gt;MAX($B$6:$B48),'Your Pay &amp; Benefits'!$C$67&gt;=DATE('Your Pay &amp; Benefits'!$C$10,1,1),'Your Pay &amp; Benefits'!$C$67&lt;=DATE('Your Pay &amp; Benefits'!$C$10,12,31)),'Your Pay &amp; Benefits'!$C$67,999999))=999999,"",MIN(IF(AND('Your Pay &amp; Benefits'!$C$58&gt;MAX($B$6:$B48),'Your Pay &amp; Benefits'!$C$58&gt;=DATE('Your Pay &amp; Benefits'!$C$10,1,1),'Your Pay &amp; Benefits'!$C$58&lt;=DATE('Your Pay &amp; Benefits'!$C$10,12,31)),'Your Pay &amp; Benefits'!$C$58,999999),IF(AND('Your Pay &amp; Benefits'!$C$59&gt;MAX($B$6:$B48),'Your Pay &amp; Benefits'!$C$59&gt;=DATE('Your Pay &amp; Benefits'!$C$10,1,1),'Your Pay &amp; Benefits'!$C$59&lt;=DATE('Your Pay &amp; Benefits'!$C$10,12,31)),'Your Pay &amp; Benefits'!$C$59,999999),IF(AND('Your Pay &amp; Benefits'!$C$60&gt;MAX($B$6:$B48),'Your Pay &amp; Benefits'!$C$60&gt;=DATE('Your Pay &amp; Benefits'!$C$10,1,1),'Your Pay &amp; Benefits'!$C$60&lt;=DATE('Your Pay &amp; Benefits'!$C$10,12,31)),'Your Pay &amp; Benefits'!$C$60,999999),IF(AND('Your Pay &amp; Benefits'!$C$61&gt;MAX($B$6:$B48),'Your Pay &amp; Benefits'!$C$61&gt;=DATE('Your Pay &amp; Benefits'!$C$10,1,1),'Your Pay &amp; Benefits'!$C$61&lt;=DATE('Your Pay &amp; Benefits'!$C$10,12,31)),'Your Pay &amp; Benefits'!$C$61,999999),IF(AND('Your Pay &amp; Benefits'!$C$62&gt;MAX($B$6:$B48),'Your Pay &amp; Benefits'!$C$62&gt;=DATE('Your Pay &amp; Benefits'!$C$10,1,1),'Your Pay &amp; Benefits'!$C$62&lt;=DATE('Your Pay &amp; Benefits'!$C$10,12,31)),'Your Pay &amp; Benefits'!$C$62,999999),IF(AND('Your Pay &amp; Benefits'!$C$63&gt;MAX($B$6:$B48),'Your Pay &amp; Benefits'!$C$63&gt;=DATE('Your Pay &amp; Benefits'!$C$10,1,1),'Your Pay &amp; Benefits'!$C$63&lt;=DATE('Your Pay &amp; Benefits'!$C$10,12,31)),'Your Pay &amp; Benefits'!$C$63,999999),IF(AND('Your Pay &amp; Benefits'!$C$64&gt;MAX($B$6:$B48),'Your Pay &amp; Benefits'!$C$64&gt;=DATE('Your Pay &amp; Benefits'!$C$10,1,1),'Your Pay &amp; Benefits'!$C$64&lt;=DATE('Your Pay &amp; Benefits'!$C$10,12,31)),'Your Pay &amp; Benefits'!$C$64,999999),IF(AND('Your Pay &amp; Benefits'!$C$65&gt;MAX($B$6:$B48),'Your Pay &amp; Benefits'!$C$65&gt;=DATE('Your Pay &amp; Benefits'!$C$10,1,1),'Your Pay &amp; Benefits'!$C$65&lt;=DATE('Your Pay &amp; Benefits'!$C$10,12,31)),'Your Pay &amp; Benefits'!$C$65,999999),IF(AND('Your Pay &amp; Benefits'!$C$66&gt;MAX($B$6:$B48),'Your Pay &amp; Benefits'!$C$66&gt;=DATE('Your Pay &amp; Benefits'!$C$10,1,1),'Your Pay &amp; Benefits'!$C$66&lt;=DATE('Your Pay &amp; Benefits'!$C$10,12,31)),'Your Pay &amp; Benefits'!$C$66,999999),IF(AND('Your Pay &amp; Benefits'!$C$67&gt;MAX($B$6:$B48),'Your Pay &amp; Benefits'!$C$67&gt;=DATE('Your Pay &amp; Benefits'!$C$10,1,1),'Your Pay &amp; Benefits'!$C$67&lt;=DATE('Your Pay &amp; Benefits'!$C$10,12,31)),'Your Pay &amp; Benefits'!$C$67,999999)))</f>
      </c>
      <c r="CF49">
        <f>IF($B49="","",IF($D49=0,$Y49,""))</f>
      </c>
    </row>
    <row r="50">
      <c r="A50" t="n">
        <v>45</v>
      </c>
      <c r="B50" s="21">
        <f>IF(AND($CD50="",$CE50=""),"",IF($CE50="",$CD50,IF($CD50="",$CE50,MIN($CD50,$CE50))))</f>
      </c>
      <c r="C50" s="7">
        <f>IF($B50="","",IF($BF50=0,0,IF('Your Pay &amp; Benefits'!$C$4="Annual salary",ROUND($AK50/IF(AND('Your Pay &amp; Benefits'!$C$88="Actual paydays",MONTH('Your Pay &amp; Benefits'!$C$9)=1),MAX(1,MAX($BE$6:$BE$68)),'Your Pay &amp; Benefits'!$C$8),2),$AK50)))</f>
      </c>
      <c r="D50" s="7">
        <f>IF($B50="","",SUMIF('Your Pay &amp; Benefits'!$C$58:$C$67,$B50,'Your Pay &amp; Benefits'!$D$58:$D$67))</f>
      </c>
      <c r="E50" s="7">
        <f>IF($B50="","",ROUND(MAX(0,MIN(IF($AL50="Percent",$AM50*($C50+$D50),$AM50),MAX(0,'Your Pay &amp; Benefits'!$C$34-$AC49))),2))</f>
      </c>
      <c r="F50" s="7">
        <f>IF($B50="","",ROUND(MAX(0,MIN(IF('Your Pay &amp; Benefits'!$C$32="Percent",'Your Pay &amp; Benefits'!$D$32*($C50+$D50),'Your Pay &amp; Benefits'!$D$32),MAX(0,'Your Pay &amp; Benefits'!$C$34-$AC49-$E50))),2))</f>
      </c>
      <c r="G50" s="7">
        <f>IF($B50="","",IF($BF50=0,0,ROUND(MAX(0,MIN($BL50,'Your Pay &amp; Benefits'!$C$37-'Your Pay &amp; Benefits'!$C$54-$BI49)),2)))</f>
      </c>
      <c r="H50" s="7">
        <f>IF($B50="","",IF(OR($BF50=0,$BQ50=1),0,ROUND(MAX(0,MIN(IF($BS50=1,ROUND(MAX(0,MIN($BJ50,'How This Works &amp; Sources'!$C$13)-$BG49)/MAX(1,MAX($BE$6:$BE$68)-($BE49)),2),ROUND(MIN($BJ50,'How This Works &amp; Sources'!$C$13)/'Your Pay &amp; Benefits'!$C$8,2)),MIN($BJ50,'How This Works &amp; Sources'!$C$13)-$BG49)),2)))</f>
      </c>
      <c r="I50" s="7">
        <f>IF($B50="","",IF(OR($BF50=0,$BR50=1),0,ROUND(MAX(0,MIN(IF($BT50=1,ROUND(MAX(0,MIN($BK50,IF('Your Pay &amp; Benefits'!$C$12="MFJ",'How This Works &amp; Sources'!$C$14,'How This Works &amp; Sources'!$C$15))-$BH49)/MAX(1,MAX($BE$6:$BE$68)-($BE49)),2),ROUND(MIN($BK50,IF('Your Pay &amp; Benefits'!$C$12="MFJ",'How This Works &amp; Sources'!$C$14,'How This Works &amp; Sources'!$C$15))/'Your Pay &amp; Benefits'!$C$8,2)),MIN($BK50,IF('Your Pay &amp; Benefits'!$C$12="MFJ",'How This Works &amp; Sources'!$C$14,'How This Works &amp; Sources'!$C$15))-$BH49)),2)))</f>
      </c>
      <c r="J50" s="7">
        <f>IF($B50="","",IF($BF50=0,0,$BM50))</f>
      </c>
      <c r="K50" s="7">
        <f>IF($B50="","",IF($BF50=0,0,$BN50+$BO50))</f>
      </c>
      <c r="L50" s="7">
        <f>IF($B50="","",IF($BF50=0,0,'Your Pay &amp; Benefits'!$D$46))</f>
      </c>
      <c r="M50" s="7">
        <f>IF($B50="","",$C50+$D50+$L50-$E50-$G50-$H50-$I50-$J50-$K50)</f>
      </c>
      <c r="N50" s="7">
        <f>IF($B50="","",$C50+$D50+$L50-$G50-$H50-$I50-$J50-$K50)</f>
      </c>
      <c r="O50" s="7">
        <f>IF($B50="","",$C50+$D50+$L50-$E50-$H50-$I50-$J50-$K50-IF(OR($AN50="CA",$AN50="NJ"),0,$G50))</f>
      </c>
      <c r="P50" s="7">
        <f>IF($B50="","",IF('Your Pay &amp; Benefits'!$C$18,0,ROUND(MAX(0,IF('Your Pay &amp; Benefits'!$C$13,SUMPRODUCT(($AH50&gt;INDEX('How This Works &amp; Sources'!$B$29:$J$36,0,IF('Your Pay &amp; Benefits'!$C$12="MFJ",1,IF('Your Pay &amp; Benefits'!$C$12="HoH",7,4))))*($AH50-INDEX('How This Works &amp; Sources'!$B$29:$J$36,0,IF('Your Pay &amp; Benefits'!$C$12="MFJ",1,IF('Your Pay &amp; Benefits'!$C$12="HoH",7,4))))*INDEX('How This Works &amp; Sources'!$B$29:$J$36,0,IF('Your Pay &amp; Benefits'!$C$12="MFJ",1,IF('Your Pay &amp; Benefits'!$C$12="HoH",7,4))+2)),SUMPRODUCT(($AH50&gt;INDEX('How This Works &amp; Sources'!$B$19:$J$26,0,IF('Your Pay &amp; Benefits'!$C$12="MFJ",1,IF('Your Pay &amp; Benefits'!$C$12="HoH",7,4))))*($AH50-INDEX('How This Works &amp; Sources'!$B$19:$J$26,0,IF('Your Pay &amp; Benefits'!$C$12="MFJ",1,IF('Your Pay &amp; Benefits'!$C$12="HoH",7,4))))*INDEX('How This Works &amp; Sources'!$B$19:$J$26,0,IF('Your Pay &amp; Benefits'!$C$12="MFJ",1,IF('Your Pay &amp; Benefits'!$C$12="HoH",7,4))+2)))/'Your Pay &amp; Benefits'!$C$8-$AO50/'Your Pay &amp; Benefits'!$C$8)+$AR50+IF('Your Pay &amp; Benefits'!$C$89="Aggregate",MAX(0,IF('Your Pay &amp; Benefits'!$C$13,SUMPRODUCT((($AH50+$D50)&gt;INDEX('How This Works &amp; Sources'!$B$29:$J$36,0,IF('Your Pay &amp; Benefits'!$C$12="MFJ",1,IF('Your Pay &amp; Benefits'!$C$12="HoH",7,4))))*(($AH50+$D50)-INDEX('How This Works &amp; Sources'!$B$29:$J$36,0,IF('Your Pay &amp; Benefits'!$C$12="MFJ",1,IF('Your Pay &amp; Benefits'!$C$12="HoH",7,4))))*INDEX('How This Works &amp; Sources'!$B$29:$J$36,0,IF('Your Pay &amp; Benefits'!$C$12="MFJ",1,IF('Your Pay &amp; Benefits'!$C$12="HoH",7,4))+2)),SUMPRODUCT((($AH50+$D50)&gt;INDEX('How This Works &amp; Sources'!$B$19:$J$26,0,IF('Your Pay &amp; Benefits'!$C$12="MFJ",1,IF('Your Pay &amp; Benefits'!$C$12="HoH",7,4))))*(($AH50+$D50)-INDEX('How This Works &amp; Sources'!$B$19:$J$26,0,IF('Your Pay &amp; Benefits'!$C$12="MFJ",1,IF('Your Pay &amp; Benefits'!$C$12="HoH",7,4))))*INDEX('How This Works &amp; Sources'!$B$19:$J$26,0,IF('Your Pay &amp; Benefits'!$C$12="MFJ",1,IF('Your Pay &amp; Benefits'!$C$12="HoH",7,4))+2)))-IF('Your Pay &amp; Benefits'!$C$13,SUMPRODUCT(($AH50&gt;INDEX('How This Works &amp; Sources'!$B$29:$J$36,0,IF('Your Pay &amp; Benefits'!$C$12="MFJ",1,IF('Your Pay &amp; Benefits'!$C$12="HoH",7,4))))*($AH50-INDEX('How This Works &amp; Sources'!$B$29:$J$36,0,IF('Your Pay &amp; Benefits'!$C$12="MFJ",1,IF('Your Pay &amp; Benefits'!$C$12="HoH",7,4))))*INDEX('How This Works &amp; Sources'!$B$29:$J$36,0,IF('Your Pay &amp; Benefits'!$C$12="MFJ",1,IF('Your Pay &amp; Benefits'!$C$12="HoH",7,4))+2)),SUMPRODUCT(($AH50&gt;INDEX('How This Works &amp; Sources'!$B$19:$J$26,0,IF('Your Pay &amp; Benefits'!$C$12="MFJ",1,IF('Your Pay &amp; Benefits'!$C$12="HoH",7,4))))*($AH50-INDEX('How This Works &amp; Sources'!$B$19:$J$26,0,IF('Your Pay &amp; Benefits'!$C$12="MFJ",1,IF('Your Pay &amp; Benefits'!$C$12="HoH",7,4))))*INDEX('How This Works &amp; Sources'!$B$19:$J$26,0,IF('Your Pay &amp; Benefits'!$C$12="MFJ",1,IF('Your Pay &amp; Benefits'!$C$12="HoH",7,4))+2)))),'How This Works &amp; Sources'!$C$10*$D50),2)))</f>
      </c>
      <c r="Q50" s="7">
        <f>IF($B50="","",ROUND('How This Works &amp; Sources'!$C$4*MIN($N50,MAX(0,'How This Works &amp; Sources'!$C$3-($AX50+$AB49-$AW50))),2))</f>
      </c>
      <c r="R50" s="7">
        <f>IF($B50="","",ROUND('How This Works &amp; Sources'!$C$5*$N50,2))</f>
      </c>
      <c r="S50" s="7">
        <f>IF($B50="","",ROUND('How This Works &amp; Sources'!$C$6*MAX(0,MIN($N50,$AG49+$N50-'How This Works &amp; Sources'!$C$7)),2))</f>
      </c>
      <c r="T50" s="7">
        <f>IF($B50="","",IF('Your Pay &amp; Benefits'!$C$26,0,IF($AN50="CA",ROUND(IF($AI50&lt;=IF(($AS50+$AT50)&gt;=2,VLOOKUP($AN50,StateTables!$A$6:$AB$56,10,FALSE),VLOOKUP($AN50,StateTables!$A$6:$AB$56,9,FALSE)),0,MAX(0,SUMPRODUCT(($AJ50&gt;INDEX('How This Works &amp; Sources'!$B$39:$J$48,0,IF($AU50="Married",4,IF($AU50="Head of household",7,1))))*($AJ50-INDEX('How This Works &amp; Sources'!$B$39:$J$48,0,IF($AU50="Married",4,IF($AU50="Head of household",7,1))))*INDEX('How This Works &amp; Sources'!$B$39:$J$48,0,IF($AU50="Married",4,IF($AU50="Head of household",7,1))+2))-VLOOKUP($AN50,StateTables!$A$6:$AB$56,11,FALSE)*$AS50)/'Your Pay &amp; Benefits'!$C$8)+'Your Pay &amp; Benefits'!$C$25+VLOOKUP($AN50,StateTables!$A$6:$AB$56,13,FALSE)*$D50,2),IF(VLOOKUP($AN50,StateTables!$A$6:$AB$56,4,FALSE)="None",0,IF(ISNUMBER(SEARCH("MANUAL",VLOOKUP($AN50,StateTables!$A$6:$AB$56,5,FALSE))),'Your Pay &amp; Benefits'!$C$28,ROUND(MAX(0,$BA50+$BB50)/'Your Pay &amp; Benefits'!$C$8+'Your Pay &amp; Benefits'!$C$25+$BC50,2))))))</f>
      </c>
      <c r="U50" s="7">
        <f>IF($B50="","",IF(VLOOKUP($AN50,StateTables!$A$6:$AB$56,24,FALSE)="flatq",IF(OR(MONTH($B50)=1,MONTH($B50)=4,MONTH($B50)=7,MONTH($B50)=10),VLOOKUP($AN50,StateTables!$A$6:$AB$56,25,FALSE),0),IF(VLOOKUP($AN50,StateTables!$A$6:$AB$56,24,FALSE)="dbl",MIN(ROUND(0.005*$N50,2),ROUND(0.6*52/'Your Pay &amp; Benefits'!$C$8,2)),IF(OR(VLOOKUP($AN50,StateTables!$A$6:$AB$56,15,FALSE)="",VLOOKUP($AN50,StateTables!$A$6:$AB$56,15,FALSE)=0),0,ROUND(VLOOKUP($AN50,StateTables!$A$6:$AB$56,15,FALSE)*IF(OR(VLOOKUP($AN50,StateTables!$A$6:$AB$56,16,FALSE)="",VLOOKUP($AN50,StateTables!$A$6:$AB$56,16,FALSE)=0),$N50,MIN($N50,MAX(0,VLOOKUP($AN50,StateTables!$A$6:$AB$56,16,FALSE)-($AX50+$AB49-$AW50)))),2))))+IF(VLOOKUP($AN50,StateTables!$A$6:$AB$56,27,FALSE)="flatq",IF(OR(MONTH($B50)=1,MONTH($B50)=4,MONTH($B50)=7,MONTH($B50)=10),VLOOKUP($AN50,StateTables!$A$6:$AB$56,28,FALSE),0),IF(VLOOKUP($AN50,StateTables!$A$6:$AB$56,27,FALSE)="dbl",MIN(ROUND(0.005*$N50,2),ROUND(0.6*52/'Your Pay &amp; Benefits'!$C$8,2)),IF(OR(VLOOKUP($AN50,StateTables!$A$6:$AB$56,18,FALSE)="",VLOOKUP($AN50,StateTables!$A$6:$AB$56,18,FALSE)=0),0,ROUND(VLOOKUP($AN50,StateTables!$A$6:$AB$56,18,FALSE)*IF(OR(VLOOKUP($AN50,StateTables!$A$6:$AB$56,19,FALSE)="",VLOOKUP($AN50,StateTables!$A$6:$AB$56,19,FALSE)=0),$N50,MIN($N50,MAX(0,VLOOKUP($AN50,StateTables!$A$6:$AB$56,19,FALSE)-($AX50+$AB49-$AW50)))),2)))))</f>
      </c>
      <c r="V50" s="7">
        <f>IF($B50="","",IF($AN50="NY",IF('Your Pay &amp; Benefits'!$C$78,ROUND(SUMPRODUCT((MAX(0,($O50-$D50)*'Your Pay &amp; Benefits'!$C$8-(IF($AU50="Married",5500,5000)+1000*$AS50))&gt;INDEX('How This Works &amp; Sources'!$B$184:$J$198,0,4))*(MAX(0,($O50-$D50)*'Your Pay &amp; Benefits'!$C$8-(IF($AU50="Married",5500,5000)+1000*$AS50))-INDEX('How This Works &amp; Sources'!$B$184:$J$198,0,4))*INDEX('How This Works &amp; Sources'!$B$184:$J$198,0,4+2))/'Your Pay &amp; Benefits'!$C$8+0.0425*$D50,2),0)+IF('Your Pay &amp; Benefits'!$C$79="Resident",ROUND(0.1675*$T50,2),IF('Your Pay &amp; Benefits'!$C$79="Nonresident",ROUND(0.005*MAX(0,($O50-$D50)-(IF($AU50="Married",7950,7400)+1000*$AS50)/'Your Pay &amp; Benefits'!$C$8),2),0)),IF($AN50="PA",IF('Your Pay &amp; Benefits'!$C$80="None",'Your Pay &amp; Benefits'!$C$27+ROUND('Your Pay &amp; Benefits'!$C$81*($C50+$D50),2),ROUND(IF('Your Pay &amp; Benefits'!$C$80="Resident",IF($B50&lt;DATE(2026,7,1),0.0374,0.03735),IF($B50&lt;DATE(2026,7,1),0.0343,0.03425))*($C50+$D50),2)),IF($BF50=0,ROUND('Your Pay &amp; Benefits'!$C$81*($C50+$D50),2),'Your Pay &amp; Benefits'!$C$27+ROUND('Your Pay &amp; Benefits'!$C$81*($C50+$D50),2)))))</f>
      </c>
      <c r="W50" s="7">
        <f>IF($B50="","",IF($BF50=0,0,$BP50))</f>
      </c>
      <c r="X50" s="7">
        <f>IF($B50="","",SUM($E50:$K50)+$P50+$Q50+$R50+$S50+$T50+$U50+$V50+$W50)</f>
      </c>
      <c r="Y50" s="22">
        <f>IF($B50="","",$C50+$D50-$X50)</f>
      </c>
      <c r="Z50" s="7">
        <f>IF($B50="","",$Z49+$C50+$D50)</f>
      </c>
      <c r="AA50" s="7">
        <f>IF($B50="","",$AA49+$Y50)</f>
      </c>
      <c r="AB50" s="7">
        <f>IF($B50="","",$AB49+MIN($N50,MAX(0,'How This Works &amp; Sources'!$C$3-($AX50+$AB49-$AW50))))</f>
      </c>
      <c r="AC50" s="7">
        <f>IF($B50="","",$AC49+$E50+$F50)</f>
      </c>
      <c r="AD50" s="3">
        <f>IF($B50="","",IF(AND($AB49&lt;'How This Works &amp; Sources'!$C$3,$AB50&gt;='How This Works &amp; Sources'!$C$3),"★ Social Security maxed on this check — from the next check your net rises by about $"&amp;TEXT(ROUND('How This Works &amp; Sources'!$C$4*$N50,2),"#,##0.00")&amp;". ","")&amp;IF(AND($AC49&lt;'Your Pay &amp; Benefits'!$C$34,$AC50&gt;='Your Pay &amp; Benefits'!$C$34),"★ 401(k) reaches the $"&amp;TEXT('Your Pay &amp; Benefits'!$C$34,"#,##0")&amp;" cap on this check — deferrals stop and net pay rises. ","")&amp;IF(AND($AG49&lt;'How This Works &amp; Sources'!$C$7,$AG50&gt;='How This Works &amp; Sources'!$C$7),"★ Wages pass $200,000 — the 0.9% Additional Medicare Tax starts here. ","")&amp;IF(AND($BJ50&gt;0,$H50&gt;0,$BG49&lt;MIN($BJ50,'How This Works &amp; Sources'!$C$13),$BG49+$H50&gt;=MIN($BJ50,'How This Works &amp; Sources'!$C$13)),"★ Health FSA election is now fully deferred for the year. ",""))</f>
      </c>
      <c r="AE50" s="41" t="n"/>
      <c r="AF50" s="7">
        <f>IF(OR($B50="",$AE50=""),"",$AE50-$Y50)</f>
      </c>
      <c r="AG50" s="7">
        <f>IF($B50="","",$AG49+$N50)</f>
      </c>
      <c r="AH50" s="7">
        <f>IF($B50="","",MAX(0,($M50-$D50)*'Your Pay &amp; Benefits'!$C$8+$AP50-$AQ50-IF('Your Pay &amp; Benefits'!$C$13,0,IF('Your Pay &amp; Benefits'!$C$12="MFJ",'How This Works &amp; Sources'!$C$8,'How This Works &amp; Sources'!$C$9))))</f>
      </c>
      <c r="AI50" s="7">
        <f>IF($B50="","",$O50*'Your Pay &amp; Benefits'!$C$8)</f>
      </c>
      <c r="AJ50" s="7">
        <f>IF($B50="","",MAX(0,$AI50-VLOOKUP($AN50,StateTables!$A$6:$AB$56,12,FALSE)*$AT50-IF(($AS50+$AT50)&gt;=2,VLOOKUP($AN50,StateTables!$A$6:$AB$56,8,FALSE),VLOOKUP($AN50,StateTables!$A$6:$AB$56,7,FALSE))))</f>
      </c>
      <c r="AK50" s="7">
        <f>IF($B50="","",IFERROR(LOOKUP(2,1/(('Changes &amp; Events'!$C$6:$C$17="Salary change")*('Changes &amp; Events'!$B$6:$B$17&lt;=$B50)*('Changes &amp; Events'!$B$6:$B$17&lt;&gt;"")),'Changes &amp; Events'!$D$6:$D$17),IF('Your Pay &amp; Benefits'!$C$4="Annual salary",'Your Pay &amp; Benefits'!$C$5,'Your Pay &amp; Benefits'!$C$6)))</f>
      </c>
      <c r="AL50">
        <f>IF($B50="","",IFERROR(LOOKUP(2,1/(('Changes &amp; Events'!$C$6:$C$17="401(k) change")*('Changes &amp; Events'!$B$6:$B$17&lt;=$B50)*('Changes &amp; Events'!$B$6:$B$17&lt;&gt;"")),'Changes &amp; Events'!$D$6:$D$17),'Your Pay &amp; Benefits'!$C$30))</f>
      </c>
      <c r="AM50" s="7">
        <f>IF($B50="","",IFERROR(LOOKUP(2,1/(('Changes &amp; Events'!$C$6:$C$17="401(k) change")*('Changes &amp; Events'!$B$6:$B$17&lt;=$B50)*('Changes &amp; Events'!$B$6:$B$17&lt;&gt;"")),'Changes &amp; Events'!$E$6:$E$17),'Your Pay &amp; Benefits'!$D$31))</f>
      </c>
      <c r="AN50">
        <f>IF($B50="","",IFERROR(LOOKUP(2,1/(('Changes &amp; Events'!$C$6:$C$17="State move")*('Changes &amp; Events'!$B$6:$B$17&lt;=$B50)*('Changes &amp; Events'!$B$6:$B$17&lt;&gt;"")),'Changes &amp; Events'!$D$6:$D$17),'Your Pay &amp; Benefits'!$C$21))</f>
      </c>
      <c r="AO50" s="7">
        <f>IF($B50="","",IFERROR(LOOKUP(2,1/(('Changes &amp; Events'!$C$6:$C$17="W-4 change")*('Changes &amp; Events'!$B$6:$B$17&lt;=$B50)*('Changes &amp; Events'!$B$6:$B$17&lt;&gt;"")),'Changes &amp; Events'!$D$6:$D$17),'Your Pay &amp; Benefits'!$C$14))</f>
      </c>
      <c r="AP50" s="7">
        <f>IF($B50="","",IFERROR(LOOKUP(2,1/(('Changes &amp; Events'!$C$6:$C$17="W-4 change")*('Changes &amp; Events'!$B$6:$B$17&lt;=$B50)*('Changes &amp; Events'!$B$6:$B$17&lt;&gt;"")),'Changes &amp; Events'!$E$6:$E$17),'Your Pay &amp; Benefits'!$C$15))</f>
      </c>
      <c r="AQ50" s="7">
        <f>IF($B50="","",IFERROR(LOOKUP(2,1/(('Changes &amp; Events'!$C$6:$C$17="W-4 change")*('Changes &amp; Events'!$B$6:$B$17&lt;=$B50)*('Changes &amp; Events'!$B$6:$B$17&lt;&gt;"")),'Changes &amp; Events'!$F$6:$F$17),'Your Pay &amp; Benefits'!$C$16))</f>
      </c>
      <c r="AR50" s="7">
        <f>IF($B50="","",IFERROR(LOOKUP(2,1/(('Changes &amp; Events'!$C$6:$C$17="W-4 change")*('Changes &amp; Events'!$B$6:$B$17&lt;=$B50)*('Changes &amp; Events'!$B$6:$B$17&lt;&gt;"")),'Changes &amp; Events'!$G$6:$G$17),'Your Pay &amp; Benefits'!$C$17))</f>
      </c>
      <c r="AS50" s="6">
        <f>IF($B50="","",IFERROR(LOOKUP(2,1/((('Changes &amp; Events'!$C$6:$C$17="State move")+('Changes &amp; Events'!$C$6:$C$17="State cert change"))*('Changes &amp; Events'!$B$6:$B$17&lt;=$B50)*('Changes &amp; Events'!$B$6:$B$17&lt;&gt;"")),'Changes &amp; Events'!$F$6:$F$17),'Your Pay &amp; Benefits'!$C$23))</f>
      </c>
      <c r="AT50" s="6">
        <f>IF($B50="","",IFERROR(LOOKUP(2,1/((('Changes &amp; Events'!$C$6:$C$17="State move")+('Changes &amp; Events'!$C$6:$C$17="State cert change"))*('Changes &amp; Events'!$B$6:$B$17&lt;=$B50)*('Changes &amp; Events'!$B$6:$B$17&lt;&gt;"")),'Changes &amp; Events'!$G$6:$G$17),'Your Pay &amp; Benefits'!$C$24))</f>
      </c>
      <c r="AU50">
        <f>IF($B50="","",IFERROR(LOOKUP(2,1/(('Changes &amp; Events'!$C$6:$C$17="State move")*('Changes &amp; Events'!$B$6:$B$17&lt;=$B50)*('Changes &amp; Events'!$B$6:$B$17&lt;&gt;"")),'Changes &amp; Events'!$E$6:$E$17),'Your Pay &amp; Benefits'!$C$22))</f>
      </c>
      <c r="AV50" s="6">
        <f>IF($B50="","",1+COUNTIFS('Changes &amp; Events'!$C$6:$C$17,"Employer change",'Changes &amp; Events'!$B$6:$B$17,"&lt;="&amp;$B50,'Changes &amp; Events'!$B$6:$B$17,"&lt;&gt;"))</f>
      </c>
      <c r="AW50" s="7">
        <f>IF($B50="","",IF($AV50=1,'Your Pay &amp; Benefits'!$C$49,IF(IFERROR(MATCH(IFERROR(LOOKUP(2,1/(('Changes &amp; Events'!$C$6:$C$17="Employer change")*('Changes &amp; Events'!$B$6:$B$17&lt;=$B50)*('Changes &amp; Events'!$B$6:$B$17&lt;&gt;"")),'Changes &amp; Events'!$B$6:$B$17),""),$B$6:$B$68,1),1)&lt;=1,'Your Pay &amp; Benefits'!$C$49,INDEX($AB$6:$AB$68,MATCH(IFERROR(LOOKUP(2,1/(('Changes &amp; Events'!$C$6:$C$17="Employer change")*('Changes &amp; Events'!$B$6:$B$17&lt;=$B50)*('Changes &amp; Events'!$B$6:$B$17&lt;&gt;"")),'Changes &amp; Events'!$B$6:$B$17),""),$B$6:$B$68,1)-1))))</f>
      </c>
      <c r="AX50" s="7">
        <f>IF($B50="","",IF($AV50=1,'Your Pay &amp; Benefits'!$C$49,IFERROR(LOOKUP(2,1/(('Changes &amp; Events'!$C$6:$C$17="Employer change")*('Changes &amp; Events'!$B$6:$B$17&lt;=$B50)*('Changes &amp; Events'!$B$6:$B$17&lt;&gt;"")),'Changes &amp; Events'!$D$6:$D$17),0)))</f>
      </c>
      <c r="AY50" s="7">
        <f>IF($B50="","",($O50-$D50)*'Your Pay &amp; Benefits'!$C$8)</f>
      </c>
      <c r="AZ50" s="7">
        <f>IF($B50="","",IF($AN50="AL",MAX(0,$AY50-IF($AU50="Married",IF($AY50&lt;=25999,8500,MAX(5000,8500-175*CEILING(($AY50-25999)/500,1))),IF($AU50="Head of household",IF($AY50&lt;=25999,5200,MAX(2500,5200-135*CEILING(($AY50-25999)/500,1))),IF($AY50&lt;=25999,3000,MAX(2500,3000-25*CEILING(($AY50-25999)/500,1)))))-($P50-'How This Works &amp; Sources'!$C$10*$D50)*'Your Pay &amp; Benefits'!$C$8-IF(OR($AU50="Married",$AU50="Head of household"),3000,1500)-$AT50*IF($AY50&lt;=50000,1000,IF($AY50&lt;=100000,500,300))),IF($AN50="AR",IF(MAX(0,$AY50-2470)&lt;97701,INT(MAX(0,$AY50-2470)/100)*100+50,MAX(0,$AY50-2470)),IF($AN50="DE",MAX(0,$AI50-3250),IF($AN50="HI",MAX(0,$AI50-1144*$AS50-4350),IF($AN50="KS",MAX(0,$AI50-(9160*IF($AU50="Married",2,1)+2320*$AT50+IF($AU50="Head of household",2320,0))),IF($AN50="MD",MAX(0,$AI50-3400-3200*$AS50),IF($AN50="MN",MAX(0,$AY50-5300*$AS50),IF($AN50="MO",MAX(0,$AI50-IF($AU50="Head of household",24150,IF($AU50="Married",IF('Your Pay &amp; Benefits'!$C$83,16100,32200),16100))),IF($AN50="MT",$AY50,IF($AN50="ND",($C50+$L50)*'Your Pay &amp; Benefits'!$C$8,IF($AN50="NE",MAX(0,$AY50-2440*$AS50),IF($AN50="NJ",MAX(0,$AY50-1000*$AS50),IF($AN50="NY",MAX(0,$AY50-(IF($AU50="Married",7950,7400)+1000*$AS50)),IF($AN50="OH",MAX(0,$AY50-650*$AS50),IF($AN50="OK",MAX(0,$AY50-1000*$AS50),IF($AN50="RI",MAX(0,$AI50-1000*$AS50),IF($AN50="SC",MAX(0,$AI50-5000*$AS50-IF($AS50=0,0,MIN(0.1*$AI50,7500))),IF($AN50="VA",MAX(0,$AI50-IF($AU50="Married",17500,8750)-930*$AS50-800*$AT50),IF($AN50="VT",MAX(0,$AI50-5400*$AS50),IF($AN50="WI",MAX(0,$AI50-MAX(0,IF($AU50="Married",9461-0.2*MAX(0,$AI50-25727),6702-0.12*MAX(0,$AI50-17780)))-400*$AS50),IF($AN50="WV",MAX(0,$AI50-2000*$AS50),$AI50))))))))))))))))))))))</f>
      </c>
      <c r="BA50" s="7">
        <f>IF($B50="","",IF($BW50&lt;&gt;"",$BW50,IF($BX50&lt;&gt;"",$BX50,IF($BY50&lt;&gt;"",$BY50,0))))</f>
      </c>
      <c r="BB50" s="7">
        <f>IF($B50="","",IF($AN50="AR",-29*$AS50,IF($AN50="DE",-110*$AS50,IF($AN50="MD",$AZ50*'Your Pay &amp; Benefits'!$C$74,IF($AN50="AZ",'Your Pay &amp; Benefits'!$C$82*($M50-$D50)*'Your Pay &amp; Benefits'!$C$8,IF($AN50="CO",0.044*MAX(0,$AY50-IF($AU50="Married",10000,5000)),IF($AN50="IA",MAX(0,0.038*MAX(0,$AY50-IF($AU50="Head of household",19500,IF($AU50="Married",26000,13000)))-40*$AS50),IF($AN50="ID",0.053*MAX(0,$AY50-IF($AU50="Married",32000,16094)),IF($AN50="IL",0.0495*MAX(0,$AY50-(2925*$AS50+1000*$AT50)),IF($AN50="IN",(0.0295+'Your Pay &amp; Benefits'!$C$76)*MAX(0,$AY50-(1000*$AS50+1500*$AT50+3000*'Your Pay &amp; Benefits'!$C$86)),IF($AN50="KY",0.035*MAX(0,$AI50-3360),IF($AN50="LA",IF('Your Pay &amp; Benefits'!$C$84="0",0.0309*$AI50,0.0309*MAX(0,$AI50-IF('Your Pay &amp; Benefits'!$C$84="2",25750,12875))),IF($AN50="MA",0.05*MIN(MAX(0,$AY50-MIN(($BD49+$Q50+$R50+$S50),2000)-IF($AS50=0,0,IF($AS50=1,4400,1000*$AS50+3400))),1107750)+0.09*MAX(0,MAX(0,$AY50-MIN(($BD49+$Q50+$R50+$S50),2000)-IF($AS50=0,0,IF($AS50=1,4400,1000*$AS50+3400)))-1107750)-IF($AU50="Head of household",120,0)-110*'Your Pay &amp; Benefits'!$C$75,IF($AN50="MI",0.0425*MAX(0,$AY50-5900*$AS50),IF($AN50="MS",0.04*MAX(0,$AI50-IF($AU50="Head of household",3400,IF($AU50="Married",4600,2300))-'Your Pay &amp; Benefits'!$C$85-10000),IF($AN50="OR",IF(OR($AU50="Married",AND($AU50="Single",$AS50&gt;=3)),SUMPRODUCT((MAX(0,$AY50-MIN(($P50-'How This Works &amp; Sources'!$C$10*$D50)*'Your Pay &amp; Benefits'!$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Sources'!$B$211:$J$214,0,4))*(MAX(0,$AY50-MIN(($P50-'How This Works &amp; Sources'!$C$10*$D50)*'Your Pay &amp; Benefits'!$C$8,IF(OR($AU50="Married",AND($AU50="Single",$AS50&gt;=3)),IF($AY50&lt;250000,8750,IF($AY50&lt;260000,7000,IF($AY50&lt;270000,5250,IF($AY50&lt;280000,3500,IF($AY50&lt;290000,1750,0))))),IF($AY50&lt;125000,8750,IF($AY50&lt;130000,7000,IF($AY50&lt;135000,5250,IF($AY50&lt;140000,3500,IF($AY50&lt;145000,1750,0)))))))-IF(OR($AU50="Married",AND($AU50="Single",$AS50&gt;=3)),5820,2910))-INDEX('How This Works &amp; Sources'!$B$211:$J$214,0,4))*INDEX('How This Works &amp; Sources'!$B$211:$J$214,0,4+2)),SUMPRODUCT((MAX(0,$AY50-MIN(($P50-'How This Works &amp; Sources'!$C$10*$D50)*'Your Pay &amp; Benefits'!$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Sources'!$B$211:$J$214,0,1))*(MAX(0,$AY50-MIN(($P50-'How This Works &amp; Sources'!$C$10*$D50)*'Your Pay &amp; Benefits'!$C$8,IF(OR($AU50="Married",AND($AU50="Single",$AS50&gt;=3)),IF($AY50&lt;250000,8750,IF($AY50&lt;260000,7000,IF($AY50&lt;270000,5250,IF($AY50&lt;280000,3500,IF($AY50&lt;290000,1750,0))))),IF($AY50&lt;125000,8750,IF($AY50&lt;130000,7000,IF($AY50&lt;135000,5250,IF($AY50&lt;140000,3500,IF($AY50&lt;145000,1750,0)))))))-IF(OR($AU50="Married",AND($AU50="Single",$AS50&gt;=3)),5820,2910))-INDEX('How This Works &amp; Sources'!$B$211:$J$214,0,1))*INDEX('How This Works &amp; Sources'!$B$211:$J$214,0,1+2)))+263-263*IF(IF($AU50="Married",$AY50&gt;200000,$AY50&gt;100000),0,$AS50),IF($AN50="PA",0.0307*(($O50+$E50+$G50)*'Your Pay &amp; Benefits'!$C$8),IF($AN50="NY",IF($AU50="Married",IF($AZ50&gt;=2155350,0,IF($AZ50&gt;=1077550,0.48,IF($AZ50&gt;=373200,1.21,IF($AZ50&gt;=323200,0.21,IF($AZ50&gt;=211550,-0.19,IF($AZ50&gt;=157650,-2.8,IF($AZ50&gt;=107650,-0.8,IF($AZ50&gt;=96800,0.05,IF($AZ50&gt;=80650,-0.1,IF($AZ50&gt;=13900,0.4,IF($AZ50&gt;=11700,-0.3,IF($AZ50&gt;=8500,0.5,0)))))))))))),IF($AZ50&gt;=1077550,0,IF($AZ50&gt;=265400,4.29,IF($AZ50&gt;=215400,2.29,IF($AZ50&gt;=157650,2.29,IF($AZ50&gt;=107650,0.29,IF($AZ50&gt;=96800,0.05,IF($AZ50&gt;=80650,-0.1,IF($AZ50&gt;=13900,0.4,IF($AZ50&gt;=11700,-0.3,IF($AZ50&gt;=8500,0.5,0))))))))))),0))))))))))))))))))</f>
      </c>
      <c r="BC50" s="7">
        <f>IF($B50="","",IF($AN50="AL",0.05*$D50,IF($AN50="AR",0.039*$D50,IF($AN50="ID",0.053*$D50,IF($AN50="IN",(0.0295+'Your Pay &amp; Benefits'!$C$76)*$D50,IF($AN50="KS",0.05*$D50,IF($AN50="MA",0.09*MIN($D50,MAX(0,MAX(0,$AY50-MIN(($BD49+$Q50+$R50+$S50),2000)-IF($AS50=0,0,IF($AS50=1,4400,1000*$AS50+3400)))+$D50-1107750))+0.05*($D50-MIN($D50,MAX(0,MAX(0,$AY50-MIN(($BD49+$Q50+$R50+$S50),2000)-IF($AS50=0,0,IF($AS50=1,4400,1000*$AS50+3400)))+$D50-1107750))),IF($AN50="MD",(0.065+'Your Pay &amp; Benefits'!$C$74)*$D50,IF($AN50="MI",0.0425*$D50,IF($AN50="MN",0.0625*$D50,IF($AN50="MO",0.047*$D50,IF($AN50="MT",0.05*$D50,IF($AN50="ND",0.015*$D50,IF($AN50="NE",0.035*$D50,IF($AN50="NJ",IF('Your Pay &amp; Benefits'!$C$77="B",SUMPRODUCT(($D50*'Your Pay &amp; Benefits'!$C$8&gt;INDEX('How This Works &amp; Sources'!$B$155:$J$162,0,4))*($D50*'Your Pay &amp; Benefits'!$C$8-INDEX('How This Works &amp; Sources'!$B$155:$J$162,0,4))*INDEX('How This Works &amp; Sources'!$B$155:$J$162,0,4+2)),IF('Your Pay &amp; Benefits'!$C$77="C",SUMPRODUCT(($D50*'Your Pay &amp; Benefits'!$C$8&gt;INDEX('How This Works &amp; Sources'!$B$155:$J$162,0,7))*($D50*'Your Pay &amp; Benefits'!$C$8-INDEX('How This Works &amp; Sources'!$B$155:$J$162,0,7))*INDEX('How This Works &amp; Sources'!$B$155:$J$162,0,7+2)),IF('Your Pay &amp; Benefits'!$C$77="D",SUMPRODUCT(($D50*'Your Pay &amp; Benefits'!$C$8&gt;INDEX('How This Works &amp; Sources'!$B$167:$J$179,0,1))*($D50*'Your Pay &amp; Benefits'!$C$8-INDEX('How This Works &amp; Sources'!$B$167:$J$179,0,1))*INDEX('How This Works &amp; Sources'!$B$167:$J$179,0,1+2)),IF('Your Pay &amp; Benefits'!$C$77="E",SUMPRODUCT(($D50*'Your Pay &amp; Benefits'!$C$8&gt;INDEX('How This Works &amp; Sources'!$B$167:$J$179,0,4))*($D50*'Your Pay &amp; Benefits'!$C$8-INDEX('How This Works &amp; Sources'!$B$167:$J$179,0,4))*INDEX('How This Works &amp; Sources'!$B$167:$J$179,0,4+2)),SUMPRODUCT(($D50*'Your Pay &amp; Benefits'!$C$8&gt;INDEX('How This Works &amp; Sources'!$B$155:$J$162,0,1))*($D50*'Your Pay &amp; Benefits'!$C$8-INDEX('How This Works &amp; Sources'!$B$155:$J$162,0,1))*INDEX('How This Works &amp; Sources'!$B$155:$J$162,0,1+2))))))/'Your Pay &amp; Benefits'!$C$8,IF($AN50="NY",0.117*$D50,IF($AN50="OH",0.0275*$D50,IF($AN50="OK",0.045*$D50,IF($AN50="OR",0.08*$D50,IF($AN50="WI",IF($AY50&lt;12760,0.0354,IF($AY50&lt;25520,0.0465,IF($AY50&lt;280950,0.053,0.0765)))*$D50,0))))))))))))))))))))</f>
      </c>
      <c r="BD50" s="7">
        <f>IF($B50="","",$BD49+$Q50+$R50+$S50)</f>
      </c>
      <c r="BE50" s="6">
        <f>IF($B50="",$BE49,$BE49+$BF50)</f>
      </c>
      <c r="BF50" s="6">
        <f>IF($B50="","",IF(AND(IF(YEAR(IF('Your Pay &amp; Benefits'!$C$7="Weekly",'Your Pay &amp; Benefits'!$C$9+7*(($BE49+1)-1),IF('Your Pay &amp; Benefits'!$C$7="Biweekly",'Your Pay &amp; Benefits'!$C$9+14*(($BE49+1)-1),IF('Your Pay &amp; Benefits'!$C$7="Semimonthly",DATE(YEAR('Your Pay &amp; Benefits'!$C$9),MONTH('Your Pay &amp; Benefits'!$C$9)+INT((($BE49+1)-1)/2),MIN(DAY('Your Pay &amp; Benefits'!$C$9),DAY(EOMONTH(DATE(YEAR('Your Pay &amp; Benefits'!$C$9),MONTH('Your Pay &amp; Benefits'!$C$9)+INT((($BE49+1)-1)/2),1),0))))+IF(MOD(($BE49+1)-1,2)=1,15,0),EDATE('Your Pay &amp; Benefits'!$C$9,($BE49+1)-1)))))&lt;&gt;'Your Pay &amp; Benefits'!$C$10,"",IF('Your Pay &amp; Benefits'!$C$7="Weekly",'Your Pay &amp; Benefits'!$C$9+7*(($BE49+1)-1),IF('Your Pay &amp; Benefits'!$C$7="Biweekly",'Your Pay &amp; Benefits'!$C$9+14*(($BE49+1)-1),IF('Your Pay &amp; Benefits'!$C$7="Semimonthly",DATE(YEAR('Your Pay &amp; Benefits'!$C$9),MONTH('Your Pay &amp; Benefits'!$C$9)+INT((($BE49+1)-1)/2),MIN(DAY('Your Pay &amp; Benefits'!$C$9),DAY(EOMONTH(DATE(YEAR('Your Pay &amp; Benefits'!$C$9),MONTH('Your Pay &amp; Benefits'!$C$9)+INT((($BE49+1)-1)/2),1),0))))+IF(MOD(($BE49+1)-1,2)=1,15,0),EDATE('Your Pay &amp; Benefits'!$C$9,($BE49+1)-1)))))&lt;&gt;"",$B50=IF(YEAR(IF('Your Pay &amp; Benefits'!$C$7="Weekly",'Your Pay &amp; Benefits'!$C$9+7*(($BE49+1)-1),IF('Your Pay &amp; Benefits'!$C$7="Biweekly",'Your Pay &amp; Benefits'!$C$9+14*(($BE49+1)-1),IF('Your Pay &amp; Benefits'!$C$7="Semimonthly",DATE(YEAR('Your Pay &amp; Benefits'!$C$9),MONTH('Your Pay &amp; Benefits'!$C$9)+INT((($BE49+1)-1)/2),MIN(DAY('Your Pay &amp; Benefits'!$C$9),DAY(EOMONTH(DATE(YEAR('Your Pay &amp; Benefits'!$C$9),MONTH('Your Pay &amp; Benefits'!$C$9)+INT((($BE49+1)-1)/2),1),0))))+IF(MOD(($BE49+1)-1,2)=1,15,0),EDATE('Your Pay &amp; Benefits'!$C$9,($BE49+1)-1)))))&lt;&gt;'Your Pay &amp; Benefits'!$C$10,"",IF('Your Pay &amp; Benefits'!$C$7="Weekly",'Your Pay &amp; Benefits'!$C$9+7*(($BE49+1)-1),IF('Your Pay &amp; Benefits'!$C$7="Biweekly",'Your Pay &amp; Benefits'!$C$9+14*(($BE49+1)-1),IF('Your Pay &amp; Benefits'!$C$7="Semimonthly",DATE(YEAR('Your Pay &amp; Benefits'!$C$9),MONTH('Your Pay &amp; Benefits'!$C$9)+INT((($BE49+1)-1)/2),MIN(DAY('Your Pay &amp; Benefits'!$C$9),DAY(EOMONTH(DATE(YEAR('Your Pay &amp; Benefits'!$C$9),MONTH('Your Pay &amp; Benefits'!$C$9)+INT((($BE49+1)-1)/2),1),0))))+IF(MOD(($BE49+1)-1,2)=1,15,0),EDATE('Your Pay &amp; Benefits'!$C$9,($BE49+1)-1)))))),1,0))</f>
      </c>
      <c r="BG50" s="7">
        <f>IF($B50="","",$BG49+$H50)</f>
      </c>
      <c r="BH50" s="7">
        <f>IF($B50="","",$BH49+$I50)</f>
      </c>
      <c r="BI50" s="7">
        <f>IF($B50="","",$BI49+$G50)</f>
      </c>
      <c r="BJ50" s="7">
        <f>IF($B50="","",IFERROR(LOOKUP(2,1/(((('Changes &amp; Events'!$C$6:$C$17="Deduction start"))*('Changes &amp; Events'!$D$6:$D$17="Health FSA"))*('Changes &amp; Events'!$B$6:$B$17&lt;=$B50)*('Changes &amp; Events'!$B$6:$B$17&lt;&gt;"")),'Changes &amp; Events'!$E$6:$E$17),'Your Pay &amp; Benefits'!$D$38))</f>
      </c>
      <c r="BK50" s="7">
        <f>IF($B50="","",IFERROR(LOOKUP(2,1/(((('Changes &amp; Events'!$C$6:$C$17="Deduction start"))*('Changes &amp; Events'!$D$6:$D$17="Dependent-care FSA"))*('Changes &amp; Events'!$B$6:$B$17&lt;=$B50)*('Changes &amp; Events'!$B$6:$B$17&lt;&gt;"")),'Changes &amp; Events'!$E$6:$E$17),'Your Pay &amp; Benefits'!$D$39))</f>
      </c>
      <c r="BL50" s="7">
        <f>IF($B50="","",IFERROR(LOOKUP(2,1/(((('Changes &amp; Events'!$C$6:$C$17="Deduction start")+('Changes &amp; Events'!$C$6:$C$17="Deduction stop"))*('Changes &amp; Events'!$D$6:$D$17="HSA"))*('Changes &amp; Events'!$B$6:$B$17&lt;=$B50)*('Changes &amp; Events'!$B$6:$B$17&lt;&gt;"")),'Changes &amp; Events'!$I$6:$I$17),'Your Pay &amp; Benefits'!$D$35))</f>
      </c>
      <c r="BM50" s="7">
        <f>IF($B50="","",IFERROR(LOOKUP(2,1/(((('Changes &amp; Events'!$C$6:$C$17="Deduction start")+('Changes &amp; Events'!$C$6:$C$17="Deduction stop"))*('Changes &amp; Events'!$D$6:$D$17="Premiums"))*('Changes &amp; Events'!$B$6:$B$17&lt;=$B50)*('Changes &amp; Events'!$B$6:$B$17&lt;&gt;"")),'Changes &amp; Events'!$I$6:$I$17),'Your Pay &amp; Benefits'!$D$40+'Your Pay &amp; Benefits'!$D$41+'Your Pay &amp; Benefits'!$D$42))</f>
      </c>
      <c r="BN50" s="7">
        <f>IF($B50="","",IFERROR(LOOKUP(2,1/(((('Changes &amp; Events'!$C$6:$C$17="Deduction start")+('Changes &amp; Events'!$C$6:$C$17="Deduction stop"))*('Changes &amp; Events'!$D$6:$D$17="Commuter"))*('Changes &amp; Events'!$B$6:$B$17&lt;=$B50)*('Changes &amp; Events'!$B$6:$B$17&lt;&gt;"")),'Changes &amp; Events'!$I$6:$I$17),'Your Pay &amp; Benefits'!$D$43))</f>
      </c>
      <c r="BO50" s="7">
        <f>IF($B50="","",IFERROR(LOOKUP(2,1/(((('Changes &amp; Events'!$C$6:$C$17="Deduction start")+('Changes &amp; Events'!$C$6:$C$17="Deduction stop"))*('Changes &amp; Events'!$D$6:$D$17="Other pre-tax"))*('Changes &amp; Events'!$B$6:$B$17&lt;=$B50)*('Changes &amp; Events'!$B$6:$B$17&lt;&gt;"")),'Changes &amp; Events'!$I$6:$I$17),'Your Pay &amp; Benefits'!$D$44))</f>
      </c>
      <c r="BP50" s="7">
        <f>IF($B50="","",IFERROR(LOOKUP(2,1/(((('Changes &amp; Events'!$C$6:$C$17="Deduction start")+('Changes &amp; Events'!$C$6:$C$17="Deduction stop"))*('Changes &amp; Events'!$D$6:$D$17="Other post-tax"))*('Changes &amp; Events'!$B$6:$B$17&lt;=$B50)*('Changes &amp; Events'!$B$6:$B$17&lt;&gt;"")),'Changes &amp; Events'!$I$6:$I$17),'Your Pay &amp; Benefits'!$D$45))</f>
      </c>
      <c r="BQ50" s="6">
        <f>IF($B50="","",IFERROR(LOOKUP(2,1/(((('Changes &amp; Events'!$C$6:$C$17="Deduction start")+('Changes &amp; Events'!$C$6:$C$17="Deduction stop"))*('Changes &amp; Events'!$D$6:$D$17="Health FSA"))*('Changes &amp; Events'!$B$6:$B$17&lt;=$B50)*('Changes &amp; Events'!$B$6:$B$17&lt;&gt;"")),'Changes &amp; Events'!$J$6:$J$17),0))</f>
      </c>
      <c r="BR50" s="6">
        <f>IF($B50="","",IFERROR(LOOKUP(2,1/(((('Changes &amp; Events'!$C$6:$C$17="Deduction start")+('Changes &amp; Events'!$C$6:$C$17="Deduction stop"))*('Changes &amp; Events'!$D$6:$D$17="Dependent-care FSA"))*('Changes &amp; Events'!$B$6:$B$17&lt;=$B50)*('Changes &amp; Events'!$B$6:$B$17&lt;&gt;"")),'Changes &amp; Events'!$J$6:$J$17),0))</f>
      </c>
      <c r="BS50" s="6">
        <f>IF($B50="","",IF(SUMPRODUCT(('Changes &amp; Events'!$C$6:$C$17="Deduction start")*('Changes &amp; Events'!$B$6:$B$17&lt;=$B50)*('Changes &amp; Events'!$B$6:$B$17&lt;&gt;"")*('Changes &amp; Events'!$D$6:$D$17="Health FSA"))&gt;0,1,0))</f>
      </c>
      <c r="BT50" s="6">
        <f>IF($B50="","",IF(SUMPRODUCT(('Changes &amp; Events'!$C$6:$C$17="Deduction start")*('Changes &amp; Events'!$B$6:$B$17&lt;=$B50)*('Changes &amp; Events'!$B$6:$B$17&lt;&gt;"")*('Changes &amp; Events'!$D$6:$D$17="Dependent-care FSA"))&gt;0,1,0))</f>
      </c>
      <c r="BU50" s="24">
        <f>IF($B50="","",IF('Your Pay &amp; Benefits'!$C$13,SUMPRODUCT(($AH50&gt;=INDEX('How This Works &amp; Sources'!$B$29:$J$36,0,IF('Your Pay &amp; Benefits'!$C$12="MFJ",1,IF('Your Pay &amp; Benefits'!$C$12="HoH",7,4))))*INDEX('How This Works &amp; Sources'!$B$29:$J$36,0,IF('Your Pay &amp; Benefits'!$C$12="MFJ",1,IF('Your Pay &amp; Benefits'!$C$12="HoH",7,4))+2)),SUMPRODUCT(($AH50&gt;=INDEX('How This Works &amp; Sources'!$B$19:$J$26,0,IF('Your Pay &amp; Benefits'!$C$12="MFJ",1,IF('Your Pay &amp; Benefits'!$C$12="HoH",7,4))))*INDEX('How This Works &amp; Sources'!$B$19:$J$26,0,IF('Your Pay &amp; Benefits'!$C$12="MFJ",1,IF('Your Pay &amp; Benefits'!$C$12="HoH",7,4))+2))))</f>
      </c>
      <c r="BV50" s="24">
        <f>IF($B50="","",IF($BZ50&lt;&gt;"",$BZ50,IF($CA50&lt;&gt;"",$CA50,IF($CB50&lt;&gt;"",$CB50,IF($CC50&lt;&gt;"",$CC50,0)))))</f>
      </c>
      <c r="BW50" s="7">
        <f>IF($B50="","",IF($AN50="MD",IF(OR($AU50="Married",$AU50="Head of household"),SUMPRODUCT(($AZ50&gt;INDEX('How This Works &amp; Sources'!$B$114:$J$120,0,1))*($AZ50-INDEX('How This Works &amp; Sources'!$B$114:$J$120,0,1))*INDEX('How This Works &amp; Sources'!$B$114:$J$120,0,1+2)),SUMPRODUCT(($AZ50&gt;INDEX('How This Works &amp; Sources'!$B$103:$J$109,0,7))*($AZ50-INDEX('How This Works &amp; Sources'!$B$103:$J$109,0,7))*INDEX('How This Works &amp; Sources'!$B$103:$J$109,0,7+2))),IF($AN50="MO",SUMPRODUCT(($AZ50&gt;INDEX('How This Works &amp; Sources'!$B$125:$J$132,0,1))*($AZ50-INDEX('How This Works &amp; Sources'!$B$125:$J$132,0,1))*INDEX('How This Works &amp; Sources'!$B$125:$J$132,0,1+2)),IF($AN50="MT",IF($AU50="Head of household",SUMPRODUCT(($AZ50&gt;INDEX('How This Works &amp; Sources'!$B$137:$J$139,0,1))*($AZ50-INDEX('How This Works &amp; Sources'!$B$137:$J$139,0,1))*INDEX('How This Works &amp; Sources'!$B$137:$J$139,0,1+2)),IF($AU50="Married",SUMPRODUCT(($AZ50&gt;INDEX('How This Works &amp; Sources'!$B$125:$J$132,0,7))*($AZ50-INDEX('How This Works &amp; Sources'!$B$125:$J$132,0,7))*INDEX('How This Works &amp; Sources'!$B$125:$J$132,0,7+2)),SUMPRODUCT(($AZ50&gt;INDEX('How This Works &amp; Sources'!$B$125:$J$132,0,4))*($AZ50-INDEX('How This Works &amp; Sources'!$B$125:$J$132,0,4))*INDEX('How This Works &amp; Sources'!$B$125:$J$132,0,4+2)))),IF($AN50="ND",IF($AU50="Head of household",SUMPRODUCT(($AZ50&gt;INDEX('How This Works &amp; Sources'!$B$144:$J$150,0,1))*($AZ50-INDEX('How This Works &amp; Sources'!$B$144:$J$150,0,1))*INDEX('How This Works &amp; Sources'!$B$144:$J$150,0,1+2)),IF($AU50="Married",SUMPRODUCT(($AZ50&gt;INDEX('How This Works &amp; Sources'!$B$137:$J$139,0,7))*($AZ50-INDEX('How This Works &amp; Sources'!$B$137:$J$139,0,7))*INDEX('How This Works &amp; Sources'!$B$137:$J$139,0,7+2)),SUMPRODUCT(($AZ50&gt;INDEX('How This Works &amp; Sources'!$B$137:$J$139,0,4))*($AZ50-INDEX('How This Works &amp; Sources'!$B$137:$J$139,0,4))*INDEX('How This Works &amp; Sources'!$B$137:$J$139,0,4+2)))),IF($AN50="NJ",IF('Your Pay &amp; Benefits'!$C$77="B",SUMPRODUCT(($AZ50&gt;INDEX('How This Works &amp; Sources'!$B$155:$J$162,0,4))*($AZ50-INDEX('How This Works &amp; Sources'!$B$155:$J$162,0,4))*INDEX('How This Works &amp; Sources'!$B$155:$J$162,0,4+2)),IF('Your Pay &amp; Benefits'!$C$77="C",SUMPRODUCT(($AZ50&gt;INDEX('How This Works &amp; Sources'!$B$155:$J$162,0,7))*($AZ50-INDEX('How This Works &amp; Sources'!$B$155:$J$162,0,7))*INDEX('How This Works &amp; Sources'!$B$155:$J$162,0,7+2)),IF('Your Pay &amp; Benefits'!$C$77="D",SUMPRODUCT(($AZ50&gt;INDEX('How This Works &amp; Sources'!$B$167:$J$179,0,1))*($AZ50-INDEX('How This Works &amp; Sources'!$B$167:$J$179,0,1))*INDEX('How This Works &amp; Sources'!$B$167:$J$179,0,1+2)),IF('Your Pay &amp; Benefits'!$C$77="E",SUMPRODUCT(($AZ50&gt;INDEX('How This Works &amp; Sources'!$B$167:$J$179,0,4))*($AZ50-INDEX('How This Works &amp; Sources'!$B$167:$J$179,0,4))*INDEX('How This Works &amp; Sources'!$B$167:$J$179,0,4+2)),SUMPRODUCT(($AZ50&gt;INDEX('How This Works &amp; Sources'!$B$155:$J$162,0,1))*($AZ50-INDEX('How This Works &amp; Sources'!$B$155:$J$162,0,1))*INDEX('How This Works &amp; Sources'!$B$155:$J$162,0,1+2)))))),IF($AN50="NY",IF($AU50="Married",IF($AZ50&gt;=2155350,$AZ50*IF($AZ50&gt;25000000,0.117,IF($AZ50&gt;5000000,0.111,0.1045)),SUMPRODUCT(($AZ50&gt;INDEX('How This Works &amp; Sources'!$B$184:$J$198,0,1))*($AZ50-INDEX('How This Works &amp; Sources'!$B$184:$J$198,0,1))*INDEX('How This Works &amp; Sources'!$B$184:$J$198,0,1+2))),IF($AZ50&gt;=1077550,$AZ50*IF($AZ50&gt;25000000,0.117,IF($AZ50&gt;5000000,0.111,0.1045)),SUMPRODUCT(($AZ50&gt;INDEX('How This Works &amp; Sources'!$B$167:$J$179,0,7))*($AZ50-INDEX('How This Works &amp; Sources'!$B$167:$J$179,0,7))*INDEX('How This Works &amp; Sources'!$B$167:$J$179,0,7+2)))),"")))))))</f>
      </c>
      <c r="BX50" s="7">
        <f>IF($B50="","",IF($AN50="AL",IF(OR($AU50="Married",$AU50="Head of household"),SUMPRODUCT(($AZ50&gt;INDEX('How This Works &amp; Sources'!$B$82:$J$86,0,4))*($AZ50-INDEX('How This Works &amp; Sources'!$B$82:$J$86,0,4))*INDEX('How This Works &amp; Sources'!$B$82:$J$86,0,4+2)),SUMPRODUCT(($AZ50&gt;INDEX('How This Works &amp; Sources'!$B$82:$J$86,0,1))*($AZ50-INDEX('How This Works &amp; Sources'!$B$82:$J$86,0,1))*INDEX('How This Works &amp; Sources'!$B$82:$J$86,0,1+2))),IF($AN50="KS",IF($AU50="Married",SUMPRODUCT(($AZ50&gt;INDEX('How This Works &amp; Sources'!$B$103:$J$109,0,4))*($AZ50-INDEX('How This Works &amp; Sources'!$B$103:$J$109,0,4))*INDEX('How This Works &amp; Sources'!$B$103:$J$109,0,4+2)),SUMPRODUCT(($AZ50&gt;INDEX('How This Works &amp; Sources'!$B$103:$J$109,0,1))*($AZ50-INDEX('How This Works &amp; Sources'!$B$103:$J$109,0,1))*INDEX('How This Works &amp; Sources'!$B$103:$J$109,0,1+2))),IF($AN50="MN",IF($AU50="Married",SUMPRODUCT(($AZ50&gt;INDEX('How This Works &amp; Sources'!$B$114:$J$120,0,7))*($AZ50-INDEX('How This Works &amp; Sources'!$B$114:$J$120,0,7))*INDEX('How This Works &amp; Sources'!$B$114:$J$120,0,7+2)),SUMPRODUCT(($AZ50&gt;INDEX('How This Works &amp; Sources'!$B$114:$J$120,0,4))*($AZ50-INDEX('How This Works &amp; Sources'!$B$114:$J$120,0,4))*INDEX('How This Works &amp; Sources'!$B$114:$J$120,0,4+2))),IF($AN50="NE",MAX(IF($AU50="Married",SUMPRODUCT(($AZ50&gt;INDEX('How This Works &amp; Sources'!$B$144:$J$150,0,7))*($AZ50-INDEX('How This Works &amp; Sources'!$B$144:$J$150,0,7))*INDEX('How This Works &amp; Sources'!$B$144:$J$150,0,7+2)),SUMPRODUCT(($AZ50&gt;INDEX('How This Works &amp; Sources'!$B$144:$J$150,0,4))*($AZ50-INDEX('How This Works &amp; Sources'!$B$144:$J$150,0,4))*INDEX('How This Works &amp; Sources'!$B$144:$J$150,0,4+2))),0.015*$AZ50),IF($AN50="OH",IF($B50&gt;=DATE(2026,8,1),SUMPRODUCT(($AZ50&gt;INDEX('How This Works &amp; Sources'!$B$203:$J$206,0,1))*($AZ50-INDEX('How This Works &amp; Sources'!$B$203:$J$206,0,1))*INDEX('How This Works &amp; Sources'!$B$203:$J$206,0,1+2)),SUMPRODUCT(($AZ50&gt;INDEX('How This Works &amp; Sources'!$B$184:$J$198,0,7))*($AZ50-INDEX('How This Works &amp; Sources'!$B$184:$J$198,0,7))*INDEX('How This Works &amp; Sources'!$B$184:$J$198,0,7+2))),IF($AN50="OK",IF($AU50="Married",SUMPRODUCT(($AZ50&gt;INDEX('How This Works &amp; Sources'!$B$203:$J$206,0,7))*($AZ50-INDEX('How This Works &amp; Sources'!$B$203:$J$206,0,7))*INDEX('How This Works &amp; Sources'!$B$203:$J$206,0,7+2)),SUMPRODUCT(($AZ50&gt;INDEX('How This Works &amp; Sources'!$B$203:$J$206,0,4))*($AZ50-INDEX('How This Works &amp; Sources'!$B$203:$J$206,0,4))*INDEX('How This Works &amp; Sources'!$B$203:$J$206,0,4+2))),IF($AN50="RI",SUMPRODUCT(($AZ50&gt;INDEX('How This Works &amp; Sources'!$B$211:$J$214,0,7))*($AZ50-INDEX('How This Works &amp; Sources'!$B$211:$J$214,0,7))*INDEX('How This Works &amp; Sources'!$B$211:$J$214,0,7+2)),IF($AN50="VT",IF($AU50="Married",SUMPRODUCT(($AZ50&gt;INDEX('How This Works &amp; Sources'!$B$228:$J$232,0,1))*($AZ50-INDEX('How This Works &amp; Sources'!$B$228:$J$232,0,1))*INDEX('How This Works &amp; Sources'!$B$228:$J$232,0,1+2)),SUMPRODUCT(($AZ50&gt;INDEX('How This Works &amp; Sources'!$B$219:$J$223,0,7))*($AZ50-INDEX('How This Works &amp; Sources'!$B$219:$J$223,0,7))*INDEX('How This Works &amp; Sources'!$B$219:$J$223,0,7+2))),IF($AN50="WV",IF($AU50="Married",SUMPRODUCT(($AZ50&gt;INDEX('How This Works &amp; Sources'!$B$237:$J$241,0,7))*($AZ50-INDEX('How This Works &amp; Sources'!$B$237:$J$241,0,7))*INDEX('How This Works &amp; Sources'!$B$237:$J$241,0,7+2)),SUMPRODUCT(($AZ50&gt;INDEX('How This Works &amp; Sources'!$B$228:$J$232,0,7))*($AZ50-INDEX('How This Works &amp; Sources'!$B$228:$J$232,0,7))*INDEX('How This Works &amp; Sources'!$B$228:$J$232,0,7+2))),""))))))))))</f>
      </c>
      <c r="BY50" s="7">
        <f>IF($B50="","",IF($AN50="AR",SUMPRODUCT(($AZ50&gt;INDEX('How This Works &amp; Sources'!$B$82:$J$86,0,7))*($AZ50-INDEX('How This Works &amp; Sources'!$B$82:$J$86,0,7))*INDEX('How This Works &amp; Sources'!$B$82:$J$86,0,7+2)),IF($AN50="DE",SUMPRODUCT(($AZ50&gt;INDEX('How This Works &amp; Sources'!$B$91:$J$98,0,1))*($AZ50-INDEX('How This Works &amp; Sources'!$B$91:$J$98,0,1))*INDEX('How This Works &amp; Sources'!$B$91:$J$98,0,1+2)),IF($AN50="HI",IF($AU50="Married",SUMPRODUCT(($AZ50&gt;INDEX('How This Works &amp; Sources'!$B$91:$J$98,0,7))*($AZ50-INDEX('How This Works &amp; Sources'!$B$91:$J$98,0,7))*INDEX('How This Works &amp; Sources'!$B$91:$J$98,0,7+2)),SUMPRODUCT(($AZ50&gt;INDEX('How This Works &amp; Sources'!$B$91:$J$98,0,4))*($AZ50-INDEX('How This Works &amp; Sources'!$B$91:$J$98,0,4))*INDEX('How This Works &amp; Sources'!$B$91:$J$98,0,4+2))),IF($AN50="SC",SUMPRODUCT(($AZ50&gt;INDEX('How This Works &amp; Sources'!$B$219:$J$223,0,1))*($AZ50-INDEX('How This Works &amp; Sources'!$B$219:$J$223,0,1))*INDEX('How This Works &amp; Sources'!$B$219:$J$223,0,1+2)),IF($AN50="VA",SUMPRODUCT(($AZ50&gt;INDEX('How This Works &amp; Sources'!$B$219:$J$223,0,4))*($AZ50-INDEX('How This Works &amp; Sources'!$B$219:$J$223,0,4))*INDEX('How This Works &amp; Sources'!$B$219:$J$223,0,4+2)),IF($AN50="WI",SUMPRODUCT(($AZ50&gt;INDEX('How This Works &amp; Sources'!$B$228:$J$232,0,4))*($AZ50-INDEX('How This Works &amp; Sources'!$B$228:$J$232,0,4))*INDEX('How This Works &amp; Sources'!$B$228:$J$232,0,4+2)),"")))))))</f>
      </c>
      <c r="BZ50" s="24">
        <f>IF($B50="","",IF($AN50="NJ",IF('Your Pay &amp; Benefits'!$C$77="B",SUMPRODUCT(($AZ50&gt;=INDEX('How This Works &amp; Sources'!$B$155:$J$162,0,4))*INDEX('How This Works &amp; Sources'!$B$155:$J$162,0,4+2)),IF('Your Pay &amp; Benefits'!$C$77="C",SUMPRODUCT(($AZ50&gt;=INDEX('How This Works &amp; Sources'!$B$155:$J$162,0,7))*INDEX('How This Works &amp; Sources'!$B$155:$J$162,0,7+2)),IF('Your Pay &amp; Benefits'!$C$77="D",SUMPRODUCT(($AZ50&gt;=INDEX('How This Works &amp; Sources'!$B$167:$J$179,0,1))*INDEX('How This Works &amp; Sources'!$B$167:$J$179,0,1+2)),IF('Your Pay &amp; Benefits'!$C$77="E",SUMPRODUCT(($AZ50&gt;=INDEX('How This Works &amp; Sources'!$B$167:$J$179,0,4))*INDEX('How This Works &amp; Sources'!$B$167:$J$179,0,4+2)),SUMPRODUCT(($AZ50&gt;=INDEX('How This Works &amp; Sources'!$B$155:$J$162,0,1))*INDEX('How This Works &amp; Sources'!$B$155:$J$162,0,1+2)))))),IF($AN50="OR",IF(OR($AU50="Married",AND($AU50="Single",$AS50&gt;=3)),SUMPRODUCT((MAX(0,$AY50-MIN(($P50-'How This Works &amp; Sources'!$C$10*$D50)*'Your Pay &amp; Benefits'!$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Sources'!$B$211:$J$214,0,4))*INDEX('How This Works &amp; Sources'!$B$211:$J$214,0,4+2)),SUMPRODUCT((MAX(0,$AY50-MIN(($P50-'How This Works &amp; Sources'!$C$10*$D50)*'Your Pay &amp; Benefits'!$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Sources'!$B$211:$J$214,0,1))*INDEX('How This Works &amp; Sources'!$B$211:$J$214,0,1+2)))*IF(($P50-'How This Works &amp; Sources'!$C$10*$D50)*'Your Pay &amp; Benefits'!$C$8&gt;=IF(OR($AU50="Married",AND($AU50="Single",$AS50&gt;=3)),IF($AY50&lt;250000,8750,IF($AY50&lt;260000,7000,IF($AY50&lt;270000,5250,IF($AY50&lt;280000,3500,IF($AY50&lt;290000,1750,0))))),IF($AY50&lt;125000,8750,IF($AY50&lt;130000,7000,IF($AY50&lt;135000,5250,IF($AY50&lt;140000,3500,IF($AY50&lt;145000,1750,0)))))),1,1-IF('Your Pay &amp; Benefits'!$C$13,SUMPRODUCT(($AH50&gt;=INDEX('How This Works &amp; Sources'!$B$29:$J$36,0,IF('Your Pay &amp; Benefits'!$C$12="MFJ",1,IF('Your Pay &amp; Benefits'!$C$12="HoH",7,4))))*INDEX('How This Works &amp; Sources'!$B$29:$J$36,0,IF('Your Pay &amp; Benefits'!$C$12="MFJ",1,IF('Your Pay &amp; Benefits'!$C$12="HoH",7,4))+2)),SUMPRODUCT(($AH50&gt;=INDEX('How This Works &amp; Sources'!$B$19:$J$26,0,IF('Your Pay &amp; Benefits'!$C$12="MFJ",1,IF('Your Pay &amp; Benefits'!$C$12="HoH",7,4))))*INDEX('How This Works &amp; Sources'!$B$19:$J$26,0,IF('Your Pay &amp; Benefits'!$C$12="MFJ",1,IF('Your Pay &amp; Benefits'!$C$12="HoH",7,4))+2)))),IF($AN50="MI",IF($AY50&gt;5900*$AS50,0.0425,0),""))))</f>
      </c>
      <c r="CA50" s="24">
        <f>IF($B50="","",IF($AN50="AL",IF(OR($AU50="Married",$AU50="Head of household"),SUMPRODUCT(($AZ50&gt;=INDEX('How This Works &amp; Sources'!$B$82:$J$86,0,4))*INDEX('How This Works &amp; Sources'!$B$82:$J$86,0,4+2)),SUMPRODUCT(($AZ50&gt;=INDEX('How This Works &amp; Sources'!$B$82:$J$86,0,1))*INDEX('How This Works &amp; Sources'!$B$82:$J$86,0,1+2)))*(1-IF('Your Pay &amp; Benefits'!$C$13,SUMPRODUCT(($AH50&gt;=INDEX('How This Works &amp; Sources'!$B$29:$J$36,0,IF('Your Pay &amp; Benefits'!$C$12="MFJ",1,IF('Your Pay &amp; Benefits'!$C$12="HoH",7,4))))*INDEX('How This Works &amp; Sources'!$B$29:$J$36,0,IF('Your Pay &amp; Benefits'!$C$12="MFJ",1,IF('Your Pay &amp; Benefits'!$C$12="HoH",7,4))+2)),SUMPRODUCT(($AH50&gt;=INDEX('How This Works &amp; Sources'!$B$19:$J$26,0,IF('Your Pay &amp; Benefits'!$C$12="MFJ",1,IF('Your Pay &amp; Benefits'!$C$12="HoH",7,4))))*INDEX('How This Works &amp; Sources'!$B$19:$J$26,0,IF('Your Pay &amp; Benefits'!$C$12="MFJ",1,IF('Your Pay &amp; Benefits'!$C$12="HoH",7,4))+2)))),IF($AN50="KS",IF($AU50="Married",SUMPRODUCT(($AZ50&gt;=INDEX('How This Works &amp; Sources'!$B$103:$J$109,0,4))*INDEX('How This Works &amp; Sources'!$B$103:$J$109,0,4+2)),SUMPRODUCT(($AZ50&gt;=INDEX('How This Works &amp; Sources'!$B$103:$J$109,0,1))*INDEX('How This Works &amp; Sources'!$B$103:$J$109,0,1+2))),IF($AN50="MD",IF(OR($AU50="Married",$AU50="Head of household"),SUMPRODUCT(($AZ50&gt;=INDEX('How This Works &amp; Sources'!$B$114:$J$120,0,1))*INDEX('How This Works &amp; Sources'!$B$114:$J$120,0,1+2)),SUMPRODUCT(($AZ50&gt;=INDEX('How This Works &amp; Sources'!$B$103:$J$109,0,7))*INDEX('How This Works &amp; Sources'!$B$103:$J$109,0,7+2)))+'Your Pay &amp; Benefits'!$C$74,IF($AN50="MT",IF($AU50="Head of household",SUMPRODUCT(($AZ50&gt;=INDEX('How This Works &amp; Sources'!$B$137:$J$139,0,1))*INDEX('How This Works &amp; Sources'!$B$137:$J$139,0,1+2)),IF($AU50="Married",SUMPRODUCT(($AZ50&gt;=INDEX('How This Works &amp; Sources'!$B$125:$J$132,0,7))*INDEX('How This Works &amp; Sources'!$B$125:$J$132,0,7+2)),SUMPRODUCT(($AZ50&gt;=INDEX('How This Works &amp; Sources'!$B$125:$J$132,0,4))*INDEX('How This Works &amp; Sources'!$B$125:$J$132,0,4+2)))),IF($AN50="ND",IF($AU50="Head of household",SUMPRODUCT(($AZ50&gt;=INDEX('How This Works &amp; Sources'!$B$144:$J$150,0,1))*INDEX('How This Works &amp; Sources'!$B$144:$J$150,0,1+2)),IF($AU50="Married",SUMPRODUCT(($AZ50&gt;=INDEX('How This Works &amp; Sources'!$B$137:$J$139,0,7))*INDEX('How This Works &amp; Sources'!$B$137:$J$139,0,7+2)),SUMPRODUCT(($AZ50&gt;=INDEX('How This Works &amp; Sources'!$B$137:$J$139,0,4))*INDEX('How This Works &amp; Sources'!$B$137:$J$139,0,4+2)))),IF($AN50="NY",IF($AU50="Married",IF($AZ50&gt;=2155350,IF($AZ50&gt;25000000,0.117,IF($AZ50&gt;5000000,0.111,0.1045)),SUMPRODUCT(($AZ50&gt;=INDEX('How This Works &amp; Sources'!$B$184:$J$198,0,1))*INDEX('How This Works &amp; Sources'!$B$184:$J$198,0,1+2))),IF($AZ50&gt;=1077550,IF($AZ50&gt;25000000,0.117,IF($AZ50&gt;5000000,0.111,0.1045)),SUMPRODUCT(($AZ50&gt;=INDEX('How This Works &amp; Sources'!$B$167:$J$179,0,7))*INDEX('How This Works &amp; Sources'!$B$167:$J$179,0,7+2)))),"")))))))</f>
      </c>
      <c r="CB50" s="24">
        <f>IF($B50="","",IF($AN50="CA",SUMPRODUCT(($AJ50&gt;=INDEX('How This Works &amp; Sources'!$B$39:$J$48,0,IF($AU50="Married",4,IF($AU50="Head of household",7,1))))*INDEX('How This Works &amp; Sources'!$B$39:$J$48,0,IF($AU50="Married",4,IF($AU50="Head of household",7,1))+2)),IF($AN50="HI",IF($AU50="Married",SUMPRODUCT(($AZ50&gt;=INDEX('How This Works &amp; Sources'!$B$91:$J$98,0,7))*INDEX('How This Works &amp; Sources'!$B$91:$J$98,0,7+2)),SUMPRODUCT(($AZ50&gt;=INDEX('How This Works &amp; Sources'!$B$91:$J$98,0,4))*INDEX('How This Works &amp; Sources'!$B$91:$J$98,0,4+2))),IF($AN50="MN",IF($AU50="Married",SUMPRODUCT(($AZ50&gt;=INDEX('How This Works &amp; Sources'!$B$114:$J$120,0,7))*INDEX('How This Works &amp; Sources'!$B$114:$J$120,0,7+2)),SUMPRODUCT(($AZ50&gt;=INDEX('How This Works &amp; Sources'!$B$114:$J$120,0,4))*INDEX('How This Works &amp; Sources'!$B$114:$J$120,0,4+2))),IF($AN50="MO",SUMPRODUCT(($AZ50&gt;=INDEX('How This Works &amp; Sources'!$B$125:$J$132,0,1))*INDEX('How This Works &amp; Sources'!$B$125:$J$132,0,1+2)),IF($AN50="NE",MAX(IF($AU50="Married",SUMPRODUCT(($AZ50&gt;=INDEX('How This Works &amp; Sources'!$B$144:$J$150,0,7))*INDEX('How This Works &amp; Sources'!$B$144:$J$150,0,7+2)),SUMPRODUCT(($AZ50&gt;=INDEX('How This Works &amp; Sources'!$B$144:$J$150,0,4))*INDEX('How This Works &amp; Sources'!$B$144:$J$150,0,4+2))),0.015),IF($AN50="OH",IF($B50&gt;=DATE(2026,8,1),SUMPRODUCT(($AZ50&gt;=INDEX('How This Works &amp; Sources'!$B$203:$J$206,0,1))*INDEX('How This Works &amp; Sources'!$B$203:$J$206,0,1+2)),SUMPRODUCT(($AZ50&gt;=INDEX('How This Works &amp; Sources'!$B$184:$J$198,0,7))*INDEX('How This Works &amp; Sources'!$B$184:$J$198,0,7+2))),IF($AN50="OK",IF($AU50="Married",SUMPRODUCT(($AZ50&gt;=INDEX('How This Works &amp; Sources'!$B$203:$J$206,0,7))*INDEX('How This Works &amp; Sources'!$B$203:$J$206,0,7+2)),SUMPRODUCT(($AZ50&gt;=INDEX('How This Works &amp; Sources'!$B$203:$J$206,0,4))*INDEX('How This Works &amp; Sources'!$B$203:$J$206,0,4+2))),IF($AN50="RI",SUMPRODUCT(($AZ50&gt;=INDEX('How This Works &amp; Sources'!$B$211:$J$214,0,7))*INDEX('How This Works &amp; Sources'!$B$211:$J$214,0,7+2)),IF($AN50="SC",SUMPRODUCT(($AZ50&gt;=INDEX('How This Works &amp; Sources'!$B$219:$J$223,0,1))*INDEX('How This Works &amp; Sources'!$B$219:$J$223,0,1+2)),IF($AN50="VT",IF($AU50="Married",SUMPRODUCT(($AZ50&gt;=INDEX('How This Works &amp; Sources'!$B$228:$J$232,0,1))*INDEX('How This Works &amp; Sources'!$B$228:$J$232,0,1+2)),SUMPRODUCT(($AZ50&gt;=INDEX('How This Works &amp; Sources'!$B$219:$J$223,0,7))*INDEX('How This Works &amp; Sources'!$B$219:$J$223,0,7+2))),IF($AN50="WV",IF($AU50="Married",SUMPRODUCT(($AZ50&gt;=INDEX('How This Works &amp; Sources'!$B$237:$J$241,0,7))*INDEX('How This Works &amp; Sources'!$B$237:$J$241,0,7+2)),SUMPRODUCT(($AZ50&gt;=INDEX('How This Works &amp; Sources'!$B$228:$J$232,0,7))*INDEX('How This Works &amp; Sources'!$B$228:$J$232,0,7+2))),IF($AN50="IN",(0.0295+'Your Pay &amp; Benefits'!$C$76),"")))))))))))))</f>
      </c>
      <c r="CC50" s="24">
        <f>IF($B50="","",IF($AN50="AR",SUMPRODUCT(($AZ50&gt;=INDEX('How This Works &amp; Sources'!$B$82:$J$86,0,7))*INDEX('How This Works &amp; Sources'!$B$82:$J$86,0,7+2)),IF($AN50="DE",SUMPRODUCT(($AZ50&gt;=INDEX('How This Works &amp; Sources'!$B$91:$J$98,0,1))*INDEX('How This Works &amp; Sources'!$B$91:$J$98,0,1+2)),IF($AN50="VA",SUMPRODUCT(($AZ50&gt;=INDEX('How This Works &amp; Sources'!$B$219:$J$223,0,4))*INDEX('How This Works &amp; Sources'!$B$219:$J$223,0,4+2)),IF($AN50="WI",SUMPRODUCT(($AZ50&gt;=INDEX('How This Works &amp; Sources'!$B$228:$J$232,0,4))*INDEX('How This Works &amp; Sources'!$B$228:$J$232,0,4+2)),IF($AN50="AZ",'Your Pay &amp; Benefits'!$C$82,IF($AN50="CO",IF($AY50&gt;IF($AU50="Married",10000,5000),0.044,0),IF($AN50="IA",IF($AY50&gt;IF($AU50="Head of household",19500,IF($AU50="Married",26000,13000)),0.038,0),IF($AN50="ID",IF($AY50&gt;IF($AU50="Married",32000,16094),0.053,0),IF($AN50="IL",IF($AY50&gt;(2925*$AS50+1000*$AT50),0.0495,0),IF($AN50="KY",IF($AI50&gt;3360,0.035,0),IF($AN50="LA",0.0309,IF($AN50="MA",IF(MAX(0,$AY50-MIN(($BD49+$Q50+$R50+$S50),2000)-IF($AS50=0,0,IF($AS50=1,4400,1000*$AS50+3400)))&gt;=1107750,0.09,0.05),IF($AN50="MS",IF($AI50-IF($AU50="Head of household",3400,IF($AU50="Married",4600,2300))-'Your Pay &amp; Benefits'!$C$85&gt;10000,0.04,0),IF($AN50="PA",0.0307,"")))))))))))))))</f>
      </c>
      <c r="CD50" s="21">
        <f>IF(YEAR(IF('Your Pay &amp; Benefits'!$C$7="Weekly",'Your Pay &amp; Benefits'!$C$9+7*(($BE49+1)-1),IF('Your Pay &amp; Benefits'!$C$7="Biweekly",'Your Pay &amp; Benefits'!$C$9+14*(($BE49+1)-1),IF('Your Pay &amp; Benefits'!$C$7="Semimonthly",DATE(YEAR('Your Pay &amp; Benefits'!$C$9),MONTH('Your Pay &amp; Benefits'!$C$9)+INT((($BE49+1)-1)/2),MIN(DAY('Your Pay &amp; Benefits'!$C$9),DAY(EOMONTH(DATE(YEAR('Your Pay &amp; Benefits'!$C$9),MONTH('Your Pay &amp; Benefits'!$C$9)+INT((($BE49+1)-1)/2),1),0))))+IF(MOD(($BE49+1)-1,2)=1,15,0),EDATE('Your Pay &amp; Benefits'!$C$9,($BE49+1)-1)))))&lt;&gt;'Your Pay &amp; Benefits'!$C$10,"",IF('Your Pay &amp; Benefits'!$C$7="Weekly",'Your Pay &amp; Benefits'!$C$9+7*(($BE49+1)-1),IF('Your Pay &amp; Benefits'!$C$7="Biweekly",'Your Pay &amp; Benefits'!$C$9+14*(($BE49+1)-1),IF('Your Pay &amp; Benefits'!$C$7="Semimonthly",DATE(YEAR('Your Pay &amp; Benefits'!$C$9),MONTH('Your Pay &amp; Benefits'!$C$9)+INT((($BE49+1)-1)/2),MIN(DAY('Your Pay &amp; Benefits'!$C$9),DAY(EOMONTH(DATE(YEAR('Your Pay &amp; Benefits'!$C$9),MONTH('Your Pay &amp; Benefits'!$C$9)+INT((($BE49+1)-1)/2),1),0))))+IF(MOD(($BE49+1)-1,2)=1,15,0),EDATE('Your Pay &amp; Benefits'!$C$9,($BE49+1)-1)))))</f>
      </c>
      <c r="CE50" s="21">
        <f>IF(MIN(IF(AND('Your Pay &amp; Benefits'!$C$58&gt;MAX($B$6:$B49),'Your Pay &amp; Benefits'!$C$58&gt;=DATE('Your Pay &amp; Benefits'!$C$10,1,1),'Your Pay &amp; Benefits'!$C$58&lt;=DATE('Your Pay &amp; Benefits'!$C$10,12,31)),'Your Pay &amp; Benefits'!$C$58,999999),IF(AND('Your Pay &amp; Benefits'!$C$59&gt;MAX($B$6:$B49),'Your Pay &amp; Benefits'!$C$59&gt;=DATE('Your Pay &amp; Benefits'!$C$10,1,1),'Your Pay &amp; Benefits'!$C$59&lt;=DATE('Your Pay &amp; Benefits'!$C$10,12,31)),'Your Pay &amp; Benefits'!$C$59,999999),IF(AND('Your Pay &amp; Benefits'!$C$60&gt;MAX($B$6:$B49),'Your Pay &amp; Benefits'!$C$60&gt;=DATE('Your Pay &amp; Benefits'!$C$10,1,1),'Your Pay &amp; Benefits'!$C$60&lt;=DATE('Your Pay &amp; Benefits'!$C$10,12,31)),'Your Pay &amp; Benefits'!$C$60,999999),IF(AND('Your Pay &amp; Benefits'!$C$61&gt;MAX($B$6:$B49),'Your Pay &amp; Benefits'!$C$61&gt;=DATE('Your Pay &amp; Benefits'!$C$10,1,1),'Your Pay &amp; Benefits'!$C$61&lt;=DATE('Your Pay &amp; Benefits'!$C$10,12,31)),'Your Pay &amp; Benefits'!$C$61,999999),IF(AND('Your Pay &amp; Benefits'!$C$62&gt;MAX($B$6:$B49),'Your Pay &amp; Benefits'!$C$62&gt;=DATE('Your Pay &amp; Benefits'!$C$10,1,1),'Your Pay &amp; Benefits'!$C$62&lt;=DATE('Your Pay &amp; Benefits'!$C$10,12,31)),'Your Pay &amp; Benefits'!$C$62,999999),IF(AND('Your Pay &amp; Benefits'!$C$63&gt;MAX($B$6:$B49),'Your Pay &amp; Benefits'!$C$63&gt;=DATE('Your Pay &amp; Benefits'!$C$10,1,1),'Your Pay &amp; Benefits'!$C$63&lt;=DATE('Your Pay &amp; Benefits'!$C$10,12,31)),'Your Pay &amp; Benefits'!$C$63,999999),IF(AND('Your Pay &amp; Benefits'!$C$64&gt;MAX($B$6:$B49),'Your Pay &amp; Benefits'!$C$64&gt;=DATE('Your Pay &amp; Benefits'!$C$10,1,1),'Your Pay &amp; Benefits'!$C$64&lt;=DATE('Your Pay &amp; Benefits'!$C$10,12,31)),'Your Pay &amp; Benefits'!$C$64,999999),IF(AND('Your Pay &amp; Benefits'!$C$65&gt;MAX($B$6:$B49),'Your Pay &amp; Benefits'!$C$65&gt;=DATE('Your Pay &amp; Benefits'!$C$10,1,1),'Your Pay &amp; Benefits'!$C$65&lt;=DATE('Your Pay &amp; Benefits'!$C$10,12,31)),'Your Pay &amp; Benefits'!$C$65,999999),IF(AND('Your Pay &amp; Benefits'!$C$66&gt;MAX($B$6:$B49),'Your Pay &amp; Benefits'!$C$66&gt;=DATE('Your Pay &amp; Benefits'!$C$10,1,1),'Your Pay &amp; Benefits'!$C$66&lt;=DATE('Your Pay &amp; Benefits'!$C$10,12,31)),'Your Pay &amp; Benefits'!$C$66,999999),IF(AND('Your Pay &amp; Benefits'!$C$67&gt;MAX($B$6:$B49),'Your Pay &amp; Benefits'!$C$67&gt;=DATE('Your Pay &amp; Benefits'!$C$10,1,1),'Your Pay &amp; Benefits'!$C$67&lt;=DATE('Your Pay &amp; Benefits'!$C$10,12,31)),'Your Pay &amp; Benefits'!$C$67,999999))=999999,"",MIN(IF(AND('Your Pay &amp; Benefits'!$C$58&gt;MAX($B$6:$B49),'Your Pay &amp; Benefits'!$C$58&gt;=DATE('Your Pay &amp; Benefits'!$C$10,1,1),'Your Pay &amp; Benefits'!$C$58&lt;=DATE('Your Pay &amp; Benefits'!$C$10,12,31)),'Your Pay &amp; Benefits'!$C$58,999999),IF(AND('Your Pay &amp; Benefits'!$C$59&gt;MAX($B$6:$B49),'Your Pay &amp; Benefits'!$C$59&gt;=DATE('Your Pay &amp; Benefits'!$C$10,1,1),'Your Pay &amp; Benefits'!$C$59&lt;=DATE('Your Pay &amp; Benefits'!$C$10,12,31)),'Your Pay &amp; Benefits'!$C$59,999999),IF(AND('Your Pay &amp; Benefits'!$C$60&gt;MAX($B$6:$B49),'Your Pay &amp; Benefits'!$C$60&gt;=DATE('Your Pay &amp; Benefits'!$C$10,1,1),'Your Pay &amp; Benefits'!$C$60&lt;=DATE('Your Pay &amp; Benefits'!$C$10,12,31)),'Your Pay &amp; Benefits'!$C$60,999999),IF(AND('Your Pay &amp; Benefits'!$C$61&gt;MAX($B$6:$B49),'Your Pay &amp; Benefits'!$C$61&gt;=DATE('Your Pay &amp; Benefits'!$C$10,1,1),'Your Pay &amp; Benefits'!$C$61&lt;=DATE('Your Pay &amp; Benefits'!$C$10,12,31)),'Your Pay &amp; Benefits'!$C$61,999999),IF(AND('Your Pay &amp; Benefits'!$C$62&gt;MAX($B$6:$B49),'Your Pay &amp; Benefits'!$C$62&gt;=DATE('Your Pay &amp; Benefits'!$C$10,1,1),'Your Pay &amp; Benefits'!$C$62&lt;=DATE('Your Pay &amp; Benefits'!$C$10,12,31)),'Your Pay &amp; Benefits'!$C$62,999999),IF(AND('Your Pay &amp; Benefits'!$C$63&gt;MAX($B$6:$B49),'Your Pay &amp; Benefits'!$C$63&gt;=DATE('Your Pay &amp; Benefits'!$C$10,1,1),'Your Pay &amp; Benefits'!$C$63&lt;=DATE('Your Pay &amp; Benefits'!$C$10,12,31)),'Your Pay &amp; Benefits'!$C$63,999999),IF(AND('Your Pay &amp; Benefits'!$C$64&gt;MAX($B$6:$B49),'Your Pay &amp; Benefits'!$C$64&gt;=DATE('Your Pay &amp; Benefits'!$C$10,1,1),'Your Pay &amp; Benefits'!$C$64&lt;=DATE('Your Pay &amp; Benefits'!$C$10,12,31)),'Your Pay &amp; Benefits'!$C$64,999999),IF(AND('Your Pay &amp; Benefits'!$C$65&gt;MAX($B$6:$B49),'Your Pay &amp; Benefits'!$C$65&gt;=DATE('Your Pay &amp; Benefits'!$C$10,1,1),'Your Pay &amp; Benefits'!$C$65&lt;=DATE('Your Pay &amp; Benefits'!$C$10,12,31)),'Your Pay &amp; Benefits'!$C$65,999999),IF(AND('Your Pay &amp; Benefits'!$C$66&gt;MAX($B$6:$B49),'Your Pay &amp; Benefits'!$C$66&gt;=DATE('Your Pay &amp; Benefits'!$C$10,1,1),'Your Pay &amp; Benefits'!$C$66&lt;=DATE('Your Pay &amp; Benefits'!$C$10,12,31)),'Your Pay &amp; Benefits'!$C$66,999999),IF(AND('Your Pay &amp; Benefits'!$C$67&gt;MAX($B$6:$B49),'Your Pay &amp; Benefits'!$C$67&gt;=DATE('Your Pay &amp; Benefits'!$C$10,1,1),'Your Pay &amp; Benefits'!$C$67&lt;=DATE('Your Pay &amp; Benefits'!$C$10,12,31)),'Your Pay &amp; Benefits'!$C$67,999999)))</f>
      </c>
      <c r="CF50">
        <f>IF($B50="","",IF($D50=0,$Y50,""))</f>
      </c>
    </row>
    <row r="51">
      <c r="A51" t="n">
        <v>46</v>
      </c>
      <c r="B51" s="21">
        <f>IF(AND($CD51="",$CE51=""),"",IF($CE51="",$CD51,IF($CD51="",$CE51,MIN($CD51,$CE51))))</f>
      </c>
      <c r="C51" s="7">
        <f>IF($B51="","",IF($BF51=0,0,IF('Your Pay &amp; Benefits'!$C$4="Annual salary",ROUND($AK51/IF(AND('Your Pay &amp; Benefits'!$C$88="Actual paydays",MONTH('Your Pay &amp; Benefits'!$C$9)=1),MAX(1,MAX($BE$6:$BE$68)),'Your Pay &amp; Benefits'!$C$8),2),$AK51)))</f>
      </c>
      <c r="D51" s="7">
        <f>IF($B51="","",SUMIF('Your Pay &amp; Benefits'!$C$58:$C$67,$B51,'Your Pay &amp; Benefits'!$D$58:$D$67))</f>
      </c>
      <c r="E51" s="7">
        <f>IF($B51="","",ROUND(MAX(0,MIN(IF($AL51="Percent",$AM51*($C51+$D51),$AM51),MAX(0,'Your Pay &amp; Benefits'!$C$34-$AC50))),2))</f>
      </c>
      <c r="F51" s="7">
        <f>IF($B51="","",ROUND(MAX(0,MIN(IF('Your Pay &amp; Benefits'!$C$32="Percent",'Your Pay &amp; Benefits'!$D$32*($C51+$D51),'Your Pay &amp; Benefits'!$D$32),MAX(0,'Your Pay &amp; Benefits'!$C$34-$AC50-$E51))),2))</f>
      </c>
      <c r="G51" s="7">
        <f>IF($B51="","",IF($BF51=0,0,ROUND(MAX(0,MIN($BL51,'Your Pay &amp; Benefits'!$C$37-'Your Pay &amp; Benefits'!$C$54-$BI50)),2)))</f>
      </c>
      <c r="H51" s="7">
        <f>IF($B51="","",IF(OR($BF51=0,$BQ51=1),0,ROUND(MAX(0,MIN(IF($BS51=1,ROUND(MAX(0,MIN($BJ51,'How This Works &amp; Sources'!$C$13)-$BG50)/MAX(1,MAX($BE$6:$BE$68)-($BE50)),2),ROUND(MIN($BJ51,'How This Works &amp; Sources'!$C$13)/'Your Pay &amp; Benefits'!$C$8,2)),MIN($BJ51,'How This Works &amp; Sources'!$C$13)-$BG50)),2)))</f>
      </c>
      <c r="I51" s="7">
        <f>IF($B51="","",IF(OR($BF51=0,$BR51=1),0,ROUND(MAX(0,MIN(IF($BT51=1,ROUND(MAX(0,MIN($BK51,IF('Your Pay &amp; Benefits'!$C$12="MFJ",'How This Works &amp; Sources'!$C$14,'How This Works &amp; Sources'!$C$15))-$BH50)/MAX(1,MAX($BE$6:$BE$68)-($BE50)),2),ROUND(MIN($BK51,IF('Your Pay &amp; Benefits'!$C$12="MFJ",'How This Works &amp; Sources'!$C$14,'How This Works &amp; Sources'!$C$15))/'Your Pay &amp; Benefits'!$C$8,2)),MIN($BK51,IF('Your Pay &amp; Benefits'!$C$12="MFJ",'How This Works &amp; Sources'!$C$14,'How This Works &amp; Sources'!$C$15))-$BH50)),2)))</f>
      </c>
      <c r="J51" s="7">
        <f>IF($B51="","",IF($BF51=0,0,$BM51))</f>
      </c>
      <c r="K51" s="7">
        <f>IF($B51="","",IF($BF51=0,0,$BN51+$BO51))</f>
      </c>
      <c r="L51" s="7">
        <f>IF($B51="","",IF($BF51=0,0,'Your Pay &amp; Benefits'!$D$46))</f>
      </c>
      <c r="M51" s="7">
        <f>IF($B51="","",$C51+$D51+$L51-$E51-$G51-$H51-$I51-$J51-$K51)</f>
      </c>
      <c r="N51" s="7">
        <f>IF($B51="","",$C51+$D51+$L51-$G51-$H51-$I51-$J51-$K51)</f>
      </c>
      <c r="O51" s="7">
        <f>IF($B51="","",$C51+$D51+$L51-$E51-$H51-$I51-$J51-$K51-IF(OR($AN51="CA",$AN51="NJ"),0,$G51))</f>
      </c>
      <c r="P51" s="7">
        <f>IF($B51="","",IF('Your Pay &amp; Benefits'!$C$18,0,ROUND(MAX(0,IF('Your Pay &amp; Benefits'!$C$13,SUMPRODUCT(($AH51&gt;INDEX('How This Works &amp; Sources'!$B$29:$J$36,0,IF('Your Pay &amp; Benefits'!$C$12="MFJ",1,IF('Your Pay &amp; Benefits'!$C$12="HoH",7,4))))*($AH51-INDEX('How This Works &amp; Sources'!$B$29:$J$36,0,IF('Your Pay &amp; Benefits'!$C$12="MFJ",1,IF('Your Pay &amp; Benefits'!$C$12="HoH",7,4))))*INDEX('How This Works &amp; Sources'!$B$29:$J$36,0,IF('Your Pay &amp; Benefits'!$C$12="MFJ",1,IF('Your Pay &amp; Benefits'!$C$12="HoH",7,4))+2)),SUMPRODUCT(($AH51&gt;INDEX('How This Works &amp; Sources'!$B$19:$J$26,0,IF('Your Pay &amp; Benefits'!$C$12="MFJ",1,IF('Your Pay &amp; Benefits'!$C$12="HoH",7,4))))*($AH51-INDEX('How This Works &amp; Sources'!$B$19:$J$26,0,IF('Your Pay &amp; Benefits'!$C$12="MFJ",1,IF('Your Pay &amp; Benefits'!$C$12="HoH",7,4))))*INDEX('How This Works &amp; Sources'!$B$19:$J$26,0,IF('Your Pay &amp; Benefits'!$C$12="MFJ",1,IF('Your Pay &amp; Benefits'!$C$12="HoH",7,4))+2)))/'Your Pay &amp; Benefits'!$C$8-$AO51/'Your Pay &amp; Benefits'!$C$8)+$AR51+IF('Your Pay &amp; Benefits'!$C$89="Aggregate",MAX(0,IF('Your Pay &amp; Benefits'!$C$13,SUMPRODUCT((($AH51+$D51)&gt;INDEX('How This Works &amp; Sources'!$B$29:$J$36,0,IF('Your Pay &amp; Benefits'!$C$12="MFJ",1,IF('Your Pay &amp; Benefits'!$C$12="HoH",7,4))))*(($AH51+$D51)-INDEX('How This Works &amp; Sources'!$B$29:$J$36,0,IF('Your Pay &amp; Benefits'!$C$12="MFJ",1,IF('Your Pay &amp; Benefits'!$C$12="HoH",7,4))))*INDEX('How This Works &amp; Sources'!$B$29:$J$36,0,IF('Your Pay &amp; Benefits'!$C$12="MFJ",1,IF('Your Pay &amp; Benefits'!$C$12="HoH",7,4))+2)),SUMPRODUCT((($AH51+$D51)&gt;INDEX('How This Works &amp; Sources'!$B$19:$J$26,0,IF('Your Pay &amp; Benefits'!$C$12="MFJ",1,IF('Your Pay &amp; Benefits'!$C$12="HoH",7,4))))*(($AH51+$D51)-INDEX('How This Works &amp; Sources'!$B$19:$J$26,0,IF('Your Pay &amp; Benefits'!$C$12="MFJ",1,IF('Your Pay &amp; Benefits'!$C$12="HoH",7,4))))*INDEX('How This Works &amp; Sources'!$B$19:$J$26,0,IF('Your Pay &amp; Benefits'!$C$12="MFJ",1,IF('Your Pay &amp; Benefits'!$C$12="HoH",7,4))+2)))-IF('Your Pay &amp; Benefits'!$C$13,SUMPRODUCT(($AH51&gt;INDEX('How This Works &amp; Sources'!$B$29:$J$36,0,IF('Your Pay &amp; Benefits'!$C$12="MFJ",1,IF('Your Pay &amp; Benefits'!$C$12="HoH",7,4))))*($AH51-INDEX('How This Works &amp; Sources'!$B$29:$J$36,0,IF('Your Pay &amp; Benefits'!$C$12="MFJ",1,IF('Your Pay &amp; Benefits'!$C$12="HoH",7,4))))*INDEX('How This Works &amp; Sources'!$B$29:$J$36,0,IF('Your Pay &amp; Benefits'!$C$12="MFJ",1,IF('Your Pay &amp; Benefits'!$C$12="HoH",7,4))+2)),SUMPRODUCT(($AH51&gt;INDEX('How This Works &amp; Sources'!$B$19:$J$26,0,IF('Your Pay &amp; Benefits'!$C$12="MFJ",1,IF('Your Pay &amp; Benefits'!$C$12="HoH",7,4))))*($AH51-INDEX('How This Works &amp; Sources'!$B$19:$J$26,0,IF('Your Pay &amp; Benefits'!$C$12="MFJ",1,IF('Your Pay &amp; Benefits'!$C$12="HoH",7,4))))*INDEX('How This Works &amp; Sources'!$B$19:$J$26,0,IF('Your Pay &amp; Benefits'!$C$12="MFJ",1,IF('Your Pay &amp; Benefits'!$C$12="HoH",7,4))+2)))),'How This Works &amp; Sources'!$C$10*$D51),2)))</f>
      </c>
      <c r="Q51" s="7">
        <f>IF($B51="","",ROUND('How This Works &amp; Sources'!$C$4*MIN($N51,MAX(0,'How This Works &amp; Sources'!$C$3-($AX51+$AB50-$AW51))),2))</f>
      </c>
      <c r="R51" s="7">
        <f>IF($B51="","",ROUND('How This Works &amp; Sources'!$C$5*$N51,2))</f>
      </c>
      <c r="S51" s="7">
        <f>IF($B51="","",ROUND('How This Works &amp; Sources'!$C$6*MAX(0,MIN($N51,$AG50+$N51-'How This Works &amp; Sources'!$C$7)),2))</f>
      </c>
      <c r="T51" s="7">
        <f>IF($B51="","",IF('Your Pay &amp; Benefits'!$C$26,0,IF($AN51="CA",ROUND(IF($AI51&lt;=IF(($AS51+$AT51)&gt;=2,VLOOKUP($AN51,StateTables!$A$6:$AB$56,10,FALSE),VLOOKUP($AN51,StateTables!$A$6:$AB$56,9,FALSE)),0,MAX(0,SUMPRODUCT(($AJ51&gt;INDEX('How This Works &amp; Sources'!$B$39:$J$48,0,IF($AU51="Married",4,IF($AU51="Head of household",7,1))))*($AJ51-INDEX('How This Works &amp; Sources'!$B$39:$J$48,0,IF($AU51="Married",4,IF($AU51="Head of household",7,1))))*INDEX('How This Works &amp; Sources'!$B$39:$J$48,0,IF($AU51="Married",4,IF($AU51="Head of household",7,1))+2))-VLOOKUP($AN51,StateTables!$A$6:$AB$56,11,FALSE)*$AS51)/'Your Pay &amp; Benefits'!$C$8)+'Your Pay &amp; Benefits'!$C$25+VLOOKUP($AN51,StateTables!$A$6:$AB$56,13,FALSE)*$D51,2),IF(VLOOKUP($AN51,StateTables!$A$6:$AB$56,4,FALSE)="None",0,IF(ISNUMBER(SEARCH("MANUAL",VLOOKUP($AN51,StateTables!$A$6:$AB$56,5,FALSE))),'Your Pay &amp; Benefits'!$C$28,ROUND(MAX(0,$BA51+$BB51)/'Your Pay &amp; Benefits'!$C$8+'Your Pay &amp; Benefits'!$C$25+$BC51,2))))))</f>
      </c>
      <c r="U51" s="7">
        <f>IF($B51="","",IF(VLOOKUP($AN51,StateTables!$A$6:$AB$56,24,FALSE)="flatq",IF(OR(MONTH($B51)=1,MONTH($B51)=4,MONTH($B51)=7,MONTH($B51)=10),VLOOKUP($AN51,StateTables!$A$6:$AB$56,25,FALSE),0),IF(VLOOKUP($AN51,StateTables!$A$6:$AB$56,24,FALSE)="dbl",MIN(ROUND(0.005*$N51,2),ROUND(0.6*52/'Your Pay &amp; Benefits'!$C$8,2)),IF(OR(VLOOKUP($AN51,StateTables!$A$6:$AB$56,15,FALSE)="",VLOOKUP($AN51,StateTables!$A$6:$AB$56,15,FALSE)=0),0,ROUND(VLOOKUP($AN51,StateTables!$A$6:$AB$56,15,FALSE)*IF(OR(VLOOKUP($AN51,StateTables!$A$6:$AB$56,16,FALSE)="",VLOOKUP($AN51,StateTables!$A$6:$AB$56,16,FALSE)=0),$N51,MIN($N51,MAX(0,VLOOKUP($AN51,StateTables!$A$6:$AB$56,16,FALSE)-($AX51+$AB50-$AW51)))),2))))+IF(VLOOKUP($AN51,StateTables!$A$6:$AB$56,27,FALSE)="flatq",IF(OR(MONTH($B51)=1,MONTH($B51)=4,MONTH($B51)=7,MONTH($B51)=10),VLOOKUP($AN51,StateTables!$A$6:$AB$56,28,FALSE),0),IF(VLOOKUP($AN51,StateTables!$A$6:$AB$56,27,FALSE)="dbl",MIN(ROUND(0.005*$N51,2),ROUND(0.6*52/'Your Pay &amp; Benefits'!$C$8,2)),IF(OR(VLOOKUP($AN51,StateTables!$A$6:$AB$56,18,FALSE)="",VLOOKUP($AN51,StateTables!$A$6:$AB$56,18,FALSE)=0),0,ROUND(VLOOKUP($AN51,StateTables!$A$6:$AB$56,18,FALSE)*IF(OR(VLOOKUP($AN51,StateTables!$A$6:$AB$56,19,FALSE)="",VLOOKUP($AN51,StateTables!$A$6:$AB$56,19,FALSE)=0),$N51,MIN($N51,MAX(0,VLOOKUP($AN51,StateTables!$A$6:$AB$56,19,FALSE)-($AX51+$AB50-$AW51)))),2)))))</f>
      </c>
      <c r="V51" s="7">
        <f>IF($B51="","",IF($AN51="NY",IF('Your Pay &amp; Benefits'!$C$78,ROUND(SUMPRODUCT((MAX(0,($O51-$D51)*'Your Pay &amp; Benefits'!$C$8-(IF($AU51="Married",5500,5000)+1000*$AS51))&gt;INDEX('How This Works &amp; Sources'!$B$184:$J$198,0,4))*(MAX(0,($O51-$D51)*'Your Pay &amp; Benefits'!$C$8-(IF($AU51="Married",5500,5000)+1000*$AS51))-INDEX('How This Works &amp; Sources'!$B$184:$J$198,0,4))*INDEX('How This Works &amp; Sources'!$B$184:$J$198,0,4+2))/'Your Pay &amp; Benefits'!$C$8+0.0425*$D51,2),0)+IF('Your Pay &amp; Benefits'!$C$79="Resident",ROUND(0.1675*$T51,2),IF('Your Pay &amp; Benefits'!$C$79="Nonresident",ROUND(0.005*MAX(0,($O51-$D51)-(IF($AU51="Married",7950,7400)+1000*$AS51)/'Your Pay &amp; Benefits'!$C$8),2),0)),IF($AN51="PA",IF('Your Pay &amp; Benefits'!$C$80="None",'Your Pay &amp; Benefits'!$C$27+ROUND('Your Pay &amp; Benefits'!$C$81*($C51+$D51),2),ROUND(IF('Your Pay &amp; Benefits'!$C$80="Resident",IF($B51&lt;DATE(2026,7,1),0.0374,0.03735),IF($B51&lt;DATE(2026,7,1),0.0343,0.03425))*($C51+$D51),2)),IF($BF51=0,ROUND('Your Pay &amp; Benefits'!$C$81*($C51+$D51),2),'Your Pay &amp; Benefits'!$C$27+ROUND('Your Pay &amp; Benefits'!$C$81*($C51+$D51),2)))))</f>
      </c>
      <c r="W51" s="7">
        <f>IF($B51="","",IF($BF51=0,0,$BP51))</f>
      </c>
      <c r="X51" s="7">
        <f>IF($B51="","",SUM($E51:$K51)+$P51+$Q51+$R51+$S51+$T51+$U51+$V51+$W51)</f>
      </c>
      <c r="Y51" s="22">
        <f>IF($B51="","",$C51+$D51-$X51)</f>
      </c>
      <c r="Z51" s="7">
        <f>IF($B51="","",$Z50+$C51+$D51)</f>
      </c>
      <c r="AA51" s="7">
        <f>IF($B51="","",$AA50+$Y51)</f>
      </c>
      <c r="AB51" s="7">
        <f>IF($B51="","",$AB50+MIN($N51,MAX(0,'How This Works &amp; Sources'!$C$3-($AX51+$AB50-$AW51))))</f>
      </c>
      <c r="AC51" s="7">
        <f>IF($B51="","",$AC50+$E51+$F51)</f>
      </c>
      <c r="AD51" s="3">
        <f>IF($B51="","",IF(AND($AB50&lt;'How This Works &amp; Sources'!$C$3,$AB51&gt;='How This Works &amp; Sources'!$C$3),"★ Social Security maxed on this check — from the next check your net rises by about $"&amp;TEXT(ROUND('How This Works &amp; Sources'!$C$4*$N51,2),"#,##0.00")&amp;". ","")&amp;IF(AND($AC50&lt;'Your Pay &amp; Benefits'!$C$34,$AC51&gt;='Your Pay &amp; Benefits'!$C$34),"★ 401(k) reaches the $"&amp;TEXT('Your Pay &amp; Benefits'!$C$34,"#,##0")&amp;" cap on this check — deferrals stop and net pay rises. ","")&amp;IF(AND($AG50&lt;'How This Works &amp; Sources'!$C$7,$AG51&gt;='How This Works &amp; Sources'!$C$7),"★ Wages pass $200,000 — the 0.9% Additional Medicare Tax starts here. ","")&amp;IF(AND($BJ51&gt;0,$H51&gt;0,$BG50&lt;MIN($BJ51,'How This Works &amp; Sources'!$C$13),$BG50+$H51&gt;=MIN($BJ51,'How This Works &amp; Sources'!$C$13)),"★ Health FSA election is now fully deferred for the year. ",""))</f>
      </c>
      <c r="AE51" s="41" t="n"/>
      <c r="AF51" s="7">
        <f>IF(OR($B51="",$AE51=""),"",$AE51-$Y51)</f>
      </c>
      <c r="AG51" s="7">
        <f>IF($B51="","",$AG50+$N51)</f>
      </c>
      <c r="AH51" s="7">
        <f>IF($B51="","",MAX(0,($M51-$D51)*'Your Pay &amp; Benefits'!$C$8+$AP51-$AQ51-IF('Your Pay &amp; Benefits'!$C$13,0,IF('Your Pay &amp; Benefits'!$C$12="MFJ",'How This Works &amp; Sources'!$C$8,'How This Works &amp; Sources'!$C$9))))</f>
      </c>
      <c r="AI51" s="7">
        <f>IF($B51="","",$O51*'Your Pay &amp; Benefits'!$C$8)</f>
      </c>
      <c r="AJ51" s="7">
        <f>IF($B51="","",MAX(0,$AI51-VLOOKUP($AN51,StateTables!$A$6:$AB$56,12,FALSE)*$AT51-IF(($AS51+$AT51)&gt;=2,VLOOKUP($AN51,StateTables!$A$6:$AB$56,8,FALSE),VLOOKUP($AN51,StateTables!$A$6:$AB$56,7,FALSE))))</f>
      </c>
      <c r="AK51" s="7">
        <f>IF($B51="","",IFERROR(LOOKUP(2,1/(('Changes &amp; Events'!$C$6:$C$17="Salary change")*('Changes &amp; Events'!$B$6:$B$17&lt;=$B51)*('Changes &amp; Events'!$B$6:$B$17&lt;&gt;"")),'Changes &amp; Events'!$D$6:$D$17),IF('Your Pay &amp; Benefits'!$C$4="Annual salary",'Your Pay &amp; Benefits'!$C$5,'Your Pay &amp; Benefits'!$C$6)))</f>
      </c>
      <c r="AL51">
        <f>IF($B51="","",IFERROR(LOOKUP(2,1/(('Changes &amp; Events'!$C$6:$C$17="401(k) change")*('Changes &amp; Events'!$B$6:$B$17&lt;=$B51)*('Changes &amp; Events'!$B$6:$B$17&lt;&gt;"")),'Changes &amp; Events'!$D$6:$D$17),'Your Pay &amp; Benefits'!$C$30))</f>
      </c>
      <c r="AM51" s="7">
        <f>IF($B51="","",IFERROR(LOOKUP(2,1/(('Changes &amp; Events'!$C$6:$C$17="401(k) change")*('Changes &amp; Events'!$B$6:$B$17&lt;=$B51)*('Changes &amp; Events'!$B$6:$B$17&lt;&gt;"")),'Changes &amp; Events'!$E$6:$E$17),'Your Pay &amp; Benefits'!$D$31))</f>
      </c>
      <c r="AN51">
        <f>IF($B51="","",IFERROR(LOOKUP(2,1/(('Changes &amp; Events'!$C$6:$C$17="State move")*('Changes &amp; Events'!$B$6:$B$17&lt;=$B51)*('Changes &amp; Events'!$B$6:$B$17&lt;&gt;"")),'Changes &amp; Events'!$D$6:$D$17),'Your Pay &amp; Benefits'!$C$21))</f>
      </c>
      <c r="AO51" s="7">
        <f>IF($B51="","",IFERROR(LOOKUP(2,1/(('Changes &amp; Events'!$C$6:$C$17="W-4 change")*('Changes &amp; Events'!$B$6:$B$17&lt;=$B51)*('Changes &amp; Events'!$B$6:$B$17&lt;&gt;"")),'Changes &amp; Events'!$D$6:$D$17),'Your Pay &amp; Benefits'!$C$14))</f>
      </c>
      <c r="AP51" s="7">
        <f>IF($B51="","",IFERROR(LOOKUP(2,1/(('Changes &amp; Events'!$C$6:$C$17="W-4 change")*('Changes &amp; Events'!$B$6:$B$17&lt;=$B51)*('Changes &amp; Events'!$B$6:$B$17&lt;&gt;"")),'Changes &amp; Events'!$E$6:$E$17),'Your Pay &amp; Benefits'!$C$15))</f>
      </c>
      <c r="AQ51" s="7">
        <f>IF($B51="","",IFERROR(LOOKUP(2,1/(('Changes &amp; Events'!$C$6:$C$17="W-4 change")*('Changes &amp; Events'!$B$6:$B$17&lt;=$B51)*('Changes &amp; Events'!$B$6:$B$17&lt;&gt;"")),'Changes &amp; Events'!$F$6:$F$17),'Your Pay &amp; Benefits'!$C$16))</f>
      </c>
      <c r="AR51" s="7">
        <f>IF($B51="","",IFERROR(LOOKUP(2,1/(('Changes &amp; Events'!$C$6:$C$17="W-4 change")*('Changes &amp; Events'!$B$6:$B$17&lt;=$B51)*('Changes &amp; Events'!$B$6:$B$17&lt;&gt;"")),'Changes &amp; Events'!$G$6:$G$17),'Your Pay &amp; Benefits'!$C$17))</f>
      </c>
      <c r="AS51" s="6">
        <f>IF($B51="","",IFERROR(LOOKUP(2,1/((('Changes &amp; Events'!$C$6:$C$17="State move")+('Changes &amp; Events'!$C$6:$C$17="State cert change"))*('Changes &amp; Events'!$B$6:$B$17&lt;=$B51)*('Changes &amp; Events'!$B$6:$B$17&lt;&gt;"")),'Changes &amp; Events'!$F$6:$F$17),'Your Pay &amp; Benefits'!$C$23))</f>
      </c>
      <c r="AT51" s="6">
        <f>IF($B51="","",IFERROR(LOOKUP(2,1/((('Changes &amp; Events'!$C$6:$C$17="State move")+('Changes &amp; Events'!$C$6:$C$17="State cert change"))*('Changes &amp; Events'!$B$6:$B$17&lt;=$B51)*('Changes &amp; Events'!$B$6:$B$17&lt;&gt;"")),'Changes &amp; Events'!$G$6:$G$17),'Your Pay &amp; Benefits'!$C$24))</f>
      </c>
      <c r="AU51">
        <f>IF($B51="","",IFERROR(LOOKUP(2,1/(('Changes &amp; Events'!$C$6:$C$17="State move")*('Changes &amp; Events'!$B$6:$B$17&lt;=$B51)*('Changes &amp; Events'!$B$6:$B$17&lt;&gt;"")),'Changes &amp; Events'!$E$6:$E$17),'Your Pay &amp; Benefits'!$C$22))</f>
      </c>
      <c r="AV51" s="6">
        <f>IF($B51="","",1+COUNTIFS('Changes &amp; Events'!$C$6:$C$17,"Employer change",'Changes &amp; Events'!$B$6:$B$17,"&lt;="&amp;$B51,'Changes &amp; Events'!$B$6:$B$17,"&lt;&gt;"))</f>
      </c>
      <c r="AW51" s="7">
        <f>IF($B51="","",IF($AV51=1,'Your Pay &amp; Benefits'!$C$49,IF(IFERROR(MATCH(IFERROR(LOOKUP(2,1/(('Changes &amp; Events'!$C$6:$C$17="Employer change")*('Changes &amp; Events'!$B$6:$B$17&lt;=$B51)*('Changes &amp; Events'!$B$6:$B$17&lt;&gt;"")),'Changes &amp; Events'!$B$6:$B$17),""),$B$6:$B$68,1),1)&lt;=1,'Your Pay &amp; Benefits'!$C$49,INDEX($AB$6:$AB$68,MATCH(IFERROR(LOOKUP(2,1/(('Changes &amp; Events'!$C$6:$C$17="Employer change")*('Changes &amp; Events'!$B$6:$B$17&lt;=$B51)*('Changes &amp; Events'!$B$6:$B$17&lt;&gt;"")),'Changes &amp; Events'!$B$6:$B$17),""),$B$6:$B$68,1)-1))))</f>
      </c>
      <c r="AX51" s="7">
        <f>IF($B51="","",IF($AV51=1,'Your Pay &amp; Benefits'!$C$49,IFERROR(LOOKUP(2,1/(('Changes &amp; Events'!$C$6:$C$17="Employer change")*('Changes &amp; Events'!$B$6:$B$17&lt;=$B51)*('Changes &amp; Events'!$B$6:$B$17&lt;&gt;"")),'Changes &amp; Events'!$D$6:$D$17),0)))</f>
      </c>
      <c r="AY51" s="7">
        <f>IF($B51="","",($O51-$D51)*'Your Pay &amp; Benefits'!$C$8)</f>
      </c>
      <c r="AZ51" s="7">
        <f>IF($B51="","",IF($AN51="AL",MAX(0,$AY51-IF($AU51="Married",IF($AY51&lt;=25999,8500,MAX(5000,8500-175*CEILING(($AY51-25999)/500,1))),IF($AU51="Head of household",IF($AY51&lt;=25999,5200,MAX(2500,5200-135*CEILING(($AY51-25999)/500,1))),IF($AY51&lt;=25999,3000,MAX(2500,3000-25*CEILING(($AY51-25999)/500,1)))))-($P51-'How This Works &amp; Sources'!$C$10*$D51)*'Your Pay &amp; Benefits'!$C$8-IF(OR($AU51="Married",$AU51="Head of household"),3000,1500)-$AT51*IF($AY51&lt;=50000,1000,IF($AY51&lt;=100000,500,300))),IF($AN51="AR",IF(MAX(0,$AY51-2470)&lt;97701,INT(MAX(0,$AY51-2470)/100)*100+50,MAX(0,$AY51-2470)),IF($AN51="DE",MAX(0,$AI51-3250),IF($AN51="HI",MAX(0,$AI51-1144*$AS51-4350),IF($AN51="KS",MAX(0,$AI51-(9160*IF($AU51="Married",2,1)+2320*$AT51+IF($AU51="Head of household",2320,0))),IF($AN51="MD",MAX(0,$AI51-3400-3200*$AS51),IF($AN51="MN",MAX(0,$AY51-5300*$AS51),IF($AN51="MO",MAX(0,$AI51-IF($AU51="Head of household",24150,IF($AU51="Married",IF('Your Pay &amp; Benefits'!$C$83,16100,32200),16100))),IF($AN51="MT",$AY51,IF($AN51="ND",($C51+$L51)*'Your Pay &amp; Benefits'!$C$8,IF($AN51="NE",MAX(0,$AY51-2440*$AS51),IF($AN51="NJ",MAX(0,$AY51-1000*$AS51),IF($AN51="NY",MAX(0,$AY51-(IF($AU51="Married",7950,7400)+1000*$AS51)),IF($AN51="OH",MAX(0,$AY51-650*$AS51),IF($AN51="OK",MAX(0,$AY51-1000*$AS51),IF($AN51="RI",MAX(0,$AI51-1000*$AS51),IF($AN51="SC",MAX(0,$AI51-5000*$AS51-IF($AS51=0,0,MIN(0.1*$AI51,7500))),IF($AN51="VA",MAX(0,$AI51-IF($AU51="Married",17500,8750)-930*$AS51-800*$AT51),IF($AN51="VT",MAX(0,$AI51-5400*$AS51),IF($AN51="WI",MAX(0,$AI51-MAX(0,IF($AU51="Married",9461-0.2*MAX(0,$AI51-25727),6702-0.12*MAX(0,$AI51-17780)))-400*$AS51),IF($AN51="WV",MAX(0,$AI51-2000*$AS51),$AI51))))))))))))))))))))))</f>
      </c>
      <c r="BA51" s="7">
        <f>IF($B51="","",IF($BW51&lt;&gt;"",$BW51,IF($BX51&lt;&gt;"",$BX51,IF($BY51&lt;&gt;"",$BY51,0))))</f>
      </c>
      <c r="BB51" s="7">
        <f>IF($B51="","",IF($AN51="AR",-29*$AS51,IF($AN51="DE",-110*$AS51,IF($AN51="MD",$AZ51*'Your Pay &amp; Benefits'!$C$74,IF($AN51="AZ",'Your Pay &amp; Benefits'!$C$82*($M51-$D51)*'Your Pay &amp; Benefits'!$C$8,IF($AN51="CO",0.044*MAX(0,$AY51-IF($AU51="Married",10000,5000)),IF($AN51="IA",MAX(0,0.038*MAX(0,$AY51-IF($AU51="Head of household",19500,IF($AU51="Married",26000,13000)))-40*$AS51),IF($AN51="ID",0.053*MAX(0,$AY51-IF($AU51="Married",32000,16094)),IF($AN51="IL",0.0495*MAX(0,$AY51-(2925*$AS51+1000*$AT51)),IF($AN51="IN",(0.0295+'Your Pay &amp; Benefits'!$C$76)*MAX(0,$AY51-(1000*$AS51+1500*$AT51+3000*'Your Pay &amp; Benefits'!$C$86)),IF($AN51="KY",0.035*MAX(0,$AI51-3360),IF($AN51="LA",IF('Your Pay &amp; Benefits'!$C$84="0",0.0309*$AI51,0.0309*MAX(0,$AI51-IF('Your Pay &amp; Benefits'!$C$84="2",25750,12875))),IF($AN51="MA",0.05*MIN(MAX(0,$AY51-MIN(($BD50+$Q51+$R51+$S51),2000)-IF($AS51=0,0,IF($AS51=1,4400,1000*$AS51+3400))),1107750)+0.09*MAX(0,MAX(0,$AY51-MIN(($BD50+$Q51+$R51+$S51),2000)-IF($AS51=0,0,IF($AS51=1,4400,1000*$AS51+3400)))-1107750)-IF($AU51="Head of household",120,0)-110*'Your Pay &amp; Benefits'!$C$75,IF($AN51="MI",0.0425*MAX(0,$AY51-5900*$AS51),IF($AN51="MS",0.04*MAX(0,$AI51-IF($AU51="Head of household",3400,IF($AU51="Married",4600,2300))-'Your Pay &amp; Benefits'!$C$85-10000),IF($AN51="OR",IF(OR($AU51="Married",AND($AU51="Single",$AS51&gt;=3)),SUMPRODUCT((MAX(0,$AY51-MIN(($P51-'How This Works &amp; Sources'!$C$10*$D51)*'Your Pay &amp; Benefits'!$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Sources'!$B$211:$J$214,0,4))*(MAX(0,$AY51-MIN(($P51-'How This Works &amp; Sources'!$C$10*$D51)*'Your Pay &amp; Benefits'!$C$8,IF(OR($AU51="Married",AND($AU51="Single",$AS51&gt;=3)),IF($AY51&lt;250000,8750,IF($AY51&lt;260000,7000,IF($AY51&lt;270000,5250,IF($AY51&lt;280000,3500,IF($AY51&lt;290000,1750,0))))),IF($AY51&lt;125000,8750,IF($AY51&lt;130000,7000,IF($AY51&lt;135000,5250,IF($AY51&lt;140000,3500,IF($AY51&lt;145000,1750,0)))))))-IF(OR($AU51="Married",AND($AU51="Single",$AS51&gt;=3)),5820,2910))-INDEX('How This Works &amp; Sources'!$B$211:$J$214,0,4))*INDEX('How This Works &amp; Sources'!$B$211:$J$214,0,4+2)),SUMPRODUCT((MAX(0,$AY51-MIN(($P51-'How This Works &amp; Sources'!$C$10*$D51)*'Your Pay &amp; Benefits'!$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Sources'!$B$211:$J$214,0,1))*(MAX(0,$AY51-MIN(($P51-'How This Works &amp; Sources'!$C$10*$D51)*'Your Pay &amp; Benefits'!$C$8,IF(OR($AU51="Married",AND($AU51="Single",$AS51&gt;=3)),IF($AY51&lt;250000,8750,IF($AY51&lt;260000,7000,IF($AY51&lt;270000,5250,IF($AY51&lt;280000,3500,IF($AY51&lt;290000,1750,0))))),IF($AY51&lt;125000,8750,IF($AY51&lt;130000,7000,IF($AY51&lt;135000,5250,IF($AY51&lt;140000,3500,IF($AY51&lt;145000,1750,0)))))))-IF(OR($AU51="Married",AND($AU51="Single",$AS51&gt;=3)),5820,2910))-INDEX('How This Works &amp; Sources'!$B$211:$J$214,0,1))*INDEX('How This Works &amp; Sources'!$B$211:$J$214,0,1+2)))+263-263*IF(IF($AU51="Married",$AY51&gt;200000,$AY51&gt;100000),0,$AS51),IF($AN51="PA",0.0307*(($O51+$E51+$G51)*'Your Pay &amp; Benefits'!$C$8),IF($AN51="NY",IF($AU51="Married",IF($AZ51&gt;=2155350,0,IF($AZ51&gt;=1077550,0.48,IF($AZ51&gt;=373200,1.21,IF($AZ51&gt;=323200,0.21,IF($AZ51&gt;=211550,-0.19,IF($AZ51&gt;=157650,-2.8,IF($AZ51&gt;=107650,-0.8,IF($AZ51&gt;=96800,0.05,IF($AZ51&gt;=80650,-0.1,IF($AZ51&gt;=13900,0.4,IF($AZ51&gt;=11700,-0.3,IF($AZ51&gt;=8500,0.5,0)))))))))))),IF($AZ51&gt;=1077550,0,IF($AZ51&gt;=265400,4.29,IF($AZ51&gt;=215400,2.29,IF($AZ51&gt;=157650,2.29,IF($AZ51&gt;=107650,0.29,IF($AZ51&gt;=96800,0.05,IF($AZ51&gt;=80650,-0.1,IF($AZ51&gt;=13900,0.4,IF($AZ51&gt;=11700,-0.3,IF($AZ51&gt;=8500,0.5,0))))))))))),0))))))))))))))))))</f>
      </c>
      <c r="BC51" s="7">
        <f>IF($B51="","",IF($AN51="AL",0.05*$D51,IF($AN51="AR",0.039*$D51,IF($AN51="ID",0.053*$D51,IF($AN51="IN",(0.0295+'Your Pay &amp; Benefits'!$C$76)*$D51,IF($AN51="KS",0.05*$D51,IF($AN51="MA",0.09*MIN($D51,MAX(0,MAX(0,$AY51-MIN(($BD50+$Q51+$R51+$S51),2000)-IF($AS51=0,0,IF($AS51=1,4400,1000*$AS51+3400)))+$D51-1107750))+0.05*($D51-MIN($D51,MAX(0,MAX(0,$AY51-MIN(($BD50+$Q51+$R51+$S51),2000)-IF($AS51=0,0,IF($AS51=1,4400,1000*$AS51+3400)))+$D51-1107750))),IF($AN51="MD",(0.065+'Your Pay &amp; Benefits'!$C$74)*$D51,IF($AN51="MI",0.0425*$D51,IF($AN51="MN",0.0625*$D51,IF($AN51="MO",0.047*$D51,IF($AN51="MT",0.05*$D51,IF($AN51="ND",0.015*$D51,IF($AN51="NE",0.035*$D51,IF($AN51="NJ",IF('Your Pay &amp; Benefits'!$C$77="B",SUMPRODUCT(($D51*'Your Pay &amp; Benefits'!$C$8&gt;INDEX('How This Works &amp; Sources'!$B$155:$J$162,0,4))*($D51*'Your Pay &amp; Benefits'!$C$8-INDEX('How This Works &amp; Sources'!$B$155:$J$162,0,4))*INDEX('How This Works &amp; Sources'!$B$155:$J$162,0,4+2)),IF('Your Pay &amp; Benefits'!$C$77="C",SUMPRODUCT(($D51*'Your Pay &amp; Benefits'!$C$8&gt;INDEX('How This Works &amp; Sources'!$B$155:$J$162,0,7))*($D51*'Your Pay &amp; Benefits'!$C$8-INDEX('How This Works &amp; Sources'!$B$155:$J$162,0,7))*INDEX('How This Works &amp; Sources'!$B$155:$J$162,0,7+2)),IF('Your Pay &amp; Benefits'!$C$77="D",SUMPRODUCT(($D51*'Your Pay &amp; Benefits'!$C$8&gt;INDEX('How This Works &amp; Sources'!$B$167:$J$179,0,1))*($D51*'Your Pay &amp; Benefits'!$C$8-INDEX('How This Works &amp; Sources'!$B$167:$J$179,0,1))*INDEX('How This Works &amp; Sources'!$B$167:$J$179,0,1+2)),IF('Your Pay &amp; Benefits'!$C$77="E",SUMPRODUCT(($D51*'Your Pay &amp; Benefits'!$C$8&gt;INDEX('How This Works &amp; Sources'!$B$167:$J$179,0,4))*($D51*'Your Pay &amp; Benefits'!$C$8-INDEX('How This Works &amp; Sources'!$B$167:$J$179,0,4))*INDEX('How This Works &amp; Sources'!$B$167:$J$179,0,4+2)),SUMPRODUCT(($D51*'Your Pay &amp; Benefits'!$C$8&gt;INDEX('How This Works &amp; Sources'!$B$155:$J$162,0,1))*($D51*'Your Pay &amp; Benefits'!$C$8-INDEX('How This Works &amp; Sources'!$B$155:$J$162,0,1))*INDEX('How This Works &amp; Sources'!$B$155:$J$162,0,1+2))))))/'Your Pay &amp; Benefits'!$C$8,IF($AN51="NY",0.117*$D51,IF($AN51="OH",0.0275*$D51,IF($AN51="OK",0.045*$D51,IF($AN51="OR",0.08*$D51,IF($AN51="WI",IF($AY51&lt;12760,0.0354,IF($AY51&lt;25520,0.0465,IF($AY51&lt;280950,0.053,0.0765)))*$D51,0))))))))))))))))))))</f>
      </c>
      <c r="BD51" s="7">
        <f>IF($B51="","",$BD50+$Q51+$R51+$S51)</f>
      </c>
      <c r="BE51" s="6">
        <f>IF($B51="",$BE50,$BE50+$BF51)</f>
      </c>
      <c r="BF51" s="6">
        <f>IF($B51="","",IF(AND(IF(YEAR(IF('Your Pay &amp; Benefits'!$C$7="Weekly",'Your Pay &amp; Benefits'!$C$9+7*(($BE50+1)-1),IF('Your Pay &amp; Benefits'!$C$7="Biweekly",'Your Pay &amp; Benefits'!$C$9+14*(($BE50+1)-1),IF('Your Pay &amp; Benefits'!$C$7="Semimonthly",DATE(YEAR('Your Pay &amp; Benefits'!$C$9),MONTH('Your Pay &amp; Benefits'!$C$9)+INT((($BE50+1)-1)/2),MIN(DAY('Your Pay &amp; Benefits'!$C$9),DAY(EOMONTH(DATE(YEAR('Your Pay &amp; Benefits'!$C$9),MONTH('Your Pay &amp; Benefits'!$C$9)+INT((($BE50+1)-1)/2),1),0))))+IF(MOD(($BE50+1)-1,2)=1,15,0),EDATE('Your Pay &amp; Benefits'!$C$9,($BE50+1)-1)))))&lt;&gt;'Your Pay &amp; Benefits'!$C$10,"",IF('Your Pay &amp; Benefits'!$C$7="Weekly",'Your Pay &amp; Benefits'!$C$9+7*(($BE50+1)-1),IF('Your Pay &amp; Benefits'!$C$7="Biweekly",'Your Pay &amp; Benefits'!$C$9+14*(($BE50+1)-1),IF('Your Pay &amp; Benefits'!$C$7="Semimonthly",DATE(YEAR('Your Pay &amp; Benefits'!$C$9),MONTH('Your Pay &amp; Benefits'!$C$9)+INT((($BE50+1)-1)/2),MIN(DAY('Your Pay &amp; Benefits'!$C$9),DAY(EOMONTH(DATE(YEAR('Your Pay &amp; Benefits'!$C$9),MONTH('Your Pay &amp; Benefits'!$C$9)+INT((($BE50+1)-1)/2),1),0))))+IF(MOD(($BE50+1)-1,2)=1,15,0),EDATE('Your Pay &amp; Benefits'!$C$9,($BE50+1)-1)))))&lt;&gt;"",$B51=IF(YEAR(IF('Your Pay &amp; Benefits'!$C$7="Weekly",'Your Pay &amp; Benefits'!$C$9+7*(($BE50+1)-1),IF('Your Pay &amp; Benefits'!$C$7="Biweekly",'Your Pay &amp; Benefits'!$C$9+14*(($BE50+1)-1),IF('Your Pay &amp; Benefits'!$C$7="Semimonthly",DATE(YEAR('Your Pay &amp; Benefits'!$C$9),MONTH('Your Pay &amp; Benefits'!$C$9)+INT((($BE50+1)-1)/2),MIN(DAY('Your Pay &amp; Benefits'!$C$9),DAY(EOMONTH(DATE(YEAR('Your Pay &amp; Benefits'!$C$9),MONTH('Your Pay &amp; Benefits'!$C$9)+INT((($BE50+1)-1)/2),1),0))))+IF(MOD(($BE50+1)-1,2)=1,15,0),EDATE('Your Pay &amp; Benefits'!$C$9,($BE50+1)-1)))))&lt;&gt;'Your Pay &amp; Benefits'!$C$10,"",IF('Your Pay &amp; Benefits'!$C$7="Weekly",'Your Pay &amp; Benefits'!$C$9+7*(($BE50+1)-1),IF('Your Pay &amp; Benefits'!$C$7="Biweekly",'Your Pay &amp; Benefits'!$C$9+14*(($BE50+1)-1),IF('Your Pay &amp; Benefits'!$C$7="Semimonthly",DATE(YEAR('Your Pay &amp; Benefits'!$C$9),MONTH('Your Pay &amp; Benefits'!$C$9)+INT((($BE50+1)-1)/2),MIN(DAY('Your Pay &amp; Benefits'!$C$9),DAY(EOMONTH(DATE(YEAR('Your Pay &amp; Benefits'!$C$9),MONTH('Your Pay &amp; Benefits'!$C$9)+INT((($BE50+1)-1)/2),1),0))))+IF(MOD(($BE50+1)-1,2)=1,15,0),EDATE('Your Pay &amp; Benefits'!$C$9,($BE50+1)-1)))))),1,0))</f>
      </c>
      <c r="BG51" s="7">
        <f>IF($B51="","",$BG50+$H51)</f>
      </c>
      <c r="BH51" s="7">
        <f>IF($B51="","",$BH50+$I51)</f>
      </c>
      <c r="BI51" s="7">
        <f>IF($B51="","",$BI50+$G51)</f>
      </c>
      <c r="BJ51" s="7">
        <f>IF($B51="","",IFERROR(LOOKUP(2,1/(((('Changes &amp; Events'!$C$6:$C$17="Deduction start"))*('Changes &amp; Events'!$D$6:$D$17="Health FSA"))*('Changes &amp; Events'!$B$6:$B$17&lt;=$B51)*('Changes &amp; Events'!$B$6:$B$17&lt;&gt;"")),'Changes &amp; Events'!$E$6:$E$17),'Your Pay &amp; Benefits'!$D$38))</f>
      </c>
      <c r="BK51" s="7">
        <f>IF($B51="","",IFERROR(LOOKUP(2,1/(((('Changes &amp; Events'!$C$6:$C$17="Deduction start"))*('Changes &amp; Events'!$D$6:$D$17="Dependent-care FSA"))*('Changes &amp; Events'!$B$6:$B$17&lt;=$B51)*('Changes &amp; Events'!$B$6:$B$17&lt;&gt;"")),'Changes &amp; Events'!$E$6:$E$17),'Your Pay &amp; Benefits'!$D$39))</f>
      </c>
      <c r="BL51" s="7">
        <f>IF($B51="","",IFERROR(LOOKUP(2,1/(((('Changes &amp; Events'!$C$6:$C$17="Deduction start")+('Changes &amp; Events'!$C$6:$C$17="Deduction stop"))*('Changes &amp; Events'!$D$6:$D$17="HSA"))*('Changes &amp; Events'!$B$6:$B$17&lt;=$B51)*('Changes &amp; Events'!$B$6:$B$17&lt;&gt;"")),'Changes &amp; Events'!$I$6:$I$17),'Your Pay &amp; Benefits'!$D$35))</f>
      </c>
      <c r="BM51" s="7">
        <f>IF($B51="","",IFERROR(LOOKUP(2,1/(((('Changes &amp; Events'!$C$6:$C$17="Deduction start")+('Changes &amp; Events'!$C$6:$C$17="Deduction stop"))*('Changes &amp; Events'!$D$6:$D$17="Premiums"))*('Changes &amp; Events'!$B$6:$B$17&lt;=$B51)*('Changes &amp; Events'!$B$6:$B$17&lt;&gt;"")),'Changes &amp; Events'!$I$6:$I$17),'Your Pay &amp; Benefits'!$D$40+'Your Pay &amp; Benefits'!$D$41+'Your Pay &amp; Benefits'!$D$42))</f>
      </c>
      <c r="BN51" s="7">
        <f>IF($B51="","",IFERROR(LOOKUP(2,1/(((('Changes &amp; Events'!$C$6:$C$17="Deduction start")+('Changes &amp; Events'!$C$6:$C$17="Deduction stop"))*('Changes &amp; Events'!$D$6:$D$17="Commuter"))*('Changes &amp; Events'!$B$6:$B$17&lt;=$B51)*('Changes &amp; Events'!$B$6:$B$17&lt;&gt;"")),'Changes &amp; Events'!$I$6:$I$17),'Your Pay &amp; Benefits'!$D$43))</f>
      </c>
      <c r="BO51" s="7">
        <f>IF($B51="","",IFERROR(LOOKUP(2,1/(((('Changes &amp; Events'!$C$6:$C$17="Deduction start")+('Changes &amp; Events'!$C$6:$C$17="Deduction stop"))*('Changes &amp; Events'!$D$6:$D$17="Other pre-tax"))*('Changes &amp; Events'!$B$6:$B$17&lt;=$B51)*('Changes &amp; Events'!$B$6:$B$17&lt;&gt;"")),'Changes &amp; Events'!$I$6:$I$17),'Your Pay &amp; Benefits'!$D$44))</f>
      </c>
      <c r="BP51" s="7">
        <f>IF($B51="","",IFERROR(LOOKUP(2,1/(((('Changes &amp; Events'!$C$6:$C$17="Deduction start")+('Changes &amp; Events'!$C$6:$C$17="Deduction stop"))*('Changes &amp; Events'!$D$6:$D$17="Other post-tax"))*('Changes &amp; Events'!$B$6:$B$17&lt;=$B51)*('Changes &amp; Events'!$B$6:$B$17&lt;&gt;"")),'Changes &amp; Events'!$I$6:$I$17),'Your Pay &amp; Benefits'!$D$45))</f>
      </c>
      <c r="BQ51" s="6">
        <f>IF($B51="","",IFERROR(LOOKUP(2,1/(((('Changes &amp; Events'!$C$6:$C$17="Deduction start")+('Changes &amp; Events'!$C$6:$C$17="Deduction stop"))*('Changes &amp; Events'!$D$6:$D$17="Health FSA"))*('Changes &amp; Events'!$B$6:$B$17&lt;=$B51)*('Changes &amp; Events'!$B$6:$B$17&lt;&gt;"")),'Changes &amp; Events'!$J$6:$J$17),0))</f>
      </c>
      <c r="BR51" s="6">
        <f>IF($B51="","",IFERROR(LOOKUP(2,1/(((('Changes &amp; Events'!$C$6:$C$17="Deduction start")+('Changes &amp; Events'!$C$6:$C$17="Deduction stop"))*('Changes &amp; Events'!$D$6:$D$17="Dependent-care FSA"))*('Changes &amp; Events'!$B$6:$B$17&lt;=$B51)*('Changes &amp; Events'!$B$6:$B$17&lt;&gt;"")),'Changes &amp; Events'!$J$6:$J$17),0))</f>
      </c>
      <c r="BS51" s="6">
        <f>IF($B51="","",IF(SUMPRODUCT(('Changes &amp; Events'!$C$6:$C$17="Deduction start")*('Changes &amp; Events'!$B$6:$B$17&lt;=$B51)*('Changes &amp; Events'!$B$6:$B$17&lt;&gt;"")*('Changes &amp; Events'!$D$6:$D$17="Health FSA"))&gt;0,1,0))</f>
      </c>
      <c r="BT51" s="6">
        <f>IF($B51="","",IF(SUMPRODUCT(('Changes &amp; Events'!$C$6:$C$17="Deduction start")*('Changes &amp; Events'!$B$6:$B$17&lt;=$B51)*('Changes &amp; Events'!$B$6:$B$17&lt;&gt;"")*('Changes &amp; Events'!$D$6:$D$17="Dependent-care FSA"))&gt;0,1,0))</f>
      </c>
      <c r="BU51" s="24">
        <f>IF($B51="","",IF('Your Pay &amp; Benefits'!$C$13,SUMPRODUCT(($AH51&gt;=INDEX('How This Works &amp; Sources'!$B$29:$J$36,0,IF('Your Pay &amp; Benefits'!$C$12="MFJ",1,IF('Your Pay &amp; Benefits'!$C$12="HoH",7,4))))*INDEX('How This Works &amp; Sources'!$B$29:$J$36,0,IF('Your Pay &amp; Benefits'!$C$12="MFJ",1,IF('Your Pay &amp; Benefits'!$C$12="HoH",7,4))+2)),SUMPRODUCT(($AH51&gt;=INDEX('How This Works &amp; Sources'!$B$19:$J$26,0,IF('Your Pay &amp; Benefits'!$C$12="MFJ",1,IF('Your Pay &amp; Benefits'!$C$12="HoH",7,4))))*INDEX('How This Works &amp; Sources'!$B$19:$J$26,0,IF('Your Pay &amp; Benefits'!$C$12="MFJ",1,IF('Your Pay &amp; Benefits'!$C$12="HoH",7,4))+2))))</f>
      </c>
      <c r="BV51" s="24">
        <f>IF($B51="","",IF($BZ51&lt;&gt;"",$BZ51,IF($CA51&lt;&gt;"",$CA51,IF($CB51&lt;&gt;"",$CB51,IF($CC51&lt;&gt;"",$CC51,0)))))</f>
      </c>
      <c r="BW51" s="7">
        <f>IF($B51="","",IF($AN51="MD",IF(OR($AU51="Married",$AU51="Head of household"),SUMPRODUCT(($AZ51&gt;INDEX('How This Works &amp; Sources'!$B$114:$J$120,0,1))*($AZ51-INDEX('How This Works &amp; Sources'!$B$114:$J$120,0,1))*INDEX('How This Works &amp; Sources'!$B$114:$J$120,0,1+2)),SUMPRODUCT(($AZ51&gt;INDEX('How This Works &amp; Sources'!$B$103:$J$109,0,7))*($AZ51-INDEX('How This Works &amp; Sources'!$B$103:$J$109,0,7))*INDEX('How This Works &amp; Sources'!$B$103:$J$109,0,7+2))),IF($AN51="MO",SUMPRODUCT(($AZ51&gt;INDEX('How This Works &amp; Sources'!$B$125:$J$132,0,1))*($AZ51-INDEX('How This Works &amp; Sources'!$B$125:$J$132,0,1))*INDEX('How This Works &amp; Sources'!$B$125:$J$132,0,1+2)),IF($AN51="MT",IF($AU51="Head of household",SUMPRODUCT(($AZ51&gt;INDEX('How This Works &amp; Sources'!$B$137:$J$139,0,1))*($AZ51-INDEX('How This Works &amp; Sources'!$B$137:$J$139,0,1))*INDEX('How This Works &amp; Sources'!$B$137:$J$139,0,1+2)),IF($AU51="Married",SUMPRODUCT(($AZ51&gt;INDEX('How This Works &amp; Sources'!$B$125:$J$132,0,7))*($AZ51-INDEX('How This Works &amp; Sources'!$B$125:$J$132,0,7))*INDEX('How This Works &amp; Sources'!$B$125:$J$132,0,7+2)),SUMPRODUCT(($AZ51&gt;INDEX('How This Works &amp; Sources'!$B$125:$J$132,0,4))*($AZ51-INDEX('How This Works &amp; Sources'!$B$125:$J$132,0,4))*INDEX('How This Works &amp; Sources'!$B$125:$J$132,0,4+2)))),IF($AN51="ND",IF($AU51="Head of household",SUMPRODUCT(($AZ51&gt;INDEX('How This Works &amp; Sources'!$B$144:$J$150,0,1))*($AZ51-INDEX('How This Works &amp; Sources'!$B$144:$J$150,0,1))*INDEX('How This Works &amp; Sources'!$B$144:$J$150,0,1+2)),IF($AU51="Married",SUMPRODUCT(($AZ51&gt;INDEX('How This Works &amp; Sources'!$B$137:$J$139,0,7))*($AZ51-INDEX('How This Works &amp; Sources'!$B$137:$J$139,0,7))*INDEX('How This Works &amp; Sources'!$B$137:$J$139,0,7+2)),SUMPRODUCT(($AZ51&gt;INDEX('How This Works &amp; Sources'!$B$137:$J$139,0,4))*($AZ51-INDEX('How This Works &amp; Sources'!$B$137:$J$139,0,4))*INDEX('How This Works &amp; Sources'!$B$137:$J$139,0,4+2)))),IF($AN51="NJ",IF('Your Pay &amp; Benefits'!$C$77="B",SUMPRODUCT(($AZ51&gt;INDEX('How This Works &amp; Sources'!$B$155:$J$162,0,4))*($AZ51-INDEX('How This Works &amp; Sources'!$B$155:$J$162,0,4))*INDEX('How This Works &amp; Sources'!$B$155:$J$162,0,4+2)),IF('Your Pay &amp; Benefits'!$C$77="C",SUMPRODUCT(($AZ51&gt;INDEX('How This Works &amp; Sources'!$B$155:$J$162,0,7))*($AZ51-INDEX('How This Works &amp; Sources'!$B$155:$J$162,0,7))*INDEX('How This Works &amp; Sources'!$B$155:$J$162,0,7+2)),IF('Your Pay &amp; Benefits'!$C$77="D",SUMPRODUCT(($AZ51&gt;INDEX('How This Works &amp; Sources'!$B$167:$J$179,0,1))*($AZ51-INDEX('How This Works &amp; Sources'!$B$167:$J$179,0,1))*INDEX('How This Works &amp; Sources'!$B$167:$J$179,0,1+2)),IF('Your Pay &amp; Benefits'!$C$77="E",SUMPRODUCT(($AZ51&gt;INDEX('How This Works &amp; Sources'!$B$167:$J$179,0,4))*($AZ51-INDEX('How This Works &amp; Sources'!$B$167:$J$179,0,4))*INDEX('How This Works &amp; Sources'!$B$167:$J$179,0,4+2)),SUMPRODUCT(($AZ51&gt;INDEX('How This Works &amp; Sources'!$B$155:$J$162,0,1))*($AZ51-INDEX('How This Works &amp; Sources'!$B$155:$J$162,0,1))*INDEX('How This Works &amp; Sources'!$B$155:$J$162,0,1+2)))))),IF($AN51="NY",IF($AU51="Married",IF($AZ51&gt;=2155350,$AZ51*IF($AZ51&gt;25000000,0.117,IF($AZ51&gt;5000000,0.111,0.1045)),SUMPRODUCT(($AZ51&gt;INDEX('How This Works &amp; Sources'!$B$184:$J$198,0,1))*($AZ51-INDEX('How This Works &amp; Sources'!$B$184:$J$198,0,1))*INDEX('How This Works &amp; Sources'!$B$184:$J$198,0,1+2))),IF($AZ51&gt;=1077550,$AZ51*IF($AZ51&gt;25000000,0.117,IF($AZ51&gt;5000000,0.111,0.1045)),SUMPRODUCT(($AZ51&gt;INDEX('How This Works &amp; Sources'!$B$167:$J$179,0,7))*($AZ51-INDEX('How This Works &amp; Sources'!$B$167:$J$179,0,7))*INDEX('How This Works &amp; Sources'!$B$167:$J$179,0,7+2)))),"")))))))</f>
      </c>
      <c r="BX51" s="7">
        <f>IF($B51="","",IF($AN51="AL",IF(OR($AU51="Married",$AU51="Head of household"),SUMPRODUCT(($AZ51&gt;INDEX('How This Works &amp; Sources'!$B$82:$J$86,0,4))*($AZ51-INDEX('How This Works &amp; Sources'!$B$82:$J$86,0,4))*INDEX('How This Works &amp; Sources'!$B$82:$J$86,0,4+2)),SUMPRODUCT(($AZ51&gt;INDEX('How This Works &amp; Sources'!$B$82:$J$86,0,1))*($AZ51-INDEX('How This Works &amp; Sources'!$B$82:$J$86,0,1))*INDEX('How This Works &amp; Sources'!$B$82:$J$86,0,1+2))),IF($AN51="KS",IF($AU51="Married",SUMPRODUCT(($AZ51&gt;INDEX('How This Works &amp; Sources'!$B$103:$J$109,0,4))*($AZ51-INDEX('How This Works &amp; Sources'!$B$103:$J$109,0,4))*INDEX('How This Works &amp; Sources'!$B$103:$J$109,0,4+2)),SUMPRODUCT(($AZ51&gt;INDEX('How This Works &amp; Sources'!$B$103:$J$109,0,1))*($AZ51-INDEX('How This Works &amp; Sources'!$B$103:$J$109,0,1))*INDEX('How This Works &amp; Sources'!$B$103:$J$109,0,1+2))),IF($AN51="MN",IF($AU51="Married",SUMPRODUCT(($AZ51&gt;INDEX('How This Works &amp; Sources'!$B$114:$J$120,0,7))*($AZ51-INDEX('How This Works &amp; Sources'!$B$114:$J$120,0,7))*INDEX('How This Works &amp; Sources'!$B$114:$J$120,0,7+2)),SUMPRODUCT(($AZ51&gt;INDEX('How This Works &amp; Sources'!$B$114:$J$120,0,4))*($AZ51-INDEX('How This Works &amp; Sources'!$B$114:$J$120,0,4))*INDEX('How This Works &amp; Sources'!$B$114:$J$120,0,4+2))),IF($AN51="NE",MAX(IF($AU51="Married",SUMPRODUCT(($AZ51&gt;INDEX('How This Works &amp; Sources'!$B$144:$J$150,0,7))*($AZ51-INDEX('How This Works &amp; Sources'!$B$144:$J$150,0,7))*INDEX('How This Works &amp; Sources'!$B$144:$J$150,0,7+2)),SUMPRODUCT(($AZ51&gt;INDEX('How This Works &amp; Sources'!$B$144:$J$150,0,4))*($AZ51-INDEX('How This Works &amp; Sources'!$B$144:$J$150,0,4))*INDEX('How This Works &amp; Sources'!$B$144:$J$150,0,4+2))),0.015*$AZ51),IF($AN51="OH",IF($B51&gt;=DATE(2026,8,1),SUMPRODUCT(($AZ51&gt;INDEX('How This Works &amp; Sources'!$B$203:$J$206,0,1))*($AZ51-INDEX('How This Works &amp; Sources'!$B$203:$J$206,0,1))*INDEX('How This Works &amp; Sources'!$B$203:$J$206,0,1+2)),SUMPRODUCT(($AZ51&gt;INDEX('How This Works &amp; Sources'!$B$184:$J$198,0,7))*($AZ51-INDEX('How This Works &amp; Sources'!$B$184:$J$198,0,7))*INDEX('How This Works &amp; Sources'!$B$184:$J$198,0,7+2))),IF($AN51="OK",IF($AU51="Married",SUMPRODUCT(($AZ51&gt;INDEX('How This Works &amp; Sources'!$B$203:$J$206,0,7))*($AZ51-INDEX('How This Works &amp; Sources'!$B$203:$J$206,0,7))*INDEX('How This Works &amp; Sources'!$B$203:$J$206,0,7+2)),SUMPRODUCT(($AZ51&gt;INDEX('How This Works &amp; Sources'!$B$203:$J$206,0,4))*($AZ51-INDEX('How This Works &amp; Sources'!$B$203:$J$206,0,4))*INDEX('How This Works &amp; Sources'!$B$203:$J$206,0,4+2))),IF($AN51="RI",SUMPRODUCT(($AZ51&gt;INDEX('How This Works &amp; Sources'!$B$211:$J$214,0,7))*($AZ51-INDEX('How This Works &amp; Sources'!$B$211:$J$214,0,7))*INDEX('How This Works &amp; Sources'!$B$211:$J$214,0,7+2)),IF($AN51="VT",IF($AU51="Married",SUMPRODUCT(($AZ51&gt;INDEX('How This Works &amp; Sources'!$B$228:$J$232,0,1))*($AZ51-INDEX('How This Works &amp; Sources'!$B$228:$J$232,0,1))*INDEX('How This Works &amp; Sources'!$B$228:$J$232,0,1+2)),SUMPRODUCT(($AZ51&gt;INDEX('How This Works &amp; Sources'!$B$219:$J$223,0,7))*($AZ51-INDEX('How This Works &amp; Sources'!$B$219:$J$223,0,7))*INDEX('How This Works &amp; Sources'!$B$219:$J$223,0,7+2))),IF($AN51="WV",IF($AU51="Married",SUMPRODUCT(($AZ51&gt;INDEX('How This Works &amp; Sources'!$B$237:$J$241,0,7))*($AZ51-INDEX('How This Works &amp; Sources'!$B$237:$J$241,0,7))*INDEX('How This Works &amp; Sources'!$B$237:$J$241,0,7+2)),SUMPRODUCT(($AZ51&gt;INDEX('How This Works &amp; Sources'!$B$228:$J$232,0,7))*($AZ51-INDEX('How This Works &amp; Sources'!$B$228:$J$232,0,7))*INDEX('How This Works &amp; Sources'!$B$228:$J$232,0,7+2))),""))))))))))</f>
      </c>
      <c r="BY51" s="7">
        <f>IF($B51="","",IF($AN51="AR",SUMPRODUCT(($AZ51&gt;INDEX('How This Works &amp; Sources'!$B$82:$J$86,0,7))*($AZ51-INDEX('How This Works &amp; Sources'!$B$82:$J$86,0,7))*INDEX('How This Works &amp; Sources'!$B$82:$J$86,0,7+2)),IF($AN51="DE",SUMPRODUCT(($AZ51&gt;INDEX('How This Works &amp; Sources'!$B$91:$J$98,0,1))*($AZ51-INDEX('How This Works &amp; Sources'!$B$91:$J$98,0,1))*INDEX('How This Works &amp; Sources'!$B$91:$J$98,0,1+2)),IF($AN51="HI",IF($AU51="Married",SUMPRODUCT(($AZ51&gt;INDEX('How This Works &amp; Sources'!$B$91:$J$98,0,7))*($AZ51-INDEX('How This Works &amp; Sources'!$B$91:$J$98,0,7))*INDEX('How This Works &amp; Sources'!$B$91:$J$98,0,7+2)),SUMPRODUCT(($AZ51&gt;INDEX('How This Works &amp; Sources'!$B$91:$J$98,0,4))*($AZ51-INDEX('How This Works &amp; Sources'!$B$91:$J$98,0,4))*INDEX('How This Works &amp; Sources'!$B$91:$J$98,0,4+2))),IF($AN51="SC",SUMPRODUCT(($AZ51&gt;INDEX('How This Works &amp; Sources'!$B$219:$J$223,0,1))*($AZ51-INDEX('How This Works &amp; Sources'!$B$219:$J$223,0,1))*INDEX('How This Works &amp; Sources'!$B$219:$J$223,0,1+2)),IF($AN51="VA",SUMPRODUCT(($AZ51&gt;INDEX('How This Works &amp; Sources'!$B$219:$J$223,0,4))*($AZ51-INDEX('How This Works &amp; Sources'!$B$219:$J$223,0,4))*INDEX('How This Works &amp; Sources'!$B$219:$J$223,0,4+2)),IF($AN51="WI",SUMPRODUCT(($AZ51&gt;INDEX('How This Works &amp; Sources'!$B$228:$J$232,0,4))*($AZ51-INDEX('How This Works &amp; Sources'!$B$228:$J$232,0,4))*INDEX('How This Works &amp; Sources'!$B$228:$J$232,0,4+2)),"")))))))</f>
      </c>
      <c r="BZ51" s="24">
        <f>IF($B51="","",IF($AN51="NJ",IF('Your Pay &amp; Benefits'!$C$77="B",SUMPRODUCT(($AZ51&gt;=INDEX('How This Works &amp; Sources'!$B$155:$J$162,0,4))*INDEX('How This Works &amp; Sources'!$B$155:$J$162,0,4+2)),IF('Your Pay &amp; Benefits'!$C$77="C",SUMPRODUCT(($AZ51&gt;=INDEX('How This Works &amp; Sources'!$B$155:$J$162,0,7))*INDEX('How This Works &amp; Sources'!$B$155:$J$162,0,7+2)),IF('Your Pay &amp; Benefits'!$C$77="D",SUMPRODUCT(($AZ51&gt;=INDEX('How This Works &amp; Sources'!$B$167:$J$179,0,1))*INDEX('How This Works &amp; Sources'!$B$167:$J$179,0,1+2)),IF('Your Pay &amp; Benefits'!$C$77="E",SUMPRODUCT(($AZ51&gt;=INDEX('How This Works &amp; Sources'!$B$167:$J$179,0,4))*INDEX('How This Works &amp; Sources'!$B$167:$J$179,0,4+2)),SUMPRODUCT(($AZ51&gt;=INDEX('How This Works &amp; Sources'!$B$155:$J$162,0,1))*INDEX('How This Works &amp; Sources'!$B$155:$J$162,0,1+2)))))),IF($AN51="OR",IF(OR($AU51="Married",AND($AU51="Single",$AS51&gt;=3)),SUMPRODUCT((MAX(0,$AY51-MIN(($P51-'How This Works &amp; Sources'!$C$10*$D51)*'Your Pay &amp; Benefits'!$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Sources'!$B$211:$J$214,0,4))*INDEX('How This Works &amp; Sources'!$B$211:$J$214,0,4+2)),SUMPRODUCT((MAX(0,$AY51-MIN(($P51-'How This Works &amp; Sources'!$C$10*$D51)*'Your Pay &amp; Benefits'!$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Sources'!$B$211:$J$214,0,1))*INDEX('How This Works &amp; Sources'!$B$211:$J$214,0,1+2)))*IF(($P51-'How This Works &amp; Sources'!$C$10*$D51)*'Your Pay &amp; Benefits'!$C$8&gt;=IF(OR($AU51="Married",AND($AU51="Single",$AS51&gt;=3)),IF($AY51&lt;250000,8750,IF($AY51&lt;260000,7000,IF($AY51&lt;270000,5250,IF($AY51&lt;280000,3500,IF($AY51&lt;290000,1750,0))))),IF($AY51&lt;125000,8750,IF($AY51&lt;130000,7000,IF($AY51&lt;135000,5250,IF($AY51&lt;140000,3500,IF($AY51&lt;145000,1750,0)))))),1,1-IF('Your Pay &amp; Benefits'!$C$13,SUMPRODUCT(($AH51&gt;=INDEX('How This Works &amp; Sources'!$B$29:$J$36,0,IF('Your Pay &amp; Benefits'!$C$12="MFJ",1,IF('Your Pay &amp; Benefits'!$C$12="HoH",7,4))))*INDEX('How This Works &amp; Sources'!$B$29:$J$36,0,IF('Your Pay &amp; Benefits'!$C$12="MFJ",1,IF('Your Pay &amp; Benefits'!$C$12="HoH",7,4))+2)),SUMPRODUCT(($AH51&gt;=INDEX('How This Works &amp; Sources'!$B$19:$J$26,0,IF('Your Pay &amp; Benefits'!$C$12="MFJ",1,IF('Your Pay &amp; Benefits'!$C$12="HoH",7,4))))*INDEX('How This Works &amp; Sources'!$B$19:$J$26,0,IF('Your Pay &amp; Benefits'!$C$12="MFJ",1,IF('Your Pay &amp; Benefits'!$C$12="HoH",7,4))+2)))),IF($AN51="MI",IF($AY51&gt;5900*$AS51,0.0425,0),""))))</f>
      </c>
      <c r="CA51" s="24">
        <f>IF($B51="","",IF($AN51="AL",IF(OR($AU51="Married",$AU51="Head of household"),SUMPRODUCT(($AZ51&gt;=INDEX('How This Works &amp; Sources'!$B$82:$J$86,0,4))*INDEX('How This Works &amp; Sources'!$B$82:$J$86,0,4+2)),SUMPRODUCT(($AZ51&gt;=INDEX('How This Works &amp; Sources'!$B$82:$J$86,0,1))*INDEX('How This Works &amp; Sources'!$B$82:$J$86,0,1+2)))*(1-IF('Your Pay &amp; Benefits'!$C$13,SUMPRODUCT(($AH51&gt;=INDEX('How This Works &amp; Sources'!$B$29:$J$36,0,IF('Your Pay &amp; Benefits'!$C$12="MFJ",1,IF('Your Pay &amp; Benefits'!$C$12="HoH",7,4))))*INDEX('How This Works &amp; Sources'!$B$29:$J$36,0,IF('Your Pay &amp; Benefits'!$C$12="MFJ",1,IF('Your Pay &amp; Benefits'!$C$12="HoH",7,4))+2)),SUMPRODUCT(($AH51&gt;=INDEX('How This Works &amp; Sources'!$B$19:$J$26,0,IF('Your Pay &amp; Benefits'!$C$12="MFJ",1,IF('Your Pay &amp; Benefits'!$C$12="HoH",7,4))))*INDEX('How This Works &amp; Sources'!$B$19:$J$26,0,IF('Your Pay &amp; Benefits'!$C$12="MFJ",1,IF('Your Pay &amp; Benefits'!$C$12="HoH",7,4))+2)))),IF($AN51="KS",IF($AU51="Married",SUMPRODUCT(($AZ51&gt;=INDEX('How This Works &amp; Sources'!$B$103:$J$109,0,4))*INDEX('How This Works &amp; Sources'!$B$103:$J$109,0,4+2)),SUMPRODUCT(($AZ51&gt;=INDEX('How This Works &amp; Sources'!$B$103:$J$109,0,1))*INDEX('How This Works &amp; Sources'!$B$103:$J$109,0,1+2))),IF($AN51="MD",IF(OR($AU51="Married",$AU51="Head of household"),SUMPRODUCT(($AZ51&gt;=INDEX('How This Works &amp; Sources'!$B$114:$J$120,0,1))*INDEX('How This Works &amp; Sources'!$B$114:$J$120,0,1+2)),SUMPRODUCT(($AZ51&gt;=INDEX('How This Works &amp; Sources'!$B$103:$J$109,0,7))*INDEX('How This Works &amp; Sources'!$B$103:$J$109,0,7+2)))+'Your Pay &amp; Benefits'!$C$74,IF($AN51="MT",IF($AU51="Head of household",SUMPRODUCT(($AZ51&gt;=INDEX('How This Works &amp; Sources'!$B$137:$J$139,0,1))*INDEX('How This Works &amp; Sources'!$B$137:$J$139,0,1+2)),IF($AU51="Married",SUMPRODUCT(($AZ51&gt;=INDEX('How This Works &amp; Sources'!$B$125:$J$132,0,7))*INDEX('How This Works &amp; Sources'!$B$125:$J$132,0,7+2)),SUMPRODUCT(($AZ51&gt;=INDEX('How This Works &amp; Sources'!$B$125:$J$132,0,4))*INDEX('How This Works &amp; Sources'!$B$125:$J$132,0,4+2)))),IF($AN51="ND",IF($AU51="Head of household",SUMPRODUCT(($AZ51&gt;=INDEX('How This Works &amp; Sources'!$B$144:$J$150,0,1))*INDEX('How This Works &amp; Sources'!$B$144:$J$150,0,1+2)),IF($AU51="Married",SUMPRODUCT(($AZ51&gt;=INDEX('How This Works &amp; Sources'!$B$137:$J$139,0,7))*INDEX('How This Works &amp; Sources'!$B$137:$J$139,0,7+2)),SUMPRODUCT(($AZ51&gt;=INDEX('How This Works &amp; Sources'!$B$137:$J$139,0,4))*INDEX('How This Works &amp; Sources'!$B$137:$J$139,0,4+2)))),IF($AN51="NY",IF($AU51="Married",IF($AZ51&gt;=2155350,IF($AZ51&gt;25000000,0.117,IF($AZ51&gt;5000000,0.111,0.1045)),SUMPRODUCT(($AZ51&gt;=INDEX('How This Works &amp; Sources'!$B$184:$J$198,0,1))*INDEX('How This Works &amp; Sources'!$B$184:$J$198,0,1+2))),IF($AZ51&gt;=1077550,IF($AZ51&gt;25000000,0.117,IF($AZ51&gt;5000000,0.111,0.1045)),SUMPRODUCT(($AZ51&gt;=INDEX('How This Works &amp; Sources'!$B$167:$J$179,0,7))*INDEX('How This Works &amp; Sources'!$B$167:$J$179,0,7+2)))),"")))))))</f>
      </c>
      <c r="CB51" s="24">
        <f>IF($B51="","",IF($AN51="CA",SUMPRODUCT(($AJ51&gt;=INDEX('How This Works &amp; Sources'!$B$39:$J$48,0,IF($AU51="Married",4,IF($AU51="Head of household",7,1))))*INDEX('How This Works &amp; Sources'!$B$39:$J$48,0,IF($AU51="Married",4,IF($AU51="Head of household",7,1))+2)),IF($AN51="HI",IF($AU51="Married",SUMPRODUCT(($AZ51&gt;=INDEX('How This Works &amp; Sources'!$B$91:$J$98,0,7))*INDEX('How This Works &amp; Sources'!$B$91:$J$98,0,7+2)),SUMPRODUCT(($AZ51&gt;=INDEX('How This Works &amp; Sources'!$B$91:$J$98,0,4))*INDEX('How This Works &amp; Sources'!$B$91:$J$98,0,4+2))),IF($AN51="MN",IF($AU51="Married",SUMPRODUCT(($AZ51&gt;=INDEX('How This Works &amp; Sources'!$B$114:$J$120,0,7))*INDEX('How This Works &amp; Sources'!$B$114:$J$120,0,7+2)),SUMPRODUCT(($AZ51&gt;=INDEX('How This Works &amp; Sources'!$B$114:$J$120,0,4))*INDEX('How This Works &amp; Sources'!$B$114:$J$120,0,4+2))),IF($AN51="MO",SUMPRODUCT(($AZ51&gt;=INDEX('How This Works &amp; Sources'!$B$125:$J$132,0,1))*INDEX('How This Works &amp; Sources'!$B$125:$J$132,0,1+2)),IF($AN51="NE",MAX(IF($AU51="Married",SUMPRODUCT(($AZ51&gt;=INDEX('How This Works &amp; Sources'!$B$144:$J$150,0,7))*INDEX('How This Works &amp; Sources'!$B$144:$J$150,0,7+2)),SUMPRODUCT(($AZ51&gt;=INDEX('How This Works &amp; Sources'!$B$144:$J$150,0,4))*INDEX('How This Works &amp; Sources'!$B$144:$J$150,0,4+2))),0.015),IF($AN51="OH",IF($B51&gt;=DATE(2026,8,1),SUMPRODUCT(($AZ51&gt;=INDEX('How This Works &amp; Sources'!$B$203:$J$206,0,1))*INDEX('How This Works &amp; Sources'!$B$203:$J$206,0,1+2)),SUMPRODUCT(($AZ51&gt;=INDEX('How This Works &amp; Sources'!$B$184:$J$198,0,7))*INDEX('How This Works &amp; Sources'!$B$184:$J$198,0,7+2))),IF($AN51="OK",IF($AU51="Married",SUMPRODUCT(($AZ51&gt;=INDEX('How This Works &amp; Sources'!$B$203:$J$206,0,7))*INDEX('How This Works &amp; Sources'!$B$203:$J$206,0,7+2)),SUMPRODUCT(($AZ51&gt;=INDEX('How This Works &amp; Sources'!$B$203:$J$206,0,4))*INDEX('How This Works &amp; Sources'!$B$203:$J$206,0,4+2))),IF($AN51="RI",SUMPRODUCT(($AZ51&gt;=INDEX('How This Works &amp; Sources'!$B$211:$J$214,0,7))*INDEX('How This Works &amp; Sources'!$B$211:$J$214,0,7+2)),IF($AN51="SC",SUMPRODUCT(($AZ51&gt;=INDEX('How This Works &amp; Sources'!$B$219:$J$223,0,1))*INDEX('How This Works &amp; Sources'!$B$219:$J$223,0,1+2)),IF($AN51="VT",IF($AU51="Married",SUMPRODUCT(($AZ51&gt;=INDEX('How This Works &amp; Sources'!$B$228:$J$232,0,1))*INDEX('How This Works &amp; Sources'!$B$228:$J$232,0,1+2)),SUMPRODUCT(($AZ51&gt;=INDEX('How This Works &amp; Sources'!$B$219:$J$223,0,7))*INDEX('How This Works &amp; Sources'!$B$219:$J$223,0,7+2))),IF($AN51="WV",IF($AU51="Married",SUMPRODUCT(($AZ51&gt;=INDEX('How This Works &amp; Sources'!$B$237:$J$241,0,7))*INDEX('How This Works &amp; Sources'!$B$237:$J$241,0,7+2)),SUMPRODUCT(($AZ51&gt;=INDEX('How This Works &amp; Sources'!$B$228:$J$232,0,7))*INDEX('How This Works &amp; Sources'!$B$228:$J$232,0,7+2))),IF($AN51="IN",(0.0295+'Your Pay &amp; Benefits'!$C$76),"")))))))))))))</f>
      </c>
      <c r="CC51" s="24">
        <f>IF($B51="","",IF($AN51="AR",SUMPRODUCT(($AZ51&gt;=INDEX('How This Works &amp; Sources'!$B$82:$J$86,0,7))*INDEX('How This Works &amp; Sources'!$B$82:$J$86,0,7+2)),IF($AN51="DE",SUMPRODUCT(($AZ51&gt;=INDEX('How This Works &amp; Sources'!$B$91:$J$98,0,1))*INDEX('How This Works &amp; Sources'!$B$91:$J$98,0,1+2)),IF($AN51="VA",SUMPRODUCT(($AZ51&gt;=INDEX('How This Works &amp; Sources'!$B$219:$J$223,0,4))*INDEX('How This Works &amp; Sources'!$B$219:$J$223,0,4+2)),IF($AN51="WI",SUMPRODUCT(($AZ51&gt;=INDEX('How This Works &amp; Sources'!$B$228:$J$232,0,4))*INDEX('How This Works &amp; Sources'!$B$228:$J$232,0,4+2)),IF($AN51="AZ",'Your Pay &amp; Benefits'!$C$82,IF($AN51="CO",IF($AY51&gt;IF($AU51="Married",10000,5000),0.044,0),IF($AN51="IA",IF($AY51&gt;IF($AU51="Head of household",19500,IF($AU51="Married",26000,13000)),0.038,0),IF($AN51="ID",IF($AY51&gt;IF($AU51="Married",32000,16094),0.053,0),IF($AN51="IL",IF($AY51&gt;(2925*$AS51+1000*$AT51),0.0495,0),IF($AN51="KY",IF($AI51&gt;3360,0.035,0),IF($AN51="LA",0.0309,IF($AN51="MA",IF(MAX(0,$AY51-MIN(($BD50+$Q51+$R51+$S51),2000)-IF($AS51=0,0,IF($AS51=1,4400,1000*$AS51+3400)))&gt;=1107750,0.09,0.05),IF($AN51="MS",IF($AI51-IF($AU51="Head of household",3400,IF($AU51="Married",4600,2300))-'Your Pay &amp; Benefits'!$C$85&gt;10000,0.04,0),IF($AN51="PA",0.0307,"")))))))))))))))</f>
      </c>
      <c r="CD51" s="21">
        <f>IF(YEAR(IF('Your Pay &amp; Benefits'!$C$7="Weekly",'Your Pay &amp; Benefits'!$C$9+7*(($BE50+1)-1),IF('Your Pay &amp; Benefits'!$C$7="Biweekly",'Your Pay &amp; Benefits'!$C$9+14*(($BE50+1)-1),IF('Your Pay &amp; Benefits'!$C$7="Semimonthly",DATE(YEAR('Your Pay &amp; Benefits'!$C$9),MONTH('Your Pay &amp; Benefits'!$C$9)+INT((($BE50+1)-1)/2),MIN(DAY('Your Pay &amp; Benefits'!$C$9),DAY(EOMONTH(DATE(YEAR('Your Pay &amp; Benefits'!$C$9),MONTH('Your Pay &amp; Benefits'!$C$9)+INT((($BE50+1)-1)/2),1),0))))+IF(MOD(($BE50+1)-1,2)=1,15,0),EDATE('Your Pay &amp; Benefits'!$C$9,($BE50+1)-1)))))&lt;&gt;'Your Pay &amp; Benefits'!$C$10,"",IF('Your Pay &amp; Benefits'!$C$7="Weekly",'Your Pay &amp; Benefits'!$C$9+7*(($BE50+1)-1),IF('Your Pay &amp; Benefits'!$C$7="Biweekly",'Your Pay &amp; Benefits'!$C$9+14*(($BE50+1)-1),IF('Your Pay &amp; Benefits'!$C$7="Semimonthly",DATE(YEAR('Your Pay &amp; Benefits'!$C$9),MONTH('Your Pay &amp; Benefits'!$C$9)+INT((($BE50+1)-1)/2),MIN(DAY('Your Pay &amp; Benefits'!$C$9),DAY(EOMONTH(DATE(YEAR('Your Pay &amp; Benefits'!$C$9),MONTH('Your Pay &amp; Benefits'!$C$9)+INT((($BE50+1)-1)/2),1),0))))+IF(MOD(($BE50+1)-1,2)=1,15,0),EDATE('Your Pay &amp; Benefits'!$C$9,($BE50+1)-1)))))</f>
      </c>
      <c r="CE51" s="21">
        <f>IF(MIN(IF(AND('Your Pay &amp; Benefits'!$C$58&gt;MAX($B$6:$B50),'Your Pay &amp; Benefits'!$C$58&gt;=DATE('Your Pay &amp; Benefits'!$C$10,1,1),'Your Pay &amp; Benefits'!$C$58&lt;=DATE('Your Pay &amp; Benefits'!$C$10,12,31)),'Your Pay &amp; Benefits'!$C$58,999999),IF(AND('Your Pay &amp; Benefits'!$C$59&gt;MAX($B$6:$B50),'Your Pay &amp; Benefits'!$C$59&gt;=DATE('Your Pay &amp; Benefits'!$C$10,1,1),'Your Pay &amp; Benefits'!$C$59&lt;=DATE('Your Pay &amp; Benefits'!$C$10,12,31)),'Your Pay &amp; Benefits'!$C$59,999999),IF(AND('Your Pay &amp; Benefits'!$C$60&gt;MAX($B$6:$B50),'Your Pay &amp; Benefits'!$C$60&gt;=DATE('Your Pay &amp; Benefits'!$C$10,1,1),'Your Pay &amp; Benefits'!$C$60&lt;=DATE('Your Pay &amp; Benefits'!$C$10,12,31)),'Your Pay &amp; Benefits'!$C$60,999999),IF(AND('Your Pay &amp; Benefits'!$C$61&gt;MAX($B$6:$B50),'Your Pay &amp; Benefits'!$C$61&gt;=DATE('Your Pay &amp; Benefits'!$C$10,1,1),'Your Pay &amp; Benefits'!$C$61&lt;=DATE('Your Pay &amp; Benefits'!$C$10,12,31)),'Your Pay &amp; Benefits'!$C$61,999999),IF(AND('Your Pay &amp; Benefits'!$C$62&gt;MAX($B$6:$B50),'Your Pay &amp; Benefits'!$C$62&gt;=DATE('Your Pay &amp; Benefits'!$C$10,1,1),'Your Pay &amp; Benefits'!$C$62&lt;=DATE('Your Pay &amp; Benefits'!$C$10,12,31)),'Your Pay &amp; Benefits'!$C$62,999999),IF(AND('Your Pay &amp; Benefits'!$C$63&gt;MAX($B$6:$B50),'Your Pay &amp; Benefits'!$C$63&gt;=DATE('Your Pay &amp; Benefits'!$C$10,1,1),'Your Pay &amp; Benefits'!$C$63&lt;=DATE('Your Pay &amp; Benefits'!$C$10,12,31)),'Your Pay &amp; Benefits'!$C$63,999999),IF(AND('Your Pay &amp; Benefits'!$C$64&gt;MAX($B$6:$B50),'Your Pay &amp; Benefits'!$C$64&gt;=DATE('Your Pay &amp; Benefits'!$C$10,1,1),'Your Pay &amp; Benefits'!$C$64&lt;=DATE('Your Pay &amp; Benefits'!$C$10,12,31)),'Your Pay &amp; Benefits'!$C$64,999999),IF(AND('Your Pay &amp; Benefits'!$C$65&gt;MAX($B$6:$B50),'Your Pay &amp; Benefits'!$C$65&gt;=DATE('Your Pay &amp; Benefits'!$C$10,1,1),'Your Pay &amp; Benefits'!$C$65&lt;=DATE('Your Pay &amp; Benefits'!$C$10,12,31)),'Your Pay &amp; Benefits'!$C$65,999999),IF(AND('Your Pay &amp; Benefits'!$C$66&gt;MAX($B$6:$B50),'Your Pay &amp; Benefits'!$C$66&gt;=DATE('Your Pay &amp; Benefits'!$C$10,1,1),'Your Pay &amp; Benefits'!$C$66&lt;=DATE('Your Pay &amp; Benefits'!$C$10,12,31)),'Your Pay &amp; Benefits'!$C$66,999999),IF(AND('Your Pay &amp; Benefits'!$C$67&gt;MAX($B$6:$B50),'Your Pay &amp; Benefits'!$C$67&gt;=DATE('Your Pay &amp; Benefits'!$C$10,1,1),'Your Pay &amp; Benefits'!$C$67&lt;=DATE('Your Pay &amp; Benefits'!$C$10,12,31)),'Your Pay &amp; Benefits'!$C$67,999999))=999999,"",MIN(IF(AND('Your Pay &amp; Benefits'!$C$58&gt;MAX($B$6:$B50),'Your Pay &amp; Benefits'!$C$58&gt;=DATE('Your Pay &amp; Benefits'!$C$10,1,1),'Your Pay &amp; Benefits'!$C$58&lt;=DATE('Your Pay &amp; Benefits'!$C$10,12,31)),'Your Pay &amp; Benefits'!$C$58,999999),IF(AND('Your Pay &amp; Benefits'!$C$59&gt;MAX($B$6:$B50),'Your Pay &amp; Benefits'!$C$59&gt;=DATE('Your Pay &amp; Benefits'!$C$10,1,1),'Your Pay &amp; Benefits'!$C$59&lt;=DATE('Your Pay &amp; Benefits'!$C$10,12,31)),'Your Pay &amp; Benefits'!$C$59,999999),IF(AND('Your Pay &amp; Benefits'!$C$60&gt;MAX($B$6:$B50),'Your Pay &amp; Benefits'!$C$60&gt;=DATE('Your Pay &amp; Benefits'!$C$10,1,1),'Your Pay &amp; Benefits'!$C$60&lt;=DATE('Your Pay &amp; Benefits'!$C$10,12,31)),'Your Pay &amp; Benefits'!$C$60,999999),IF(AND('Your Pay &amp; Benefits'!$C$61&gt;MAX($B$6:$B50),'Your Pay &amp; Benefits'!$C$61&gt;=DATE('Your Pay &amp; Benefits'!$C$10,1,1),'Your Pay &amp; Benefits'!$C$61&lt;=DATE('Your Pay &amp; Benefits'!$C$10,12,31)),'Your Pay &amp; Benefits'!$C$61,999999),IF(AND('Your Pay &amp; Benefits'!$C$62&gt;MAX($B$6:$B50),'Your Pay &amp; Benefits'!$C$62&gt;=DATE('Your Pay &amp; Benefits'!$C$10,1,1),'Your Pay &amp; Benefits'!$C$62&lt;=DATE('Your Pay &amp; Benefits'!$C$10,12,31)),'Your Pay &amp; Benefits'!$C$62,999999),IF(AND('Your Pay &amp; Benefits'!$C$63&gt;MAX($B$6:$B50),'Your Pay &amp; Benefits'!$C$63&gt;=DATE('Your Pay &amp; Benefits'!$C$10,1,1),'Your Pay &amp; Benefits'!$C$63&lt;=DATE('Your Pay &amp; Benefits'!$C$10,12,31)),'Your Pay &amp; Benefits'!$C$63,999999),IF(AND('Your Pay &amp; Benefits'!$C$64&gt;MAX($B$6:$B50),'Your Pay &amp; Benefits'!$C$64&gt;=DATE('Your Pay &amp; Benefits'!$C$10,1,1),'Your Pay &amp; Benefits'!$C$64&lt;=DATE('Your Pay &amp; Benefits'!$C$10,12,31)),'Your Pay &amp; Benefits'!$C$64,999999),IF(AND('Your Pay &amp; Benefits'!$C$65&gt;MAX($B$6:$B50),'Your Pay &amp; Benefits'!$C$65&gt;=DATE('Your Pay &amp; Benefits'!$C$10,1,1),'Your Pay &amp; Benefits'!$C$65&lt;=DATE('Your Pay &amp; Benefits'!$C$10,12,31)),'Your Pay &amp; Benefits'!$C$65,999999),IF(AND('Your Pay &amp; Benefits'!$C$66&gt;MAX($B$6:$B50),'Your Pay &amp; Benefits'!$C$66&gt;=DATE('Your Pay &amp; Benefits'!$C$10,1,1),'Your Pay &amp; Benefits'!$C$66&lt;=DATE('Your Pay &amp; Benefits'!$C$10,12,31)),'Your Pay &amp; Benefits'!$C$66,999999),IF(AND('Your Pay &amp; Benefits'!$C$67&gt;MAX($B$6:$B50),'Your Pay &amp; Benefits'!$C$67&gt;=DATE('Your Pay &amp; Benefits'!$C$10,1,1),'Your Pay &amp; Benefits'!$C$67&lt;=DATE('Your Pay &amp; Benefits'!$C$10,12,31)),'Your Pay &amp; Benefits'!$C$67,999999)))</f>
      </c>
      <c r="CF51">
        <f>IF($B51="","",IF($D51=0,$Y51,""))</f>
      </c>
    </row>
    <row r="52">
      <c r="A52" t="n">
        <v>47</v>
      </c>
      <c r="B52" s="21">
        <f>IF(AND($CD52="",$CE52=""),"",IF($CE52="",$CD52,IF($CD52="",$CE52,MIN($CD52,$CE52))))</f>
      </c>
      <c r="C52" s="7">
        <f>IF($B52="","",IF($BF52=0,0,IF('Your Pay &amp; Benefits'!$C$4="Annual salary",ROUND($AK52/IF(AND('Your Pay &amp; Benefits'!$C$88="Actual paydays",MONTH('Your Pay &amp; Benefits'!$C$9)=1),MAX(1,MAX($BE$6:$BE$68)),'Your Pay &amp; Benefits'!$C$8),2),$AK52)))</f>
      </c>
      <c r="D52" s="7">
        <f>IF($B52="","",SUMIF('Your Pay &amp; Benefits'!$C$58:$C$67,$B52,'Your Pay &amp; Benefits'!$D$58:$D$67))</f>
      </c>
      <c r="E52" s="7">
        <f>IF($B52="","",ROUND(MAX(0,MIN(IF($AL52="Percent",$AM52*($C52+$D52),$AM52),MAX(0,'Your Pay &amp; Benefits'!$C$34-$AC51))),2))</f>
      </c>
      <c r="F52" s="7">
        <f>IF($B52="","",ROUND(MAX(0,MIN(IF('Your Pay &amp; Benefits'!$C$32="Percent",'Your Pay &amp; Benefits'!$D$32*($C52+$D52),'Your Pay &amp; Benefits'!$D$32),MAX(0,'Your Pay &amp; Benefits'!$C$34-$AC51-$E52))),2))</f>
      </c>
      <c r="G52" s="7">
        <f>IF($B52="","",IF($BF52=0,0,ROUND(MAX(0,MIN($BL52,'Your Pay &amp; Benefits'!$C$37-'Your Pay &amp; Benefits'!$C$54-$BI51)),2)))</f>
      </c>
      <c r="H52" s="7">
        <f>IF($B52="","",IF(OR($BF52=0,$BQ52=1),0,ROUND(MAX(0,MIN(IF($BS52=1,ROUND(MAX(0,MIN($BJ52,'How This Works &amp; Sources'!$C$13)-$BG51)/MAX(1,MAX($BE$6:$BE$68)-($BE51)),2),ROUND(MIN($BJ52,'How This Works &amp; Sources'!$C$13)/'Your Pay &amp; Benefits'!$C$8,2)),MIN($BJ52,'How This Works &amp; Sources'!$C$13)-$BG51)),2)))</f>
      </c>
      <c r="I52" s="7">
        <f>IF($B52="","",IF(OR($BF52=0,$BR52=1),0,ROUND(MAX(0,MIN(IF($BT52=1,ROUND(MAX(0,MIN($BK52,IF('Your Pay &amp; Benefits'!$C$12="MFJ",'How This Works &amp; Sources'!$C$14,'How This Works &amp; Sources'!$C$15))-$BH51)/MAX(1,MAX($BE$6:$BE$68)-($BE51)),2),ROUND(MIN($BK52,IF('Your Pay &amp; Benefits'!$C$12="MFJ",'How This Works &amp; Sources'!$C$14,'How This Works &amp; Sources'!$C$15))/'Your Pay &amp; Benefits'!$C$8,2)),MIN($BK52,IF('Your Pay &amp; Benefits'!$C$12="MFJ",'How This Works &amp; Sources'!$C$14,'How This Works &amp; Sources'!$C$15))-$BH51)),2)))</f>
      </c>
      <c r="J52" s="7">
        <f>IF($B52="","",IF($BF52=0,0,$BM52))</f>
      </c>
      <c r="K52" s="7">
        <f>IF($B52="","",IF($BF52=0,0,$BN52+$BO52))</f>
      </c>
      <c r="L52" s="7">
        <f>IF($B52="","",IF($BF52=0,0,'Your Pay &amp; Benefits'!$D$46))</f>
      </c>
      <c r="M52" s="7">
        <f>IF($B52="","",$C52+$D52+$L52-$E52-$G52-$H52-$I52-$J52-$K52)</f>
      </c>
      <c r="N52" s="7">
        <f>IF($B52="","",$C52+$D52+$L52-$G52-$H52-$I52-$J52-$K52)</f>
      </c>
      <c r="O52" s="7">
        <f>IF($B52="","",$C52+$D52+$L52-$E52-$H52-$I52-$J52-$K52-IF(OR($AN52="CA",$AN52="NJ"),0,$G52))</f>
      </c>
      <c r="P52" s="7">
        <f>IF($B52="","",IF('Your Pay &amp; Benefits'!$C$18,0,ROUND(MAX(0,IF('Your Pay &amp; Benefits'!$C$13,SUMPRODUCT(($AH52&gt;INDEX('How This Works &amp; Sources'!$B$29:$J$36,0,IF('Your Pay &amp; Benefits'!$C$12="MFJ",1,IF('Your Pay &amp; Benefits'!$C$12="HoH",7,4))))*($AH52-INDEX('How This Works &amp; Sources'!$B$29:$J$36,0,IF('Your Pay &amp; Benefits'!$C$12="MFJ",1,IF('Your Pay &amp; Benefits'!$C$12="HoH",7,4))))*INDEX('How This Works &amp; Sources'!$B$29:$J$36,0,IF('Your Pay &amp; Benefits'!$C$12="MFJ",1,IF('Your Pay &amp; Benefits'!$C$12="HoH",7,4))+2)),SUMPRODUCT(($AH52&gt;INDEX('How This Works &amp; Sources'!$B$19:$J$26,0,IF('Your Pay &amp; Benefits'!$C$12="MFJ",1,IF('Your Pay &amp; Benefits'!$C$12="HoH",7,4))))*($AH52-INDEX('How This Works &amp; Sources'!$B$19:$J$26,0,IF('Your Pay &amp; Benefits'!$C$12="MFJ",1,IF('Your Pay &amp; Benefits'!$C$12="HoH",7,4))))*INDEX('How This Works &amp; Sources'!$B$19:$J$26,0,IF('Your Pay &amp; Benefits'!$C$12="MFJ",1,IF('Your Pay &amp; Benefits'!$C$12="HoH",7,4))+2)))/'Your Pay &amp; Benefits'!$C$8-$AO52/'Your Pay &amp; Benefits'!$C$8)+$AR52+IF('Your Pay &amp; Benefits'!$C$89="Aggregate",MAX(0,IF('Your Pay &amp; Benefits'!$C$13,SUMPRODUCT((($AH52+$D52)&gt;INDEX('How This Works &amp; Sources'!$B$29:$J$36,0,IF('Your Pay &amp; Benefits'!$C$12="MFJ",1,IF('Your Pay &amp; Benefits'!$C$12="HoH",7,4))))*(($AH52+$D52)-INDEX('How This Works &amp; Sources'!$B$29:$J$36,0,IF('Your Pay &amp; Benefits'!$C$12="MFJ",1,IF('Your Pay &amp; Benefits'!$C$12="HoH",7,4))))*INDEX('How This Works &amp; Sources'!$B$29:$J$36,0,IF('Your Pay &amp; Benefits'!$C$12="MFJ",1,IF('Your Pay &amp; Benefits'!$C$12="HoH",7,4))+2)),SUMPRODUCT((($AH52+$D52)&gt;INDEX('How This Works &amp; Sources'!$B$19:$J$26,0,IF('Your Pay &amp; Benefits'!$C$12="MFJ",1,IF('Your Pay &amp; Benefits'!$C$12="HoH",7,4))))*(($AH52+$D52)-INDEX('How This Works &amp; Sources'!$B$19:$J$26,0,IF('Your Pay &amp; Benefits'!$C$12="MFJ",1,IF('Your Pay &amp; Benefits'!$C$12="HoH",7,4))))*INDEX('How This Works &amp; Sources'!$B$19:$J$26,0,IF('Your Pay &amp; Benefits'!$C$12="MFJ",1,IF('Your Pay &amp; Benefits'!$C$12="HoH",7,4))+2)))-IF('Your Pay &amp; Benefits'!$C$13,SUMPRODUCT(($AH52&gt;INDEX('How This Works &amp; Sources'!$B$29:$J$36,0,IF('Your Pay &amp; Benefits'!$C$12="MFJ",1,IF('Your Pay &amp; Benefits'!$C$12="HoH",7,4))))*($AH52-INDEX('How This Works &amp; Sources'!$B$29:$J$36,0,IF('Your Pay &amp; Benefits'!$C$12="MFJ",1,IF('Your Pay &amp; Benefits'!$C$12="HoH",7,4))))*INDEX('How This Works &amp; Sources'!$B$29:$J$36,0,IF('Your Pay &amp; Benefits'!$C$12="MFJ",1,IF('Your Pay &amp; Benefits'!$C$12="HoH",7,4))+2)),SUMPRODUCT(($AH52&gt;INDEX('How This Works &amp; Sources'!$B$19:$J$26,0,IF('Your Pay &amp; Benefits'!$C$12="MFJ",1,IF('Your Pay &amp; Benefits'!$C$12="HoH",7,4))))*($AH52-INDEX('How This Works &amp; Sources'!$B$19:$J$26,0,IF('Your Pay &amp; Benefits'!$C$12="MFJ",1,IF('Your Pay &amp; Benefits'!$C$12="HoH",7,4))))*INDEX('How This Works &amp; Sources'!$B$19:$J$26,0,IF('Your Pay &amp; Benefits'!$C$12="MFJ",1,IF('Your Pay &amp; Benefits'!$C$12="HoH",7,4))+2)))),'How This Works &amp; Sources'!$C$10*$D52),2)))</f>
      </c>
      <c r="Q52" s="7">
        <f>IF($B52="","",ROUND('How This Works &amp; Sources'!$C$4*MIN($N52,MAX(0,'How This Works &amp; Sources'!$C$3-($AX52+$AB51-$AW52))),2))</f>
      </c>
      <c r="R52" s="7">
        <f>IF($B52="","",ROUND('How This Works &amp; Sources'!$C$5*$N52,2))</f>
      </c>
      <c r="S52" s="7">
        <f>IF($B52="","",ROUND('How This Works &amp; Sources'!$C$6*MAX(0,MIN($N52,$AG51+$N52-'How This Works &amp; Sources'!$C$7)),2))</f>
      </c>
      <c r="T52" s="7">
        <f>IF($B52="","",IF('Your Pay &amp; Benefits'!$C$26,0,IF($AN52="CA",ROUND(IF($AI52&lt;=IF(($AS52+$AT52)&gt;=2,VLOOKUP($AN52,StateTables!$A$6:$AB$56,10,FALSE),VLOOKUP($AN52,StateTables!$A$6:$AB$56,9,FALSE)),0,MAX(0,SUMPRODUCT(($AJ52&gt;INDEX('How This Works &amp; Sources'!$B$39:$J$48,0,IF($AU52="Married",4,IF($AU52="Head of household",7,1))))*($AJ52-INDEX('How This Works &amp; Sources'!$B$39:$J$48,0,IF($AU52="Married",4,IF($AU52="Head of household",7,1))))*INDEX('How This Works &amp; Sources'!$B$39:$J$48,0,IF($AU52="Married",4,IF($AU52="Head of household",7,1))+2))-VLOOKUP($AN52,StateTables!$A$6:$AB$56,11,FALSE)*$AS52)/'Your Pay &amp; Benefits'!$C$8)+'Your Pay &amp; Benefits'!$C$25+VLOOKUP($AN52,StateTables!$A$6:$AB$56,13,FALSE)*$D52,2),IF(VLOOKUP($AN52,StateTables!$A$6:$AB$56,4,FALSE)="None",0,IF(ISNUMBER(SEARCH("MANUAL",VLOOKUP($AN52,StateTables!$A$6:$AB$56,5,FALSE))),'Your Pay &amp; Benefits'!$C$28,ROUND(MAX(0,$BA52+$BB52)/'Your Pay &amp; Benefits'!$C$8+'Your Pay &amp; Benefits'!$C$25+$BC52,2))))))</f>
      </c>
      <c r="U52" s="7">
        <f>IF($B52="","",IF(VLOOKUP($AN52,StateTables!$A$6:$AB$56,24,FALSE)="flatq",IF(OR(MONTH($B52)=1,MONTH($B52)=4,MONTH($B52)=7,MONTH($B52)=10),VLOOKUP($AN52,StateTables!$A$6:$AB$56,25,FALSE),0),IF(VLOOKUP($AN52,StateTables!$A$6:$AB$56,24,FALSE)="dbl",MIN(ROUND(0.005*$N52,2),ROUND(0.6*52/'Your Pay &amp; Benefits'!$C$8,2)),IF(OR(VLOOKUP($AN52,StateTables!$A$6:$AB$56,15,FALSE)="",VLOOKUP($AN52,StateTables!$A$6:$AB$56,15,FALSE)=0),0,ROUND(VLOOKUP($AN52,StateTables!$A$6:$AB$56,15,FALSE)*IF(OR(VLOOKUP($AN52,StateTables!$A$6:$AB$56,16,FALSE)="",VLOOKUP($AN52,StateTables!$A$6:$AB$56,16,FALSE)=0),$N52,MIN($N52,MAX(0,VLOOKUP($AN52,StateTables!$A$6:$AB$56,16,FALSE)-($AX52+$AB51-$AW52)))),2))))+IF(VLOOKUP($AN52,StateTables!$A$6:$AB$56,27,FALSE)="flatq",IF(OR(MONTH($B52)=1,MONTH($B52)=4,MONTH($B52)=7,MONTH($B52)=10),VLOOKUP($AN52,StateTables!$A$6:$AB$56,28,FALSE),0),IF(VLOOKUP($AN52,StateTables!$A$6:$AB$56,27,FALSE)="dbl",MIN(ROUND(0.005*$N52,2),ROUND(0.6*52/'Your Pay &amp; Benefits'!$C$8,2)),IF(OR(VLOOKUP($AN52,StateTables!$A$6:$AB$56,18,FALSE)="",VLOOKUP($AN52,StateTables!$A$6:$AB$56,18,FALSE)=0),0,ROUND(VLOOKUP($AN52,StateTables!$A$6:$AB$56,18,FALSE)*IF(OR(VLOOKUP($AN52,StateTables!$A$6:$AB$56,19,FALSE)="",VLOOKUP($AN52,StateTables!$A$6:$AB$56,19,FALSE)=0),$N52,MIN($N52,MAX(0,VLOOKUP($AN52,StateTables!$A$6:$AB$56,19,FALSE)-($AX52+$AB51-$AW52)))),2)))))</f>
      </c>
      <c r="V52" s="7">
        <f>IF($B52="","",IF($AN52="NY",IF('Your Pay &amp; Benefits'!$C$78,ROUND(SUMPRODUCT((MAX(0,($O52-$D52)*'Your Pay &amp; Benefits'!$C$8-(IF($AU52="Married",5500,5000)+1000*$AS52))&gt;INDEX('How This Works &amp; Sources'!$B$184:$J$198,0,4))*(MAX(0,($O52-$D52)*'Your Pay &amp; Benefits'!$C$8-(IF($AU52="Married",5500,5000)+1000*$AS52))-INDEX('How This Works &amp; Sources'!$B$184:$J$198,0,4))*INDEX('How This Works &amp; Sources'!$B$184:$J$198,0,4+2))/'Your Pay &amp; Benefits'!$C$8+0.0425*$D52,2),0)+IF('Your Pay &amp; Benefits'!$C$79="Resident",ROUND(0.1675*$T52,2),IF('Your Pay &amp; Benefits'!$C$79="Nonresident",ROUND(0.005*MAX(0,($O52-$D52)-(IF($AU52="Married",7950,7400)+1000*$AS52)/'Your Pay &amp; Benefits'!$C$8),2),0)),IF($AN52="PA",IF('Your Pay &amp; Benefits'!$C$80="None",'Your Pay &amp; Benefits'!$C$27+ROUND('Your Pay &amp; Benefits'!$C$81*($C52+$D52),2),ROUND(IF('Your Pay &amp; Benefits'!$C$80="Resident",IF($B52&lt;DATE(2026,7,1),0.0374,0.03735),IF($B52&lt;DATE(2026,7,1),0.0343,0.03425))*($C52+$D52),2)),IF($BF52=0,ROUND('Your Pay &amp; Benefits'!$C$81*($C52+$D52),2),'Your Pay &amp; Benefits'!$C$27+ROUND('Your Pay &amp; Benefits'!$C$81*($C52+$D52),2)))))</f>
      </c>
      <c r="W52" s="7">
        <f>IF($B52="","",IF($BF52=0,0,$BP52))</f>
      </c>
      <c r="X52" s="7">
        <f>IF($B52="","",SUM($E52:$K52)+$P52+$Q52+$R52+$S52+$T52+$U52+$V52+$W52)</f>
      </c>
      <c r="Y52" s="22">
        <f>IF($B52="","",$C52+$D52-$X52)</f>
      </c>
      <c r="Z52" s="7">
        <f>IF($B52="","",$Z51+$C52+$D52)</f>
      </c>
      <c r="AA52" s="7">
        <f>IF($B52="","",$AA51+$Y52)</f>
      </c>
      <c r="AB52" s="7">
        <f>IF($B52="","",$AB51+MIN($N52,MAX(0,'How This Works &amp; Sources'!$C$3-($AX52+$AB51-$AW52))))</f>
      </c>
      <c r="AC52" s="7">
        <f>IF($B52="","",$AC51+$E52+$F52)</f>
      </c>
      <c r="AD52" s="3">
        <f>IF($B52="","",IF(AND($AB51&lt;'How This Works &amp; Sources'!$C$3,$AB52&gt;='How This Works &amp; Sources'!$C$3),"★ Social Security maxed on this check — from the next check your net rises by about $"&amp;TEXT(ROUND('How This Works &amp; Sources'!$C$4*$N52,2),"#,##0.00")&amp;". ","")&amp;IF(AND($AC51&lt;'Your Pay &amp; Benefits'!$C$34,$AC52&gt;='Your Pay &amp; Benefits'!$C$34),"★ 401(k) reaches the $"&amp;TEXT('Your Pay &amp; Benefits'!$C$34,"#,##0")&amp;" cap on this check — deferrals stop and net pay rises. ","")&amp;IF(AND($AG51&lt;'How This Works &amp; Sources'!$C$7,$AG52&gt;='How This Works &amp; Sources'!$C$7),"★ Wages pass $200,000 — the 0.9% Additional Medicare Tax starts here. ","")&amp;IF(AND($BJ52&gt;0,$H52&gt;0,$BG51&lt;MIN($BJ52,'How This Works &amp; Sources'!$C$13),$BG51+$H52&gt;=MIN($BJ52,'How This Works &amp; Sources'!$C$13)),"★ Health FSA election is now fully deferred for the year. ",""))</f>
      </c>
      <c r="AE52" s="41" t="n"/>
      <c r="AF52" s="7">
        <f>IF(OR($B52="",$AE52=""),"",$AE52-$Y52)</f>
      </c>
      <c r="AG52" s="7">
        <f>IF($B52="","",$AG51+$N52)</f>
      </c>
      <c r="AH52" s="7">
        <f>IF($B52="","",MAX(0,($M52-$D52)*'Your Pay &amp; Benefits'!$C$8+$AP52-$AQ52-IF('Your Pay &amp; Benefits'!$C$13,0,IF('Your Pay &amp; Benefits'!$C$12="MFJ",'How This Works &amp; Sources'!$C$8,'How This Works &amp; Sources'!$C$9))))</f>
      </c>
      <c r="AI52" s="7">
        <f>IF($B52="","",$O52*'Your Pay &amp; Benefits'!$C$8)</f>
      </c>
      <c r="AJ52" s="7">
        <f>IF($B52="","",MAX(0,$AI52-VLOOKUP($AN52,StateTables!$A$6:$AB$56,12,FALSE)*$AT52-IF(($AS52+$AT52)&gt;=2,VLOOKUP($AN52,StateTables!$A$6:$AB$56,8,FALSE),VLOOKUP($AN52,StateTables!$A$6:$AB$56,7,FALSE))))</f>
      </c>
      <c r="AK52" s="7">
        <f>IF($B52="","",IFERROR(LOOKUP(2,1/(('Changes &amp; Events'!$C$6:$C$17="Salary change")*('Changes &amp; Events'!$B$6:$B$17&lt;=$B52)*('Changes &amp; Events'!$B$6:$B$17&lt;&gt;"")),'Changes &amp; Events'!$D$6:$D$17),IF('Your Pay &amp; Benefits'!$C$4="Annual salary",'Your Pay &amp; Benefits'!$C$5,'Your Pay &amp; Benefits'!$C$6)))</f>
      </c>
      <c r="AL52">
        <f>IF($B52="","",IFERROR(LOOKUP(2,1/(('Changes &amp; Events'!$C$6:$C$17="401(k) change")*('Changes &amp; Events'!$B$6:$B$17&lt;=$B52)*('Changes &amp; Events'!$B$6:$B$17&lt;&gt;"")),'Changes &amp; Events'!$D$6:$D$17),'Your Pay &amp; Benefits'!$C$30))</f>
      </c>
      <c r="AM52" s="7">
        <f>IF($B52="","",IFERROR(LOOKUP(2,1/(('Changes &amp; Events'!$C$6:$C$17="401(k) change")*('Changes &amp; Events'!$B$6:$B$17&lt;=$B52)*('Changes &amp; Events'!$B$6:$B$17&lt;&gt;"")),'Changes &amp; Events'!$E$6:$E$17),'Your Pay &amp; Benefits'!$D$31))</f>
      </c>
      <c r="AN52">
        <f>IF($B52="","",IFERROR(LOOKUP(2,1/(('Changes &amp; Events'!$C$6:$C$17="State move")*('Changes &amp; Events'!$B$6:$B$17&lt;=$B52)*('Changes &amp; Events'!$B$6:$B$17&lt;&gt;"")),'Changes &amp; Events'!$D$6:$D$17),'Your Pay &amp; Benefits'!$C$21))</f>
      </c>
      <c r="AO52" s="7">
        <f>IF($B52="","",IFERROR(LOOKUP(2,1/(('Changes &amp; Events'!$C$6:$C$17="W-4 change")*('Changes &amp; Events'!$B$6:$B$17&lt;=$B52)*('Changes &amp; Events'!$B$6:$B$17&lt;&gt;"")),'Changes &amp; Events'!$D$6:$D$17),'Your Pay &amp; Benefits'!$C$14))</f>
      </c>
      <c r="AP52" s="7">
        <f>IF($B52="","",IFERROR(LOOKUP(2,1/(('Changes &amp; Events'!$C$6:$C$17="W-4 change")*('Changes &amp; Events'!$B$6:$B$17&lt;=$B52)*('Changes &amp; Events'!$B$6:$B$17&lt;&gt;"")),'Changes &amp; Events'!$E$6:$E$17),'Your Pay &amp; Benefits'!$C$15))</f>
      </c>
      <c r="AQ52" s="7">
        <f>IF($B52="","",IFERROR(LOOKUP(2,1/(('Changes &amp; Events'!$C$6:$C$17="W-4 change")*('Changes &amp; Events'!$B$6:$B$17&lt;=$B52)*('Changes &amp; Events'!$B$6:$B$17&lt;&gt;"")),'Changes &amp; Events'!$F$6:$F$17),'Your Pay &amp; Benefits'!$C$16))</f>
      </c>
      <c r="AR52" s="7">
        <f>IF($B52="","",IFERROR(LOOKUP(2,1/(('Changes &amp; Events'!$C$6:$C$17="W-4 change")*('Changes &amp; Events'!$B$6:$B$17&lt;=$B52)*('Changes &amp; Events'!$B$6:$B$17&lt;&gt;"")),'Changes &amp; Events'!$G$6:$G$17),'Your Pay &amp; Benefits'!$C$17))</f>
      </c>
      <c r="AS52" s="6">
        <f>IF($B52="","",IFERROR(LOOKUP(2,1/((('Changes &amp; Events'!$C$6:$C$17="State move")+('Changes &amp; Events'!$C$6:$C$17="State cert change"))*('Changes &amp; Events'!$B$6:$B$17&lt;=$B52)*('Changes &amp; Events'!$B$6:$B$17&lt;&gt;"")),'Changes &amp; Events'!$F$6:$F$17),'Your Pay &amp; Benefits'!$C$23))</f>
      </c>
      <c r="AT52" s="6">
        <f>IF($B52="","",IFERROR(LOOKUP(2,1/((('Changes &amp; Events'!$C$6:$C$17="State move")+('Changes &amp; Events'!$C$6:$C$17="State cert change"))*('Changes &amp; Events'!$B$6:$B$17&lt;=$B52)*('Changes &amp; Events'!$B$6:$B$17&lt;&gt;"")),'Changes &amp; Events'!$G$6:$G$17),'Your Pay &amp; Benefits'!$C$24))</f>
      </c>
      <c r="AU52">
        <f>IF($B52="","",IFERROR(LOOKUP(2,1/(('Changes &amp; Events'!$C$6:$C$17="State move")*('Changes &amp; Events'!$B$6:$B$17&lt;=$B52)*('Changes &amp; Events'!$B$6:$B$17&lt;&gt;"")),'Changes &amp; Events'!$E$6:$E$17),'Your Pay &amp; Benefits'!$C$22))</f>
      </c>
      <c r="AV52" s="6">
        <f>IF($B52="","",1+COUNTIFS('Changes &amp; Events'!$C$6:$C$17,"Employer change",'Changes &amp; Events'!$B$6:$B$17,"&lt;="&amp;$B52,'Changes &amp; Events'!$B$6:$B$17,"&lt;&gt;"))</f>
      </c>
      <c r="AW52" s="7">
        <f>IF($B52="","",IF($AV52=1,'Your Pay &amp; Benefits'!$C$49,IF(IFERROR(MATCH(IFERROR(LOOKUP(2,1/(('Changes &amp; Events'!$C$6:$C$17="Employer change")*('Changes &amp; Events'!$B$6:$B$17&lt;=$B52)*('Changes &amp; Events'!$B$6:$B$17&lt;&gt;"")),'Changes &amp; Events'!$B$6:$B$17),""),$B$6:$B$68,1),1)&lt;=1,'Your Pay &amp; Benefits'!$C$49,INDEX($AB$6:$AB$68,MATCH(IFERROR(LOOKUP(2,1/(('Changes &amp; Events'!$C$6:$C$17="Employer change")*('Changes &amp; Events'!$B$6:$B$17&lt;=$B52)*('Changes &amp; Events'!$B$6:$B$17&lt;&gt;"")),'Changes &amp; Events'!$B$6:$B$17),""),$B$6:$B$68,1)-1))))</f>
      </c>
      <c r="AX52" s="7">
        <f>IF($B52="","",IF($AV52=1,'Your Pay &amp; Benefits'!$C$49,IFERROR(LOOKUP(2,1/(('Changes &amp; Events'!$C$6:$C$17="Employer change")*('Changes &amp; Events'!$B$6:$B$17&lt;=$B52)*('Changes &amp; Events'!$B$6:$B$17&lt;&gt;"")),'Changes &amp; Events'!$D$6:$D$17),0)))</f>
      </c>
      <c r="AY52" s="7">
        <f>IF($B52="","",($O52-$D52)*'Your Pay &amp; Benefits'!$C$8)</f>
      </c>
      <c r="AZ52" s="7">
        <f>IF($B52="","",IF($AN52="AL",MAX(0,$AY52-IF($AU52="Married",IF($AY52&lt;=25999,8500,MAX(5000,8500-175*CEILING(($AY52-25999)/500,1))),IF($AU52="Head of household",IF($AY52&lt;=25999,5200,MAX(2500,5200-135*CEILING(($AY52-25999)/500,1))),IF($AY52&lt;=25999,3000,MAX(2500,3000-25*CEILING(($AY52-25999)/500,1)))))-($P52-'How This Works &amp; Sources'!$C$10*$D52)*'Your Pay &amp; Benefits'!$C$8-IF(OR($AU52="Married",$AU52="Head of household"),3000,1500)-$AT52*IF($AY52&lt;=50000,1000,IF($AY52&lt;=100000,500,300))),IF($AN52="AR",IF(MAX(0,$AY52-2470)&lt;97701,INT(MAX(0,$AY52-2470)/100)*100+50,MAX(0,$AY52-2470)),IF($AN52="DE",MAX(0,$AI52-3250),IF($AN52="HI",MAX(0,$AI52-1144*$AS52-4350),IF($AN52="KS",MAX(0,$AI52-(9160*IF($AU52="Married",2,1)+2320*$AT52+IF($AU52="Head of household",2320,0))),IF($AN52="MD",MAX(0,$AI52-3400-3200*$AS52),IF($AN52="MN",MAX(0,$AY52-5300*$AS52),IF($AN52="MO",MAX(0,$AI52-IF($AU52="Head of household",24150,IF($AU52="Married",IF('Your Pay &amp; Benefits'!$C$83,16100,32200),16100))),IF($AN52="MT",$AY52,IF($AN52="ND",($C52+$L52)*'Your Pay &amp; Benefits'!$C$8,IF($AN52="NE",MAX(0,$AY52-2440*$AS52),IF($AN52="NJ",MAX(0,$AY52-1000*$AS52),IF($AN52="NY",MAX(0,$AY52-(IF($AU52="Married",7950,7400)+1000*$AS52)),IF($AN52="OH",MAX(0,$AY52-650*$AS52),IF($AN52="OK",MAX(0,$AY52-1000*$AS52),IF($AN52="RI",MAX(0,$AI52-1000*$AS52),IF($AN52="SC",MAX(0,$AI52-5000*$AS52-IF($AS52=0,0,MIN(0.1*$AI52,7500))),IF($AN52="VA",MAX(0,$AI52-IF($AU52="Married",17500,8750)-930*$AS52-800*$AT52),IF($AN52="VT",MAX(0,$AI52-5400*$AS52),IF($AN52="WI",MAX(0,$AI52-MAX(0,IF($AU52="Married",9461-0.2*MAX(0,$AI52-25727),6702-0.12*MAX(0,$AI52-17780)))-400*$AS52),IF($AN52="WV",MAX(0,$AI52-2000*$AS52),$AI52))))))))))))))))))))))</f>
      </c>
      <c r="BA52" s="7">
        <f>IF($B52="","",IF($BW52&lt;&gt;"",$BW52,IF($BX52&lt;&gt;"",$BX52,IF($BY52&lt;&gt;"",$BY52,0))))</f>
      </c>
      <c r="BB52" s="7">
        <f>IF($B52="","",IF($AN52="AR",-29*$AS52,IF($AN52="DE",-110*$AS52,IF($AN52="MD",$AZ52*'Your Pay &amp; Benefits'!$C$74,IF($AN52="AZ",'Your Pay &amp; Benefits'!$C$82*($M52-$D52)*'Your Pay &amp; Benefits'!$C$8,IF($AN52="CO",0.044*MAX(0,$AY52-IF($AU52="Married",10000,5000)),IF($AN52="IA",MAX(0,0.038*MAX(0,$AY52-IF($AU52="Head of household",19500,IF($AU52="Married",26000,13000)))-40*$AS52),IF($AN52="ID",0.053*MAX(0,$AY52-IF($AU52="Married",32000,16094)),IF($AN52="IL",0.0495*MAX(0,$AY52-(2925*$AS52+1000*$AT52)),IF($AN52="IN",(0.0295+'Your Pay &amp; Benefits'!$C$76)*MAX(0,$AY52-(1000*$AS52+1500*$AT52+3000*'Your Pay &amp; Benefits'!$C$86)),IF($AN52="KY",0.035*MAX(0,$AI52-3360),IF($AN52="LA",IF('Your Pay &amp; Benefits'!$C$84="0",0.0309*$AI52,0.0309*MAX(0,$AI52-IF('Your Pay &amp; Benefits'!$C$84="2",25750,12875))),IF($AN52="MA",0.05*MIN(MAX(0,$AY52-MIN(($BD51+$Q52+$R52+$S52),2000)-IF($AS52=0,0,IF($AS52=1,4400,1000*$AS52+3400))),1107750)+0.09*MAX(0,MAX(0,$AY52-MIN(($BD51+$Q52+$R52+$S52),2000)-IF($AS52=0,0,IF($AS52=1,4400,1000*$AS52+3400)))-1107750)-IF($AU52="Head of household",120,0)-110*'Your Pay &amp; Benefits'!$C$75,IF($AN52="MI",0.0425*MAX(0,$AY52-5900*$AS52),IF($AN52="MS",0.04*MAX(0,$AI52-IF($AU52="Head of household",3400,IF($AU52="Married",4600,2300))-'Your Pay &amp; Benefits'!$C$85-10000),IF($AN52="OR",IF(OR($AU52="Married",AND($AU52="Single",$AS52&gt;=3)),SUMPRODUCT((MAX(0,$AY52-MIN(($P52-'How This Works &amp; Sources'!$C$10*$D52)*'Your Pay &amp; Benefits'!$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Sources'!$B$211:$J$214,0,4))*(MAX(0,$AY52-MIN(($P52-'How This Works &amp; Sources'!$C$10*$D52)*'Your Pay &amp; Benefits'!$C$8,IF(OR($AU52="Married",AND($AU52="Single",$AS52&gt;=3)),IF($AY52&lt;250000,8750,IF($AY52&lt;260000,7000,IF($AY52&lt;270000,5250,IF($AY52&lt;280000,3500,IF($AY52&lt;290000,1750,0))))),IF($AY52&lt;125000,8750,IF($AY52&lt;130000,7000,IF($AY52&lt;135000,5250,IF($AY52&lt;140000,3500,IF($AY52&lt;145000,1750,0)))))))-IF(OR($AU52="Married",AND($AU52="Single",$AS52&gt;=3)),5820,2910))-INDEX('How This Works &amp; Sources'!$B$211:$J$214,0,4))*INDEX('How This Works &amp; Sources'!$B$211:$J$214,0,4+2)),SUMPRODUCT((MAX(0,$AY52-MIN(($P52-'How This Works &amp; Sources'!$C$10*$D52)*'Your Pay &amp; Benefits'!$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Sources'!$B$211:$J$214,0,1))*(MAX(0,$AY52-MIN(($P52-'How This Works &amp; Sources'!$C$10*$D52)*'Your Pay &amp; Benefits'!$C$8,IF(OR($AU52="Married",AND($AU52="Single",$AS52&gt;=3)),IF($AY52&lt;250000,8750,IF($AY52&lt;260000,7000,IF($AY52&lt;270000,5250,IF($AY52&lt;280000,3500,IF($AY52&lt;290000,1750,0))))),IF($AY52&lt;125000,8750,IF($AY52&lt;130000,7000,IF($AY52&lt;135000,5250,IF($AY52&lt;140000,3500,IF($AY52&lt;145000,1750,0)))))))-IF(OR($AU52="Married",AND($AU52="Single",$AS52&gt;=3)),5820,2910))-INDEX('How This Works &amp; Sources'!$B$211:$J$214,0,1))*INDEX('How This Works &amp; Sources'!$B$211:$J$214,0,1+2)))+263-263*IF(IF($AU52="Married",$AY52&gt;200000,$AY52&gt;100000),0,$AS52),IF($AN52="PA",0.0307*(($O52+$E52+$G52)*'Your Pay &amp; Benefits'!$C$8),IF($AN52="NY",IF($AU52="Married",IF($AZ52&gt;=2155350,0,IF($AZ52&gt;=1077550,0.48,IF($AZ52&gt;=373200,1.21,IF($AZ52&gt;=323200,0.21,IF($AZ52&gt;=211550,-0.19,IF($AZ52&gt;=157650,-2.8,IF($AZ52&gt;=107650,-0.8,IF($AZ52&gt;=96800,0.05,IF($AZ52&gt;=80650,-0.1,IF($AZ52&gt;=13900,0.4,IF($AZ52&gt;=11700,-0.3,IF($AZ52&gt;=8500,0.5,0)))))))))))),IF($AZ52&gt;=1077550,0,IF($AZ52&gt;=265400,4.29,IF($AZ52&gt;=215400,2.29,IF($AZ52&gt;=157650,2.29,IF($AZ52&gt;=107650,0.29,IF($AZ52&gt;=96800,0.05,IF($AZ52&gt;=80650,-0.1,IF($AZ52&gt;=13900,0.4,IF($AZ52&gt;=11700,-0.3,IF($AZ52&gt;=8500,0.5,0))))))))))),0))))))))))))))))))</f>
      </c>
      <c r="BC52" s="7">
        <f>IF($B52="","",IF($AN52="AL",0.05*$D52,IF($AN52="AR",0.039*$D52,IF($AN52="ID",0.053*$D52,IF($AN52="IN",(0.0295+'Your Pay &amp; Benefits'!$C$76)*$D52,IF($AN52="KS",0.05*$D52,IF($AN52="MA",0.09*MIN($D52,MAX(0,MAX(0,$AY52-MIN(($BD51+$Q52+$R52+$S52),2000)-IF($AS52=0,0,IF($AS52=1,4400,1000*$AS52+3400)))+$D52-1107750))+0.05*($D52-MIN($D52,MAX(0,MAX(0,$AY52-MIN(($BD51+$Q52+$R52+$S52),2000)-IF($AS52=0,0,IF($AS52=1,4400,1000*$AS52+3400)))+$D52-1107750))),IF($AN52="MD",(0.065+'Your Pay &amp; Benefits'!$C$74)*$D52,IF($AN52="MI",0.0425*$D52,IF($AN52="MN",0.0625*$D52,IF($AN52="MO",0.047*$D52,IF($AN52="MT",0.05*$D52,IF($AN52="ND",0.015*$D52,IF($AN52="NE",0.035*$D52,IF($AN52="NJ",IF('Your Pay &amp; Benefits'!$C$77="B",SUMPRODUCT(($D52*'Your Pay &amp; Benefits'!$C$8&gt;INDEX('How This Works &amp; Sources'!$B$155:$J$162,0,4))*($D52*'Your Pay &amp; Benefits'!$C$8-INDEX('How This Works &amp; Sources'!$B$155:$J$162,0,4))*INDEX('How This Works &amp; Sources'!$B$155:$J$162,0,4+2)),IF('Your Pay &amp; Benefits'!$C$77="C",SUMPRODUCT(($D52*'Your Pay &amp; Benefits'!$C$8&gt;INDEX('How This Works &amp; Sources'!$B$155:$J$162,0,7))*($D52*'Your Pay &amp; Benefits'!$C$8-INDEX('How This Works &amp; Sources'!$B$155:$J$162,0,7))*INDEX('How This Works &amp; Sources'!$B$155:$J$162,0,7+2)),IF('Your Pay &amp; Benefits'!$C$77="D",SUMPRODUCT(($D52*'Your Pay &amp; Benefits'!$C$8&gt;INDEX('How This Works &amp; Sources'!$B$167:$J$179,0,1))*($D52*'Your Pay &amp; Benefits'!$C$8-INDEX('How This Works &amp; Sources'!$B$167:$J$179,0,1))*INDEX('How This Works &amp; Sources'!$B$167:$J$179,0,1+2)),IF('Your Pay &amp; Benefits'!$C$77="E",SUMPRODUCT(($D52*'Your Pay &amp; Benefits'!$C$8&gt;INDEX('How This Works &amp; Sources'!$B$167:$J$179,0,4))*($D52*'Your Pay &amp; Benefits'!$C$8-INDEX('How This Works &amp; Sources'!$B$167:$J$179,0,4))*INDEX('How This Works &amp; Sources'!$B$167:$J$179,0,4+2)),SUMPRODUCT(($D52*'Your Pay &amp; Benefits'!$C$8&gt;INDEX('How This Works &amp; Sources'!$B$155:$J$162,0,1))*($D52*'Your Pay &amp; Benefits'!$C$8-INDEX('How This Works &amp; Sources'!$B$155:$J$162,0,1))*INDEX('How This Works &amp; Sources'!$B$155:$J$162,0,1+2))))))/'Your Pay &amp; Benefits'!$C$8,IF($AN52="NY",0.117*$D52,IF($AN52="OH",0.0275*$D52,IF($AN52="OK",0.045*$D52,IF($AN52="OR",0.08*$D52,IF($AN52="WI",IF($AY52&lt;12760,0.0354,IF($AY52&lt;25520,0.0465,IF($AY52&lt;280950,0.053,0.0765)))*$D52,0))))))))))))))))))))</f>
      </c>
      <c r="BD52" s="7">
        <f>IF($B52="","",$BD51+$Q52+$R52+$S52)</f>
      </c>
      <c r="BE52" s="6">
        <f>IF($B52="",$BE51,$BE51+$BF52)</f>
      </c>
      <c r="BF52" s="6">
        <f>IF($B52="","",IF(AND(IF(YEAR(IF('Your Pay &amp; Benefits'!$C$7="Weekly",'Your Pay &amp; Benefits'!$C$9+7*(($BE51+1)-1),IF('Your Pay &amp; Benefits'!$C$7="Biweekly",'Your Pay &amp; Benefits'!$C$9+14*(($BE51+1)-1),IF('Your Pay &amp; Benefits'!$C$7="Semimonthly",DATE(YEAR('Your Pay &amp; Benefits'!$C$9),MONTH('Your Pay &amp; Benefits'!$C$9)+INT((($BE51+1)-1)/2),MIN(DAY('Your Pay &amp; Benefits'!$C$9),DAY(EOMONTH(DATE(YEAR('Your Pay &amp; Benefits'!$C$9),MONTH('Your Pay &amp; Benefits'!$C$9)+INT((($BE51+1)-1)/2),1),0))))+IF(MOD(($BE51+1)-1,2)=1,15,0),EDATE('Your Pay &amp; Benefits'!$C$9,($BE51+1)-1)))))&lt;&gt;'Your Pay &amp; Benefits'!$C$10,"",IF('Your Pay &amp; Benefits'!$C$7="Weekly",'Your Pay &amp; Benefits'!$C$9+7*(($BE51+1)-1),IF('Your Pay &amp; Benefits'!$C$7="Biweekly",'Your Pay &amp; Benefits'!$C$9+14*(($BE51+1)-1),IF('Your Pay &amp; Benefits'!$C$7="Semimonthly",DATE(YEAR('Your Pay &amp; Benefits'!$C$9),MONTH('Your Pay &amp; Benefits'!$C$9)+INT((($BE51+1)-1)/2),MIN(DAY('Your Pay &amp; Benefits'!$C$9),DAY(EOMONTH(DATE(YEAR('Your Pay &amp; Benefits'!$C$9),MONTH('Your Pay &amp; Benefits'!$C$9)+INT((($BE51+1)-1)/2),1),0))))+IF(MOD(($BE51+1)-1,2)=1,15,0),EDATE('Your Pay &amp; Benefits'!$C$9,($BE51+1)-1)))))&lt;&gt;"",$B52=IF(YEAR(IF('Your Pay &amp; Benefits'!$C$7="Weekly",'Your Pay &amp; Benefits'!$C$9+7*(($BE51+1)-1),IF('Your Pay &amp; Benefits'!$C$7="Biweekly",'Your Pay &amp; Benefits'!$C$9+14*(($BE51+1)-1),IF('Your Pay &amp; Benefits'!$C$7="Semimonthly",DATE(YEAR('Your Pay &amp; Benefits'!$C$9),MONTH('Your Pay &amp; Benefits'!$C$9)+INT((($BE51+1)-1)/2),MIN(DAY('Your Pay &amp; Benefits'!$C$9),DAY(EOMONTH(DATE(YEAR('Your Pay &amp; Benefits'!$C$9),MONTH('Your Pay &amp; Benefits'!$C$9)+INT((($BE51+1)-1)/2),1),0))))+IF(MOD(($BE51+1)-1,2)=1,15,0),EDATE('Your Pay &amp; Benefits'!$C$9,($BE51+1)-1)))))&lt;&gt;'Your Pay &amp; Benefits'!$C$10,"",IF('Your Pay &amp; Benefits'!$C$7="Weekly",'Your Pay &amp; Benefits'!$C$9+7*(($BE51+1)-1),IF('Your Pay &amp; Benefits'!$C$7="Biweekly",'Your Pay &amp; Benefits'!$C$9+14*(($BE51+1)-1),IF('Your Pay &amp; Benefits'!$C$7="Semimonthly",DATE(YEAR('Your Pay &amp; Benefits'!$C$9),MONTH('Your Pay &amp; Benefits'!$C$9)+INT((($BE51+1)-1)/2),MIN(DAY('Your Pay &amp; Benefits'!$C$9),DAY(EOMONTH(DATE(YEAR('Your Pay &amp; Benefits'!$C$9),MONTH('Your Pay &amp; Benefits'!$C$9)+INT((($BE51+1)-1)/2),1),0))))+IF(MOD(($BE51+1)-1,2)=1,15,0),EDATE('Your Pay &amp; Benefits'!$C$9,($BE51+1)-1)))))),1,0))</f>
      </c>
      <c r="BG52" s="7">
        <f>IF($B52="","",$BG51+$H52)</f>
      </c>
      <c r="BH52" s="7">
        <f>IF($B52="","",$BH51+$I52)</f>
      </c>
      <c r="BI52" s="7">
        <f>IF($B52="","",$BI51+$G52)</f>
      </c>
      <c r="BJ52" s="7">
        <f>IF($B52="","",IFERROR(LOOKUP(2,1/(((('Changes &amp; Events'!$C$6:$C$17="Deduction start"))*('Changes &amp; Events'!$D$6:$D$17="Health FSA"))*('Changes &amp; Events'!$B$6:$B$17&lt;=$B52)*('Changes &amp; Events'!$B$6:$B$17&lt;&gt;"")),'Changes &amp; Events'!$E$6:$E$17),'Your Pay &amp; Benefits'!$D$38))</f>
      </c>
      <c r="BK52" s="7">
        <f>IF($B52="","",IFERROR(LOOKUP(2,1/(((('Changes &amp; Events'!$C$6:$C$17="Deduction start"))*('Changes &amp; Events'!$D$6:$D$17="Dependent-care FSA"))*('Changes &amp; Events'!$B$6:$B$17&lt;=$B52)*('Changes &amp; Events'!$B$6:$B$17&lt;&gt;"")),'Changes &amp; Events'!$E$6:$E$17),'Your Pay &amp; Benefits'!$D$39))</f>
      </c>
      <c r="BL52" s="7">
        <f>IF($B52="","",IFERROR(LOOKUP(2,1/(((('Changes &amp; Events'!$C$6:$C$17="Deduction start")+('Changes &amp; Events'!$C$6:$C$17="Deduction stop"))*('Changes &amp; Events'!$D$6:$D$17="HSA"))*('Changes &amp; Events'!$B$6:$B$17&lt;=$B52)*('Changes &amp; Events'!$B$6:$B$17&lt;&gt;"")),'Changes &amp; Events'!$I$6:$I$17),'Your Pay &amp; Benefits'!$D$35))</f>
      </c>
      <c r="BM52" s="7">
        <f>IF($B52="","",IFERROR(LOOKUP(2,1/(((('Changes &amp; Events'!$C$6:$C$17="Deduction start")+('Changes &amp; Events'!$C$6:$C$17="Deduction stop"))*('Changes &amp; Events'!$D$6:$D$17="Premiums"))*('Changes &amp; Events'!$B$6:$B$17&lt;=$B52)*('Changes &amp; Events'!$B$6:$B$17&lt;&gt;"")),'Changes &amp; Events'!$I$6:$I$17),'Your Pay &amp; Benefits'!$D$40+'Your Pay &amp; Benefits'!$D$41+'Your Pay &amp; Benefits'!$D$42))</f>
      </c>
      <c r="BN52" s="7">
        <f>IF($B52="","",IFERROR(LOOKUP(2,1/(((('Changes &amp; Events'!$C$6:$C$17="Deduction start")+('Changes &amp; Events'!$C$6:$C$17="Deduction stop"))*('Changes &amp; Events'!$D$6:$D$17="Commuter"))*('Changes &amp; Events'!$B$6:$B$17&lt;=$B52)*('Changes &amp; Events'!$B$6:$B$17&lt;&gt;"")),'Changes &amp; Events'!$I$6:$I$17),'Your Pay &amp; Benefits'!$D$43))</f>
      </c>
      <c r="BO52" s="7">
        <f>IF($B52="","",IFERROR(LOOKUP(2,1/(((('Changes &amp; Events'!$C$6:$C$17="Deduction start")+('Changes &amp; Events'!$C$6:$C$17="Deduction stop"))*('Changes &amp; Events'!$D$6:$D$17="Other pre-tax"))*('Changes &amp; Events'!$B$6:$B$17&lt;=$B52)*('Changes &amp; Events'!$B$6:$B$17&lt;&gt;"")),'Changes &amp; Events'!$I$6:$I$17),'Your Pay &amp; Benefits'!$D$44))</f>
      </c>
      <c r="BP52" s="7">
        <f>IF($B52="","",IFERROR(LOOKUP(2,1/(((('Changes &amp; Events'!$C$6:$C$17="Deduction start")+('Changes &amp; Events'!$C$6:$C$17="Deduction stop"))*('Changes &amp; Events'!$D$6:$D$17="Other post-tax"))*('Changes &amp; Events'!$B$6:$B$17&lt;=$B52)*('Changes &amp; Events'!$B$6:$B$17&lt;&gt;"")),'Changes &amp; Events'!$I$6:$I$17),'Your Pay &amp; Benefits'!$D$45))</f>
      </c>
      <c r="BQ52" s="6">
        <f>IF($B52="","",IFERROR(LOOKUP(2,1/(((('Changes &amp; Events'!$C$6:$C$17="Deduction start")+('Changes &amp; Events'!$C$6:$C$17="Deduction stop"))*('Changes &amp; Events'!$D$6:$D$17="Health FSA"))*('Changes &amp; Events'!$B$6:$B$17&lt;=$B52)*('Changes &amp; Events'!$B$6:$B$17&lt;&gt;"")),'Changes &amp; Events'!$J$6:$J$17),0))</f>
      </c>
      <c r="BR52" s="6">
        <f>IF($B52="","",IFERROR(LOOKUP(2,1/(((('Changes &amp; Events'!$C$6:$C$17="Deduction start")+('Changes &amp; Events'!$C$6:$C$17="Deduction stop"))*('Changes &amp; Events'!$D$6:$D$17="Dependent-care FSA"))*('Changes &amp; Events'!$B$6:$B$17&lt;=$B52)*('Changes &amp; Events'!$B$6:$B$17&lt;&gt;"")),'Changes &amp; Events'!$J$6:$J$17),0))</f>
      </c>
      <c r="BS52" s="6">
        <f>IF($B52="","",IF(SUMPRODUCT(('Changes &amp; Events'!$C$6:$C$17="Deduction start")*('Changes &amp; Events'!$B$6:$B$17&lt;=$B52)*('Changes &amp; Events'!$B$6:$B$17&lt;&gt;"")*('Changes &amp; Events'!$D$6:$D$17="Health FSA"))&gt;0,1,0))</f>
      </c>
      <c r="BT52" s="6">
        <f>IF($B52="","",IF(SUMPRODUCT(('Changes &amp; Events'!$C$6:$C$17="Deduction start")*('Changes &amp; Events'!$B$6:$B$17&lt;=$B52)*('Changes &amp; Events'!$B$6:$B$17&lt;&gt;"")*('Changes &amp; Events'!$D$6:$D$17="Dependent-care FSA"))&gt;0,1,0))</f>
      </c>
      <c r="BU52" s="24">
        <f>IF($B52="","",IF('Your Pay &amp; Benefits'!$C$13,SUMPRODUCT(($AH52&gt;=INDEX('How This Works &amp; Sources'!$B$29:$J$36,0,IF('Your Pay &amp; Benefits'!$C$12="MFJ",1,IF('Your Pay &amp; Benefits'!$C$12="HoH",7,4))))*INDEX('How This Works &amp; Sources'!$B$29:$J$36,0,IF('Your Pay &amp; Benefits'!$C$12="MFJ",1,IF('Your Pay &amp; Benefits'!$C$12="HoH",7,4))+2)),SUMPRODUCT(($AH52&gt;=INDEX('How This Works &amp; Sources'!$B$19:$J$26,0,IF('Your Pay &amp; Benefits'!$C$12="MFJ",1,IF('Your Pay &amp; Benefits'!$C$12="HoH",7,4))))*INDEX('How This Works &amp; Sources'!$B$19:$J$26,0,IF('Your Pay &amp; Benefits'!$C$12="MFJ",1,IF('Your Pay &amp; Benefits'!$C$12="HoH",7,4))+2))))</f>
      </c>
      <c r="BV52" s="24">
        <f>IF($B52="","",IF($BZ52&lt;&gt;"",$BZ52,IF($CA52&lt;&gt;"",$CA52,IF($CB52&lt;&gt;"",$CB52,IF($CC52&lt;&gt;"",$CC52,0)))))</f>
      </c>
      <c r="BW52" s="7">
        <f>IF($B52="","",IF($AN52="MD",IF(OR($AU52="Married",$AU52="Head of household"),SUMPRODUCT(($AZ52&gt;INDEX('How This Works &amp; Sources'!$B$114:$J$120,0,1))*($AZ52-INDEX('How This Works &amp; Sources'!$B$114:$J$120,0,1))*INDEX('How This Works &amp; Sources'!$B$114:$J$120,0,1+2)),SUMPRODUCT(($AZ52&gt;INDEX('How This Works &amp; Sources'!$B$103:$J$109,0,7))*($AZ52-INDEX('How This Works &amp; Sources'!$B$103:$J$109,0,7))*INDEX('How This Works &amp; Sources'!$B$103:$J$109,0,7+2))),IF($AN52="MO",SUMPRODUCT(($AZ52&gt;INDEX('How This Works &amp; Sources'!$B$125:$J$132,0,1))*($AZ52-INDEX('How This Works &amp; Sources'!$B$125:$J$132,0,1))*INDEX('How This Works &amp; Sources'!$B$125:$J$132,0,1+2)),IF($AN52="MT",IF($AU52="Head of household",SUMPRODUCT(($AZ52&gt;INDEX('How This Works &amp; Sources'!$B$137:$J$139,0,1))*($AZ52-INDEX('How This Works &amp; Sources'!$B$137:$J$139,0,1))*INDEX('How This Works &amp; Sources'!$B$137:$J$139,0,1+2)),IF($AU52="Married",SUMPRODUCT(($AZ52&gt;INDEX('How This Works &amp; Sources'!$B$125:$J$132,0,7))*($AZ52-INDEX('How This Works &amp; Sources'!$B$125:$J$132,0,7))*INDEX('How This Works &amp; Sources'!$B$125:$J$132,0,7+2)),SUMPRODUCT(($AZ52&gt;INDEX('How This Works &amp; Sources'!$B$125:$J$132,0,4))*($AZ52-INDEX('How This Works &amp; Sources'!$B$125:$J$132,0,4))*INDEX('How This Works &amp; Sources'!$B$125:$J$132,0,4+2)))),IF($AN52="ND",IF($AU52="Head of household",SUMPRODUCT(($AZ52&gt;INDEX('How This Works &amp; Sources'!$B$144:$J$150,0,1))*($AZ52-INDEX('How This Works &amp; Sources'!$B$144:$J$150,0,1))*INDEX('How This Works &amp; Sources'!$B$144:$J$150,0,1+2)),IF($AU52="Married",SUMPRODUCT(($AZ52&gt;INDEX('How This Works &amp; Sources'!$B$137:$J$139,0,7))*($AZ52-INDEX('How This Works &amp; Sources'!$B$137:$J$139,0,7))*INDEX('How This Works &amp; Sources'!$B$137:$J$139,0,7+2)),SUMPRODUCT(($AZ52&gt;INDEX('How This Works &amp; Sources'!$B$137:$J$139,0,4))*($AZ52-INDEX('How This Works &amp; Sources'!$B$137:$J$139,0,4))*INDEX('How This Works &amp; Sources'!$B$137:$J$139,0,4+2)))),IF($AN52="NJ",IF('Your Pay &amp; Benefits'!$C$77="B",SUMPRODUCT(($AZ52&gt;INDEX('How This Works &amp; Sources'!$B$155:$J$162,0,4))*($AZ52-INDEX('How This Works &amp; Sources'!$B$155:$J$162,0,4))*INDEX('How This Works &amp; Sources'!$B$155:$J$162,0,4+2)),IF('Your Pay &amp; Benefits'!$C$77="C",SUMPRODUCT(($AZ52&gt;INDEX('How This Works &amp; Sources'!$B$155:$J$162,0,7))*($AZ52-INDEX('How This Works &amp; Sources'!$B$155:$J$162,0,7))*INDEX('How This Works &amp; Sources'!$B$155:$J$162,0,7+2)),IF('Your Pay &amp; Benefits'!$C$77="D",SUMPRODUCT(($AZ52&gt;INDEX('How This Works &amp; Sources'!$B$167:$J$179,0,1))*($AZ52-INDEX('How This Works &amp; Sources'!$B$167:$J$179,0,1))*INDEX('How This Works &amp; Sources'!$B$167:$J$179,0,1+2)),IF('Your Pay &amp; Benefits'!$C$77="E",SUMPRODUCT(($AZ52&gt;INDEX('How This Works &amp; Sources'!$B$167:$J$179,0,4))*($AZ52-INDEX('How This Works &amp; Sources'!$B$167:$J$179,0,4))*INDEX('How This Works &amp; Sources'!$B$167:$J$179,0,4+2)),SUMPRODUCT(($AZ52&gt;INDEX('How This Works &amp; Sources'!$B$155:$J$162,0,1))*($AZ52-INDEX('How This Works &amp; Sources'!$B$155:$J$162,0,1))*INDEX('How This Works &amp; Sources'!$B$155:$J$162,0,1+2)))))),IF($AN52="NY",IF($AU52="Married",IF($AZ52&gt;=2155350,$AZ52*IF($AZ52&gt;25000000,0.117,IF($AZ52&gt;5000000,0.111,0.1045)),SUMPRODUCT(($AZ52&gt;INDEX('How This Works &amp; Sources'!$B$184:$J$198,0,1))*($AZ52-INDEX('How This Works &amp; Sources'!$B$184:$J$198,0,1))*INDEX('How This Works &amp; Sources'!$B$184:$J$198,0,1+2))),IF($AZ52&gt;=1077550,$AZ52*IF($AZ52&gt;25000000,0.117,IF($AZ52&gt;5000000,0.111,0.1045)),SUMPRODUCT(($AZ52&gt;INDEX('How This Works &amp; Sources'!$B$167:$J$179,0,7))*($AZ52-INDEX('How This Works &amp; Sources'!$B$167:$J$179,0,7))*INDEX('How This Works &amp; Sources'!$B$167:$J$179,0,7+2)))),"")))))))</f>
      </c>
      <c r="BX52" s="7">
        <f>IF($B52="","",IF($AN52="AL",IF(OR($AU52="Married",$AU52="Head of household"),SUMPRODUCT(($AZ52&gt;INDEX('How This Works &amp; Sources'!$B$82:$J$86,0,4))*($AZ52-INDEX('How This Works &amp; Sources'!$B$82:$J$86,0,4))*INDEX('How This Works &amp; Sources'!$B$82:$J$86,0,4+2)),SUMPRODUCT(($AZ52&gt;INDEX('How This Works &amp; Sources'!$B$82:$J$86,0,1))*($AZ52-INDEX('How This Works &amp; Sources'!$B$82:$J$86,0,1))*INDEX('How This Works &amp; Sources'!$B$82:$J$86,0,1+2))),IF($AN52="KS",IF($AU52="Married",SUMPRODUCT(($AZ52&gt;INDEX('How This Works &amp; Sources'!$B$103:$J$109,0,4))*($AZ52-INDEX('How This Works &amp; Sources'!$B$103:$J$109,0,4))*INDEX('How This Works &amp; Sources'!$B$103:$J$109,0,4+2)),SUMPRODUCT(($AZ52&gt;INDEX('How This Works &amp; Sources'!$B$103:$J$109,0,1))*($AZ52-INDEX('How This Works &amp; Sources'!$B$103:$J$109,0,1))*INDEX('How This Works &amp; Sources'!$B$103:$J$109,0,1+2))),IF($AN52="MN",IF($AU52="Married",SUMPRODUCT(($AZ52&gt;INDEX('How This Works &amp; Sources'!$B$114:$J$120,0,7))*($AZ52-INDEX('How This Works &amp; Sources'!$B$114:$J$120,0,7))*INDEX('How This Works &amp; Sources'!$B$114:$J$120,0,7+2)),SUMPRODUCT(($AZ52&gt;INDEX('How This Works &amp; Sources'!$B$114:$J$120,0,4))*($AZ52-INDEX('How This Works &amp; Sources'!$B$114:$J$120,0,4))*INDEX('How This Works &amp; Sources'!$B$114:$J$120,0,4+2))),IF($AN52="NE",MAX(IF($AU52="Married",SUMPRODUCT(($AZ52&gt;INDEX('How This Works &amp; Sources'!$B$144:$J$150,0,7))*($AZ52-INDEX('How This Works &amp; Sources'!$B$144:$J$150,0,7))*INDEX('How This Works &amp; Sources'!$B$144:$J$150,0,7+2)),SUMPRODUCT(($AZ52&gt;INDEX('How This Works &amp; Sources'!$B$144:$J$150,0,4))*($AZ52-INDEX('How This Works &amp; Sources'!$B$144:$J$150,0,4))*INDEX('How This Works &amp; Sources'!$B$144:$J$150,0,4+2))),0.015*$AZ52),IF($AN52="OH",IF($B52&gt;=DATE(2026,8,1),SUMPRODUCT(($AZ52&gt;INDEX('How This Works &amp; Sources'!$B$203:$J$206,0,1))*($AZ52-INDEX('How This Works &amp; Sources'!$B$203:$J$206,0,1))*INDEX('How This Works &amp; Sources'!$B$203:$J$206,0,1+2)),SUMPRODUCT(($AZ52&gt;INDEX('How This Works &amp; Sources'!$B$184:$J$198,0,7))*($AZ52-INDEX('How This Works &amp; Sources'!$B$184:$J$198,0,7))*INDEX('How This Works &amp; Sources'!$B$184:$J$198,0,7+2))),IF($AN52="OK",IF($AU52="Married",SUMPRODUCT(($AZ52&gt;INDEX('How This Works &amp; Sources'!$B$203:$J$206,0,7))*($AZ52-INDEX('How This Works &amp; Sources'!$B$203:$J$206,0,7))*INDEX('How This Works &amp; Sources'!$B$203:$J$206,0,7+2)),SUMPRODUCT(($AZ52&gt;INDEX('How This Works &amp; Sources'!$B$203:$J$206,0,4))*($AZ52-INDEX('How This Works &amp; Sources'!$B$203:$J$206,0,4))*INDEX('How This Works &amp; Sources'!$B$203:$J$206,0,4+2))),IF($AN52="RI",SUMPRODUCT(($AZ52&gt;INDEX('How This Works &amp; Sources'!$B$211:$J$214,0,7))*($AZ52-INDEX('How This Works &amp; Sources'!$B$211:$J$214,0,7))*INDEX('How This Works &amp; Sources'!$B$211:$J$214,0,7+2)),IF($AN52="VT",IF($AU52="Married",SUMPRODUCT(($AZ52&gt;INDEX('How This Works &amp; Sources'!$B$228:$J$232,0,1))*($AZ52-INDEX('How This Works &amp; Sources'!$B$228:$J$232,0,1))*INDEX('How This Works &amp; Sources'!$B$228:$J$232,0,1+2)),SUMPRODUCT(($AZ52&gt;INDEX('How This Works &amp; Sources'!$B$219:$J$223,0,7))*($AZ52-INDEX('How This Works &amp; Sources'!$B$219:$J$223,0,7))*INDEX('How This Works &amp; Sources'!$B$219:$J$223,0,7+2))),IF($AN52="WV",IF($AU52="Married",SUMPRODUCT(($AZ52&gt;INDEX('How This Works &amp; Sources'!$B$237:$J$241,0,7))*($AZ52-INDEX('How This Works &amp; Sources'!$B$237:$J$241,0,7))*INDEX('How This Works &amp; Sources'!$B$237:$J$241,0,7+2)),SUMPRODUCT(($AZ52&gt;INDEX('How This Works &amp; Sources'!$B$228:$J$232,0,7))*($AZ52-INDEX('How This Works &amp; Sources'!$B$228:$J$232,0,7))*INDEX('How This Works &amp; Sources'!$B$228:$J$232,0,7+2))),""))))))))))</f>
      </c>
      <c r="BY52" s="7">
        <f>IF($B52="","",IF($AN52="AR",SUMPRODUCT(($AZ52&gt;INDEX('How This Works &amp; Sources'!$B$82:$J$86,0,7))*($AZ52-INDEX('How This Works &amp; Sources'!$B$82:$J$86,0,7))*INDEX('How This Works &amp; Sources'!$B$82:$J$86,0,7+2)),IF($AN52="DE",SUMPRODUCT(($AZ52&gt;INDEX('How This Works &amp; Sources'!$B$91:$J$98,0,1))*($AZ52-INDEX('How This Works &amp; Sources'!$B$91:$J$98,0,1))*INDEX('How This Works &amp; Sources'!$B$91:$J$98,0,1+2)),IF($AN52="HI",IF($AU52="Married",SUMPRODUCT(($AZ52&gt;INDEX('How This Works &amp; Sources'!$B$91:$J$98,0,7))*($AZ52-INDEX('How This Works &amp; Sources'!$B$91:$J$98,0,7))*INDEX('How This Works &amp; Sources'!$B$91:$J$98,0,7+2)),SUMPRODUCT(($AZ52&gt;INDEX('How This Works &amp; Sources'!$B$91:$J$98,0,4))*($AZ52-INDEX('How This Works &amp; Sources'!$B$91:$J$98,0,4))*INDEX('How This Works &amp; Sources'!$B$91:$J$98,0,4+2))),IF($AN52="SC",SUMPRODUCT(($AZ52&gt;INDEX('How This Works &amp; Sources'!$B$219:$J$223,0,1))*($AZ52-INDEX('How This Works &amp; Sources'!$B$219:$J$223,0,1))*INDEX('How This Works &amp; Sources'!$B$219:$J$223,0,1+2)),IF($AN52="VA",SUMPRODUCT(($AZ52&gt;INDEX('How This Works &amp; Sources'!$B$219:$J$223,0,4))*($AZ52-INDEX('How This Works &amp; Sources'!$B$219:$J$223,0,4))*INDEX('How This Works &amp; Sources'!$B$219:$J$223,0,4+2)),IF($AN52="WI",SUMPRODUCT(($AZ52&gt;INDEX('How This Works &amp; Sources'!$B$228:$J$232,0,4))*($AZ52-INDEX('How This Works &amp; Sources'!$B$228:$J$232,0,4))*INDEX('How This Works &amp; Sources'!$B$228:$J$232,0,4+2)),"")))))))</f>
      </c>
      <c r="BZ52" s="24">
        <f>IF($B52="","",IF($AN52="NJ",IF('Your Pay &amp; Benefits'!$C$77="B",SUMPRODUCT(($AZ52&gt;=INDEX('How This Works &amp; Sources'!$B$155:$J$162,0,4))*INDEX('How This Works &amp; Sources'!$B$155:$J$162,0,4+2)),IF('Your Pay &amp; Benefits'!$C$77="C",SUMPRODUCT(($AZ52&gt;=INDEX('How This Works &amp; Sources'!$B$155:$J$162,0,7))*INDEX('How This Works &amp; Sources'!$B$155:$J$162,0,7+2)),IF('Your Pay &amp; Benefits'!$C$77="D",SUMPRODUCT(($AZ52&gt;=INDEX('How This Works &amp; Sources'!$B$167:$J$179,0,1))*INDEX('How This Works &amp; Sources'!$B$167:$J$179,0,1+2)),IF('Your Pay &amp; Benefits'!$C$77="E",SUMPRODUCT(($AZ52&gt;=INDEX('How This Works &amp; Sources'!$B$167:$J$179,0,4))*INDEX('How This Works &amp; Sources'!$B$167:$J$179,0,4+2)),SUMPRODUCT(($AZ52&gt;=INDEX('How This Works &amp; Sources'!$B$155:$J$162,0,1))*INDEX('How This Works &amp; Sources'!$B$155:$J$162,0,1+2)))))),IF($AN52="OR",IF(OR($AU52="Married",AND($AU52="Single",$AS52&gt;=3)),SUMPRODUCT((MAX(0,$AY52-MIN(($P52-'How This Works &amp; Sources'!$C$10*$D52)*'Your Pay &amp; Benefits'!$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Sources'!$B$211:$J$214,0,4))*INDEX('How This Works &amp; Sources'!$B$211:$J$214,0,4+2)),SUMPRODUCT((MAX(0,$AY52-MIN(($P52-'How This Works &amp; Sources'!$C$10*$D52)*'Your Pay &amp; Benefits'!$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Sources'!$B$211:$J$214,0,1))*INDEX('How This Works &amp; Sources'!$B$211:$J$214,0,1+2)))*IF(($P52-'How This Works &amp; Sources'!$C$10*$D52)*'Your Pay &amp; Benefits'!$C$8&gt;=IF(OR($AU52="Married",AND($AU52="Single",$AS52&gt;=3)),IF($AY52&lt;250000,8750,IF($AY52&lt;260000,7000,IF($AY52&lt;270000,5250,IF($AY52&lt;280000,3500,IF($AY52&lt;290000,1750,0))))),IF($AY52&lt;125000,8750,IF($AY52&lt;130000,7000,IF($AY52&lt;135000,5250,IF($AY52&lt;140000,3500,IF($AY52&lt;145000,1750,0)))))),1,1-IF('Your Pay &amp; Benefits'!$C$13,SUMPRODUCT(($AH52&gt;=INDEX('How This Works &amp; Sources'!$B$29:$J$36,0,IF('Your Pay &amp; Benefits'!$C$12="MFJ",1,IF('Your Pay &amp; Benefits'!$C$12="HoH",7,4))))*INDEX('How This Works &amp; Sources'!$B$29:$J$36,0,IF('Your Pay &amp; Benefits'!$C$12="MFJ",1,IF('Your Pay &amp; Benefits'!$C$12="HoH",7,4))+2)),SUMPRODUCT(($AH52&gt;=INDEX('How This Works &amp; Sources'!$B$19:$J$26,0,IF('Your Pay &amp; Benefits'!$C$12="MFJ",1,IF('Your Pay &amp; Benefits'!$C$12="HoH",7,4))))*INDEX('How This Works &amp; Sources'!$B$19:$J$26,0,IF('Your Pay &amp; Benefits'!$C$12="MFJ",1,IF('Your Pay &amp; Benefits'!$C$12="HoH",7,4))+2)))),IF($AN52="MI",IF($AY52&gt;5900*$AS52,0.0425,0),""))))</f>
      </c>
      <c r="CA52" s="24">
        <f>IF($B52="","",IF($AN52="AL",IF(OR($AU52="Married",$AU52="Head of household"),SUMPRODUCT(($AZ52&gt;=INDEX('How This Works &amp; Sources'!$B$82:$J$86,0,4))*INDEX('How This Works &amp; Sources'!$B$82:$J$86,0,4+2)),SUMPRODUCT(($AZ52&gt;=INDEX('How This Works &amp; Sources'!$B$82:$J$86,0,1))*INDEX('How This Works &amp; Sources'!$B$82:$J$86,0,1+2)))*(1-IF('Your Pay &amp; Benefits'!$C$13,SUMPRODUCT(($AH52&gt;=INDEX('How This Works &amp; Sources'!$B$29:$J$36,0,IF('Your Pay &amp; Benefits'!$C$12="MFJ",1,IF('Your Pay &amp; Benefits'!$C$12="HoH",7,4))))*INDEX('How This Works &amp; Sources'!$B$29:$J$36,0,IF('Your Pay &amp; Benefits'!$C$12="MFJ",1,IF('Your Pay &amp; Benefits'!$C$12="HoH",7,4))+2)),SUMPRODUCT(($AH52&gt;=INDEX('How This Works &amp; Sources'!$B$19:$J$26,0,IF('Your Pay &amp; Benefits'!$C$12="MFJ",1,IF('Your Pay &amp; Benefits'!$C$12="HoH",7,4))))*INDEX('How This Works &amp; Sources'!$B$19:$J$26,0,IF('Your Pay &amp; Benefits'!$C$12="MFJ",1,IF('Your Pay &amp; Benefits'!$C$12="HoH",7,4))+2)))),IF($AN52="KS",IF($AU52="Married",SUMPRODUCT(($AZ52&gt;=INDEX('How This Works &amp; Sources'!$B$103:$J$109,0,4))*INDEX('How This Works &amp; Sources'!$B$103:$J$109,0,4+2)),SUMPRODUCT(($AZ52&gt;=INDEX('How This Works &amp; Sources'!$B$103:$J$109,0,1))*INDEX('How This Works &amp; Sources'!$B$103:$J$109,0,1+2))),IF($AN52="MD",IF(OR($AU52="Married",$AU52="Head of household"),SUMPRODUCT(($AZ52&gt;=INDEX('How This Works &amp; Sources'!$B$114:$J$120,0,1))*INDEX('How This Works &amp; Sources'!$B$114:$J$120,0,1+2)),SUMPRODUCT(($AZ52&gt;=INDEX('How This Works &amp; Sources'!$B$103:$J$109,0,7))*INDEX('How This Works &amp; Sources'!$B$103:$J$109,0,7+2)))+'Your Pay &amp; Benefits'!$C$74,IF($AN52="MT",IF($AU52="Head of household",SUMPRODUCT(($AZ52&gt;=INDEX('How This Works &amp; Sources'!$B$137:$J$139,0,1))*INDEX('How This Works &amp; Sources'!$B$137:$J$139,0,1+2)),IF($AU52="Married",SUMPRODUCT(($AZ52&gt;=INDEX('How This Works &amp; Sources'!$B$125:$J$132,0,7))*INDEX('How This Works &amp; Sources'!$B$125:$J$132,0,7+2)),SUMPRODUCT(($AZ52&gt;=INDEX('How This Works &amp; Sources'!$B$125:$J$132,0,4))*INDEX('How This Works &amp; Sources'!$B$125:$J$132,0,4+2)))),IF($AN52="ND",IF($AU52="Head of household",SUMPRODUCT(($AZ52&gt;=INDEX('How This Works &amp; Sources'!$B$144:$J$150,0,1))*INDEX('How This Works &amp; Sources'!$B$144:$J$150,0,1+2)),IF($AU52="Married",SUMPRODUCT(($AZ52&gt;=INDEX('How This Works &amp; Sources'!$B$137:$J$139,0,7))*INDEX('How This Works &amp; Sources'!$B$137:$J$139,0,7+2)),SUMPRODUCT(($AZ52&gt;=INDEX('How This Works &amp; Sources'!$B$137:$J$139,0,4))*INDEX('How This Works &amp; Sources'!$B$137:$J$139,0,4+2)))),IF($AN52="NY",IF($AU52="Married",IF($AZ52&gt;=2155350,IF($AZ52&gt;25000000,0.117,IF($AZ52&gt;5000000,0.111,0.1045)),SUMPRODUCT(($AZ52&gt;=INDEX('How This Works &amp; Sources'!$B$184:$J$198,0,1))*INDEX('How This Works &amp; Sources'!$B$184:$J$198,0,1+2))),IF($AZ52&gt;=1077550,IF($AZ52&gt;25000000,0.117,IF($AZ52&gt;5000000,0.111,0.1045)),SUMPRODUCT(($AZ52&gt;=INDEX('How This Works &amp; Sources'!$B$167:$J$179,0,7))*INDEX('How This Works &amp; Sources'!$B$167:$J$179,0,7+2)))),"")))))))</f>
      </c>
      <c r="CB52" s="24">
        <f>IF($B52="","",IF($AN52="CA",SUMPRODUCT(($AJ52&gt;=INDEX('How This Works &amp; Sources'!$B$39:$J$48,0,IF($AU52="Married",4,IF($AU52="Head of household",7,1))))*INDEX('How This Works &amp; Sources'!$B$39:$J$48,0,IF($AU52="Married",4,IF($AU52="Head of household",7,1))+2)),IF($AN52="HI",IF($AU52="Married",SUMPRODUCT(($AZ52&gt;=INDEX('How This Works &amp; Sources'!$B$91:$J$98,0,7))*INDEX('How This Works &amp; Sources'!$B$91:$J$98,0,7+2)),SUMPRODUCT(($AZ52&gt;=INDEX('How This Works &amp; Sources'!$B$91:$J$98,0,4))*INDEX('How This Works &amp; Sources'!$B$91:$J$98,0,4+2))),IF($AN52="MN",IF($AU52="Married",SUMPRODUCT(($AZ52&gt;=INDEX('How This Works &amp; Sources'!$B$114:$J$120,0,7))*INDEX('How This Works &amp; Sources'!$B$114:$J$120,0,7+2)),SUMPRODUCT(($AZ52&gt;=INDEX('How This Works &amp; Sources'!$B$114:$J$120,0,4))*INDEX('How This Works &amp; Sources'!$B$114:$J$120,0,4+2))),IF($AN52="MO",SUMPRODUCT(($AZ52&gt;=INDEX('How This Works &amp; Sources'!$B$125:$J$132,0,1))*INDEX('How This Works &amp; Sources'!$B$125:$J$132,0,1+2)),IF($AN52="NE",MAX(IF($AU52="Married",SUMPRODUCT(($AZ52&gt;=INDEX('How This Works &amp; Sources'!$B$144:$J$150,0,7))*INDEX('How This Works &amp; Sources'!$B$144:$J$150,0,7+2)),SUMPRODUCT(($AZ52&gt;=INDEX('How This Works &amp; Sources'!$B$144:$J$150,0,4))*INDEX('How This Works &amp; Sources'!$B$144:$J$150,0,4+2))),0.015),IF($AN52="OH",IF($B52&gt;=DATE(2026,8,1),SUMPRODUCT(($AZ52&gt;=INDEX('How This Works &amp; Sources'!$B$203:$J$206,0,1))*INDEX('How This Works &amp; Sources'!$B$203:$J$206,0,1+2)),SUMPRODUCT(($AZ52&gt;=INDEX('How This Works &amp; Sources'!$B$184:$J$198,0,7))*INDEX('How This Works &amp; Sources'!$B$184:$J$198,0,7+2))),IF($AN52="OK",IF($AU52="Married",SUMPRODUCT(($AZ52&gt;=INDEX('How This Works &amp; Sources'!$B$203:$J$206,0,7))*INDEX('How This Works &amp; Sources'!$B$203:$J$206,0,7+2)),SUMPRODUCT(($AZ52&gt;=INDEX('How This Works &amp; Sources'!$B$203:$J$206,0,4))*INDEX('How This Works &amp; Sources'!$B$203:$J$206,0,4+2))),IF($AN52="RI",SUMPRODUCT(($AZ52&gt;=INDEX('How This Works &amp; Sources'!$B$211:$J$214,0,7))*INDEX('How This Works &amp; Sources'!$B$211:$J$214,0,7+2)),IF($AN52="SC",SUMPRODUCT(($AZ52&gt;=INDEX('How This Works &amp; Sources'!$B$219:$J$223,0,1))*INDEX('How This Works &amp; Sources'!$B$219:$J$223,0,1+2)),IF($AN52="VT",IF($AU52="Married",SUMPRODUCT(($AZ52&gt;=INDEX('How This Works &amp; Sources'!$B$228:$J$232,0,1))*INDEX('How This Works &amp; Sources'!$B$228:$J$232,0,1+2)),SUMPRODUCT(($AZ52&gt;=INDEX('How This Works &amp; Sources'!$B$219:$J$223,0,7))*INDEX('How This Works &amp; Sources'!$B$219:$J$223,0,7+2))),IF($AN52="WV",IF($AU52="Married",SUMPRODUCT(($AZ52&gt;=INDEX('How This Works &amp; Sources'!$B$237:$J$241,0,7))*INDEX('How This Works &amp; Sources'!$B$237:$J$241,0,7+2)),SUMPRODUCT(($AZ52&gt;=INDEX('How This Works &amp; Sources'!$B$228:$J$232,0,7))*INDEX('How This Works &amp; Sources'!$B$228:$J$232,0,7+2))),IF($AN52="IN",(0.0295+'Your Pay &amp; Benefits'!$C$76),"")))))))))))))</f>
      </c>
      <c r="CC52" s="24">
        <f>IF($B52="","",IF($AN52="AR",SUMPRODUCT(($AZ52&gt;=INDEX('How This Works &amp; Sources'!$B$82:$J$86,0,7))*INDEX('How This Works &amp; Sources'!$B$82:$J$86,0,7+2)),IF($AN52="DE",SUMPRODUCT(($AZ52&gt;=INDEX('How This Works &amp; Sources'!$B$91:$J$98,0,1))*INDEX('How This Works &amp; Sources'!$B$91:$J$98,0,1+2)),IF($AN52="VA",SUMPRODUCT(($AZ52&gt;=INDEX('How This Works &amp; Sources'!$B$219:$J$223,0,4))*INDEX('How This Works &amp; Sources'!$B$219:$J$223,0,4+2)),IF($AN52="WI",SUMPRODUCT(($AZ52&gt;=INDEX('How This Works &amp; Sources'!$B$228:$J$232,0,4))*INDEX('How This Works &amp; Sources'!$B$228:$J$232,0,4+2)),IF($AN52="AZ",'Your Pay &amp; Benefits'!$C$82,IF($AN52="CO",IF($AY52&gt;IF($AU52="Married",10000,5000),0.044,0),IF($AN52="IA",IF($AY52&gt;IF($AU52="Head of household",19500,IF($AU52="Married",26000,13000)),0.038,0),IF($AN52="ID",IF($AY52&gt;IF($AU52="Married",32000,16094),0.053,0),IF($AN52="IL",IF($AY52&gt;(2925*$AS52+1000*$AT52),0.0495,0),IF($AN52="KY",IF($AI52&gt;3360,0.035,0),IF($AN52="LA",0.0309,IF($AN52="MA",IF(MAX(0,$AY52-MIN(($BD51+$Q52+$R52+$S52),2000)-IF($AS52=0,0,IF($AS52=1,4400,1000*$AS52+3400)))&gt;=1107750,0.09,0.05),IF($AN52="MS",IF($AI52-IF($AU52="Head of household",3400,IF($AU52="Married",4600,2300))-'Your Pay &amp; Benefits'!$C$85&gt;10000,0.04,0),IF($AN52="PA",0.0307,"")))))))))))))))</f>
      </c>
      <c r="CD52" s="21">
        <f>IF(YEAR(IF('Your Pay &amp; Benefits'!$C$7="Weekly",'Your Pay &amp; Benefits'!$C$9+7*(($BE51+1)-1),IF('Your Pay &amp; Benefits'!$C$7="Biweekly",'Your Pay &amp; Benefits'!$C$9+14*(($BE51+1)-1),IF('Your Pay &amp; Benefits'!$C$7="Semimonthly",DATE(YEAR('Your Pay &amp; Benefits'!$C$9),MONTH('Your Pay &amp; Benefits'!$C$9)+INT((($BE51+1)-1)/2),MIN(DAY('Your Pay &amp; Benefits'!$C$9),DAY(EOMONTH(DATE(YEAR('Your Pay &amp; Benefits'!$C$9),MONTH('Your Pay &amp; Benefits'!$C$9)+INT((($BE51+1)-1)/2),1),0))))+IF(MOD(($BE51+1)-1,2)=1,15,0),EDATE('Your Pay &amp; Benefits'!$C$9,($BE51+1)-1)))))&lt;&gt;'Your Pay &amp; Benefits'!$C$10,"",IF('Your Pay &amp; Benefits'!$C$7="Weekly",'Your Pay &amp; Benefits'!$C$9+7*(($BE51+1)-1),IF('Your Pay &amp; Benefits'!$C$7="Biweekly",'Your Pay &amp; Benefits'!$C$9+14*(($BE51+1)-1),IF('Your Pay &amp; Benefits'!$C$7="Semimonthly",DATE(YEAR('Your Pay &amp; Benefits'!$C$9),MONTH('Your Pay &amp; Benefits'!$C$9)+INT((($BE51+1)-1)/2),MIN(DAY('Your Pay &amp; Benefits'!$C$9),DAY(EOMONTH(DATE(YEAR('Your Pay &amp; Benefits'!$C$9),MONTH('Your Pay &amp; Benefits'!$C$9)+INT((($BE51+1)-1)/2),1),0))))+IF(MOD(($BE51+1)-1,2)=1,15,0),EDATE('Your Pay &amp; Benefits'!$C$9,($BE51+1)-1)))))</f>
      </c>
      <c r="CE52" s="21">
        <f>IF(MIN(IF(AND('Your Pay &amp; Benefits'!$C$58&gt;MAX($B$6:$B51),'Your Pay &amp; Benefits'!$C$58&gt;=DATE('Your Pay &amp; Benefits'!$C$10,1,1),'Your Pay &amp; Benefits'!$C$58&lt;=DATE('Your Pay &amp; Benefits'!$C$10,12,31)),'Your Pay &amp; Benefits'!$C$58,999999),IF(AND('Your Pay &amp; Benefits'!$C$59&gt;MAX($B$6:$B51),'Your Pay &amp; Benefits'!$C$59&gt;=DATE('Your Pay &amp; Benefits'!$C$10,1,1),'Your Pay &amp; Benefits'!$C$59&lt;=DATE('Your Pay &amp; Benefits'!$C$10,12,31)),'Your Pay &amp; Benefits'!$C$59,999999),IF(AND('Your Pay &amp; Benefits'!$C$60&gt;MAX($B$6:$B51),'Your Pay &amp; Benefits'!$C$60&gt;=DATE('Your Pay &amp; Benefits'!$C$10,1,1),'Your Pay &amp; Benefits'!$C$60&lt;=DATE('Your Pay &amp; Benefits'!$C$10,12,31)),'Your Pay &amp; Benefits'!$C$60,999999),IF(AND('Your Pay &amp; Benefits'!$C$61&gt;MAX($B$6:$B51),'Your Pay &amp; Benefits'!$C$61&gt;=DATE('Your Pay &amp; Benefits'!$C$10,1,1),'Your Pay &amp; Benefits'!$C$61&lt;=DATE('Your Pay &amp; Benefits'!$C$10,12,31)),'Your Pay &amp; Benefits'!$C$61,999999),IF(AND('Your Pay &amp; Benefits'!$C$62&gt;MAX($B$6:$B51),'Your Pay &amp; Benefits'!$C$62&gt;=DATE('Your Pay &amp; Benefits'!$C$10,1,1),'Your Pay &amp; Benefits'!$C$62&lt;=DATE('Your Pay &amp; Benefits'!$C$10,12,31)),'Your Pay &amp; Benefits'!$C$62,999999),IF(AND('Your Pay &amp; Benefits'!$C$63&gt;MAX($B$6:$B51),'Your Pay &amp; Benefits'!$C$63&gt;=DATE('Your Pay &amp; Benefits'!$C$10,1,1),'Your Pay &amp; Benefits'!$C$63&lt;=DATE('Your Pay &amp; Benefits'!$C$10,12,31)),'Your Pay &amp; Benefits'!$C$63,999999),IF(AND('Your Pay &amp; Benefits'!$C$64&gt;MAX($B$6:$B51),'Your Pay &amp; Benefits'!$C$64&gt;=DATE('Your Pay &amp; Benefits'!$C$10,1,1),'Your Pay &amp; Benefits'!$C$64&lt;=DATE('Your Pay &amp; Benefits'!$C$10,12,31)),'Your Pay &amp; Benefits'!$C$64,999999),IF(AND('Your Pay &amp; Benefits'!$C$65&gt;MAX($B$6:$B51),'Your Pay &amp; Benefits'!$C$65&gt;=DATE('Your Pay &amp; Benefits'!$C$10,1,1),'Your Pay &amp; Benefits'!$C$65&lt;=DATE('Your Pay &amp; Benefits'!$C$10,12,31)),'Your Pay &amp; Benefits'!$C$65,999999),IF(AND('Your Pay &amp; Benefits'!$C$66&gt;MAX($B$6:$B51),'Your Pay &amp; Benefits'!$C$66&gt;=DATE('Your Pay &amp; Benefits'!$C$10,1,1),'Your Pay &amp; Benefits'!$C$66&lt;=DATE('Your Pay &amp; Benefits'!$C$10,12,31)),'Your Pay &amp; Benefits'!$C$66,999999),IF(AND('Your Pay &amp; Benefits'!$C$67&gt;MAX($B$6:$B51),'Your Pay &amp; Benefits'!$C$67&gt;=DATE('Your Pay &amp; Benefits'!$C$10,1,1),'Your Pay &amp; Benefits'!$C$67&lt;=DATE('Your Pay &amp; Benefits'!$C$10,12,31)),'Your Pay &amp; Benefits'!$C$67,999999))=999999,"",MIN(IF(AND('Your Pay &amp; Benefits'!$C$58&gt;MAX($B$6:$B51),'Your Pay &amp; Benefits'!$C$58&gt;=DATE('Your Pay &amp; Benefits'!$C$10,1,1),'Your Pay &amp; Benefits'!$C$58&lt;=DATE('Your Pay &amp; Benefits'!$C$10,12,31)),'Your Pay &amp; Benefits'!$C$58,999999),IF(AND('Your Pay &amp; Benefits'!$C$59&gt;MAX($B$6:$B51),'Your Pay &amp; Benefits'!$C$59&gt;=DATE('Your Pay &amp; Benefits'!$C$10,1,1),'Your Pay &amp; Benefits'!$C$59&lt;=DATE('Your Pay &amp; Benefits'!$C$10,12,31)),'Your Pay &amp; Benefits'!$C$59,999999),IF(AND('Your Pay &amp; Benefits'!$C$60&gt;MAX($B$6:$B51),'Your Pay &amp; Benefits'!$C$60&gt;=DATE('Your Pay &amp; Benefits'!$C$10,1,1),'Your Pay &amp; Benefits'!$C$60&lt;=DATE('Your Pay &amp; Benefits'!$C$10,12,31)),'Your Pay &amp; Benefits'!$C$60,999999),IF(AND('Your Pay &amp; Benefits'!$C$61&gt;MAX($B$6:$B51),'Your Pay &amp; Benefits'!$C$61&gt;=DATE('Your Pay &amp; Benefits'!$C$10,1,1),'Your Pay &amp; Benefits'!$C$61&lt;=DATE('Your Pay &amp; Benefits'!$C$10,12,31)),'Your Pay &amp; Benefits'!$C$61,999999),IF(AND('Your Pay &amp; Benefits'!$C$62&gt;MAX($B$6:$B51),'Your Pay &amp; Benefits'!$C$62&gt;=DATE('Your Pay &amp; Benefits'!$C$10,1,1),'Your Pay &amp; Benefits'!$C$62&lt;=DATE('Your Pay &amp; Benefits'!$C$10,12,31)),'Your Pay &amp; Benefits'!$C$62,999999),IF(AND('Your Pay &amp; Benefits'!$C$63&gt;MAX($B$6:$B51),'Your Pay &amp; Benefits'!$C$63&gt;=DATE('Your Pay &amp; Benefits'!$C$10,1,1),'Your Pay &amp; Benefits'!$C$63&lt;=DATE('Your Pay &amp; Benefits'!$C$10,12,31)),'Your Pay &amp; Benefits'!$C$63,999999),IF(AND('Your Pay &amp; Benefits'!$C$64&gt;MAX($B$6:$B51),'Your Pay &amp; Benefits'!$C$64&gt;=DATE('Your Pay &amp; Benefits'!$C$10,1,1),'Your Pay &amp; Benefits'!$C$64&lt;=DATE('Your Pay &amp; Benefits'!$C$10,12,31)),'Your Pay &amp; Benefits'!$C$64,999999),IF(AND('Your Pay &amp; Benefits'!$C$65&gt;MAX($B$6:$B51),'Your Pay &amp; Benefits'!$C$65&gt;=DATE('Your Pay &amp; Benefits'!$C$10,1,1),'Your Pay &amp; Benefits'!$C$65&lt;=DATE('Your Pay &amp; Benefits'!$C$10,12,31)),'Your Pay &amp; Benefits'!$C$65,999999),IF(AND('Your Pay &amp; Benefits'!$C$66&gt;MAX($B$6:$B51),'Your Pay &amp; Benefits'!$C$66&gt;=DATE('Your Pay &amp; Benefits'!$C$10,1,1),'Your Pay &amp; Benefits'!$C$66&lt;=DATE('Your Pay &amp; Benefits'!$C$10,12,31)),'Your Pay &amp; Benefits'!$C$66,999999),IF(AND('Your Pay &amp; Benefits'!$C$67&gt;MAX($B$6:$B51),'Your Pay &amp; Benefits'!$C$67&gt;=DATE('Your Pay &amp; Benefits'!$C$10,1,1),'Your Pay &amp; Benefits'!$C$67&lt;=DATE('Your Pay &amp; Benefits'!$C$10,12,31)),'Your Pay &amp; Benefits'!$C$67,999999)))</f>
      </c>
      <c r="CF52">
        <f>IF($B52="","",IF($D52=0,$Y52,""))</f>
      </c>
    </row>
    <row r="53">
      <c r="A53" t="n">
        <v>48</v>
      </c>
      <c r="B53" s="21">
        <f>IF(AND($CD53="",$CE53=""),"",IF($CE53="",$CD53,IF($CD53="",$CE53,MIN($CD53,$CE53))))</f>
      </c>
      <c r="C53" s="7">
        <f>IF($B53="","",IF($BF53=0,0,IF('Your Pay &amp; Benefits'!$C$4="Annual salary",ROUND($AK53/IF(AND('Your Pay &amp; Benefits'!$C$88="Actual paydays",MONTH('Your Pay &amp; Benefits'!$C$9)=1),MAX(1,MAX($BE$6:$BE$68)),'Your Pay &amp; Benefits'!$C$8),2),$AK53)))</f>
      </c>
      <c r="D53" s="7">
        <f>IF($B53="","",SUMIF('Your Pay &amp; Benefits'!$C$58:$C$67,$B53,'Your Pay &amp; Benefits'!$D$58:$D$67))</f>
      </c>
      <c r="E53" s="7">
        <f>IF($B53="","",ROUND(MAX(0,MIN(IF($AL53="Percent",$AM53*($C53+$D53),$AM53),MAX(0,'Your Pay &amp; Benefits'!$C$34-$AC52))),2))</f>
      </c>
      <c r="F53" s="7">
        <f>IF($B53="","",ROUND(MAX(0,MIN(IF('Your Pay &amp; Benefits'!$C$32="Percent",'Your Pay &amp; Benefits'!$D$32*($C53+$D53),'Your Pay &amp; Benefits'!$D$32),MAX(0,'Your Pay &amp; Benefits'!$C$34-$AC52-$E53))),2))</f>
      </c>
      <c r="G53" s="7">
        <f>IF($B53="","",IF($BF53=0,0,ROUND(MAX(0,MIN($BL53,'Your Pay &amp; Benefits'!$C$37-'Your Pay &amp; Benefits'!$C$54-$BI52)),2)))</f>
      </c>
      <c r="H53" s="7">
        <f>IF($B53="","",IF(OR($BF53=0,$BQ53=1),0,ROUND(MAX(0,MIN(IF($BS53=1,ROUND(MAX(0,MIN($BJ53,'How This Works &amp; Sources'!$C$13)-$BG52)/MAX(1,MAX($BE$6:$BE$68)-($BE52)),2),ROUND(MIN($BJ53,'How This Works &amp; Sources'!$C$13)/'Your Pay &amp; Benefits'!$C$8,2)),MIN($BJ53,'How This Works &amp; Sources'!$C$13)-$BG52)),2)))</f>
      </c>
      <c r="I53" s="7">
        <f>IF($B53="","",IF(OR($BF53=0,$BR53=1),0,ROUND(MAX(0,MIN(IF($BT53=1,ROUND(MAX(0,MIN($BK53,IF('Your Pay &amp; Benefits'!$C$12="MFJ",'How This Works &amp; Sources'!$C$14,'How This Works &amp; Sources'!$C$15))-$BH52)/MAX(1,MAX($BE$6:$BE$68)-($BE52)),2),ROUND(MIN($BK53,IF('Your Pay &amp; Benefits'!$C$12="MFJ",'How This Works &amp; Sources'!$C$14,'How This Works &amp; Sources'!$C$15))/'Your Pay &amp; Benefits'!$C$8,2)),MIN($BK53,IF('Your Pay &amp; Benefits'!$C$12="MFJ",'How This Works &amp; Sources'!$C$14,'How This Works &amp; Sources'!$C$15))-$BH52)),2)))</f>
      </c>
      <c r="J53" s="7">
        <f>IF($B53="","",IF($BF53=0,0,$BM53))</f>
      </c>
      <c r="K53" s="7">
        <f>IF($B53="","",IF($BF53=0,0,$BN53+$BO53))</f>
      </c>
      <c r="L53" s="7">
        <f>IF($B53="","",IF($BF53=0,0,'Your Pay &amp; Benefits'!$D$46))</f>
      </c>
      <c r="M53" s="7">
        <f>IF($B53="","",$C53+$D53+$L53-$E53-$G53-$H53-$I53-$J53-$K53)</f>
      </c>
      <c r="N53" s="7">
        <f>IF($B53="","",$C53+$D53+$L53-$G53-$H53-$I53-$J53-$K53)</f>
      </c>
      <c r="O53" s="7">
        <f>IF($B53="","",$C53+$D53+$L53-$E53-$H53-$I53-$J53-$K53-IF(OR($AN53="CA",$AN53="NJ"),0,$G53))</f>
      </c>
      <c r="P53" s="7">
        <f>IF($B53="","",IF('Your Pay &amp; Benefits'!$C$18,0,ROUND(MAX(0,IF('Your Pay &amp; Benefits'!$C$13,SUMPRODUCT(($AH53&gt;INDEX('How This Works &amp; Sources'!$B$29:$J$36,0,IF('Your Pay &amp; Benefits'!$C$12="MFJ",1,IF('Your Pay &amp; Benefits'!$C$12="HoH",7,4))))*($AH53-INDEX('How This Works &amp; Sources'!$B$29:$J$36,0,IF('Your Pay &amp; Benefits'!$C$12="MFJ",1,IF('Your Pay &amp; Benefits'!$C$12="HoH",7,4))))*INDEX('How This Works &amp; Sources'!$B$29:$J$36,0,IF('Your Pay &amp; Benefits'!$C$12="MFJ",1,IF('Your Pay &amp; Benefits'!$C$12="HoH",7,4))+2)),SUMPRODUCT(($AH53&gt;INDEX('How This Works &amp; Sources'!$B$19:$J$26,0,IF('Your Pay &amp; Benefits'!$C$12="MFJ",1,IF('Your Pay &amp; Benefits'!$C$12="HoH",7,4))))*($AH53-INDEX('How This Works &amp; Sources'!$B$19:$J$26,0,IF('Your Pay &amp; Benefits'!$C$12="MFJ",1,IF('Your Pay &amp; Benefits'!$C$12="HoH",7,4))))*INDEX('How This Works &amp; Sources'!$B$19:$J$26,0,IF('Your Pay &amp; Benefits'!$C$12="MFJ",1,IF('Your Pay &amp; Benefits'!$C$12="HoH",7,4))+2)))/'Your Pay &amp; Benefits'!$C$8-$AO53/'Your Pay &amp; Benefits'!$C$8)+$AR53+IF('Your Pay &amp; Benefits'!$C$89="Aggregate",MAX(0,IF('Your Pay &amp; Benefits'!$C$13,SUMPRODUCT((($AH53+$D53)&gt;INDEX('How This Works &amp; Sources'!$B$29:$J$36,0,IF('Your Pay &amp; Benefits'!$C$12="MFJ",1,IF('Your Pay &amp; Benefits'!$C$12="HoH",7,4))))*(($AH53+$D53)-INDEX('How This Works &amp; Sources'!$B$29:$J$36,0,IF('Your Pay &amp; Benefits'!$C$12="MFJ",1,IF('Your Pay &amp; Benefits'!$C$12="HoH",7,4))))*INDEX('How This Works &amp; Sources'!$B$29:$J$36,0,IF('Your Pay &amp; Benefits'!$C$12="MFJ",1,IF('Your Pay &amp; Benefits'!$C$12="HoH",7,4))+2)),SUMPRODUCT((($AH53+$D53)&gt;INDEX('How This Works &amp; Sources'!$B$19:$J$26,0,IF('Your Pay &amp; Benefits'!$C$12="MFJ",1,IF('Your Pay &amp; Benefits'!$C$12="HoH",7,4))))*(($AH53+$D53)-INDEX('How This Works &amp; Sources'!$B$19:$J$26,0,IF('Your Pay &amp; Benefits'!$C$12="MFJ",1,IF('Your Pay &amp; Benefits'!$C$12="HoH",7,4))))*INDEX('How This Works &amp; Sources'!$B$19:$J$26,0,IF('Your Pay &amp; Benefits'!$C$12="MFJ",1,IF('Your Pay &amp; Benefits'!$C$12="HoH",7,4))+2)))-IF('Your Pay &amp; Benefits'!$C$13,SUMPRODUCT(($AH53&gt;INDEX('How This Works &amp; Sources'!$B$29:$J$36,0,IF('Your Pay &amp; Benefits'!$C$12="MFJ",1,IF('Your Pay &amp; Benefits'!$C$12="HoH",7,4))))*($AH53-INDEX('How This Works &amp; Sources'!$B$29:$J$36,0,IF('Your Pay &amp; Benefits'!$C$12="MFJ",1,IF('Your Pay &amp; Benefits'!$C$12="HoH",7,4))))*INDEX('How This Works &amp; Sources'!$B$29:$J$36,0,IF('Your Pay &amp; Benefits'!$C$12="MFJ",1,IF('Your Pay &amp; Benefits'!$C$12="HoH",7,4))+2)),SUMPRODUCT(($AH53&gt;INDEX('How This Works &amp; Sources'!$B$19:$J$26,0,IF('Your Pay &amp; Benefits'!$C$12="MFJ",1,IF('Your Pay &amp; Benefits'!$C$12="HoH",7,4))))*($AH53-INDEX('How This Works &amp; Sources'!$B$19:$J$26,0,IF('Your Pay &amp; Benefits'!$C$12="MFJ",1,IF('Your Pay &amp; Benefits'!$C$12="HoH",7,4))))*INDEX('How This Works &amp; Sources'!$B$19:$J$26,0,IF('Your Pay &amp; Benefits'!$C$12="MFJ",1,IF('Your Pay &amp; Benefits'!$C$12="HoH",7,4))+2)))),'How This Works &amp; Sources'!$C$10*$D53),2)))</f>
      </c>
      <c r="Q53" s="7">
        <f>IF($B53="","",ROUND('How This Works &amp; Sources'!$C$4*MIN($N53,MAX(0,'How This Works &amp; Sources'!$C$3-($AX53+$AB52-$AW53))),2))</f>
      </c>
      <c r="R53" s="7">
        <f>IF($B53="","",ROUND('How This Works &amp; Sources'!$C$5*$N53,2))</f>
      </c>
      <c r="S53" s="7">
        <f>IF($B53="","",ROUND('How This Works &amp; Sources'!$C$6*MAX(0,MIN($N53,$AG52+$N53-'How This Works &amp; Sources'!$C$7)),2))</f>
      </c>
      <c r="T53" s="7">
        <f>IF($B53="","",IF('Your Pay &amp; Benefits'!$C$26,0,IF($AN53="CA",ROUND(IF($AI53&lt;=IF(($AS53+$AT53)&gt;=2,VLOOKUP($AN53,StateTables!$A$6:$AB$56,10,FALSE),VLOOKUP($AN53,StateTables!$A$6:$AB$56,9,FALSE)),0,MAX(0,SUMPRODUCT(($AJ53&gt;INDEX('How This Works &amp; Sources'!$B$39:$J$48,0,IF($AU53="Married",4,IF($AU53="Head of household",7,1))))*($AJ53-INDEX('How This Works &amp; Sources'!$B$39:$J$48,0,IF($AU53="Married",4,IF($AU53="Head of household",7,1))))*INDEX('How This Works &amp; Sources'!$B$39:$J$48,0,IF($AU53="Married",4,IF($AU53="Head of household",7,1))+2))-VLOOKUP($AN53,StateTables!$A$6:$AB$56,11,FALSE)*$AS53)/'Your Pay &amp; Benefits'!$C$8)+'Your Pay &amp; Benefits'!$C$25+VLOOKUP($AN53,StateTables!$A$6:$AB$56,13,FALSE)*$D53,2),IF(VLOOKUP($AN53,StateTables!$A$6:$AB$56,4,FALSE)="None",0,IF(ISNUMBER(SEARCH("MANUAL",VLOOKUP($AN53,StateTables!$A$6:$AB$56,5,FALSE))),'Your Pay &amp; Benefits'!$C$28,ROUND(MAX(0,$BA53+$BB53)/'Your Pay &amp; Benefits'!$C$8+'Your Pay &amp; Benefits'!$C$25+$BC53,2))))))</f>
      </c>
      <c r="U53" s="7">
        <f>IF($B53="","",IF(VLOOKUP($AN53,StateTables!$A$6:$AB$56,24,FALSE)="flatq",IF(OR(MONTH($B53)=1,MONTH($B53)=4,MONTH($B53)=7,MONTH($B53)=10),VLOOKUP($AN53,StateTables!$A$6:$AB$56,25,FALSE),0),IF(VLOOKUP($AN53,StateTables!$A$6:$AB$56,24,FALSE)="dbl",MIN(ROUND(0.005*$N53,2),ROUND(0.6*52/'Your Pay &amp; Benefits'!$C$8,2)),IF(OR(VLOOKUP($AN53,StateTables!$A$6:$AB$56,15,FALSE)="",VLOOKUP($AN53,StateTables!$A$6:$AB$56,15,FALSE)=0),0,ROUND(VLOOKUP($AN53,StateTables!$A$6:$AB$56,15,FALSE)*IF(OR(VLOOKUP($AN53,StateTables!$A$6:$AB$56,16,FALSE)="",VLOOKUP($AN53,StateTables!$A$6:$AB$56,16,FALSE)=0),$N53,MIN($N53,MAX(0,VLOOKUP($AN53,StateTables!$A$6:$AB$56,16,FALSE)-($AX53+$AB52-$AW53)))),2))))+IF(VLOOKUP($AN53,StateTables!$A$6:$AB$56,27,FALSE)="flatq",IF(OR(MONTH($B53)=1,MONTH($B53)=4,MONTH($B53)=7,MONTH($B53)=10),VLOOKUP($AN53,StateTables!$A$6:$AB$56,28,FALSE),0),IF(VLOOKUP($AN53,StateTables!$A$6:$AB$56,27,FALSE)="dbl",MIN(ROUND(0.005*$N53,2),ROUND(0.6*52/'Your Pay &amp; Benefits'!$C$8,2)),IF(OR(VLOOKUP($AN53,StateTables!$A$6:$AB$56,18,FALSE)="",VLOOKUP($AN53,StateTables!$A$6:$AB$56,18,FALSE)=0),0,ROUND(VLOOKUP($AN53,StateTables!$A$6:$AB$56,18,FALSE)*IF(OR(VLOOKUP($AN53,StateTables!$A$6:$AB$56,19,FALSE)="",VLOOKUP($AN53,StateTables!$A$6:$AB$56,19,FALSE)=0),$N53,MIN($N53,MAX(0,VLOOKUP($AN53,StateTables!$A$6:$AB$56,19,FALSE)-($AX53+$AB52-$AW53)))),2)))))</f>
      </c>
      <c r="V53" s="7">
        <f>IF($B53="","",IF($AN53="NY",IF('Your Pay &amp; Benefits'!$C$78,ROUND(SUMPRODUCT((MAX(0,($O53-$D53)*'Your Pay &amp; Benefits'!$C$8-(IF($AU53="Married",5500,5000)+1000*$AS53))&gt;INDEX('How This Works &amp; Sources'!$B$184:$J$198,0,4))*(MAX(0,($O53-$D53)*'Your Pay &amp; Benefits'!$C$8-(IF($AU53="Married",5500,5000)+1000*$AS53))-INDEX('How This Works &amp; Sources'!$B$184:$J$198,0,4))*INDEX('How This Works &amp; Sources'!$B$184:$J$198,0,4+2))/'Your Pay &amp; Benefits'!$C$8+0.0425*$D53,2),0)+IF('Your Pay &amp; Benefits'!$C$79="Resident",ROUND(0.1675*$T53,2),IF('Your Pay &amp; Benefits'!$C$79="Nonresident",ROUND(0.005*MAX(0,($O53-$D53)-(IF($AU53="Married",7950,7400)+1000*$AS53)/'Your Pay &amp; Benefits'!$C$8),2),0)),IF($AN53="PA",IF('Your Pay &amp; Benefits'!$C$80="None",'Your Pay &amp; Benefits'!$C$27+ROUND('Your Pay &amp; Benefits'!$C$81*($C53+$D53),2),ROUND(IF('Your Pay &amp; Benefits'!$C$80="Resident",IF($B53&lt;DATE(2026,7,1),0.0374,0.03735),IF($B53&lt;DATE(2026,7,1),0.0343,0.03425))*($C53+$D53),2)),IF($BF53=0,ROUND('Your Pay &amp; Benefits'!$C$81*($C53+$D53),2),'Your Pay &amp; Benefits'!$C$27+ROUND('Your Pay &amp; Benefits'!$C$81*($C53+$D53),2)))))</f>
      </c>
      <c r="W53" s="7">
        <f>IF($B53="","",IF($BF53=0,0,$BP53))</f>
      </c>
      <c r="X53" s="7">
        <f>IF($B53="","",SUM($E53:$K53)+$P53+$Q53+$R53+$S53+$T53+$U53+$V53+$W53)</f>
      </c>
      <c r="Y53" s="22">
        <f>IF($B53="","",$C53+$D53-$X53)</f>
      </c>
      <c r="Z53" s="7">
        <f>IF($B53="","",$Z52+$C53+$D53)</f>
      </c>
      <c r="AA53" s="7">
        <f>IF($B53="","",$AA52+$Y53)</f>
      </c>
      <c r="AB53" s="7">
        <f>IF($B53="","",$AB52+MIN($N53,MAX(0,'How This Works &amp; Sources'!$C$3-($AX53+$AB52-$AW53))))</f>
      </c>
      <c r="AC53" s="7">
        <f>IF($B53="","",$AC52+$E53+$F53)</f>
      </c>
      <c r="AD53" s="3">
        <f>IF($B53="","",IF(AND($AB52&lt;'How This Works &amp; Sources'!$C$3,$AB53&gt;='How This Works &amp; Sources'!$C$3),"★ Social Security maxed on this check — from the next check your net rises by about $"&amp;TEXT(ROUND('How This Works &amp; Sources'!$C$4*$N53,2),"#,##0.00")&amp;". ","")&amp;IF(AND($AC52&lt;'Your Pay &amp; Benefits'!$C$34,$AC53&gt;='Your Pay &amp; Benefits'!$C$34),"★ 401(k) reaches the $"&amp;TEXT('Your Pay &amp; Benefits'!$C$34,"#,##0")&amp;" cap on this check — deferrals stop and net pay rises. ","")&amp;IF(AND($AG52&lt;'How This Works &amp; Sources'!$C$7,$AG53&gt;='How This Works &amp; Sources'!$C$7),"★ Wages pass $200,000 — the 0.9% Additional Medicare Tax starts here. ","")&amp;IF(AND($BJ53&gt;0,$H53&gt;0,$BG52&lt;MIN($BJ53,'How This Works &amp; Sources'!$C$13),$BG52+$H53&gt;=MIN($BJ53,'How This Works &amp; Sources'!$C$13)),"★ Health FSA election is now fully deferred for the year. ",""))</f>
      </c>
      <c r="AE53" s="41" t="n"/>
      <c r="AF53" s="7">
        <f>IF(OR($B53="",$AE53=""),"",$AE53-$Y53)</f>
      </c>
      <c r="AG53" s="7">
        <f>IF($B53="","",$AG52+$N53)</f>
      </c>
      <c r="AH53" s="7">
        <f>IF($B53="","",MAX(0,($M53-$D53)*'Your Pay &amp; Benefits'!$C$8+$AP53-$AQ53-IF('Your Pay &amp; Benefits'!$C$13,0,IF('Your Pay &amp; Benefits'!$C$12="MFJ",'How This Works &amp; Sources'!$C$8,'How This Works &amp; Sources'!$C$9))))</f>
      </c>
      <c r="AI53" s="7">
        <f>IF($B53="","",$O53*'Your Pay &amp; Benefits'!$C$8)</f>
      </c>
      <c r="AJ53" s="7">
        <f>IF($B53="","",MAX(0,$AI53-VLOOKUP($AN53,StateTables!$A$6:$AB$56,12,FALSE)*$AT53-IF(($AS53+$AT53)&gt;=2,VLOOKUP($AN53,StateTables!$A$6:$AB$56,8,FALSE),VLOOKUP($AN53,StateTables!$A$6:$AB$56,7,FALSE))))</f>
      </c>
      <c r="AK53" s="7">
        <f>IF($B53="","",IFERROR(LOOKUP(2,1/(('Changes &amp; Events'!$C$6:$C$17="Salary change")*('Changes &amp; Events'!$B$6:$B$17&lt;=$B53)*('Changes &amp; Events'!$B$6:$B$17&lt;&gt;"")),'Changes &amp; Events'!$D$6:$D$17),IF('Your Pay &amp; Benefits'!$C$4="Annual salary",'Your Pay &amp; Benefits'!$C$5,'Your Pay &amp; Benefits'!$C$6)))</f>
      </c>
      <c r="AL53">
        <f>IF($B53="","",IFERROR(LOOKUP(2,1/(('Changes &amp; Events'!$C$6:$C$17="401(k) change")*('Changes &amp; Events'!$B$6:$B$17&lt;=$B53)*('Changes &amp; Events'!$B$6:$B$17&lt;&gt;"")),'Changes &amp; Events'!$D$6:$D$17),'Your Pay &amp; Benefits'!$C$30))</f>
      </c>
      <c r="AM53" s="7">
        <f>IF($B53="","",IFERROR(LOOKUP(2,1/(('Changes &amp; Events'!$C$6:$C$17="401(k) change")*('Changes &amp; Events'!$B$6:$B$17&lt;=$B53)*('Changes &amp; Events'!$B$6:$B$17&lt;&gt;"")),'Changes &amp; Events'!$E$6:$E$17),'Your Pay &amp; Benefits'!$D$31))</f>
      </c>
      <c r="AN53">
        <f>IF($B53="","",IFERROR(LOOKUP(2,1/(('Changes &amp; Events'!$C$6:$C$17="State move")*('Changes &amp; Events'!$B$6:$B$17&lt;=$B53)*('Changes &amp; Events'!$B$6:$B$17&lt;&gt;"")),'Changes &amp; Events'!$D$6:$D$17),'Your Pay &amp; Benefits'!$C$21))</f>
      </c>
      <c r="AO53" s="7">
        <f>IF($B53="","",IFERROR(LOOKUP(2,1/(('Changes &amp; Events'!$C$6:$C$17="W-4 change")*('Changes &amp; Events'!$B$6:$B$17&lt;=$B53)*('Changes &amp; Events'!$B$6:$B$17&lt;&gt;"")),'Changes &amp; Events'!$D$6:$D$17),'Your Pay &amp; Benefits'!$C$14))</f>
      </c>
      <c r="AP53" s="7">
        <f>IF($B53="","",IFERROR(LOOKUP(2,1/(('Changes &amp; Events'!$C$6:$C$17="W-4 change")*('Changes &amp; Events'!$B$6:$B$17&lt;=$B53)*('Changes &amp; Events'!$B$6:$B$17&lt;&gt;"")),'Changes &amp; Events'!$E$6:$E$17),'Your Pay &amp; Benefits'!$C$15))</f>
      </c>
      <c r="AQ53" s="7">
        <f>IF($B53="","",IFERROR(LOOKUP(2,1/(('Changes &amp; Events'!$C$6:$C$17="W-4 change")*('Changes &amp; Events'!$B$6:$B$17&lt;=$B53)*('Changes &amp; Events'!$B$6:$B$17&lt;&gt;"")),'Changes &amp; Events'!$F$6:$F$17),'Your Pay &amp; Benefits'!$C$16))</f>
      </c>
      <c r="AR53" s="7">
        <f>IF($B53="","",IFERROR(LOOKUP(2,1/(('Changes &amp; Events'!$C$6:$C$17="W-4 change")*('Changes &amp; Events'!$B$6:$B$17&lt;=$B53)*('Changes &amp; Events'!$B$6:$B$17&lt;&gt;"")),'Changes &amp; Events'!$G$6:$G$17),'Your Pay &amp; Benefits'!$C$17))</f>
      </c>
      <c r="AS53" s="6">
        <f>IF($B53="","",IFERROR(LOOKUP(2,1/((('Changes &amp; Events'!$C$6:$C$17="State move")+('Changes &amp; Events'!$C$6:$C$17="State cert change"))*('Changes &amp; Events'!$B$6:$B$17&lt;=$B53)*('Changes &amp; Events'!$B$6:$B$17&lt;&gt;"")),'Changes &amp; Events'!$F$6:$F$17),'Your Pay &amp; Benefits'!$C$23))</f>
      </c>
      <c r="AT53" s="6">
        <f>IF($B53="","",IFERROR(LOOKUP(2,1/((('Changes &amp; Events'!$C$6:$C$17="State move")+('Changes &amp; Events'!$C$6:$C$17="State cert change"))*('Changes &amp; Events'!$B$6:$B$17&lt;=$B53)*('Changes &amp; Events'!$B$6:$B$17&lt;&gt;"")),'Changes &amp; Events'!$G$6:$G$17),'Your Pay &amp; Benefits'!$C$24))</f>
      </c>
      <c r="AU53">
        <f>IF($B53="","",IFERROR(LOOKUP(2,1/(('Changes &amp; Events'!$C$6:$C$17="State move")*('Changes &amp; Events'!$B$6:$B$17&lt;=$B53)*('Changes &amp; Events'!$B$6:$B$17&lt;&gt;"")),'Changes &amp; Events'!$E$6:$E$17),'Your Pay &amp; Benefits'!$C$22))</f>
      </c>
      <c r="AV53" s="6">
        <f>IF($B53="","",1+COUNTIFS('Changes &amp; Events'!$C$6:$C$17,"Employer change",'Changes &amp; Events'!$B$6:$B$17,"&lt;="&amp;$B53,'Changes &amp; Events'!$B$6:$B$17,"&lt;&gt;"))</f>
      </c>
      <c r="AW53" s="7">
        <f>IF($B53="","",IF($AV53=1,'Your Pay &amp; Benefits'!$C$49,IF(IFERROR(MATCH(IFERROR(LOOKUP(2,1/(('Changes &amp; Events'!$C$6:$C$17="Employer change")*('Changes &amp; Events'!$B$6:$B$17&lt;=$B53)*('Changes &amp; Events'!$B$6:$B$17&lt;&gt;"")),'Changes &amp; Events'!$B$6:$B$17),""),$B$6:$B$68,1),1)&lt;=1,'Your Pay &amp; Benefits'!$C$49,INDEX($AB$6:$AB$68,MATCH(IFERROR(LOOKUP(2,1/(('Changes &amp; Events'!$C$6:$C$17="Employer change")*('Changes &amp; Events'!$B$6:$B$17&lt;=$B53)*('Changes &amp; Events'!$B$6:$B$17&lt;&gt;"")),'Changes &amp; Events'!$B$6:$B$17),""),$B$6:$B$68,1)-1))))</f>
      </c>
      <c r="AX53" s="7">
        <f>IF($B53="","",IF($AV53=1,'Your Pay &amp; Benefits'!$C$49,IFERROR(LOOKUP(2,1/(('Changes &amp; Events'!$C$6:$C$17="Employer change")*('Changes &amp; Events'!$B$6:$B$17&lt;=$B53)*('Changes &amp; Events'!$B$6:$B$17&lt;&gt;"")),'Changes &amp; Events'!$D$6:$D$17),0)))</f>
      </c>
      <c r="AY53" s="7">
        <f>IF($B53="","",($O53-$D53)*'Your Pay &amp; Benefits'!$C$8)</f>
      </c>
      <c r="AZ53" s="7">
        <f>IF($B53="","",IF($AN53="AL",MAX(0,$AY53-IF($AU53="Married",IF($AY53&lt;=25999,8500,MAX(5000,8500-175*CEILING(($AY53-25999)/500,1))),IF($AU53="Head of household",IF($AY53&lt;=25999,5200,MAX(2500,5200-135*CEILING(($AY53-25999)/500,1))),IF($AY53&lt;=25999,3000,MAX(2500,3000-25*CEILING(($AY53-25999)/500,1)))))-($P53-'How This Works &amp; Sources'!$C$10*$D53)*'Your Pay &amp; Benefits'!$C$8-IF(OR($AU53="Married",$AU53="Head of household"),3000,1500)-$AT53*IF($AY53&lt;=50000,1000,IF($AY53&lt;=100000,500,300))),IF($AN53="AR",IF(MAX(0,$AY53-2470)&lt;97701,INT(MAX(0,$AY53-2470)/100)*100+50,MAX(0,$AY53-2470)),IF($AN53="DE",MAX(0,$AI53-3250),IF($AN53="HI",MAX(0,$AI53-1144*$AS53-4350),IF($AN53="KS",MAX(0,$AI53-(9160*IF($AU53="Married",2,1)+2320*$AT53+IF($AU53="Head of household",2320,0))),IF($AN53="MD",MAX(0,$AI53-3400-3200*$AS53),IF($AN53="MN",MAX(0,$AY53-5300*$AS53),IF($AN53="MO",MAX(0,$AI53-IF($AU53="Head of household",24150,IF($AU53="Married",IF('Your Pay &amp; Benefits'!$C$83,16100,32200),16100))),IF($AN53="MT",$AY53,IF($AN53="ND",($C53+$L53)*'Your Pay &amp; Benefits'!$C$8,IF($AN53="NE",MAX(0,$AY53-2440*$AS53),IF($AN53="NJ",MAX(0,$AY53-1000*$AS53),IF($AN53="NY",MAX(0,$AY53-(IF($AU53="Married",7950,7400)+1000*$AS53)),IF($AN53="OH",MAX(0,$AY53-650*$AS53),IF($AN53="OK",MAX(0,$AY53-1000*$AS53),IF($AN53="RI",MAX(0,$AI53-1000*$AS53),IF($AN53="SC",MAX(0,$AI53-5000*$AS53-IF($AS53=0,0,MIN(0.1*$AI53,7500))),IF($AN53="VA",MAX(0,$AI53-IF($AU53="Married",17500,8750)-930*$AS53-800*$AT53),IF($AN53="VT",MAX(0,$AI53-5400*$AS53),IF($AN53="WI",MAX(0,$AI53-MAX(0,IF($AU53="Married",9461-0.2*MAX(0,$AI53-25727),6702-0.12*MAX(0,$AI53-17780)))-400*$AS53),IF($AN53="WV",MAX(0,$AI53-2000*$AS53),$AI53))))))))))))))))))))))</f>
      </c>
      <c r="BA53" s="7">
        <f>IF($B53="","",IF($BW53&lt;&gt;"",$BW53,IF($BX53&lt;&gt;"",$BX53,IF($BY53&lt;&gt;"",$BY53,0))))</f>
      </c>
      <c r="BB53" s="7">
        <f>IF($B53="","",IF($AN53="AR",-29*$AS53,IF($AN53="DE",-110*$AS53,IF($AN53="MD",$AZ53*'Your Pay &amp; Benefits'!$C$74,IF($AN53="AZ",'Your Pay &amp; Benefits'!$C$82*($M53-$D53)*'Your Pay &amp; Benefits'!$C$8,IF($AN53="CO",0.044*MAX(0,$AY53-IF($AU53="Married",10000,5000)),IF($AN53="IA",MAX(0,0.038*MAX(0,$AY53-IF($AU53="Head of household",19500,IF($AU53="Married",26000,13000)))-40*$AS53),IF($AN53="ID",0.053*MAX(0,$AY53-IF($AU53="Married",32000,16094)),IF($AN53="IL",0.0495*MAX(0,$AY53-(2925*$AS53+1000*$AT53)),IF($AN53="IN",(0.0295+'Your Pay &amp; Benefits'!$C$76)*MAX(0,$AY53-(1000*$AS53+1500*$AT53+3000*'Your Pay &amp; Benefits'!$C$86)),IF($AN53="KY",0.035*MAX(0,$AI53-3360),IF($AN53="LA",IF('Your Pay &amp; Benefits'!$C$84="0",0.0309*$AI53,0.0309*MAX(0,$AI53-IF('Your Pay &amp; Benefits'!$C$84="2",25750,12875))),IF($AN53="MA",0.05*MIN(MAX(0,$AY53-MIN(($BD52+$Q53+$R53+$S53),2000)-IF($AS53=0,0,IF($AS53=1,4400,1000*$AS53+3400))),1107750)+0.09*MAX(0,MAX(0,$AY53-MIN(($BD52+$Q53+$R53+$S53),2000)-IF($AS53=0,0,IF($AS53=1,4400,1000*$AS53+3400)))-1107750)-IF($AU53="Head of household",120,0)-110*'Your Pay &amp; Benefits'!$C$75,IF($AN53="MI",0.0425*MAX(0,$AY53-5900*$AS53),IF($AN53="MS",0.04*MAX(0,$AI53-IF($AU53="Head of household",3400,IF($AU53="Married",4600,2300))-'Your Pay &amp; Benefits'!$C$85-10000),IF($AN53="OR",IF(OR($AU53="Married",AND($AU53="Single",$AS53&gt;=3)),SUMPRODUCT((MAX(0,$AY53-MIN(($P53-'How This Works &amp; Sources'!$C$10*$D53)*'Your Pay &amp; Benefits'!$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Sources'!$B$211:$J$214,0,4))*(MAX(0,$AY53-MIN(($P53-'How This Works &amp; Sources'!$C$10*$D53)*'Your Pay &amp; Benefits'!$C$8,IF(OR($AU53="Married",AND($AU53="Single",$AS53&gt;=3)),IF($AY53&lt;250000,8750,IF($AY53&lt;260000,7000,IF($AY53&lt;270000,5250,IF($AY53&lt;280000,3500,IF($AY53&lt;290000,1750,0))))),IF($AY53&lt;125000,8750,IF($AY53&lt;130000,7000,IF($AY53&lt;135000,5250,IF($AY53&lt;140000,3500,IF($AY53&lt;145000,1750,0)))))))-IF(OR($AU53="Married",AND($AU53="Single",$AS53&gt;=3)),5820,2910))-INDEX('How This Works &amp; Sources'!$B$211:$J$214,0,4))*INDEX('How This Works &amp; Sources'!$B$211:$J$214,0,4+2)),SUMPRODUCT((MAX(0,$AY53-MIN(($P53-'How This Works &amp; Sources'!$C$10*$D53)*'Your Pay &amp; Benefits'!$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Sources'!$B$211:$J$214,0,1))*(MAX(0,$AY53-MIN(($P53-'How This Works &amp; Sources'!$C$10*$D53)*'Your Pay &amp; Benefits'!$C$8,IF(OR($AU53="Married",AND($AU53="Single",$AS53&gt;=3)),IF($AY53&lt;250000,8750,IF($AY53&lt;260000,7000,IF($AY53&lt;270000,5250,IF($AY53&lt;280000,3500,IF($AY53&lt;290000,1750,0))))),IF($AY53&lt;125000,8750,IF($AY53&lt;130000,7000,IF($AY53&lt;135000,5250,IF($AY53&lt;140000,3500,IF($AY53&lt;145000,1750,0)))))))-IF(OR($AU53="Married",AND($AU53="Single",$AS53&gt;=3)),5820,2910))-INDEX('How This Works &amp; Sources'!$B$211:$J$214,0,1))*INDEX('How This Works &amp; Sources'!$B$211:$J$214,0,1+2)))+263-263*IF(IF($AU53="Married",$AY53&gt;200000,$AY53&gt;100000),0,$AS53),IF($AN53="PA",0.0307*(($O53+$E53+$G53)*'Your Pay &amp; Benefits'!$C$8),IF($AN53="NY",IF($AU53="Married",IF($AZ53&gt;=2155350,0,IF($AZ53&gt;=1077550,0.48,IF($AZ53&gt;=373200,1.21,IF($AZ53&gt;=323200,0.21,IF($AZ53&gt;=211550,-0.19,IF($AZ53&gt;=157650,-2.8,IF($AZ53&gt;=107650,-0.8,IF($AZ53&gt;=96800,0.05,IF($AZ53&gt;=80650,-0.1,IF($AZ53&gt;=13900,0.4,IF($AZ53&gt;=11700,-0.3,IF($AZ53&gt;=8500,0.5,0)))))))))))),IF($AZ53&gt;=1077550,0,IF($AZ53&gt;=265400,4.29,IF($AZ53&gt;=215400,2.29,IF($AZ53&gt;=157650,2.29,IF($AZ53&gt;=107650,0.29,IF($AZ53&gt;=96800,0.05,IF($AZ53&gt;=80650,-0.1,IF($AZ53&gt;=13900,0.4,IF($AZ53&gt;=11700,-0.3,IF($AZ53&gt;=8500,0.5,0))))))))))),0))))))))))))))))))</f>
      </c>
      <c r="BC53" s="7">
        <f>IF($B53="","",IF($AN53="AL",0.05*$D53,IF($AN53="AR",0.039*$D53,IF($AN53="ID",0.053*$D53,IF($AN53="IN",(0.0295+'Your Pay &amp; Benefits'!$C$76)*$D53,IF($AN53="KS",0.05*$D53,IF($AN53="MA",0.09*MIN($D53,MAX(0,MAX(0,$AY53-MIN(($BD52+$Q53+$R53+$S53),2000)-IF($AS53=0,0,IF($AS53=1,4400,1000*$AS53+3400)))+$D53-1107750))+0.05*($D53-MIN($D53,MAX(0,MAX(0,$AY53-MIN(($BD52+$Q53+$R53+$S53),2000)-IF($AS53=0,0,IF($AS53=1,4400,1000*$AS53+3400)))+$D53-1107750))),IF($AN53="MD",(0.065+'Your Pay &amp; Benefits'!$C$74)*$D53,IF($AN53="MI",0.0425*$D53,IF($AN53="MN",0.0625*$D53,IF($AN53="MO",0.047*$D53,IF($AN53="MT",0.05*$D53,IF($AN53="ND",0.015*$D53,IF($AN53="NE",0.035*$D53,IF($AN53="NJ",IF('Your Pay &amp; Benefits'!$C$77="B",SUMPRODUCT(($D53*'Your Pay &amp; Benefits'!$C$8&gt;INDEX('How This Works &amp; Sources'!$B$155:$J$162,0,4))*($D53*'Your Pay &amp; Benefits'!$C$8-INDEX('How This Works &amp; Sources'!$B$155:$J$162,0,4))*INDEX('How This Works &amp; Sources'!$B$155:$J$162,0,4+2)),IF('Your Pay &amp; Benefits'!$C$77="C",SUMPRODUCT(($D53*'Your Pay &amp; Benefits'!$C$8&gt;INDEX('How This Works &amp; Sources'!$B$155:$J$162,0,7))*($D53*'Your Pay &amp; Benefits'!$C$8-INDEX('How This Works &amp; Sources'!$B$155:$J$162,0,7))*INDEX('How This Works &amp; Sources'!$B$155:$J$162,0,7+2)),IF('Your Pay &amp; Benefits'!$C$77="D",SUMPRODUCT(($D53*'Your Pay &amp; Benefits'!$C$8&gt;INDEX('How This Works &amp; Sources'!$B$167:$J$179,0,1))*($D53*'Your Pay &amp; Benefits'!$C$8-INDEX('How This Works &amp; Sources'!$B$167:$J$179,0,1))*INDEX('How This Works &amp; Sources'!$B$167:$J$179,0,1+2)),IF('Your Pay &amp; Benefits'!$C$77="E",SUMPRODUCT(($D53*'Your Pay &amp; Benefits'!$C$8&gt;INDEX('How This Works &amp; Sources'!$B$167:$J$179,0,4))*($D53*'Your Pay &amp; Benefits'!$C$8-INDEX('How This Works &amp; Sources'!$B$167:$J$179,0,4))*INDEX('How This Works &amp; Sources'!$B$167:$J$179,0,4+2)),SUMPRODUCT(($D53*'Your Pay &amp; Benefits'!$C$8&gt;INDEX('How This Works &amp; Sources'!$B$155:$J$162,0,1))*($D53*'Your Pay &amp; Benefits'!$C$8-INDEX('How This Works &amp; Sources'!$B$155:$J$162,0,1))*INDEX('How This Works &amp; Sources'!$B$155:$J$162,0,1+2))))))/'Your Pay &amp; Benefits'!$C$8,IF($AN53="NY",0.117*$D53,IF($AN53="OH",0.0275*$D53,IF($AN53="OK",0.045*$D53,IF($AN53="OR",0.08*$D53,IF($AN53="WI",IF($AY53&lt;12760,0.0354,IF($AY53&lt;25520,0.0465,IF($AY53&lt;280950,0.053,0.0765)))*$D53,0))))))))))))))))))))</f>
      </c>
      <c r="BD53" s="7">
        <f>IF($B53="","",$BD52+$Q53+$R53+$S53)</f>
      </c>
      <c r="BE53" s="6">
        <f>IF($B53="",$BE52,$BE52+$BF53)</f>
      </c>
      <c r="BF53" s="6">
        <f>IF($B53="","",IF(AND(IF(YEAR(IF('Your Pay &amp; Benefits'!$C$7="Weekly",'Your Pay &amp; Benefits'!$C$9+7*(($BE52+1)-1),IF('Your Pay &amp; Benefits'!$C$7="Biweekly",'Your Pay &amp; Benefits'!$C$9+14*(($BE52+1)-1),IF('Your Pay &amp; Benefits'!$C$7="Semimonthly",DATE(YEAR('Your Pay &amp; Benefits'!$C$9),MONTH('Your Pay &amp; Benefits'!$C$9)+INT((($BE52+1)-1)/2),MIN(DAY('Your Pay &amp; Benefits'!$C$9),DAY(EOMONTH(DATE(YEAR('Your Pay &amp; Benefits'!$C$9),MONTH('Your Pay &amp; Benefits'!$C$9)+INT((($BE52+1)-1)/2),1),0))))+IF(MOD(($BE52+1)-1,2)=1,15,0),EDATE('Your Pay &amp; Benefits'!$C$9,($BE52+1)-1)))))&lt;&gt;'Your Pay &amp; Benefits'!$C$10,"",IF('Your Pay &amp; Benefits'!$C$7="Weekly",'Your Pay &amp; Benefits'!$C$9+7*(($BE52+1)-1),IF('Your Pay &amp; Benefits'!$C$7="Biweekly",'Your Pay &amp; Benefits'!$C$9+14*(($BE52+1)-1),IF('Your Pay &amp; Benefits'!$C$7="Semimonthly",DATE(YEAR('Your Pay &amp; Benefits'!$C$9),MONTH('Your Pay &amp; Benefits'!$C$9)+INT((($BE52+1)-1)/2),MIN(DAY('Your Pay &amp; Benefits'!$C$9),DAY(EOMONTH(DATE(YEAR('Your Pay &amp; Benefits'!$C$9),MONTH('Your Pay &amp; Benefits'!$C$9)+INT((($BE52+1)-1)/2),1),0))))+IF(MOD(($BE52+1)-1,2)=1,15,0),EDATE('Your Pay &amp; Benefits'!$C$9,($BE52+1)-1)))))&lt;&gt;"",$B53=IF(YEAR(IF('Your Pay &amp; Benefits'!$C$7="Weekly",'Your Pay &amp; Benefits'!$C$9+7*(($BE52+1)-1),IF('Your Pay &amp; Benefits'!$C$7="Biweekly",'Your Pay &amp; Benefits'!$C$9+14*(($BE52+1)-1),IF('Your Pay &amp; Benefits'!$C$7="Semimonthly",DATE(YEAR('Your Pay &amp; Benefits'!$C$9),MONTH('Your Pay &amp; Benefits'!$C$9)+INT((($BE52+1)-1)/2),MIN(DAY('Your Pay &amp; Benefits'!$C$9),DAY(EOMONTH(DATE(YEAR('Your Pay &amp; Benefits'!$C$9),MONTH('Your Pay &amp; Benefits'!$C$9)+INT((($BE52+1)-1)/2),1),0))))+IF(MOD(($BE52+1)-1,2)=1,15,0),EDATE('Your Pay &amp; Benefits'!$C$9,($BE52+1)-1)))))&lt;&gt;'Your Pay &amp; Benefits'!$C$10,"",IF('Your Pay &amp; Benefits'!$C$7="Weekly",'Your Pay &amp; Benefits'!$C$9+7*(($BE52+1)-1),IF('Your Pay &amp; Benefits'!$C$7="Biweekly",'Your Pay &amp; Benefits'!$C$9+14*(($BE52+1)-1),IF('Your Pay &amp; Benefits'!$C$7="Semimonthly",DATE(YEAR('Your Pay &amp; Benefits'!$C$9),MONTH('Your Pay &amp; Benefits'!$C$9)+INT((($BE52+1)-1)/2),MIN(DAY('Your Pay &amp; Benefits'!$C$9),DAY(EOMONTH(DATE(YEAR('Your Pay &amp; Benefits'!$C$9),MONTH('Your Pay &amp; Benefits'!$C$9)+INT((($BE52+1)-1)/2),1),0))))+IF(MOD(($BE52+1)-1,2)=1,15,0),EDATE('Your Pay &amp; Benefits'!$C$9,($BE52+1)-1)))))),1,0))</f>
      </c>
      <c r="BG53" s="7">
        <f>IF($B53="","",$BG52+$H53)</f>
      </c>
      <c r="BH53" s="7">
        <f>IF($B53="","",$BH52+$I53)</f>
      </c>
      <c r="BI53" s="7">
        <f>IF($B53="","",$BI52+$G53)</f>
      </c>
      <c r="BJ53" s="7">
        <f>IF($B53="","",IFERROR(LOOKUP(2,1/(((('Changes &amp; Events'!$C$6:$C$17="Deduction start"))*('Changes &amp; Events'!$D$6:$D$17="Health FSA"))*('Changes &amp; Events'!$B$6:$B$17&lt;=$B53)*('Changes &amp; Events'!$B$6:$B$17&lt;&gt;"")),'Changes &amp; Events'!$E$6:$E$17),'Your Pay &amp; Benefits'!$D$38))</f>
      </c>
      <c r="BK53" s="7">
        <f>IF($B53="","",IFERROR(LOOKUP(2,1/(((('Changes &amp; Events'!$C$6:$C$17="Deduction start"))*('Changes &amp; Events'!$D$6:$D$17="Dependent-care FSA"))*('Changes &amp; Events'!$B$6:$B$17&lt;=$B53)*('Changes &amp; Events'!$B$6:$B$17&lt;&gt;"")),'Changes &amp; Events'!$E$6:$E$17),'Your Pay &amp; Benefits'!$D$39))</f>
      </c>
      <c r="BL53" s="7">
        <f>IF($B53="","",IFERROR(LOOKUP(2,1/(((('Changes &amp; Events'!$C$6:$C$17="Deduction start")+('Changes &amp; Events'!$C$6:$C$17="Deduction stop"))*('Changes &amp; Events'!$D$6:$D$17="HSA"))*('Changes &amp; Events'!$B$6:$B$17&lt;=$B53)*('Changes &amp; Events'!$B$6:$B$17&lt;&gt;"")),'Changes &amp; Events'!$I$6:$I$17),'Your Pay &amp; Benefits'!$D$35))</f>
      </c>
      <c r="BM53" s="7">
        <f>IF($B53="","",IFERROR(LOOKUP(2,1/(((('Changes &amp; Events'!$C$6:$C$17="Deduction start")+('Changes &amp; Events'!$C$6:$C$17="Deduction stop"))*('Changes &amp; Events'!$D$6:$D$17="Premiums"))*('Changes &amp; Events'!$B$6:$B$17&lt;=$B53)*('Changes &amp; Events'!$B$6:$B$17&lt;&gt;"")),'Changes &amp; Events'!$I$6:$I$17),'Your Pay &amp; Benefits'!$D$40+'Your Pay &amp; Benefits'!$D$41+'Your Pay &amp; Benefits'!$D$42))</f>
      </c>
      <c r="BN53" s="7">
        <f>IF($B53="","",IFERROR(LOOKUP(2,1/(((('Changes &amp; Events'!$C$6:$C$17="Deduction start")+('Changes &amp; Events'!$C$6:$C$17="Deduction stop"))*('Changes &amp; Events'!$D$6:$D$17="Commuter"))*('Changes &amp; Events'!$B$6:$B$17&lt;=$B53)*('Changes &amp; Events'!$B$6:$B$17&lt;&gt;"")),'Changes &amp; Events'!$I$6:$I$17),'Your Pay &amp; Benefits'!$D$43))</f>
      </c>
      <c r="BO53" s="7">
        <f>IF($B53="","",IFERROR(LOOKUP(2,1/(((('Changes &amp; Events'!$C$6:$C$17="Deduction start")+('Changes &amp; Events'!$C$6:$C$17="Deduction stop"))*('Changes &amp; Events'!$D$6:$D$17="Other pre-tax"))*('Changes &amp; Events'!$B$6:$B$17&lt;=$B53)*('Changes &amp; Events'!$B$6:$B$17&lt;&gt;"")),'Changes &amp; Events'!$I$6:$I$17),'Your Pay &amp; Benefits'!$D$44))</f>
      </c>
      <c r="BP53" s="7">
        <f>IF($B53="","",IFERROR(LOOKUP(2,1/(((('Changes &amp; Events'!$C$6:$C$17="Deduction start")+('Changes &amp; Events'!$C$6:$C$17="Deduction stop"))*('Changes &amp; Events'!$D$6:$D$17="Other post-tax"))*('Changes &amp; Events'!$B$6:$B$17&lt;=$B53)*('Changes &amp; Events'!$B$6:$B$17&lt;&gt;"")),'Changes &amp; Events'!$I$6:$I$17),'Your Pay &amp; Benefits'!$D$45))</f>
      </c>
      <c r="BQ53" s="6">
        <f>IF($B53="","",IFERROR(LOOKUP(2,1/(((('Changes &amp; Events'!$C$6:$C$17="Deduction start")+('Changes &amp; Events'!$C$6:$C$17="Deduction stop"))*('Changes &amp; Events'!$D$6:$D$17="Health FSA"))*('Changes &amp; Events'!$B$6:$B$17&lt;=$B53)*('Changes &amp; Events'!$B$6:$B$17&lt;&gt;"")),'Changes &amp; Events'!$J$6:$J$17),0))</f>
      </c>
      <c r="BR53" s="6">
        <f>IF($B53="","",IFERROR(LOOKUP(2,1/(((('Changes &amp; Events'!$C$6:$C$17="Deduction start")+('Changes &amp; Events'!$C$6:$C$17="Deduction stop"))*('Changes &amp; Events'!$D$6:$D$17="Dependent-care FSA"))*('Changes &amp; Events'!$B$6:$B$17&lt;=$B53)*('Changes &amp; Events'!$B$6:$B$17&lt;&gt;"")),'Changes &amp; Events'!$J$6:$J$17),0))</f>
      </c>
      <c r="BS53" s="6">
        <f>IF($B53="","",IF(SUMPRODUCT(('Changes &amp; Events'!$C$6:$C$17="Deduction start")*('Changes &amp; Events'!$B$6:$B$17&lt;=$B53)*('Changes &amp; Events'!$B$6:$B$17&lt;&gt;"")*('Changes &amp; Events'!$D$6:$D$17="Health FSA"))&gt;0,1,0))</f>
      </c>
      <c r="BT53" s="6">
        <f>IF($B53="","",IF(SUMPRODUCT(('Changes &amp; Events'!$C$6:$C$17="Deduction start")*('Changes &amp; Events'!$B$6:$B$17&lt;=$B53)*('Changes &amp; Events'!$B$6:$B$17&lt;&gt;"")*('Changes &amp; Events'!$D$6:$D$17="Dependent-care FSA"))&gt;0,1,0))</f>
      </c>
      <c r="BU53" s="24">
        <f>IF($B53="","",IF('Your Pay &amp; Benefits'!$C$13,SUMPRODUCT(($AH53&gt;=INDEX('How This Works &amp; Sources'!$B$29:$J$36,0,IF('Your Pay &amp; Benefits'!$C$12="MFJ",1,IF('Your Pay &amp; Benefits'!$C$12="HoH",7,4))))*INDEX('How This Works &amp; Sources'!$B$29:$J$36,0,IF('Your Pay &amp; Benefits'!$C$12="MFJ",1,IF('Your Pay &amp; Benefits'!$C$12="HoH",7,4))+2)),SUMPRODUCT(($AH53&gt;=INDEX('How This Works &amp; Sources'!$B$19:$J$26,0,IF('Your Pay &amp; Benefits'!$C$12="MFJ",1,IF('Your Pay &amp; Benefits'!$C$12="HoH",7,4))))*INDEX('How This Works &amp; Sources'!$B$19:$J$26,0,IF('Your Pay &amp; Benefits'!$C$12="MFJ",1,IF('Your Pay &amp; Benefits'!$C$12="HoH",7,4))+2))))</f>
      </c>
      <c r="BV53" s="24">
        <f>IF($B53="","",IF($BZ53&lt;&gt;"",$BZ53,IF($CA53&lt;&gt;"",$CA53,IF($CB53&lt;&gt;"",$CB53,IF($CC53&lt;&gt;"",$CC53,0)))))</f>
      </c>
      <c r="BW53" s="7">
        <f>IF($B53="","",IF($AN53="MD",IF(OR($AU53="Married",$AU53="Head of household"),SUMPRODUCT(($AZ53&gt;INDEX('How This Works &amp; Sources'!$B$114:$J$120,0,1))*($AZ53-INDEX('How This Works &amp; Sources'!$B$114:$J$120,0,1))*INDEX('How This Works &amp; Sources'!$B$114:$J$120,0,1+2)),SUMPRODUCT(($AZ53&gt;INDEX('How This Works &amp; Sources'!$B$103:$J$109,0,7))*($AZ53-INDEX('How This Works &amp; Sources'!$B$103:$J$109,0,7))*INDEX('How This Works &amp; Sources'!$B$103:$J$109,0,7+2))),IF($AN53="MO",SUMPRODUCT(($AZ53&gt;INDEX('How This Works &amp; Sources'!$B$125:$J$132,0,1))*($AZ53-INDEX('How This Works &amp; Sources'!$B$125:$J$132,0,1))*INDEX('How This Works &amp; Sources'!$B$125:$J$132,0,1+2)),IF($AN53="MT",IF($AU53="Head of household",SUMPRODUCT(($AZ53&gt;INDEX('How This Works &amp; Sources'!$B$137:$J$139,0,1))*($AZ53-INDEX('How This Works &amp; Sources'!$B$137:$J$139,0,1))*INDEX('How This Works &amp; Sources'!$B$137:$J$139,0,1+2)),IF($AU53="Married",SUMPRODUCT(($AZ53&gt;INDEX('How This Works &amp; Sources'!$B$125:$J$132,0,7))*($AZ53-INDEX('How This Works &amp; Sources'!$B$125:$J$132,0,7))*INDEX('How This Works &amp; Sources'!$B$125:$J$132,0,7+2)),SUMPRODUCT(($AZ53&gt;INDEX('How This Works &amp; Sources'!$B$125:$J$132,0,4))*($AZ53-INDEX('How This Works &amp; Sources'!$B$125:$J$132,0,4))*INDEX('How This Works &amp; Sources'!$B$125:$J$132,0,4+2)))),IF($AN53="ND",IF($AU53="Head of household",SUMPRODUCT(($AZ53&gt;INDEX('How This Works &amp; Sources'!$B$144:$J$150,0,1))*($AZ53-INDEX('How This Works &amp; Sources'!$B$144:$J$150,0,1))*INDEX('How This Works &amp; Sources'!$B$144:$J$150,0,1+2)),IF($AU53="Married",SUMPRODUCT(($AZ53&gt;INDEX('How This Works &amp; Sources'!$B$137:$J$139,0,7))*($AZ53-INDEX('How This Works &amp; Sources'!$B$137:$J$139,0,7))*INDEX('How This Works &amp; Sources'!$B$137:$J$139,0,7+2)),SUMPRODUCT(($AZ53&gt;INDEX('How This Works &amp; Sources'!$B$137:$J$139,0,4))*($AZ53-INDEX('How This Works &amp; Sources'!$B$137:$J$139,0,4))*INDEX('How This Works &amp; Sources'!$B$137:$J$139,0,4+2)))),IF($AN53="NJ",IF('Your Pay &amp; Benefits'!$C$77="B",SUMPRODUCT(($AZ53&gt;INDEX('How This Works &amp; Sources'!$B$155:$J$162,0,4))*($AZ53-INDEX('How This Works &amp; Sources'!$B$155:$J$162,0,4))*INDEX('How This Works &amp; Sources'!$B$155:$J$162,0,4+2)),IF('Your Pay &amp; Benefits'!$C$77="C",SUMPRODUCT(($AZ53&gt;INDEX('How This Works &amp; Sources'!$B$155:$J$162,0,7))*($AZ53-INDEX('How This Works &amp; Sources'!$B$155:$J$162,0,7))*INDEX('How This Works &amp; Sources'!$B$155:$J$162,0,7+2)),IF('Your Pay &amp; Benefits'!$C$77="D",SUMPRODUCT(($AZ53&gt;INDEX('How This Works &amp; Sources'!$B$167:$J$179,0,1))*($AZ53-INDEX('How This Works &amp; Sources'!$B$167:$J$179,0,1))*INDEX('How This Works &amp; Sources'!$B$167:$J$179,0,1+2)),IF('Your Pay &amp; Benefits'!$C$77="E",SUMPRODUCT(($AZ53&gt;INDEX('How This Works &amp; Sources'!$B$167:$J$179,0,4))*($AZ53-INDEX('How This Works &amp; Sources'!$B$167:$J$179,0,4))*INDEX('How This Works &amp; Sources'!$B$167:$J$179,0,4+2)),SUMPRODUCT(($AZ53&gt;INDEX('How This Works &amp; Sources'!$B$155:$J$162,0,1))*($AZ53-INDEX('How This Works &amp; Sources'!$B$155:$J$162,0,1))*INDEX('How This Works &amp; Sources'!$B$155:$J$162,0,1+2)))))),IF($AN53="NY",IF($AU53="Married",IF($AZ53&gt;=2155350,$AZ53*IF($AZ53&gt;25000000,0.117,IF($AZ53&gt;5000000,0.111,0.1045)),SUMPRODUCT(($AZ53&gt;INDEX('How This Works &amp; Sources'!$B$184:$J$198,0,1))*($AZ53-INDEX('How This Works &amp; Sources'!$B$184:$J$198,0,1))*INDEX('How This Works &amp; Sources'!$B$184:$J$198,0,1+2))),IF($AZ53&gt;=1077550,$AZ53*IF($AZ53&gt;25000000,0.117,IF($AZ53&gt;5000000,0.111,0.1045)),SUMPRODUCT(($AZ53&gt;INDEX('How This Works &amp; Sources'!$B$167:$J$179,0,7))*($AZ53-INDEX('How This Works &amp; Sources'!$B$167:$J$179,0,7))*INDEX('How This Works &amp; Sources'!$B$167:$J$179,0,7+2)))),"")))))))</f>
      </c>
      <c r="BX53" s="7">
        <f>IF($B53="","",IF($AN53="AL",IF(OR($AU53="Married",$AU53="Head of household"),SUMPRODUCT(($AZ53&gt;INDEX('How This Works &amp; Sources'!$B$82:$J$86,0,4))*($AZ53-INDEX('How This Works &amp; Sources'!$B$82:$J$86,0,4))*INDEX('How This Works &amp; Sources'!$B$82:$J$86,0,4+2)),SUMPRODUCT(($AZ53&gt;INDEX('How This Works &amp; Sources'!$B$82:$J$86,0,1))*($AZ53-INDEX('How This Works &amp; Sources'!$B$82:$J$86,0,1))*INDEX('How This Works &amp; Sources'!$B$82:$J$86,0,1+2))),IF($AN53="KS",IF($AU53="Married",SUMPRODUCT(($AZ53&gt;INDEX('How This Works &amp; Sources'!$B$103:$J$109,0,4))*($AZ53-INDEX('How This Works &amp; Sources'!$B$103:$J$109,0,4))*INDEX('How This Works &amp; Sources'!$B$103:$J$109,0,4+2)),SUMPRODUCT(($AZ53&gt;INDEX('How This Works &amp; Sources'!$B$103:$J$109,0,1))*($AZ53-INDEX('How This Works &amp; Sources'!$B$103:$J$109,0,1))*INDEX('How This Works &amp; Sources'!$B$103:$J$109,0,1+2))),IF($AN53="MN",IF($AU53="Married",SUMPRODUCT(($AZ53&gt;INDEX('How This Works &amp; Sources'!$B$114:$J$120,0,7))*($AZ53-INDEX('How This Works &amp; Sources'!$B$114:$J$120,0,7))*INDEX('How This Works &amp; Sources'!$B$114:$J$120,0,7+2)),SUMPRODUCT(($AZ53&gt;INDEX('How This Works &amp; Sources'!$B$114:$J$120,0,4))*($AZ53-INDEX('How This Works &amp; Sources'!$B$114:$J$120,0,4))*INDEX('How This Works &amp; Sources'!$B$114:$J$120,0,4+2))),IF($AN53="NE",MAX(IF($AU53="Married",SUMPRODUCT(($AZ53&gt;INDEX('How This Works &amp; Sources'!$B$144:$J$150,0,7))*($AZ53-INDEX('How This Works &amp; Sources'!$B$144:$J$150,0,7))*INDEX('How This Works &amp; Sources'!$B$144:$J$150,0,7+2)),SUMPRODUCT(($AZ53&gt;INDEX('How This Works &amp; Sources'!$B$144:$J$150,0,4))*($AZ53-INDEX('How This Works &amp; Sources'!$B$144:$J$150,0,4))*INDEX('How This Works &amp; Sources'!$B$144:$J$150,0,4+2))),0.015*$AZ53),IF($AN53="OH",IF($B53&gt;=DATE(2026,8,1),SUMPRODUCT(($AZ53&gt;INDEX('How This Works &amp; Sources'!$B$203:$J$206,0,1))*($AZ53-INDEX('How This Works &amp; Sources'!$B$203:$J$206,0,1))*INDEX('How This Works &amp; Sources'!$B$203:$J$206,0,1+2)),SUMPRODUCT(($AZ53&gt;INDEX('How This Works &amp; Sources'!$B$184:$J$198,0,7))*($AZ53-INDEX('How This Works &amp; Sources'!$B$184:$J$198,0,7))*INDEX('How This Works &amp; Sources'!$B$184:$J$198,0,7+2))),IF($AN53="OK",IF($AU53="Married",SUMPRODUCT(($AZ53&gt;INDEX('How This Works &amp; Sources'!$B$203:$J$206,0,7))*($AZ53-INDEX('How This Works &amp; Sources'!$B$203:$J$206,0,7))*INDEX('How This Works &amp; Sources'!$B$203:$J$206,0,7+2)),SUMPRODUCT(($AZ53&gt;INDEX('How This Works &amp; Sources'!$B$203:$J$206,0,4))*($AZ53-INDEX('How This Works &amp; Sources'!$B$203:$J$206,0,4))*INDEX('How This Works &amp; Sources'!$B$203:$J$206,0,4+2))),IF($AN53="RI",SUMPRODUCT(($AZ53&gt;INDEX('How This Works &amp; Sources'!$B$211:$J$214,0,7))*($AZ53-INDEX('How This Works &amp; Sources'!$B$211:$J$214,0,7))*INDEX('How This Works &amp; Sources'!$B$211:$J$214,0,7+2)),IF($AN53="VT",IF($AU53="Married",SUMPRODUCT(($AZ53&gt;INDEX('How This Works &amp; Sources'!$B$228:$J$232,0,1))*($AZ53-INDEX('How This Works &amp; Sources'!$B$228:$J$232,0,1))*INDEX('How This Works &amp; Sources'!$B$228:$J$232,0,1+2)),SUMPRODUCT(($AZ53&gt;INDEX('How This Works &amp; Sources'!$B$219:$J$223,0,7))*($AZ53-INDEX('How This Works &amp; Sources'!$B$219:$J$223,0,7))*INDEX('How This Works &amp; Sources'!$B$219:$J$223,0,7+2))),IF($AN53="WV",IF($AU53="Married",SUMPRODUCT(($AZ53&gt;INDEX('How This Works &amp; Sources'!$B$237:$J$241,0,7))*($AZ53-INDEX('How This Works &amp; Sources'!$B$237:$J$241,0,7))*INDEX('How This Works &amp; Sources'!$B$237:$J$241,0,7+2)),SUMPRODUCT(($AZ53&gt;INDEX('How This Works &amp; Sources'!$B$228:$J$232,0,7))*($AZ53-INDEX('How This Works &amp; Sources'!$B$228:$J$232,0,7))*INDEX('How This Works &amp; Sources'!$B$228:$J$232,0,7+2))),""))))))))))</f>
      </c>
      <c r="BY53" s="7">
        <f>IF($B53="","",IF($AN53="AR",SUMPRODUCT(($AZ53&gt;INDEX('How This Works &amp; Sources'!$B$82:$J$86,0,7))*($AZ53-INDEX('How This Works &amp; Sources'!$B$82:$J$86,0,7))*INDEX('How This Works &amp; Sources'!$B$82:$J$86,0,7+2)),IF($AN53="DE",SUMPRODUCT(($AZ53&gt;INDEX('How This Works &amp; Sources'!$B$91:$J$98,0,1))*($AZ53-INDEX('How This Works &amp; Sources'!$B$91:$J$98,0,1))*INDEX('How This Works &amp; Sources'!$B$91:$J$98,0,1+2)),IF($AN53="HI",IF($AU53="Married",SUMPRODUCT(($AZ53&gt;INDEX('How This Works &amp; Sources'!$B$91:$J$98,0,7))*($AZ53-INDEX('How This Works &amp; Sources'!$B$91:$J$98,0,7))*INDEX('How This Works &amp; Sources'!$B$91:$J$98,0,7+2)),SUMPRODUCT(($AZ53&gt;INDEX('How This Works &amp; Sources'!$B$91:$J$98,0,4))*($AZ53-INDEX('How This Works &amp; Sources'!$B$91:$J$98,0,4))*INDEX('How This Works &amp; Sources'!$B$91:$J$98,0,4+2))),IF($AN53="SC",SUMPRODUCT(($AZ53&gt;INDEX('How This Works &amp; Sources'!$B$219:$J$223,0,1))*($AZ53-INDEX('How This Works &amp; Sources'!$B$219:$J$223,0,1))*INDEX('How This Works &amp; Sources'!$B$219:$J$223,0,1+2)),IF($AN53="VA",SUMPRODUCT(($AZ53&gt;INDEX('How This Works &amp; Sources'!$B$219:$J$223,0,4))*($AZ53-INDEX('How This Works &amp; Sources'!$B$219:$J$223,0,4))*INDEX('How This Works &amp; Sources'!$B$219:$J$223,0,4+2)),IF($AN53="WI",SUMPRODUCT(($AZ53&gt;INDEX('How This Works &amp; Sources'!$B$228:$J$232,0,4))*($AZ53-INDEX('How This Works &amp; Sources'!$B$228:$J$232,0,4))*INDEX('How This Works &amp; Sources'!$B$228:$J$232,0,4+2)),"")))))))</f>
      </c>
      <c r="BZ53" s="24">
        <f>IF($B53="","",IF($AN53="NJ",IF('Your Pay &amp; Benefits'!$C$77="B",SUMPRODUCT(($AZ53&gt;=INDEX('How This Works &amp; Sources'!$B$155:$J$162,0,4))*INDEX('How This Works &amp; Sources'!$B$155:$J$162,0,4+2)),IF('Your Pay &amp; Benefits'!$C$77="C",SUMPRODUCT(($AZ53&gt;=INDEX('How This Works &amp; Sources'!$B$155:$J$162,0,7))*INDEX('How This Works &amp; Sources'!$B$155:$J$162,0,7+2)),IF('Your Pay &amp; Benefits'!$C$77="D",SUMPRODUCT(($AZ53&gt;=INDEX('How This Works &amp; Sources'!$B$167:$J$179,0,1))*INDEX('How This Works &amp; Sources'!$B$167:$J$179,0,1+2)),IF('Your Pay &amp; Benefits'!$C$77="E",SUMPRODUCT(($AZ53&gt;=INDEX('How This Works &amp; Sources'!$B$167:$J$179,0,4))*INDEX('How This Works &amp; Sources'!$B$167:$J$179,0,4+2)),SUMPRODUCT(($AZ53&gt;=INDEX('How This Works &amp; Sources'!$B$155:$J$162,0,1))*INDEX('How This Works &amp; Sources'!$B$155:$J$162,0,1+2)))))),IF($AN53="OR",IF(OR($AU53="Married",AND($AU53="Single",$AS53&gt;=3)),SUMPRODUCT((MAX(0,$AY53-MIN(($P53-'How This Works &amp; Sources'!$C$10*$D53)*'Your Pay &amp; Benefits'!$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Sources'!$B$211:$J$214,0,4))*INDEX('How This Works &amp; Sources'!$B$211:$J$214,0,4+2)),SUMPRODUCT((MAX(0,$AY53-MIN(($P53-'How This Works &amp; Sources'!$C$10*$D53)*'Your Pay &amp; Benefits'!$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Sources'!$B$211:$J$214,0,1))*INDEX('How This Works &amp; Sources'!$B$211:$J$214,0,1+2)))*IF(($P53-'How This Works &amp; Sources'!$C$10*$D53)*'Your Pay &amp; Benefits'!$C$8&gt;=IF(OR($AU53="Married",AND($AU53="Single",$AS53&gt;=3)),IF($AY53&lt;250000,8750,IF($AY53&lt;260000,7000,IF($AY53&lt;270000,5250,IF($AY53&lt;280000,3500,IF($AY53&lt;290000,1750,0))))),IF($AY53&lt;125000,8750,IF($AY53&lt;130000,7000,IF($AY53&lt;135000,5250,IF($AY53&lt;140000,3500,IF($AY53&lt;145000,1750,0)))))),1,1-IF('Your Pay &amp; Benefits'!$C$13,SUMPRODUCT(($AH53&gt;=INDEX('How This Works &amp; Sources'!$B$29:$J$36,0,IF('Your Pay &amp; Benefits'!$C$12="MFJ",1,IF('Your Pay &amp; Benefits'!$C$12="HoH",7,4))))*INDEX('How This Works &amp; Sources'!$B$29:$J$36,0,IF('Your Pay &amp; Benefits'!$C$12="MFJ",1,IF('Your Pay &amp; Benefits'!$C$12="HoH",7,4))+2)),SUMPRODUCT(($AH53&gt;=INDEX('How This Works &amp; Sources'!$B$19:$J$26,0,IF('Your Pay &amp; Benefits'!$C$12="MFJ",1,IF('Your Pay &amp; Benefits'!$C$12="HoH",7,4))))*INDEX('How This Works &amp; Sources'!$B$19:$J$26,0,IF('Your Pay &amp; Benefits'!$C$12="MFJ",1,IF('Your Pay &amp; Benefits'!$C$12="HoH",7,4))+2)))),IF($AN53="MI",IF($AY53&gt;5900*$AS53,0.0425,0),""))))</f>
      </c>
      <c r="CA53" s="24">
        <f>IF($B53="","",IF($AN53="AL",IF(OR($AU53="Married",$AU53="Head of household"),SUMPRODUCT(($AZ53&gt;=INDEX('How This Works &amp; Sources'!$B$82:$J$86,0,4))*INDEX('How This Works &amp; Sources'!$B$82:$J$86,0,4+2)),SUMPRODUCT(($AZ53&gt;=INDEX('How This Works &amp; Sources'!$B$82:$J$86,0,1))*INDEX('How This Works &amp; Sources'!$B$82:$J$86,0,1+2)))*(1-IF('Your Pay &amp; Benefits'!$C$13,SUMPRODUCT(($AH53&gt;=INDEX('How This Works &amp; Sources'!$B$29:$J$36,0,IF('Your Pay &amp; Benefits'!$C$12="MFJ",1,IF('Your Pay &amp; Benefits'!$C$12="HoH",7,4))))*INDEX('How This Works &amp; Sources'!$B$29:$J$36,0,IF('Your Pay &amp; Benefits'!$C$12="MFJ",1,IF('Your Pay &amp; Benefits'!$C$12="HoH",7,4))+2)),SUMPRODUCT(($AH53&gt;=INDEX('How This Works &amp; Sources'!$B$19:$J$26,0,IF('Your Pay &amp; Benefits'!$C$12="MFJ",1,IF('Your Pay &amp; Benefits'!$C$12="HoH",7,4))))*INDEX('How This Works &amp; Sources'!$B$19:$J$26,0,IF('Your Pay &amp; Benefits'!$C$12="MFJ",1,IF('Your Pay &amp; Benefits'!$C$12="HoH",7,4))+2)))),IF($AN53="KS",IF($AU53="Married",SUMPRODUCT(($AZ53&gt;=INDEX('How This Works &amp; Sources'!$B$103:$J$109,0,4))*INDEX('How This Works &amp; Sources'!$B$103:$J$109,0,4+2)),SUMPRODUCT(($AZ53&gt;=INDEX('How This Works &amp; Sources'!$B$103:$J$109,0,1))*INDEX('How This Works &amp; Sources'!$B$103:$J$109,0,1+2))),IF($AN53="MD",IF(OR($AU53="Married",$AU53="Head of household"),SUMPRODUCT(($AZ53&gt;=INDEX('How This Works &amp; Sources'!$B$114:$J$120,0,1))*INDEX('How This Works &amp; Sources'!$B$114:$J$120,0,1+2)),SUMPRODUCT(($AZ53&gt;=INDEX('How This Works &amp; Sources'!$B$103:$J$109,0,7))*INDEX('How This Works &amp; Sources'!$B$103:$J$109,0,7+2)))+'Your Pay &amp; Benefits'!$C$74,IF($AN53="MT",IF($AU53="Head of household",SUMPRODUCT(($AZ53&gt;=INDEX('How This Works &amp; Sources'!$B$137:$J$139,0,1))*INDEX('How This Works &amp; Sources'!$B$137:$J$139,0,1+2)),IF($AU53="Married",SUMPRODUCT(($AZ53&gt;=INDEX('How This Works &amp; Sources'!$B$125:$J$132,0,7))*INDEX('How This Works &amp; Sources'!$B$125:$J$132,0,7+2)),SUMPRODUCT(($AZ53&gt;=INDEX('How This Works &amp; Sources'!$B$125:$J$132,0,4))*INDEX('How This Works &amp; Sources'!$B$125:$J$132,0,4+2)))),IF($AN53="ND",IF($AU53="Head of household",SUMPRODUCT(($AZ53&gt;=INDEX('How This Works &amp; Sources'!$B$144:$J$150,0,1))*INDEX('How This Works &amp; Sources'!$B$144:$J$150,0,1+2)),IF($AU53="Married",SUMPRODUCT(($AZ53&gt;=INDEX('How This Works &amp; Sources'!$B$137:$J$139,0,7))*INDEX('How This Works &amp; Sources'!$B$137:$J$139,0,7+2)),SUMPRODUCT(($AZ53&gt;=INDEX('How This Works &amp; Sources'!$B$137:$J$139,0,4))*INDEX('How This Works &amp; Sources'!$B$137:$J$139,0,4+2)))),IF($AN53="NY",IF($AU53="Married",IF($AZ53&gt;=2155350,IF($AZ53&gt;25000000,0.117,IF($AZ53&gt;5000000,0.111,0.1045)),SUMPRODUCT(($AZ53&gt;=INDEX('How This Works &amp; Sources'!$B$184:$J$198,0,1))*INDEX('How This Works &amp; Sources'!$B$184:$J$198,0,1+2))),IF($AZ53&gt;=1077550,IF($AZ53&gt;25000000,0.117,IF($AZ53&gt;5000000,0.111,0.1045)),SUMPRODUCT(($AZ53&gt;=INDEX('How This Works &amp; Sources'!$B$167:$J$179,0,7))*INDEX('How This Works &amp; Sources'!$B$167:$J$179,0,7+2)))),"")))))))</f>
      </c>
      <c r="CB53" s="24">
        <f>IF($B53="","",IF($AN53="CA",SUMPRODUCT(($AJ53&gt;=INDEX('How This Works &amp; Sources'!$B$39:$J$48,0,IF($AU53="Married",4,IF($AU53="Head of household",7,1))))*INDEX('How This Works &amp; Sources'!$B$39:$J$48,0,IF($AU53="Married",4,IF($AU53="Head of household",7,1))+2)),IF($AN53="HI",IF($AU53="Married",SUMPRODUCT(($AZ53&gt;=INDEX('How This Works &amp; Sources'!$B$91:$J$98,0,7))*INDEX('How This Works &amp; Sources'!$B$91:$J$98,0,7+2)),SUMPRODUCT(($AZ53&gt;=INDEX('How This Works &amp; Sources'!$B$91:$J$98,0,4))*INDEX('How This Works &amp; Sources'!$B$91:$J$98,0,4+2))),IF($AN53="MN",IF($AU53="Married",SUMPRODUCT(($AZ53&gt;=INDEX('How This Works &amp; Sources'!$B$114:$J$120,0,7))*INDEX('How This Works &amp; Sources'!$B$114:$J$120,0,7+2)),SUMPRODUCT(($AZ53&gt;=INDEX('How This Works &amp; Sources'!$B$114:$J$120,0,4))*INDEX('How This Works &amp; Sources'!$B$114:$J$120,0,4+2))),IF($AN53="MO",SUMPRODUCT(($AZ53&gt;=INDEX('How This Works &amp; Sources'!$B$125:$J$132,0,1))*INDEX('How This Works &amp; Sources'!$B$125:$J$132,0,1+2)),IF($AN53="NE",MAX(IF($AU53="Married",SUMPRODUCT(($AZ53&gt;=INDEX('How This Works &amp; Sources'!$B$144:$J$150,0,7))*INDEX('How This Works &amp; Sources'!$B$144:$J$150,0,7+2)),SUMPRODUCT(($AZ53&gt;=INDEX('How This Works &amp; Sources'!$B$144:$J$150,0,4))*INDEX('How This Works &amp; Sources'!$B$144:$J$150,0,4+2))),0.015),IF($AN53="OH",IF($B53&gt;=DATE(2026,8,1),SUMPRODUCT(($AZ53&gt;=INDEX('How This Works &amp; Sources'!$B$203:$J$206,0,1))*INDEX('How This Works &amp; Sources'!$B$203:$J$206,0,1+2)),SUMPRODUCT(($AZ53&gt;=INDEX('How This Works &amp; Sources'!$B$184:$J$198,0,7))*INDEX('How This Works &amp; Sources'!$B$184:$J$198,0,7+2))),IF($AN53="OK",IF($AU53="Married",SUMPRODUCT(($AZ53&gt;=INDEX('How This Works &amp; Sources'!$B$203:$J$206,0,7))*INDEX('How This Works &amp; Sources'!$B$203:$J$206,0,7+2)),SUMPRODUCT(($AZ53&gt;=INDEX('How This Works &amp; Sources'!$B$203:$J$206,0,4))*INDEX('How This Works &amp; Sources'!$B$203:$J$206,0,4+2))),IF($AN53="RI",SUMPRODUCT(($AZ53&gt;=INDEX('How This Works &amp; Sources'!$B$211:$J$214,0,7))*INDEX('How This Works &amp; Sources'!$B$211:$J$214,0,7+2)),IF($AN53="SC",SUMPRODUCT(($AZ53&gt;=INDEX('How This Works &amp; Sources'!$B$219:$J$223,0,1))*INDEX('How This Works &amp; Sources'!$B$219:$J$223,0,1+2)),IF($AN53="VT",IF($AU53="Married",SUMPRODUCT(($AZ53&gt;=INDEX('How This Works &amp; Sources'!$B$228:$J$232,0,1))*INDEX('How This Works &amp; Sources'!$B$228:$J$232,0,1+2)),SUMPRODUCT(($AZ53&gt;=INDEX('How This Works &amp; Sources'!$B$219:$J$223,0,7))*INDEX('How This Works &amp; Sources'!$B$219:$J$223,0,7+2))),IF($AN53="WV",IF($AU53="Married",SUMPRODUCT(($AZ53&gt;=INDEX('How This Works &amp; Sources'!$B$237:$J$241,0,7))*INDEX('How This Works &amp; Sources'!$B$237:$J$241,0,7+2)),SUMPRODUCT(($AZ53&gt;=INDEX('How This Works &amp; Sources'!$B$228:$J$232,0,7))*INDEX('How This Works &amp; Sources'!$B$228:$J$232,0,7+2))),IF($AN53="IN",(0.0295+'Your Pay &amp; Benefits'!$C$76),"")))))))))))))</f>
      </c>
      <c r="CC53" s="24">
        <f>IF($B53="","",IF($AN53="AR",SUMPRODUCT(($AZ53&gt;=INDEX('How This Works &amp; Sources'!$B$82:$J$86,0,7))*INDEX('How This Works &amp; Sources'!$B$82:$J$86,0,7+2)),IF($AN53="DE",SUMPRODUCT(($AZ53&gt;=INDEX('How This Works &amp; Sources'!$B$91:$J$98,0,1))*INDEX('How This Works &amp; Sources'!$B$91:$J$98,0,1+2)),IF($AN53="VA",SUMPRODUCT(($AZ53&gt;=INDEX('How This Works &amp; Sources'!$B$219:$J$223,0,4))*INDEX('How This Works &amp; Sources'!$B$219:$J$223,0,4+2)),IF($AN53="WI",SUMPRODUCT(($AZ53&gt;=INDEX('How This Works &amp; Sources'!$B$228:$J$232,0,4))*INDEX('How This Works &amp; Sources'!$B$228:$J$232,0,4+2)),IF($AN53="AZ",'Your Pay &amp; Benefits'!$C$82,IF($AN53="CO",IF($AY53&gt;IF($AU53="Married",10000,5000),0.044,0),IF($AN53="IA",IF($AY53&gt;IF($AU53="Head of household",19500,IF($AU53="Married",26000,13000)),0.038,0),IF($AN53="ID",IF($AY53&gt;IF($AU53="Married",32000,16094),0.053,0),IF($AN53="IL",IF($AY53&gt;(2925*$AS53+1000*$AT53),0.0495,0),IF($AN53="KY",IF($AI53&gt;3360,0.035,0),IF($AN53="LA",0.0309,IF($AN53="MA",IF(MAX(0,$AY53-MIN(($BD52+$Q53+$R53+$S53),2000)-IF($AS53=0,0,IF($AS53=1,4400,1000*$AS53+3400)))&gt;=1107750,0.09,0.05),IF($AN53="MS",IF($AI53-IF($AU53="Head of household",3400,IF($AU53="Married",4600,2300))-'Your Pay &amp; Benefits'!$C$85&gt;10000,0.04,0),IF($AN53="PA",0.0307,"")))))))))))))))</f>
      </c>
      <c r="CD53" s="21">
        <f>IF(YEAR(IF('Your Pay &amp; Benefits'!$C$7="Weekly",'Your Pay &amp; Benefits'!$C$9+7*(($BE52+1)-1),IF('Your Pay &amp; Benefits'!$C$7="Biweekly",'Your Pay &amp; Benefits'!$C$9+14*(($BE52+1)-1),IF('Your Pay &amp; Benefits'!$C$7="Semimonthly",DATE(YEAR('Your Pay &amp; Benefits'!$C$9),MONTH('Your Pay &amp; Benefits'!$C$9)+INT((($BE52+1)-1)/2),MIN(DAY('Your Pay &amp; Benefits'!$C$9),DAY(EOMONTH(DATE(YEAR('Your Pay &amp; Benefits'!$C$9),MONTH('Your Pay &amp; Benefits'!$C$9)+INT((($BE52+1)-1)/2),1),0))))+IF(MOD(($BE52+1)-1,2)=1,15,0),EDATE('Your Pay &amp; Benefits'!$C$9,($BE52+1)-1)))))&lt;&gt;'Your Pay &amp; Benefits'!$C$10,"",IF('Your Pay &amp; Benefits'!$C$7="Weekly",'Your Pay &amp; Benefits'!$C$9+7*(($BE52+1)-1),IF('Your Pay &amp; Benefits'!$C$7="Biweekly",'Your Pay &amp; Benefits'!$C$9+14*(($BE52+1)-1),IF('Your Pay &amp; Benefits'!$C$7="Semimonthly",DATE(YEAR('Your Pay &amp; Benefits'!$C$9),MONTH('Your Pay &amp; Benefits'!$C$9)+INT((($BE52+1)-1)/2),MIN(DAY('Your Pay &amp; Benefits'!$C$9),DAY(EOMONTH(DATE(YEAR('Your Pay &amp; Benefits'!$C$9),MONTH('Your Pay &amp; Benefits'!$C$9)+INT((($BE52+1)-1)/2),1),0))))+IF(MOD(($BE52+1)-1,2)=1,15,0),EDATE('Your Pay &amp; Benefits'!$C$9,($BE52+1)-1)))))</f>
      </c>
      <c r="CE53" s="21">
        <f>IF(MIN(IF(AND('Your Pay &amp; Benefits'!$C$58&gt;MAX($B$6:$B52),'Your Pay &amp; Benefits'!$C$58&gt;=DATE('Your Pay &amp; Benefits'!$C$10,1,1),'Your Pay &amp; Benefits'!$C$58&lt;=DATE('Your Pay &amp; Benefits'!$C$10,12,31)),'Your Pay &amp; Benefits'!$C$58,999999),IF(AND('Your Pay &amp; Benefits'!$C$59&gt;MAX($B$6:$B52),'Your Pay &amp; Benefits'!$C$59&gt;=DATE('Your Pay &amp; Benefits'!$C$10,1,1),'Your Pay &amp; Benefits'!$C$59&lt;=DATE('Your Pay &amp; Benefits'!$C$10,12,31)),'Your Pay &amp; Benefits'!$C$59,999999),IF(AND('Your Pay &amp; Benefits'!$C$60&gt;MAX($B$6:$B52),'Your Pay &amp; Benefits'!$C$60&gt;=DATE('Your Pay &amp; Benefits'!$C$10,1,1),'Your Pay &amp; Benefits'!$C$60&lt;=DATE('Your Pay &amp; Benefits'!$C$10,12,31)),'Your Pay &amp; Benefits'!$C$60,999999),IF(AND('Your Pay &amp; Benefits'!$C$61&gt;MAX($B$6:$B52),'Your Pay &amp; Benefits'!$C$61&gt;=DATE('Your Pay &amp; Benefits'!$C$10,1,1),'Your Pay &amp; Benefits'!$C$61&lt;=DATE('Your Pay &amp; Benefits'!$C$10,12,31)),'Your Pay &amp; Benefits'!$C$61,999999),IF(AND('Your Pay &amp; Benefits'!$C$62&gt;MAX($B$6:$B52),'Your Pay &amp; Benefits'!$C$62&gt;=DATE('Your Pay &amp; Benefits'!$C$10,1,1),'Your Pay &amp; Benefits'!$C$62&lt;=DATE('Your Pay &amp; Benefits'!$C$10,12,31)),'Your Pay &amp; Benefits'!$C$62,999999),IF(AND('Your Pay &amp; Benefits'!$C$63&gt;MAX($B$6:$B52),'Your Pay &amp; Benefits'!$C$63&gt;=DATE('Your Pay &amp; Benefits'!$C$10,1,1),'Your Pay &amp; Benefits'!$C$63&lt;=DATE('Your Pay &amp; Benefits'!$C$10,12,31)),'Your Pay &amp; Benefits'!$C$63,999999),IF(AND('Your Pay &amp; Benefits'!$C$64&gt;MAX($B$6:$B52),'Your Pay &amp; Benefits'!$C$64&gt;=DATE('Your Pay &amp; Benefits'!$C$10,1,1),'Your Pay &amp; Benefits'!$C$64&lt;=DATE('Your Pay &amp; Benefits'!$C$10,12,31)),'Your Pay &amp; Benefits'!$C$64,999999),IF(AND('Your Pay &amp; Benefits'!$C$65&gt;MAX($B$6:$B52),'Your Pay &amp; Benefits'!$C$65&gt;=DATE('Your Pay &amp; Benefits'!$C$10,1,1),'Your Pay &amp; Benefits'!$C$65&lt;=DATE('Your Pay &amp; Benefits'!$C$10,12,31)),'Your Pay &amp; Benefits'!$C$65,999999),IF(AND('Your Pay &amp; Benefits'!$C$66&gt;MAX($B$6:$B52),'Your Pay &amp; Benefits'!$C$66&gt;=DATE('Your Pay &amp; Benefits'!$C$10,1,1),'Your Pay &amp; Benefits'!$C$66&lt;=DATE('Your Pay &amp; Benefits'!$C$10,12,31)),'Your Pay &amp; Benefits'!$C$66,999999),IF(AND('Your Pay &amp; Benefits'!$C$67&gt;MAX($B$6:$B52),'Your Pay &amp; Benefits'!$C$67&gt;=DATE('Your Pay &amp; Benefits'!$C$10,1,1),'Your Pay &amp; Benefits'!$C$67&lt;=DATE('Your Pay &amp; Benefits'!$C$10,12,31)),'Your Pay &amp; Benefits'!$C$67,999999))=999999,"",MIN(IF(AND('Your Pay &amp; Benefits'!$C$58&gt;MAX($B$6:$B52),'Your Pay &amp; Benefits'!$C$58&gt;=DATE('Your Pay &amp; Benefits'!$C$10,1,1),'Your Pay &amp; Benefits'!$C$58&lt;=DATE('Your Pay &amp; Benefits'!$C$10,12,31)),'Your Pay &amp; Benefits'!$C$58,999999),IF(AND('Your Pay &amp; Benefits'!$C$59&gt;MAX($B$6:$B52),'Your Pay &amp; Benefits'!$C$59&gt;=DATE('Your Pay &amp; Benefits'!$C$10,1,1),'Your Pay &amp; Benefits'!$C$59&lt;=DATE('Your Pay &amp; Benefits'!$C$10,12,31)),'Your Pay &amp; Benefits'!$C$59,999999),IF(AND('Your Pay &amp; Benefits'!$C$60&gt;MAX($B$6:$B52),'Your Pay &amp; Benefits'!$C$60&gt;=DATE('Your Pay &amp; Benefits'!$C$10,1,1),'Your Pay &amp; Benefits'!$C$60&lt;=DATE('Your Pay &amp; Benefits'!$C$10,12,31)),'Your Pay &amp; Benefits'!$C$60,999999),IF(AND('Your Pay &amp; Benefits'!$C$61&gt;MAX($B$6:$B52),'Your Pay &amp; Benefits'!$C$61&gt;=DATE('Your Pay &amp; Benefits'!$C$10,1,1),'Your Pay &amp; Benefits'!$C$61&lt;=DATE('Your Pay &amp; Benefits'!$C$10,12,31)),'Your Pay &amp; Benefits'!$C$61,999999),IF(AND('Your Pay &amp; Benefits'!$C$62&gt;MAX($B$6:$B52),'Your Pay &amp; Benefits'!$C$62&gt;=DATE('Your Pay &amp; Benefits'!$C$10,1,1),'Your Pay &amp; Benefits'!$C$62&lt;=DATE('Your Pay &amp; Benefits'!$C$10,12,31)),'Your Pay &amp; Benefits'!$C$62,999999),IF(AND('Your Pay &amp; Benefits'!$C$63&gt;MAX($B$6:$B52),'Your Pay &amp; Benefits'!$C$63&gt;=DATE('Your Pay &amp; Benefits'!$C$10,1,1),'Your Pay &amp; Benefits'!$C$63&lt;=DATE('Your Pay &amp; Benefits'!$C$10,12,31)),'Your Pay &amp; Benefits'!$C$63,999999),IF(AND('Your Pay &amp; Benefits'!$C$64&gt;MAX($B$6:$B52),'Your Pay &amp; Benefits'!$C$64&gt;=DATE('Your Pay &amp; Benefits'!$C$10,1,1),'Your Pay &amp; Benefits'!$C$64&lt;=DATE('Your Pay &amp; Benefits'!$C$10,12,31)),'Your Pay &amp; Benefits'!$C$64,999999),IF(AND('Your Pay &amp; Benefits'!$C$65&gt;MAX($B$6:$B52),'Your Pay &amp; Benefits'!$C$65&gt;=DATE('Your Pay &amp; Benefits'!$C$10,1,1),'Your Pay &amp; Benefits'!$C$65&lt;=DATE('Your Pay &amp; Benefits'!$C$10,12,31)),'Your Pay &amp; Benefits'!$C$65,999999),IF(AND('Your Pay &amp; Benefits'!$C$66&gt;MAX($B$6:$B52),'Your Pay &amp; Benefits'!$C$66&gt;=DATE('Your Pay &amp; Benefits'!$C$10,1,1),'Your Pay &amp; Benefits'!$C$66&lt;=DATE('Your Pay &amp; Benefits'!$C$10,12,31)),'Your Pay &amp; Benefits'!$C$66,999999),IF(AND('Your Pay &amp; Benefits'!$C$67&gt;MAX($B$6:$B52),'Your Pay &amp; Benefits'!$C$67&gt;=DATE('Your Pay &amp; Benefits'!$C$10,1,1),'Your Pay &amp; Benefits'!$C$67&lt;=DATE('Your Pay &amp; Benefits'!$C$10,12,31)),'Your Pay &amp; Benefits'!$C$67,999999)))</f>
      </c>
      <c r="CF53">
        <f>IF($B53="","",IF($D53=0,$Y53,""))</f>
      </c>
    </row>
    <row r="54">
      <c r="A54" t="n">
        <v>49</v>
      </c>
      <c r="B54" s="21">
        <f>IF(AND($CD54="",$CE54=""),"",IF($CE54="",$CD54,IF($CD54="",$CE54,MIN($CD54,$CE54))))</f>
      </c>
      <c r="C54" s="7">
        <f>IF($B54="","",IF($BF54=0,0,IF('Your Pay &amp; Benefits'!$C$4="Annual salary",ROUND($AK54/IF(AND('Your Pay &amp; Benefits'!$C$88="Actual paydays",MONTH('Your Pay &amp; Benefits'!$C$9)=1),MAX(1,MAX($BE$6:$BE$68)),'Your Pay &amp; Benefits'!$C$8),2),$AK54)))</f>
      </c>
      <c r="D54" s="7">
        <f>IF($B54="","",SUMIF('Your Pay &amp; Benefits'!$C$58:$C$67,$B54,'Your Pay &amp; Benefits'!$D$58:$D$67))</f>
      </c>
      <c r="E54" s="7">
        <f>IF($B54="","",ROUND(MAX(0,MIN(IF($AL54="Percent",$AM54*($C54+$D54),$AM54),MAX(0,'Your Pay &amp; Benefits'!$C$34-$AC53))),2))</f>
      </c>
      <c r="F54" s="7">
        <f>IF($B54="","",ROUND(MAX(0,MIN(IF('Your Pay &amp; Benefits'!$C$32="Percent",'Your Pay &amp; Benefits'!$D$32*($C54+$D54),'Your Pay &amp; Benefits'!$D$32),MAX(0,'Your Pay &amp; Benefits'!$C$34-$AC53-$E54))),2))</f>
      </c>
      <c r="G54" s="7">
        <f>IF($B54="","",IF($BF54=0,0,ROUND(MAX(0,MIN($BL54,'Your Pay &amp; Benefits'!$C$37-'Your Pay &amp; Benefits'!$C$54-$BI53)),2)))</f>
      </c>
      <c r="H54" s="7">
        <f>IF($B54="","",IF(OR($BF54=0,$BQ54=1),0,ROUND(MAX(0,MIN(IF($BS54=1,ROUND(MAX(0,MIN($BJ54,'How This Works &amp; Sources'!$C$13)-$BG53)/MAX(1,MAX($BE$6:$BE$68)-($BE53)),2),ROUND(MIN($BJ54,'How This Works &amp; Sources'!$C$13)/'Your Pay &amp; Benefits'!$C$8,2)),MIN($BJ54,'How This Works &amp; Sources'!$C$13)-$BG53)),2)))</f>
      </c>
      <c r="I54" s="7">
        <f>IF($B54="","",IF(OR($BF54=0,$BR54=1),0,ROUND(MAX(0,MIN(IF($BT54=1,ROUND(MAX(0,MIN($BK54,IF('Your Pay &amp; Benefits'!$C$12="MFJ",'How This Works &amp; Sources'!$C$14,'How This Works &amp; Sources'!$C$15))-$BH53)/MAX(1,MAX($BE$6:$BE$68)-($BE53)),2),ROUND(MIN($BK54,IF('Your Pay &amp; Benefits'!$C$12="MFJ",'How This Works &amp; Sources'!$C$14,'How This Works &amp; Sources'!$C$15))/'Your Pay &amp; Benefits'!$C$8,2)),MIN($BK54,IF('Your Pay &amp; Benefits'!$C$12="MFJ",'How This Works &amp; Sources'!$C$14,'How This Works &amp; Sources'!$C$15))-$BH53)),2)))</f>
      </c>
      <c r="J54" s="7">
        <f>IF($B54="","",IF($BF54=0,0,$BM54))</f>
      </c>
      <c r="K54" s="7">
        <f>IF($B54="","",IF($BF54=0,0,$BN54+$BO54))</f>
      </c>
      <c r="L54" s="7">
        <f>IF($B54="","",IF($BF54=0,0,'Your Pay &amp; Benefits'!$D$46))</f>
      </c>
      <c r="M54" s="7">
        <f>IF($B54="","",$C54+$D54+$L54-$E54-$G54-$H54-$I54-$J54-$K54)</f>
      </c>
      <c r="N54" s="7">
        <f>IF($B54="","",$C54+$D54+$L54-$G54-$H54-$I54-$J54-$K54)</f>
      </c>
      <c r="O54" s="7">
        <f>IF($B54="","",$C54+$D54+$L54-$E54-$H54-$I54-$J54-$K54-IF(OR($AN54="CA",$AN54="NJ"),0,$G54))</f>
      </c>
      <c r="P54" s="7">
        <f>IF($B54="","",IF('Your Pay &amp; Benefits'!$C$18,0,ROUND(MAX(0,IF('Your Pay &amp; Benefits'!$C$13,SUMPRODUCT(($AH54&gt;INDEX('How This Works &amp; Sources'!$B$29:$J$36,0,IF('Your Pay &amp; Benefits'!$C$12="MFJ",1,IF('Your Pay &amp; Benefits'!$C$12="HoH",7,4))))*($AH54-INDEX('How This Works &amp; Sources'!$B$29:$J$36,0,IF('Your Pay &amp; Benefits'!$C$12="MFJ",1,IF('Your Pay &amp; Benefits'!$C$12="HoH",7,4))))*INDEX('How This Works &amp; Sources'!$B$29:$J$36,0,IF('Your Pay &amp; Benefits'!$C$12="MFJ",1,IF('Your Pay &amp; Benefits'!$C$12="HoH",7,4))+2)),SUMPRODUCT(($AH54&gt;INDEX('How This Works &amp; Sources'!$B$19:$J$26,0,IF('Your Pay &amp; Benefits'!$C$12="MFJ",1,IF('Your Pay &amp; Benefits'!$C$12="HoH",7,4))))*($AH54-INDEX('How This Works &amp; Sources'!$B$19:$J$26,0,IF('Your Pay &amp; Benefits'!$C$12="MFJ",1,IF('Your Pay &amp; Benefits'!$C$12="HoH",7,4))))*INDEX('How This Works &amp; Sources'!$B$19:$J$26,0,IF('Your Pay &amp; Benefits'!$C$12="MFJ",1,IF('Your Pay &amp; Benefits'!$C$12="HoH",7,4))+2)))/'Your Pay &amp; Benefits'!$C$8-$AO54/'Your Pay &amp; Benefits'!$C$8)+$AR54+IF('Your Pay &amp; Benefits'!$C$89="Aggregate",MAX(0,IF('Your Pay &amp; Benefits'!$C$13,SUMPRODUCT((($AH54+$D54)&gt;INDEX('How This Works &amp; Sources'!$B$29:$J$36,0,IF('Your Pay &amp; Benefits'!$C$12="MFJ",1,IF('Your Pay &amp; Benefits'!$C$12="HoH",7,4))))*(($AH54+$D54)-INDEX('How This Works &amp; Sources'!$B$29:$J$36,0,IF('Your Pay &amp; Benefits'!$C$12="MFJ",1,IF('Your Pay &amp; Benefits'!$C$12="HoH",7,4))))*INDEX('How This Works &amp; Sources'!$B$29:$J$36,0,IF('Your Pay &amp; Benefits'!$C$12="MFJ",1,IF('Your Pay &amp; Benefits'!$C$12="HoH",7,4))+2)),SUMPRODUCT((($AH54+$D54)&gt;INDEX('How This Works &amp; Sources'!$B$19:$J$26,0,IF('Your Pay &amp; Benefits'!$C$12="MFJ",1,IF('Your Pay &amp; Benefits'!$C$12="HoH",7,4))))*(($AH54+$D54)-INDEX('How This Works &amp; Sources'!$B$19:$J$26,0,IF('Your Pay &amp; Benefits'!$C$12="MFJ",1,IF('Your Pay &amp; Benefits'!$C$12="HoH",7,4))))*INDEX('How This Works &amp; Sources'!$B$19:$J$26,0,IF('Your Pay &amp; Benefits'!$C$12="MFJ",1,IF('Your Pay &amp; Benefits'!$C$12="HoH",7,4))+2)))-IF('Your Pay &amp; Benefits'!$C$13,SUMPRODUCT(($AH54&gt;INDEX('How This Works &amp; Sources'!$B$29:$J$36,0,IF('Your Pay &amp; Benefits'!$C$12="MFJ",1,IF('Your Pay &amp; Benefits'!$C$12="HoH",7,4))))*($AH54-INDEX('How This Works &amp; Sources'!$B$29:$J$36,0,IF('Your Pay &amp; Benefits'!$C$12="MFJ",1,IF('Your Pay &amp; Benefits'!$C$12="HoH",7,4))))*INDEX('How This Works &amp; Sources'!$B$29:$J$36,0,IF('Your Pay &amp; Benefits'!$C$12="MFJ",1,IF('Your Pay &amp; Benefits'!$C$12="HoH",7,4))+2)),SUMPRODUCT(($AH54&gt;INDEX('How This Works &amp; Sources'!$B$19:$J$26,0,IF('Your Pay &amp; Benefits'!$C$12="MFJ",1,IF('Your Pay &amp; Benefits'!$C$12="HoH",7,4))))*($AH54-INDEX('How This Works &amp; Sources'!$B$19:$J$26,0,IF('Your Pay &amp; Benefits'!$C$12="MFJ",1,IF('Your Pay &amp; Benefits'!$C$12="HoH",7,4))))*INDEX('How This Works &amp; Sources'!$B$19:$J$26,0,IF('Your Pay &amp; Benefits'!$C$12="MFJ",1,IF('Your Pay &amp; Benefits'!$C$12="HoH",7,4))+2)))),'How This Works &amp; Sources'!$C$10*$D54),2)))</f>
      </c>
      <c r="Q54" s="7">
        <f>IF($B54="","",ROUND('How This Works &amp; Sources'!$C$4*MIN($N54,MAX(0,'How This Works &amp; Sources'!$C$3-($AX54+$AB53-$AW54))),2))</f>
      </c>
      <c r="R54" s="7">
        <f>IF($B54="","",ROUND('How This Works &amp; Sources'!$C$5*$N54,2))</f>
      </c>
      <c r="S54" s="7">
        <f>IF($B54="","",ROUND('How This Works &amp; Sources'!$C$6*MAX(0,MIN($N54,$AG53+$N54-'How This Works &amp; Sources'!$C$7)),2))</f>
      </c>
      <c r="T54" s="7">
        <f>IF($B54="","",IF('Your Pay &amp; Benefits'!$C$26,0,IF($AN54="CA",ROUND(IF($AI54&lt;=IF(($AS54+$AT54)&gt;=2,VLOOKUP($AN54,StateTables!$A$6:$AB$56,10,FALSE),VLOOKUP($AN54,StateTables!$A$6:$AB$56,9,FALSE)),0,MAX(0,SUMPRODUCT(($AJ54&gt;INDEX('How This Works &amp; Sources'!$B$39:$J$48,0,IF($AU54="Married",4,IF($AU54="Head of household",7,1))))*($AJ54-INDEX('How This Works &amp; Sources'!$B$39:$J$48,0,IF($AU54="Married",4,IF($AU54="Head of household",7,1))))*INDEX('How This Works &amp; Sources'!$B$39:$J$48,0,IF($AU54="Married",4,IF($AU54="Head of household",7,1))+2))-VLOOKUP($AN54,StateTables!$A$6:$AB$56,11,FALSE)*$AS54)/'Your Pay &amp; Benefits'!$C$8)+'Your Pay &amp; Benefits'!$C$25+VLOOKUP($AN54,StateTables!$A$6:$AB$56,13,FALSE)*$D54,2),IF(VLOOKUP($AN54,StateTables!$A$6:$AB$56,4,FALSE)="None",0,IF(ISNUMBER(SEARCH("MANUAL",VLOOKUP($AN54,StateTables!$A$6:$AB$56,5,FALSE))),'Your Pay &amp; Benefits'!$C$28,ROUND(MAX(0,$BA54+$BB54)/'Your Pay &amp; Benefits'!$C$8+'Your Pay &amp; Benefits'!$C$25+$BC54,2))))))</f>
      </c>
      <c r="U54" s="7">
        <f>IF($B54="","",IF(VLOOKUP($AN54,StateTables!$A$6:$AB$56,24,FALSE)="flatq",IF(OR(MONTH($B54)=1,MONTH($B54)=4,MONTH($B54)=7,MONTH($B54)=10),VLOOKUP($AN54,StateTables!$A$6:$AB$56,25,FALSE),0),IF(VLOOKUP($AN54,StateTables!$A$6:$AB$56,24,FALSE)="dbl",MIN(ROUND(0.005*$N54,2),ROUND(0.6*52/'Your Pay &amp; Benefits'!$C$8,2)),IF(OR(VLOOKUP($AN54,StateTables!$A$6:$AB$56,15,FALSE)="",VLOOKUP($AN54,StateTables!$A$6:$AB$56,15,FALSE)=0),0,ROUND(VLOOKUP($AN54,StateTables!$A$6:$AB$56,15,FALSE)*IF(OR(VLOOKUP($AN54,StateTables!$A$6:$AB$56,16,FALSE)="",VLOOKUP($AN54,StateTables!$A$6:$AB$56,16,FALSE)=0),$N54,MIN($N54,MAX(0,VLOOKUP($AN54,StateTables!$A$6:$AB$56,16,FALSE)-($AX54+$AB53-$AW54)))),2))))+IF(VLOOKUP($AN54,StateTables!$A$6:$AB$56,27,FALSE)="flatq",IF(OR(MONTH($B54)=1,MONTH($B54)=4,MONTH($B54)=7,MONTH($B54)=10),VLOOKUP($AN54,StateTables!$A$6:$AB$56,28,FALSE),0),IF(VLOOKUP($AN54,StateTables!$A$6:$AB$56,27,FALSE)="dbl",MIN(ROUND(0.005*$N54,2),ROUND(0.6*52/'Your Pay &amp; Benefits'!$C$8,2)),IF(OR(VLOOKUP($AN54,StateTables!$A$6:$AB$56,18,FALSE)="",VLOOKUP($AN54,StateTables!$A$6:$AB$56,18,FALSE)=0),0,ROUND(VLOOKUP($AN54,StateTables!$A$6:$AB$56,18,FALSE)*IF(OR(VLOOKUP($AN54,StateTables!$A$6:$AB$56,19,FALSE)="",VLOOKUP($AN54,StateTables!$A$6:$AB$56,19,FALSE)=0),$N54,MIN($N54,MAX(0,VLOOKUP($AN54,StateTables!$A$6:$AB$56,19,FALSE)-($AX54+$AB53-$AW54)))),2)))))</f>
      </c>
      <c r="V54" s="7">
        <f>IF($B54="","",IF($AN54="NY",IF('Your Pay &amp; Benefits'!$C$78,ROUND(SUMPRODUCT((MAX(0,($O54-$D54)*'Your Pay &amp; Benefits'!$C$8-(IF($AU54="Married",5500,5000)+1000*$AS54))&gt;INDEX('How This Works &amp; Sources'!$B$184:$J$198,0,4))*(MAX(0,($O54-$D54)*'Your Pay &amp; Benefits'!$C$8-(IF($AU54="Married",5500,5000)+1000*$AS54))-INDEX('How This Works &amp; Sources'!$B$184:$J$198,0,4))*INDEX('How This Works &amp; Sources'!$B$184:$J$198,0,4+2))/'Your Pay &amp; Benefits'!$C$8+0.0425*$D54,2),0)+IF('Your Pay &amp; Benefits'!$C$79="Resident",ROUND(0.1675*$T54,2),IF('Your Pay &amp; Benefits'!$C$79="Nonresident",ROUND(0.005*MAX(0,($O54-$D54)-(IF($AU54="Married",7950,7400)+1000*$AS54)/'Your Pay &amp; Benefits'!$C$8),2),0)),IF($AN54="PA",IF('Your Pay &amp; Benefits'!$C$80="None",'Your Pay &amp; Benefits'!$C$27+ROUND('Your Pay &amp; Benefits'!$C$81*($C54+$D54),2),ROUND(IF('Your Pay &amp; Benefits'!$C$80="Resident",IF($B54&lt;DATE(2026,7,1),0.0374,0.03735),IF($B54&lt;DATE(2026,7,1),0.0343,0.03425))*($C54+$D54),2)),IF($BF54=0,ROUND('Your Pay &amp; Benefits'!$C$81*($C54+$D54),2),'Your Pay &amp; Benefits'!$C$27+ROUND('Your Pay &amp; Benefits'!$C$81*($C54+$D54),2)))))</f>
      </c>
      <c r="W54" s="7">
        <f>IF($B54="","",IF($BF54=0,0,$BP54))</f>
      </c>
      <c r="X54" s="7">
        <f>IF($B54="","",SUM($E54:$K54)+$P54+$Q54+$R54+$S54+$T54+$U54+$V54+$W54)</f>
      </c>
      <c r="Y54" s="22">
        <f>IF($B54="","",$C54+$D54-$X54)</f>
      </c>
      <c r="Z54" s="7">
        <f>IF($B54="","",$Z53+$C54+$D54)</f>
      </c>
      <c r="AA54" s="7">
        <f>IF($B54="","",$AA53+$Y54)</f>
      </c>
      <c r="AB54" s="7">
        <f>IF($B54="","",$AB53+MIN($N54,MAX(0,'How This Works &amp; Sources'!$C$3-($AX54+$AB53-$AW54))))</f>
      </c>
      <c r="AC54" s="7">
        <f>IF($B54="","",$AC53+$E54+$F54)</f>
      </c>
      <c r="AD54" s="3">
        <f>IF($B54="","",IF(AND($AB53&lt;'How This Works &amp; Sources'!$C$3,$AB54&gt;='How This Works &amp; Sources'!$C$3),"★ Social Security maxed on this check — from the next check your net rises by about $"&amp;TEXT(ROUND('How This Works &amp; Sources'!$C$4*$N54,2),"#,##0.00")&amp;". ","")&amp;IF(AND($AC53&lt;'Your Pay &amp; Benefits'!$C$34,$AC54&gt;='Your Pay &amp; Benefits'!$C$34),"★ 401(k) reaches the $"&amp;TEXT('Your Pay &amp; Benefits'!$C$34,"#,##0")&amp;" cap on this check — deferrals stop and net pay rises. ","")&amp;IF(AND($AG53&lt;'How This Works &amp; Sources'!$C$7,$AG54&gt;='How This Works &amp; Sources'!$C$7),"★ Wages pass $200,000 — the 0.9% Additional Medicare Tax starts here. ","")&amp;IF(AND($BJ54&gt;0,$H54&gt;0,$BG53&lt;MIN($BJ54,'How This Works &amp; Sources'!$C$13),$BG53+$H54&gt;=MIN($BJ54,'How This Works &amp; Sources'!$C$13)),"★ Health FSA election is now fully deferred for the year. ",""))</f>
      </c>
      <c r="AE54" s="41" t="n"/>
      <c r="AF54" s="7">
        <f>IF(OR($B54="",$AE54=""),"",$AE54-$Y54)</f>
      </c>
      <c r="AG54" s="7">
        <f>IF($B54="","",$AG53+$N54)</f>
      </c>
      <c r="AH54" s="7">
        <f>IF($B54="","",MAX(0,($M54-$D54)*'Your Pay &amp; Benefits'!$C$8+$AP54-$AQ54-IF('Your Pay &amp; Benefits'!$C$13,0,IF('Your Pay &amp; Benefits'!$C$12="MFJ",'How This Works &amp; Sources'!$C$8,'How This Works &amp; Sources'!$C$9))))</f>
      </c>
      <c r="AI54" s="7">
        <f>IF($B54="","",$O54*'Your Pay &amp; Benefits'!$C$8)</f>
      </c>
      <c r="AJ54" s="7">
        <f>IF($B54="","",MAX(0,$AI54-VLOOKUP($AN54,StateTables!$A$6:$AB$56,12,FALSE)*$AT54-IF(($AS54+$AT54)&gt;=2,VLOOKUP($AN54,StateTables!$A$6:$AB$56,8,FALSE),VLOOKUP($AN54,StateTables!$A$6:$AB$56,7,FALSE))))</f>
      </c>
      <c r="AK54" s="7">
        <f>IF($B54="","",IFERROR(LOOKUP(2,1/(('Changes &amp; Events'!$C$6:$C$17="Salary change")*('Changes &amp; Events'!$B$6:$B$17&lt;=$B54)*('Changes &amp; Events'!$B$6:$B$17&lt;&gt;"")),'Changes &amp; Events'!$D$6:$D$17),IF('Your Pay &amp; Benefits'!$C$4="Annual salary",'Your Pay &amp; Benefits'!$C$5,'Your Pay &amp; Benefits'!$C$6)))</f>
      </c>
      <c r="AL54">
        <f>IF($B54="","",IFERROR(LOOKUP(2,1/(('Changes &amp; Events'!$C$6:$C$17="401(k) change")*('Changes &amp; Events'!$B$6:$B$17&lt;=$B54)*('Changes &amp; Events'!$B$6:$B$17&lt;&gt;"")),'Changes &amp; Events'!$D$6:$D$17),'Your Pay &amp; Benefits'!$C$30))</f>
      </c>
      <c r="AM54" s="7">
        <f>IF($B54="","",IFERROR(LOOKUP(2,1/(('Changes &amp; Events'!$C$6:$C$17="401(k) change")*('Changes &amp; Events'!$B$6:$B$17&lt;=$B54)*('Changes &amp; Events'!$B$6:$B$17&lt;&gt;"")),'Changes &amp; Events'!$E$6:$E$17),'Your Pay &amp; Benefits'!$D$31))</f>
      </c>
      <c r="AN54">
        <f>IF($B54="","",IFERROR(LOOKUP(2,1/(('Changes &amp; Events'!$C$6:$C$17="State move")*('Changes &amp; Events'!$B$6:$B$17&lt;=$B54)*('Changes &amp; Events'!$B$6:$B$17&lt;&gt;"")),'Changes &amp; Events'!$D$6:$D$17),'Your Pay &amp; Benefits'!$C$21))</f>
      </c>
      <c r="AO54" s="7">
        <f>IF($B54="","",IFERROR(LOOKUP(2,1/(('Changes &amp; Events'!$C$6:$C$17="W-4 change")*('Changes &amp; Events'!$B$6:$B$17&lt;=$B54)*('Changes &amp; Events'!$B$6:$B$17&lt;&gt;"")),'Changes &amp; Events'!$D$6:$D$17),'Your Pay &amp; Benefits'!$C$14))</f>
      </c>
      <c r="AP54" s="7">
        <f>IF($B54="","",IFERROR(LOOKUP(2,1/(('Changes &amp; Events'!$C$6:$C$17="W-4 change")*('Changes &amp; Events'!$B$6:$B$17&lt;=$B54)*('Changes &amp; Events'!$B$6:$B$17&lt;&gt;"")),'Changes &amp; Events'!$E$6:$E$17),'Your Pay &amp; Benefits'!$C$15))</f>
      </c>
      <c r="AQ54" s="7">
        <f>IF($B54="","",IFERROR(LOOKUP(2,1/(('Changes &amp; Events'!$C$6:$C$17="W-4 change")*('Changes &amp; Events'!$B$6:$B$17&lt;=$B54)*('Changes &amp; Events'!$B$6:$B$17&lt;&gt;"")),'Changes &amp; Events'!$F$6:$F$17),'Your Pay &amp; Benefits'!$C$16))</f>
      </c>
      <c r="AR54" s="7">
        <f>IF($B54="","",IFERROR(LOOKUP(2,1/(('Changes &amp; Events'!$C$6:$C$17="W-4 change")*('Changes &amp; Events'!$B$6:$B$17&lt;=$B54)*('Changes &amp; Events'!$B$6:$B$17&lt;&gt;"")),'Changes &amp; Events'!$G$6:$G$17),'Your Pay &amp; Benefits'!$C$17))</f>
      </c>
      <c r="AS54" s="6">
        <f>IF($B54="","",IFERROR(LOOKUP(2,1/((('Changes &amp; Events'!$C$6:$C$17="State move")+('Changes &amp; Events'!$C$6:$C$17="State cert change"))*('Changes &amp; Events'!$B$6:$B$17&lt;=$B54)*('Changes &amp; Events'!$B$6:$B$17&lt;&gt;"")),'Changes &amp; Events'!$F$6:$F$17),'Your Pay &amp; Benefits'!$C$23))</f>
      </c>
      <c r="AT54" s="6">
        <f>IF($B54="","",IFERROR(LOOKUP(2,1/((('Changes &amp; Events'!$C$6:$C$17="State move")+('Changes &amp; Events'!$C$6:$C$17="State cert change"))*('Changes &amp; Events'!$B$6:$B$17&lt;=$B54)*('Changes &amp; Events'!$B$6:$B$17&lt;&gt;"")),'Changes &amp; Events'!$G$6:$G$17),'Your Pay &amp; Benefits'!$C$24))</f>
      </c>
      <c r="AU54">
        <f>IF($B54="","",IFERROR(LOOKUP(2,1/(('Changes &amp; Events'!$C$6:$C$17="State move")*('Changes &amp; Events'!$B$6:$B$17&lt;=$B54)*('Changes &amp; Events'!$B$6:$B$17&lt;&gt;"")),'Changes &amp; Events'!$E$6:$E$17),'Your Pay &amp; Benefits'!$C$22))</f>
      </c>
      <c r="AV54" s="6">
        <f>IF($B54="","",1+COUNTIFS('Changes &amp; Events'!$C$6:$C$17,"Employer change",'Changes &amp; Events'!$B$6:$B$17,"&lt;="&amp;$B54,'Changes &amp; Events'!$B$6:$B$17,"&lt;&gt;"))</f>
      </c>
      <c r="AW54" s="7">
        <f>IF($B54="","",IF($AV54=1,'Your Pay &amp; Benefits'!$C$49,IF(IFERROR(MATCH(IFERROR(LOOKUP(2,1/(('Changes &amp; Events'!$C$6:$C$17="Employer change")*('Changes &amp; Events'!$B$6:$B$17&lt;=$B54)*('Changes &amp; Events'!$B$6:$B$17&lt;&gt;"")),'Changes &amp; Events'!$B$6:$B$17),""),$B$6:$B$68,1),1)&lt;=1,'Your Pay &amp; Benefits'!$C$49,INDEX($AB$6:$AB$68,MATCH(IFERROR(LOOKUP(2,1/(('Changes &amp; Events'!$C$6:$C$17="Employer change")*('Changes &amp; Events'!$B$6:$B$17&lt;=$B54)*('Changes &amp; Events'!$B$6:$B$17&lt;&gt;"")),'Changes &amp; Events'!$B$6:$B$17),""),$B$6:$B$68,1)-1))))</f>
      </c>
      <c r="AX54" s="7">
        <f>IF($B54="","",IF($AV54=1,'Your Pay &amp; Benefits'!$C$49,IFERROR(LOOKUP(2,1/(('Changes &amp; Events'!$C$6:$C$17="Employer change")*('Changes &amp; Events'!$B$6:$B$17&lt;=$B54)*('Changes &amp; Events'!$B$6:$B$17&lt;&gt;"")),'Changes &amp; Events'!$D$6:$D$17),0)))</f>
      </c>
      <c r="AY54" s="7">
        <f>IF($B54="","",($O54-$D54)*'Your Pay &amp; Benefits'!$C$8)</f>
      </c>
      <c r="AZ54" s="7">
        <f>IF($B54="","",IF($AN54="AL",MAX(0,$AY54-IF($AU54="Married",IF($AY54&lt;=25999,8500,MAX(5000,8500-175*CEILING(($AY54-25999)/500,1))),IF($AU54="Head of household",IF($AY54&lt;=25999,5200,MAX(2500,5200-135*CEILING(($AY54-25999)/500,1))),IF($AY54&lt;=25999,3000,MAX(2500,3000-25*CEILING(($AY54-25999)/500,1)))))-($P54-'How This Works &amp; Sources'!$C$10*$D54)*'Your Pay &amp; Benefits'!$C$8-IF(OR($AU54="Married",$AU54="Head of household"),3000,1500)-$AT54*IF($AY54&lt;=50000,1000,IF($AY54&lt;=100000,500,300))),IF($AN54="AR",IF(MAX(0,$AY54-2470)&lt;97701,INT(MAX(0,$AY54-2470)/100)*100+50,MAX(0,$AY54-2470)),IF($AN54="DE",MAX(0,$AI54-3250),IF($AN54="HI",MAX(0,$AI54-1144*$AS54-4350),IF($AN54="KS",MAX(0,$AI54-(9160*IF($AU54="Married",2,1)+2320*$AT54+IF($AU54="Head of household",2320,0))),IF($AN54="MD",MAX(0,$AI54-3400-3200*$AS54),IF($AN54="MN",MAX(0,$AY54-5300*$AS54),IF($AN54="MO",MAX(0,$AI54-IF($AU54="Head of household",24150,IF($AU54="Married",IF('Your Pay &amp; Benefits'!$C$83,16100,32200),16100))),IF($AN54="MT",$AY54,IF($AN54="ND",($C54+$L54)*'Your Pay &amp; Benefits'!$C$8,IF($AN54="NE",MAX(0,$AY54-2440*$AS54),IF($AN54="NJ",MAX(0,$AY54-1000*$AS54),IF($AN54="NY",MAX(0,$AY54-(IF($AU54="Married",7950,7400)+1000*$AS54)),IF($AN54="OH",MAX(0,$AY54-650*$AS54),IF($AN54="OK",MAX(0,$AY54-1000*$AS54),IF($AN54="RI",MAX(0,$AI54-1000*$AS54),IF($AN54="SC",MAX(0,$AI54-5000*$AS54-IF($AS54=0,0,MIN(0.1*$AI54,7500))),IF($AN54="VA",MAX(0,$AI54-IF($AU54="Married",17500,8750)-930*$AS54-800*$AT54),IF($AN54="VT",MAX(0,$AI54-5400*$AS54),IF($AN54="WI",MAX(0,$AI54-MAX(0,IF($AU54="Married",9461-0.2*MAX(0,$AI54-25727),6702-0.12*MAX(0,$AI54-17780)))-400*$AS54),IF($AN54="WV",MAX(0,$AI54-2000*$AS54),$AI54))))))))))))))))))))))</f>
      </c>
      <c r="BA54" s="7">
        <f>IF($B54="","",IF($BW54&lt;&gt;"",$BW54,IF($BX54&lt;&gt;"",$BX54,IF($BY54&lt;&gt;"",$BY54,0))))</f>
      </c>
      <c r="BB54" s="7">
        <f>IF($B54="","",IF($AN54="AR",-29*$AS54,IF($AN54="DE",-110*$AS54,IF($AN54="MD",$AZ54*'Your Pay &amp; Benefits'!$C$74,IF($AN54="AZ",'Your Pay &amp; Benefits'!$C$82*($M54-$D54)*'Your Pay &amp; Benefits'!$C$8,IF($AN54="CO",0.044*MAX(0,$AY54-IF($AU54="Married",10000,5000)),IF($AN54="IA",MAX(0,0.038*MAX(0,$AY54-IF($AU54="Head of household",19500,IF($AU54="Married",26000,13000)))-40*$AS54),IF($AN54="ID",0.053*MAX(0,$AY54-IF($AU54="Married",32000,16094)),IF($AN54="IL",0.0495*MAX(0,$AY54-(2925*$AS54+1000*$AT54)),IF($AN54="IN",(0.0295+'Your Pay &amp; Benefits'!$C$76)*MAX(0,$AY54-(1000*$AS54+1500*$AT54+3000*'Your Pay &amp; Benefits'!$C$86)),IF($AN54="KY",0.035*MAX(0,$AI54-3360),IF($AN54="LA",IF('Your Pay &amp; Benefits'!$C$84="0",0.0309*$AI54,0.0309*MAX(0,$AI54-IF('Your Pay &amp; Benefits'!$C$84="2",25750,12875))),IF($AN54="MA",0.05*MIN(MAX(0,$AY54-MIN(($BD53+$Q54+$R54+$S54),2000)-IF($AS54=0,0,IF($AS54=1,4400,1000*$AS54+3400))),1107750)+0.09*MAX(0,MAX(0,$AY54-MIN(($BD53+$Q54+$R54+$S54),2000)-IF($AS54=0,0,IF($AS54=1,4400,1000*$AS54+3400)))-1107750)-IF($AU54="Head of household",120,0)-110*'Your Pay &amp; Benefits'!$C$75,IF($AN54="MI",0.0425*MAX(0,$AY54-5900*$AS54),IF($AN54="MS",0.04*MAX(0,$AI54-IF($AU54="Head of household",3400,IF($AU54="Married",4600,2300))-'Your Pay &amp; Benefits'!$C$85-10000),IF($AN54="OR",IF(OR($AU54="Married",AND($AU54="Single",$AS54&gt;=3)),SUMPRODUCT((MAX(0,$AY54-MIN(($P54-'How This Works &amp; Sources'!$C$10*$D54)*'Your Pay &amp; Benefits'!$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Sources'!$B$211:$J$214,0,4))*(MAX(0,$AY54-MIN(($P54-'How This Works &amp; Sources'!$C$10*$D54)*'Your Pay &amp; Benefits'!$C$8,IF(OR($AU54="Married",AND($AU54="Single",$AS54&gt;=3)),IF($AY54&lt;250000,8750,IF($AY54&lt;260000,7000,IF($AY54&lt;270000,5250,IF($AY54&lt;280000,3500,IF($AY54&lt;290000,1750,0))))),IF($AY54&lt;125000,8750,IF($AY54&lt;130000,7000,IF($AY54&lt;135000,5250,IF($AY54&lt;140000,3500,IF($AY54&lt;145000,1750,0)))))))-IF(OR($AU54="Married",AND($AU54="Single",$AS54&gt;=3)),5820,2910))-INDEX('How This Works &amp; Sources'!$B$211:$J$214,0,4))*INDEX('How This Works &amp; Sources'!$B$211:$J$214,0,4+2)),SUMPRODUCT((MAX(0,$AY54-MIN(($P54-'How This Works &amp; Sources'!$C$10*$D54)*'Your Pay &amp; Benefits'!$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Sources'!$B$211:$J$214,0,1))*(MAX(0,$AY54-MIN(($P54-'How This Works &amp; Sources'!$C$10*$D54)*'Your Pay &amp; Benefits'!$C$8,IF(OR($AU54="Married",AND($AU54="Single",$AS54&gt;=3)),IF($AY54&lt;250000,8750,IF($AY54&lt;260000,7000,IF($AY54&lt;270000,5250,IF($AY54&lt;280000,3500,IF($AY54&lt;290000,1750,0))))),IF($AY54&lt;125000,8750,IF($AY54&lt;130000,7000,IF($AY54&lt;135000,5250,IF($AY54&lt;140000,3500,IF($AY54&lt;145000,1750,0)))))))-IF(OR($AU54="Married",AND($AU54="Single",$AS54&gt;=3)),5820,2910))-INDEX('How This Works &amp; Sources'!$B$211:$J$214,0,1))*INDEX('How This Works &amp; Sources'!$B$211:$J$214,0,1+2)))+263-263*IF(IF($AU54="Married",$AY54&gt;200000,$AY54&gt;100000),0,$AS54),IF($AN54="PA",0.0307*(($O54+$E54+$G54)*'Your Pay &amp; Benefits'!$C$8),IF($AN54="NY",IF($AU54="Married",IF($AZ54&gt;=2155350,0,IF($AZ54&gt;=1077550,0.48,IF($AZ54&gt;=373200,1.21,IF($AZ54&gt;=323200,0.21,IF($AZ54&gt;=211550,-0.19,IF($AZ54&gt;=157650,-2.8,IF($AZ54&gt;=107650,-0.8,IF($AZ54&gt;=96800,0.05,IF($AZ54&gt;=80650,-0.1,IF($AZ54&gt;=13900,0.4,IF($AZ54&gt;=11700,-0.3,IF($AZ54&gt;=8500,0.5,0)))))))))))),IF($AZ54&gt;=1077550,0,IF($AZ54&gt;=265400,4.29,IF($AZ54&gt;=215400,2.29,IF($AZ54&gt;=157650,2.29,IF($AZ54&gt;=107650,0.29,IF($AZ54&gt;=96800,0.05,IF($AZ54&gt;=80650,-0.1,IF($AZ54&gt;=13900,0.4,IF($AZ54&gt;=11700,-0.3,IF($AZ54&gt;=8500,0.5,0))))))))))),0))))))))))))))))))</f>
      </c>
      <c r="BC54" s="7">
        <f>IF($B54="","",IF($AN54="AL",0.05*$D54,IF($AN54="AR",0.039*$D54,IF($AN54="ID",0.053*$D54,IF($AN54="IN",(0.0295+'Your Pay &amp; Benefits'!$C$76)*$D54,IF($AN54="KS",0.05*$D54,IF($AN54="MA",0.09*MIN($D54,MAX(0,MAX(0,$AY54-MIN(($BD53+$Q54+$R54+$S54),2000)-IF($AS54=0,0,IF($AS54=1,4400,1000*$AS54+3400)))+$D54-1107750))+0.05*($D54-MIN($D54,MAX(0,MAX(0,$AY54-MIN(($BD53+$Q54+$R54+$S54),2000)-IF($AS54=0,0,IF($AS54=1,4400,1000*$AS54+3400)))+$D54-1107750))),IF($AN54="MD",(0.065+'Your Pay &amp; Benefits'!$C$74)*$D54,IF($AN54="MI",0.0425*$D54,IF($AN54="MN",0.0625*$D54,IF($AN54="MO",0.047*$D54,IF($AN54="MT",0.05*$D54,IF($AN54="ND",0.015*$D54,IF($AN54="NE",0.035*$D54,IF($AN54="NJ",IF('Your Pay &amp; Benefits'!$C$77="B",SUMPRODUCT(($D54*'Your Pay &amp; Benefits'!$C$8&gt;INDEX('How This Works &amp; Sources'!$B$155:$J$162,0,4))*($D54*'Your Pay &amp; Benefits'!$C$8-INDEX('How This Works &amp; Sources'!$B$155:$J$162,0,4))*INDEX('How This Works &amp; Sources'!$B$155:$J$162,0,4+2)),IF('Your Pay &amp; Benefits'!$C$77="C",SUMPRODUCT(($D54*'Your Pay &amp; Benefits'!$C$8&gt;INDEX('How This Works &amp; Sources'!$B$155:$J$162,0,7))*($D54*'Your Pay &amp; Benefits'!$C$8-INDEX('How This Works &amp; Sources'!$B$155:$J$162,0,7))*INDEX('How This Works &amp; Sources'!$B$155:$J$162,0,7+2)),IF('Your Pay &amp; Benefits'!$C$77="D",SUMPRODUCT(($D54*'Your Pay &amp; Benefits'!$C$8&gt;INDEX('How This Works &amp; Sources'!$B$167:$J$179,0,1))*($D54*'Your Pay &amp; Benefits'!$C$8-INDEX('How This Works &amp; Sources'!$B$167:$J$179,0,1))*INDEX('How This Works &amp; Sources'!$B$167:$J$179,0,1+2)),IF('Your Pay &amp; Benefits'!$C$77="E",SUMPRODUCT(($D54*'Your Pay &amp; Benefits'!$C$8&gt;INDEX('How This Works &amp; Sources'!$B$167:$J$179,0,4))*($D54*'Your Pay &amp; Benefits'!$C$8-INDEX('How This Works &amp; Sources'!$B$167:$J$179,0,4))*INDEX('How This Works &amp; Sources'!$B$167:$J$179,0,4+2)),SUMPRODUCT(($D54*'Your Pay &amp; Benefits'!$C$8&gt;INDEX('How This Works &amp; Sources'!$B$155:$J$162,0,1))*($D54*'Your Pay &amp; Benefits'!$C$8-INDEX('How This Works &amp; Sources'!$B$155:$J$162,0,1))*INDEX('How This Works &amp; Sources'!$B$155:$J$162,0,1+2))))))/'Your Pay &amp; Benefits'!$C$8,IF($AN54="NY",0.117*$D54,IF($AN54="OH",0.0275*$D54,IF($AN54="OK",0.045*$D54,IF($AN54="OR",0.08*$D54,IF($AN54="WI",IF($AY54&lt;12760,0.0354,IF($AY54&lt;25520,0.0465,IF($AY54&lt;280950,0.053,0.0765)))*$D54,0))))))))))))))))))))</f>
      </c>
      <c r="BD54" s="7">
        <f>IF($B54="","",$BD53+$Q54+$R54+$S54)</f>
      </c>
      <c r="BE54" s="6">
        <f>IF($B54="",$BE53,$BE53+$BF54)</f>
      </c>
      <c r="BF54" s="6">
        <f>IF($B54="","",IF(AND(IF(YEAR(IF('Your Pay &amp; Benefits'!$C$7="Weekly",'Your Pay &amp; Benefits'!$C$9+7*(($BE53+1)-1),IF('Your Pay &amp; Benefits'!$C$7="Biweekly",'Your Pay &amp; Benefits'!$C$9+14*(($BE53+1)-1),IF('Your Pay &amp; Benefits'!$C$7="Semimonthly",DATE(YEAR('Your Pay &amp; Benefits'!$C$9),MONTH('Your Pay &amp; Benefits'!$C$9)+INT((($BE53+1)-1)/2),MIN(DAY('Your Pay &amp; Benefits'!$C$9),DAY(EOMONTH(DATE(YEAR('Your Pay &amp; Benefits'!$C$9),MONTH('Your Pay &amp; Benefits'!$C$9)+INT((($BE53+1)-1)/2),1),0))))+IF(MOD(($BE53+1)-1,2)=1,15,0),EDATE('Your Pay &amp; Benefits'!$C$9,($BE53+1)-1)))))&lt;&gt;'Your Pay &amp; Benefits'!$C$10,"",IF('Your Pay &amp; Benefits'!$C$7="Weekly",'Your Pay &amp; Benefits'!$C$9+7*(($BE53+1)-1),IF('Your Pay &amp; Benefits'!$C$7="Biweekly",'Your Pay &amp; Benefits'!$C$9+14*(($BE53+1)-1),IF('Your Pay &amp; Benefits'!$C$7="Semimonthly",DATE(YEAR('Your Pay &amp; Benefits'!$C$9),MONTH('Your Pay &amp; Benefits'!$C$9)+INT((($BE53+1)-1)/2),MIN(DAY('Your Pay &amp; Benefits'!$C$9),DAY(EOMONTH(DATE(YEAR('Your Pay &amp; Benefits'!$C$9),MONTH('Your Pay &amp; Benefits'!$C$9)+INT((($BE53+1)-1)/2),1),0))))+IF(MOD(($BE53+1)-1,2)=1,15,0),EDATE('Your Pay &amp; Benefits'!$C$9,($BE53+1)-1)))))&lt;&gt;"",$B54=IF(YEAR(IF('Your Pay &amp; Benefits'!$C$7="Weekly",'Your Pay &amp; Benefits'!$C$9+7*(($BE53+1)-1),IF('Your Pay &amp; Benefits'!$C$7="Biweekly",'Your Pay &amp; Benefits'!$C$9+14*(($BE53+1)-1),IF('Your Pay &amp; Benefits'!$C$7="Semimonthly",DATE(YEAR('Your Pay &amp; Benefits'!$C$9),MONTH('Your Pay &amp; Benefits'!$C$9)+INT((($BE53+1)-1)/2),MIN(DAY('Your Pay &amp; Benefits'!$C$9),DAY(EOMONTH(DATE(YEAR('Your Pay &amp; Benefits'!$C$9),MONTH('Your Pay &amp; Benefits'!$C$9)+INT((($BE53+1)-1)/2),1),0))))+IF(MOD(($BE53+1)-1,2)=1,15,0),EDATE('Your Pay &amp; Benefits'!$C$9,($BE53+1)-1)))))&lt;&gt;'Your Pay &amp; Benefits'!$C$10,"",IF('Your Pay &amp; Benefits'!$C$7="Weekly",'Your Pay &amp; Benefits'!$C$9+7*(($BE53+1)-1),IF('Your Pay &amp; Benefits'!$C$7="Biweekly",'Your Pay &amp; Benefits'!$C$9+14*(($BE53+1)-1),IF('Your Pay &amp; Benefits'!$C$7="Semimonthly",DATE(YEAR('Your Pay &amp; Benefits'!$C$9),MONTH('Your Pay &amp; Benefits'!$C$9)+INT((($BE53+1)-1)/2),MIN(DAY('Your Pay &amp; Benefits'!$C$9),DAY(EOMONTH(DATE(YEAR('Your Pay &amp; Benefits'!$C$9),MONTH('Your Pay &amp; Benefits'!$C$9)+INT((($BE53+1)-1)/2),1),0))))+IF(MOD(($BE53+1)-1,2)=1,15,0),EDATE('Your Pay &amp; Benefits'!$C$9,($BE53+1)-1)))))),1,0))</f>
      </c>
      <c r="BG54" s="7">
        <f>IF($B54="","",$BG53+$H54)</f>
      </c>
      <c r="BH54" s="7">
        <f>IF($B54="","",$BH53+$I54)</f>
      </c>
      <c r="BI54" s="7">
        <f>IF($B54="","",$BI53+$G54)</f>
      </c>
      <c r="BJ54" s="7">
        <f>IF($B54="","",IFERROR(LOOKUP(2,1/(((('Changes &amp; Events'!$C$6:$C$17="Deduction start"))*('Changes &amp; Events'!$D$6:$D$17="Health FSA"))*('Changes &amp; Events'!$B$6:$B$17&lt;=$B54)*('Changes &amp; Events'!$B$6:$B$17&lt;&gt;"")),'Changes &amp; Events'!$E$6:$E$17),'Your Pay &amp; Benefits'!$D$38))</f>
      </c>
      <c r="BK54" s="7">
        <f>IF($B54="","",IFERROR(LOOKUP(2,1/(((('Changes &amp; Events'!$C$6:$C$17="Deduction start"))*('Changes &amp; Events'!$D$6:$D$17="Dependent-care FSA"))*('Changes &amp; Events'!$B$6:$B$17&lt;=$B54)*('Changes &amp; Events'!$B$6:$B$17&lt;&gt;"")),'Changes &amp; Events'!$E$6:$E$17),'Your Pay &amp; Benefits'!$D$39))</f>
      </c>
      <c r="BL54" s="7">
        <f>IF($B54="","",IFERROR(LOOKUP(2,1/(((('Changes &amp; Events'!$C$6:$C$17="Deduction start")+('Changes &amp; Events'!$C$6:$C$17="Deduction stop"))*('Changes &amp; Events'!$D$6:$D$17="HSA"))*('Changes &amp; Events'!$B$6:$B$17&lt;=$B54)*('Changes &amp; Events'!$B$6:$B$17&lt;&gt;"")),'Changes &amp; Events'!$I$6:$I$17),'Your Pay &amp; Benefits'!$D$35))</f>
      </c>
      <c r="BM54" s="7">
        <f>IF($B54="","",IFERROR(LOOKUP(2,1/(((('Changes &amp; Events'!$C$6:$C$17="Deduction start")+('Changes &amp; Events'!$C$6:$C$17="Deduction stop"))*('Changes &amp; Events'!$D$6:$D$17="Premiums"))*('Changes &amp; Events'!$B$6:$B$17&lt;=$B54)*('Changes &amp; Events'!$B$6:$B$17&lt;&gt;"")),'Changes &amp; Events'!$I$6:$I$17),'Your Pay &amp; Benefits'!$D$40+'Your Pay &amp; Benefits'!$D$41+'Your Pay &amp; Benefits'!$D$42))</f>
      </c>
      <c r="BN54" s="7">
        <f>IF($B54="","",IFERROR(LOOKUP(2,1/(((('Changes &amp; Events'!$C$6:$C$17="Deduction start")+('Changes &amp; Events'!$C$6:$C$17="Deduction stop"))*('Changes &amp; Events'!$D$6:$D$17="Commuter"))*('Changes &amp; Events'!$B$6:$B$17&lt;=$B54)*('Changes &amp; Events'!$B$6:$B$17&lt;&gt;"")),'Changes &amp; Events'!$I$6:$I$17),'Your Pay &amp; Benefits'!$D$43))</f>
      </c>
      <c r="BO54" s="7">
        <f>IF($B54="","",IFERROR(LOOKUP(2,1/(((('Changes &amp; Events'!$C$6:$C$17="Deduction start")+('Changes &amp; Events'!$C$6:$C$17="Deduction stop"))*('Changes &amp; Events'!$D$6:$D$17="Other pre-tax"))*('Changes &amp; Events'!$B$6:$B$17&lt;=$B54)*('Changes &amp; Events'!$B$6:$B$17&lt;&gt;"")),'Changes &amp; Events'!$I$6:$I$17),'Your Pay &amp; Benefits'!$D$44))</f>
      </c>
      <c r="BP54" s="7">
        <f>IF($B54="","",IFERROR(LOOKUP(2,1/(((('Changes &amp; Events'!$C$6:$C$17="Deduction start")+('Changes &amp; Events'!$C$6:$C$17="Deduction stop"))*('Changes &amp; Events'!$D$6:$D$17="Other post-tax"))*('Changes &amp; Events'!$B$6:$B$17&lt;=$B54)*('Changes &amp; Events'!$B$6:$B$17&lt;&gt;"")),'Changes &amp; Events'!$I$6:$I$17),'Your Pay &amp; Benefits'!$D$45))</f>
      </c>
      <c r="BQ54" s="6">
        <f>IF($B54="","",IFERROR(LOOKUP(2,1/(((('Changes &amp; Events'!$C$6:$C$17="Deduction start")+('Changes &amp; Events'!$C$6:$C$17="Deduction stop"))*('Changes &amp; Events'!$D$6:$D$17="Health FSA"))*('Changes &amp; Events'!$B$6:$B$17&lt;=$B54)*('Changes &amp; Events'!$B$6:$B$17&lt;&gt;"")),'Changes &amp; Events'!$J$6:$J$17),0))</f>
      </c>
      <c r="BR54" s="6">
        <f>IF($B54="","",IFERROR(LOOKUP(2,1/(((('Changes &amp; Events'!$C$6:$C$17="Deduction start")+('Changes &amp; Events'!$C$6:$C$17="Deduction stop"))*('Changes &amp; Events'!$D$6:$D$17="Dependent-care FSA"))*('Changes &amp; Events'!$B$6:$B$17&lt;=$B54)*('Changes &amp; Events'!$B$6:$B$17&lt;&gt;"")),'Changes &amp; Events'!$J$6:$J$17),0))</f>
      </c>
      <c r="BS54" s="6">
        <f>IF($B54="","",IF(SUMPRODUCT(('Changes &amp; Events'!$C$6:$C$17="Deduction start")*('Changes &amp; Events'!$B$6:$B$17&lt;=$B54)*('Changes &amp; Events'!$B$6:$B$17&lt;&gt;"")*('Changes &amp; Events'!$D$6:$D$17="Health FSA"))&gt;0,1,0))</f>
      </c>
      <c r="BT54" s="6">
        <f>IF($B54="","",IF(SUMPRODUCT(('Changes &amp; Events'!$C$6:$C$17="Deduction start")*('Changes &amp; Events'!$B$6:$B$17&lt;=$B54)*('Changes &amp; Events'!$B$6:$B$17&lt;&gt;"")*('Changes &amp; Events'!$D$6:$D$17="Dependent-care FSA"))&gt;0,1,0))</f>
      </c>
      <c r="BU54" s="24">
        <f>IF($B54="","",IF('Your Pay &amp; Benefits'!$C$13,SUMPRODUCT(($AH54&gt;=INDEX('How This Works &amp; Sources'!$B$29:$J$36,0,IF('Your Pay &amp; Benefits'!$C$12="MFJ",1,IF('Your Pay &amp; Benefits'!$C$12="HoH",7,4))))*INDEX('How This Works &amp; Sources'!$B$29:$J$36,0,IF('Your Pay &amp; Benefits'!$C$12="MFJ",1,IF('Your Pay &amp; Benefits'!$C$12="HoH",7,4))+2)),SUMPRODUCT(($AH54&gt;=INDEX('How This Works &amp; Sources'!$B$19:$J$26,0,IF('Your Pay &amp; Benefits'!$C$12="MFJ",1,IF('Your Pay &amp; Benefits'!$C$12="HoH",7,4))))*INDEX('How This Works &amp; Sources'!$B$19:$J$26,0,IF('Your Pay &amp; Benefits'!$C$12="MFJ",1,IF('Your Pay &amp; Benefits'!$C$12="HoH",7,4))+2))))</f>
      </c>
      <c r="BV54" s="24">
        <f>IF($B54="","",IF($BZ54&lt;&gt;"",$BZ54,IF($CA54&lt;&gt;"",$CA54,IF($CB54&lt;&gt;"",$CB54,IF($CC54&lt;&gt;"",$CC54,0)))))</f>
      </c>
      <c r="BW54" s="7">
        <f>IF($B54="","",IF($AN54="MD",IF(OR($AU54="Married",$AU54="Head of household"),SUMPRODUCT(($AZ54&gt;INDEX('How This Works &amp; Sources'!$B$114:$J$120,0,1))*($AZ54-INDEX('How This Works &amp; Sources'!$B$114:$J$120,0,1))*INDEX('How This Works &amp; Sources'!$B$114:$J$120,0,1+2)),SUMPRODUCT(($AZ54&gt;INDEX('How This Works &amp; Sources'!$B$103:$J$109,0,7))*($AZ54-INDEX('How This Works &amp; Sources'!$B$103:$J$109,0,7))*INDEX('How This Works &amp; Sources'!$B$103:$J$109,0,7+2))),IF($AN54="MO",SUMPRODUCT(($AZ54&gt;INDEX('How This Works &amp; Sources'!$B$125:$J$132,0,1))*($AZ54-INDEX('How This Works &amp; Sources'!$B$125:$J$132,0,1))*INDEX('How This Works &amp; Sources'!$B$125:$J$132,0,1+2)),IF($AN54="MT",IF($AU54="Head of household",SUMPRODUCT(($AZ54&gt;INDEX('How This Works &amp; Sources'!$B$137:$J$139,0,1))*($AZ54-INDEX('How This Works &amp; Sources'!$B$137:$J$139,0,1))*INDEX('How This Works &amp; Sources'!$B$137:$J$139,0,1+2)),IF($AU54="Married",SUMPRODUCT(($AZ54&gt;INDEX('How This Works &amp; Sources'!$B$125:$J$132,0,7))*($AZ54-INDEX('How This Works &amp; Sources'!$B$125:$J$132,0,7))*INDEX('How This Works &amp; Sources'!$B$125:$J$132,0,7+2)),SUMPRODUCT(($AZ54&gt;INDEX('How This Works &amp; Sources'!$B$125:$J$132,0,4))*($AZ54-INDEX('How This Works &amp; Sources'!$B$125:$J$132,0,4))*INDEX('How This Works &amp; Sources'!$B$125:$J$132,0,4+2)))),IF($AN54="ND",IF($AU54="Head of household",SUMPRODUCT(($AZ54&gt;INDEX('How This Works &amp; Sources'!$B$144:$J$150,0,1))*($AZ54-INDEX('How This Works &amp; Sources'!$B$144:$J$150,0,1))*INDEX('How This Works &amp; Sources'!$B$144:$J$150,0,1+2)),IF($AU54="Married",SUMPRODUCT(($AZ54&gt;INDEX('How This Works &amp; Sources'!$B$137:$J$139,0,7))*($AZ54-INDEX('How This Works &amp; Sources'!$B$137:$J$139,0,7))*INDEX('How This Works &amp; Sources'!$B$137:$J$139,0,7+2)),SUMPRODUCT(($AZ54&gt;INDEX('How This Works &amp; Sources'!$B$137:$J$139,0,4))*($AZ54-INDEX('How This Works &amp; Sources'!$B$137:$J$139,0,4))*INDEX('How This Works &amp; Sources'!$B$137:$J$139,0,4+2)))),IF($AN54="NJ",IF('Your Pay &amp; Benefits'!$C$77="B",SUMPRODUCT(($AZ54&gt;INDEX('How This Works &amp; Sources'!$B$155:$J$162,0,4))*($AZ54-INDEX('How This Works &amp; Sources'!$B$155:$J$162,0,4))*INDEX('How This Works &amp; Sources'!$B$155:$J$162,0,4+2)),IF('Your Pay &amp; Benefits'!$C$77="C",SUMPRODUCT(($AZ54&gt;INDEX('How This Works &amp; Sources'!$B$155:$J$162,0,7))*($AZ54-INDEX('How This Works &amp; Sources'!$B$155:$J$162,0,7))*INDEX('How This Works &amp; Sources'!$B$155:$J$162,0,7+2)),IF('Your Pay &amp; Benefits'!$C$77="D",SUMPRODUCT(($AZ54&gt;INDEX('How This Works &amp; Sources'!$B$167:$J$179,0,1))*($AZ54-INDEX('How This Works &amp; Sources'!$B$167:$J$179,0,1))*INDEX('How This Works &amp; Sources'!$B$167:$J$179,0,1+2)),IF('Your Pay &amp; Benefits'!$C$77="E",SUMPRODUCT(($AZ54&gt;INDEX('How This Works &amp; Sources'!$B$167:$J$179,0,4))*($AZ54-INDEX('How This Works &amp; Sources'!$B$167:$J$179,0,4))*INDEX('How This Works &amp; Sources'!$B$167:$J$179,0,4+2)),SUMPRODUCT(($AZ54&gt;INDEX('How This Works &amp; Sources'!$B$155:$J$162,0,1))*($AZ54-INDEX('How This Works &amp; Sources'!$B$155:$J$162,0,1))*INDEX('How This Works &amp; Sources'!$B$155:$J$162,0,1+2)))))),IF($AN54="NY",IF($AU54="Married",IF($AZ54&gt;=2155350,$AZ54*IF($AZ54&gt;25000000,0.117,IF($AZ54&gt;5000000,0.111,0.1045)),SUMPRODUCT(($AZ54&gt;INDEX('How This Works &amp; Sources'!$B$184:$J$198,0,1))*($AZ54-INDEX('How This Works &amp; Sources'!$B$184:$J$198,0,1))*INDEX('How This Works &amp; Sources'!$B$184:$J$198,0,1+2))),IF($AZ54&gt;=1077550,$AZ54*IF($AZ54&gt;25000000,0.117,IF($AZ54&gt;5000000,0.111,0.1045)),SUMPRODUCT(($AZ54&gt;INDEX('How This Works &amp; Sources'!$B$167:$J$179,0,7))*($AZ54-INDEX('How This Works &amp; Sources'!$B$167:$J$179,0,7))*INDEX('How This Works &amp; Sources'!$B$167:$J$179,0,7+2)))),"")))))))</f>
      </c>
      <c r="BX54" s="7">
        <f>IF($B54="","",IF($AN54="AL",IF(OR($AU54="Married",$AU54="Head of household"),SUMPRODUCT(($AZ54&gt;INDEX('How This Works &amp; Sources'!$B$82:$J$86,0,4))*($AZ54-INDEX('How This Works &amp; Sources'!$B$82:$J$86,0,4))*INDEX('How This Works &amp; Sources'!$B$82:$J$86,0,4+2)),SUMPRODUCT(($AZ54&gt;INDEX('How This Works &amp; Sources'!$B$82:$J$86,0,1))*($AZ54-INDEX('How This Works &amp; Sources'!$B$82:$J$86,0,1))*INDEX('How This Works &amp; Sources'!$B$82:$J$86,0,1+2))),IF($AN54="KS",IF($AU54="Married",SUMPRODUCT(($AZ54&gt;INDEX('How This Works &amp; Sources'!$B$103:$J$109,0,4))*($AZ54-INDEX('How This Works &amp; Sources'!$B$103:$J$109,0,4))*INDEX('How This Works &amp; Sources'!$B$103:$J$109,0,4+2)),SUMPRODUCT(($AZ54&gt;INDEX('How This Works &amp; Sources'!$B$103:$J$109,0,1))*($AZ54-INDEX('How This Works &amp; Sources'!$B$103:$J$109,0,1))*INDEX('How This Works &amp; Sources'!$B$103:$J$109,0,1+2))),IF($AN54="MN",IF($AU54="Married",SUMPRODUCT(($AZ54&gt;INDEX('How This Works &amp; Sources'!$B$114:$J$120,0,7))*($AZ54-INDEX('How This Works &amp; Sources'!$B$114:$J$120,0,7))*INDEX('How This Works &amp; Sources'!$B$114:$J$120,0,7+2)),SUMPRODUCT(($AZ54&gt;INDEX('How This Works &amp; Sources'!$B$114:$J$120,0,4))*($AZ54-INDEX('How This Works &amp; Sources'!$B$114:$J$120,0,4))*INDEX('How This Works &amp; Sources'!$B$114:$J$120,0,4+2))),IF($AN54="NE",MAX(IF($AU54="Married",SUMPRODUCT(($AZ54&gt;INDEX('How This Works &amp; Sources'!$B$144:$J$150,0,7))*($AZ54-INDEX('How This Works &amp; Sources'!$B$144:$J$150,0,7))*INDEX('How This Works &amp; Sources'!$B$144:$J$150,0,7+2)),SUMPRODUCT(($AZ54&gt;INDEX('How This Works &amp; Sources'!$B$144:$J$150,0,4))*($AZ54-INDEX('How This Works &amp; Sources'!$B$144:$J$150,0,4))*INDEX('How This Works &amp; Sources'!$B$144:$J$150,0,4+2))),0.015*$AZ54),IF($AN54="OH",IF($B54&gt;=DATE(2026,8,1),SUMPRODUCT(($AZ54&gt;INDEX('How This Works &amp; Sources'!$B$203:$J$206,0,1))*($AZ54-INDEX('How This Works &amp; Sources'!$B$203:$J$206,0,1))*INDEX('How This Works &amp; Sources'!$B$203:$J$206,0,1+2)),SUMPRODUCT(($AZ54&gt;INDEX('How This Works &amp; Sources'!$B$184:$J$198,0,7))*($AZ54-INDEX('How This Works &amp; Sources'!$B$184:$J$198,0,7))*INDEX('How This Works &amp; Sources'!$B$184:$J$198,0,7+2))),IF($AN54="OK",IF($AU54="Married",SUMPRODUCT(($AZ54&gt;INDEX('How This Works &amp; Sources'!$B$203:$J$206,0,7))*($AZ54-INDEX('How This Works &amp; Sources'!$B$203:$J$206,0,7))*INDEX('How This Works &amp; Sources'!$B$203:$J$206,0,7+2)),SUMPRODUCT(($AZ54&gt;INDEX('How This Works &amp; Sources'!$B$203:$J$206,0,4))*($AZ54-INDEX('How This Works &amp; Sources'!$B$203:$J$206,0,4))*INDEX('How This Works &amp; Sources'!$B$203:$J$206,0,4+2))),IF($AN54="RI",SUMPRODUCT(($AZ54&gt;INDEX('How This Works &amp; Sources'!$B$211:$J$214,0,7))*($AZ54-INDEX('How This Works &amp; Sources'!$B$211:$J$214,0,7))*INDEX('How This Works &amp; Sources'!$B$211:$J$214,0,7+2)),IF($AN54="VT",IF($AU54="Married",SUMPRODUCT(($AZ54&gt;INDEX('How This Works &amp; Sources'!$B$228:$J$232,0,1))*($AZ54-INDEX('How This Works &amp; Sources'!$B$228:$J$232,0,1))*INDEX('How This Works &amp; Sources'!$B$228:$J$232,0,1+2)),SUMPRODUCT(($AZ54&gt;INDEX('How This Works &amp; Sources'!$B$219:$J$223,0,7))*($AZ54-INDEX('How This Works &amp; Sources'!$B$219:$J$223,0,7))*INDEX('How This Works &amp; Sources'!$B$219:$J$223,0,7+2))),IF($AN54="WV",IF($AU54="Married",SUMPRODUCT(($AZ54&gt;INDEX('How This Works &amp; Sources'!$B$237:$J$241,0,7))*($AZ54-INDEX('How This Works &amp; Sources'!$B$237:$J$241,0,7))*INDEX('How This Works &amp; Sources'!$B$237:$J$241,0,7+2)),SUMPRODUCT(($AZ54&gt;INDEX('How This Works &amp; Sources'!$B$228:$J$232,0,7))*($AZ54-INDEX('How This Works &amp; Sources'!$B$228:$J$232,0,7))*INDEX('How This Works &amp; Sources'!$B$228:$J$232,0,7+2))),""))))))))))</f>
      </c>
      <c r="BY54" s="7">
        <f>IF($B54="","",IF($AN54="AR",SUMPRODUCT(($AZ54&gt;INDEX('How This Works &amp; Sources'!$B$82:$J$86,0,7))*($AZ54-INDEX('How This Works &amp; Sources'!$B$82:$J$86,0,7))*INDEX('How This Works &amp; Sources'!$B$82:$J$86,0,7+2)),IF($AN54="DE",SUMPRODUCT(($AZ54&gt;INDEX('How This Works &amp; Sources'!$B$91:$J$98,0,1))*($AZ54-INDEX('How This Works &amp; Sources'!$B$91:$J$98,0,1))*INDEX('How This Works &amp; Sources'!$B$91:$J$98,0,1+2)),IF($AN54="HI",IF($AU54="Married",SUMPRODUCT(($AZ54&gt;INDEX('How This Works &amp; Sources'!$B$91:$J$98,0,7))*($AZ54-INDEX('How This Works &amp; Sources'!$B$91:$J$98,0,7))*INDEX('How This Works &amp; Sources'!$B$91:$J$98,0,7+2)),SUMPRODUCT(($AZ54&gt;INDEX('How This Works &amp; Sources'!$B$91:$J$98,0,4))*($AZ54-INDEX('How This Works &amp; Sources'!$B$91:$J$98,0,4))*INDEX('How This Works &amp; Sources'!$B$91:$J$98,0,4+2))),IF($AN54="SC",SUMPRODUCT(($AZ54&gt;INDEX('How This Works &amp; Sources'!$B$219:$J$223,0,1))*($AZ54-INDEX('How This Works &amp; Sources'!$B$219:$J$223,0,1))*INDEX('How This Works &amp; Sources'!$B$219:$J$223,0,1+2)),IF($AN54="VA",SUMPRODUCT(($AZ54&gt;INDEX('How This Works &amp; Sources'!$B$219:$J$223,0,4))*($AZ54-INDEX('How This Works &amp; Sources'!$B$219:$J$223,0,4))*INDEX('How This Works &amp; Sources'!$B$219:$J$223,0,4+2)),IF($AN54="WI",SUMPRODUCT(($AZ54&gt;INDEX('How This Works &amp; Sources'!$B$228:$J$232,0,4))*($AZ54-INDEX('How This Works &amp; Sources'!$B$228:$J$232,0,4))*INDEX('How This Works &amp; Sources'!$B$228:$J$232,0,4+2)),"")))))))</f>
      </c>
      <c r="BZ54" s="24">
        <f>IF($B54="","",IF($AN54="NJ",IF('Your Pay &amp; Benefits'!$C$77="B",SUMPRODUCT(($AZ54&gt;=INDEX('How This Works &amp; Sources'!$B$155:$J$162,0,4))*INDEX('How This Works &amp; Sources'!$B$155:$J$162,0,4+2)),IF('Your Pay &amp; Benefits'!$C$77="C",SUMPRODUCT(($AZ54&gt;=INDEX('How This Works &amp; Sources'!$B$155:$J$162,0,7))*INDEX('How This Works &amp; Sources'!$B$155:$J$162,0,7+2)),IF('Your Pay &amp; Benefits'!$C$77="D",SUMPRODUCT(($AZ54&gt;=INDEX('How This Works &amp; Sources'!$B$167:$J$179,0,1))*INDEX('How This Works &amp; Sources'!$B$167:$J$179,0,1+2)),IF('Your Pay &amp; Benefits'!$C$77="E",SUMPRODUCT(($AZ54&gt;=INDEX('How This Works &amp; Sources'!$B$167:$J$179,0,4))*INDEX('How This Works &amp; Sources'!$B$167:$J$179,0,4+2)),SUMPRODUCT(($AZ54&gt;=INDEX('How This Works &amp; Sources'!$B$155:$J$162,0,1))*INDEX('How This Works &amp; Sources'!$B$155:$J$162,0,1+2)))))),IF($AN54="OR",IF(OR($AU54="Married",AND($AU54="Single",$AS54&gt;=3)),SUMPRODUCT((MAX(0,$AY54-MIN(($P54-'How This Works &amp; Sources'!$C$10*$D54)*'Your Pay &amp; Benefits'!$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Sources'!$B$211:$J$214,0,4))*INDEX('How This Works &amp; Sources'!$B$211:$J$214,0,4+2)),SUMPRODUCT((MAX(0,$AY54-MIN(($P54-'How This Works &amp; Sources'!$C$10*$D54)*'Your Pay &amp; Benefits'!$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Sources'!$B$211:$J$214,0,1))*INDEX('How This Works &amp; Sources'!$B$211:$J$214,0,1+2)))*IF(($P54-'How This Works &amp; Sources'!$C$10*$D54)*'Your Pay &amp; Benefits'!$C$8&gt;=IF(OR($AU54="Married",AND($AU54="Single",$AS54&gt;=3)),IF($AY54&lt;250000,8750,IF($AY54&lt;260000,7000,IF($AY54&lt;270000,5250,IF($AY54&lt;280000,3500,IF($AY54&lt;290000,1750,0))))),IF($AY54&lt;125000,8750,IF($AY54&lt;130000,7000,IF($AY54&lt;135000,5250,IF($AY54&lt;140000,3500,IF($AY54&lt;145000,1750,0)))))),1,1-IF('Your Pay &amp; Benefits'!$C$13,SUMPRODUCT(($AH54&gt;=INDEX('How This Works &amp; Sources'!$B$29:$J$36,0,IF('Your Pay &amp; Benefits'!$C$12="MFJ",1,IF('Your Pay &amp; Benefits'!$C$12="HoH",7,4))))*INDEX('How This Works &amp; Sources'!$B$29:$J$36,0,IF('Your Pay &amp; Benefits'!$C$12="MFJ",1,IF('Your Pay &amp; Benefits'!$C$12="HoH",7,4))+2)),SUMPRODUCT(($AH54&gt;=INDEX('How This Works &amp; Sources'!$B$19:$J$26,0,IF('Your Pay &amp; Benefits'!$C$12="MFJ",1,IF('Your Pay &amp; Benefits'!$C$12="HoH",7,4))))*INDEX('How This Works &amp; Sources'!$B$19:$J$26,0,IF('Your Pay &amp; Benefits'!$C$12="MFJ",1,IF('Your Pay &amp; Benefits'!$C$12="HoH",7,4))+2)))),IF($AN54="MI",IF($AY54&gt;5900*$AS54,0.0425,0),""))))</f>
      </c>
      <c r="CA54" s="24">
        <f>IF($B54="","",IF($AN54="AL",IF(OR($AU54="Married",$AU54="Head of household"),SUMPRODUCT(($AZ54&gt;=INDEX('How This Works &amp; Sources'!$B$82:$J$86,0,4))*INDEX('How This Works &amp; Sources'!$B$82:$J$86,0,4+2)),SUMPRODUCT(($AZ54&gt;=INDEX('How This Works &amp; Sources'!$B$82:$J$86,0,1))*INDEX('How This Works &amp; Sources'!$B$82:$J$86,0,1+2)))*(1-IF('Your Pay &amp; Benefits'!$C$13,SUMPRODUCT(($AH54&gt;=INDEX('How This Works &amp; Sources'!$B$29:$J$36,0,IF('Your Pay &amp; Benefits'!$C$12="MFJ",1,IF('Your Pay &amp; Benefits'!$C$12="HoH",7,4))))*INDEX('How This Works &amp; Sources'!$B$29:$J$36,0,IF('Your Pay &amp; Benefits'!$C$12="MFJ",1,IF('Your Pay &amp; Benefits'!$C$12="HoH",7,4))+2)),SUMPRODUCT(($AH54&gt;=INDEX('How This Works &amp; Sources'!$B$19:$J$26,0,IF('Your Pay &amp; Benefits'!$C$12="MFJ",1,IF('Your Pay &amp; Benefits'!$C$12="HoH",7,4))))*INDEX('How This Works &amp; Sources'!$B$19:$J$26,0,IF('Your Pay &amp; Benefits'!$C$12="MFJ",1,IF('Your Pay &amp; Benefits'!$C$12="HoH",7,4))+2)))),IF($AN54="KS",IF($AU54="Married",SUMPRODUCT(($AZ54&gt;=INDEX('How This Works &amp; Sources'!$B$103:$J$109,0,4))*INDEX('How This Works &amp; Sources'!$B$103:$J$109,0,4+2)),SUMPRODUCT(($AZ54&gt;=INDEX('How This Works &amp; Sources'!$B$103:$J$109,0,1))*INDEX('How This Works &amp; Sources'!$B$103:$J$109,0,1+2))),IF($AN54="MD",IF(OR($AU54="Married",$AU54="Head of household"),SUMPRODUCT(($AZ54&gt;=INDEX('How This Works &amp; Sources'!$B$114:$J$120,0,1))*INDEX('How This Works &amp; Sources'!$B$114:$J$120,0,1+2)),SUMPRODUCT(($AZ54&gt;=INDEX('How This Works &amp; Sources'!$B$103:$J$109,0,7))*INDEX('How This Works &amp; Sources'!$B$103:$J$109,0,7+2)))+'Your Pay &amp; Benefits'!$C$74,IF($AN54="MT",IF($AU54="Head of household",SUMPRODUCT(($AZ54&gt;=INDEX('How This Works &amp; Sources'!$B$137:$J$139,0,1))*INDEX('How This Works &amp; Sources'!$B$137:$J$139,0,1+2)),IF($AU54="Married",SUMPRODUCT(($AZ54&gt;=INDEX('How This Works &amp; Sources'!$B$125:$J$132,0,7))*INDEX('How This Works &amp; Sources'!$B$125:$J$132,0,7+2)),SUMPRODUCT(($AZ54&gt;=INDEX('How This Works &amp; Sources'!$B$125:$J$132,0,4))*INDEX('How This Works &amp; Sources'!$B$125:$J$132,0,4+2)))),IF($AN54="ND",IF($AU54="Head of household",SUMPRODUCT(($AZ54&gt;=INDEX('How This Works &amp; Sources'!$B$144:$J$150,0,1))*INDEX('How This Works &amp; Sources'!$B$144:$J$150,0,1+2)),IF($AU54="Married",SUMPRODUCT(($AZ54&gt;=INDEX('How This Works &amp; Sources'!$B$137:$J$139,0,7))*INDEX('How This Works &amp; Sources'!$B$137:$J$139,0,7+2)),SUMPRODUCT(($AZ54&gt;=INDEX('How This Works &amp; Sources'!$B$137:$J$139,0,4))*INDEX('How This Works &amp; Sources'!$B$137:$J$139,0,4+2)))),IF($AN54="NY",IF($AU54="Married",IF($AZ54&gt;=2155350,IF($AZ54&gt;25000000,0.117,IF($AZ54&gt;5000000,0.111,0.1045)),SUMPRODUCT(($AZ54&gt;=INDEX('How This Works &amp; Sources'!$B$184:$J$198,0,1))*INDEX('How This Works &amp; Sources'!$B$184:$J$198,0,1+2))),IF($AZ54&gt;=1077550,IF($AZ54&gt;25000000,0.117,IF($AZ54&gt;5000000,0.111,0.1045)),SUMPRODUCT(($AZ54&gt;=INDEX('How This Works &amp; Sources'!$B$167:$J$179,0,7))*INDEX('How This Works &amp; Sources'!$B$167:$J$179,0,7+2)))),"")))))))</f>
      </c>
      <c r="CB54" s="24">
        <f>IF($B54="","",IF($AN54="CA",SUMPRODUCT(($AJ54&gt;=INDEX('How This Works &amp; Sources'!$B$39:$J$48,0,IF($AU54="Married",4,IF($AU54="Head of household",7,1))))*INDEX('How This Works &amp; Sources'!$B$39:$J$48,0,IF($AU54="Married",4,IF($AU54="Head of household",7,1))+2)),IF($AN54="HI",IF($AU54="Married",SUMPRODUCT(($AZ54&gt;=INDEX('How This Works &amp; Sources'!$B$91:$J$98,0,7))*INDEX('How This Works &amp; Sources'!$B$91:$J$98,0,7+2)),SUMPRODUCT(($AZ54&gt;=INDEX('How This Works &amp; Sources'!$B$91:$J$98,0,4))*INDEX('How This Works &amp; Sources'!$B$91:$J$98,0,4+2))),IF($AN54="MN",IF($AU54="Married",SUMPRODUCT(($AZ54&gt;=INDEX('How This Works &amp; Sources'!$B$114:$J$120,0,7))*INDEX('How This Works &amp; Sources'!$B$114:$J$120,0,7+2)),SUMPRODUCT(($AZ54&gt;=INDEX('How This Works &amp; Sources'!$B$114:$J$120,0,4))*INDEX('How This Works &amp; Sources'!$B$114:$J$120,0,4+2))),IF($AN54="MO",SUMPRODUCT(($AZ54&gt;=INDEX('How This Works &amp; Sources'!$B$125:$J$132,0,1))*INDEX('How This Works &amp; Sources'!$B$125:$J$132,0,1+2)),IF($AN54="NE",MAX(IF($AU54="Married",SUMPRODUCT(($AZ54&gt;=INDEX('How This Works &amp; Sources'!$B$144:$J$150,0,7))*INDEX('How This Works &amp; Sources'!$B$144:$J$150,0,7+2)),SUMPRODUCT(($AZ54&gt;=INDEX('How This Works &amp; Sources'!$B$144:$J$150,0,4))*INDEX('How This Works &amp; Sources'!$B$144:$J$150,0,4+2))),0.015),IF($AN54="OH",IF($B54&gt;=DATE(2026,8,1),SUMPRODUCT(($AZ54&gt;=INDEX('How This Works &amp; Sources'!$B$203:$J$206,0,1))*INDEX('How This Works &amp; Sources'!$B$203:$J$206,0,1+2)),SUMPRODUCT(($AZ54&gt;=INDEX('How This Works &amp; Sources'!$B$184:$J$198,0,7))*INDEX('How This Works &amp; Sources'!$B$184:$J$198,0,7+2))),IF($AN54="OK",IF($AU54="Married",SUMPRODUCT(($AZ54&gt;=INDEX('How This Works &amp; Sources'!$B$203:$J$206,0,7))*INDEX('How This Works &amp; Sources'!$B$203:$J$206,0,7+2)),SUMPRODUCT(($AZ54&gt;=INDEX('How This Works &amp; Sources'!$B$203:$J$206,0,4))*INDEX('How This Works &amp; Sources'!$B$203:$J$206,0,4+2))),IF($AN54="RI",SUMPRODUCT(($AZ54&gt;=INDEX('How This Works &amp; Sources'!$B$211:$J$214,0,7))*INDEX('How This Works &amp; Sources'!$B$211:$J$214,0,7+2)),IF($AN54="SC",SUMPRODUCT(($AZ54&gt;=INDEX('How This Works &amp; Sources'!$B$219:$J$223,0,1))*INDEX('How This Works &amp; Sources'!$B$219:$J$223,0,1+2)),IF($AN54="VT",IF($AU54="Married",SUMPRODUCT(($AZ54&gt;=INDEX('How This Works &amp; Sources'!$B$228:$J$232,0,1))*INDEX('How This Works &amp; Sources'!$B$228:$J$232,0,1+2)),SUMPRODUCT(($AZ54&gt;=INDEX('How This Works &amp; Sources'!$B$219:$J$223,0,7))*INDEX('How This Works &amp; Sources'!$B$219:$J$223,0,7+2))),IF($AN54="WV",IF($AU54="Married",SUMPRODUCT(($AZ54&gt;=INDEX('How This Works &amp; Sources'!$B$237:$J$241,0,7))*INDEX('How This Works &amp; Sources'!$B$237:$J$241,0,7+2)),SUMPRODUCT(($AZ54&gt;=INDEX('How This Works &amp; Sources'!$B$228:$J$232,0,7))*INDEX('How This Works &amp; Sources'!$B$228:$J$232,0,7+2))),IF($AN54="IN",(0.0295+'Your Pay &amp; Benefits'!$C$76),"")))))))))))))</f>
      </c>
      <c r="CC54" s="24">
        <f>IF($B54="","",IF($AN54="AR",SUMPRODUCT(($AZ54&gt;=INDEX('How This Works &amp; Sources'!$B$82:$J$86,0,7))*INDEX('How This Works &amp; Sources'!$B$82:$J$86,0,7+2)),IF($AN54="DE",SUMPRODUCT(($AZ54&gt;=INDEX('How This Works &amp; Sources'!$B$91:$J$98,0,1))*INDEX('How This Works &amp; Sources'!$B$91:$J$98,0,1+2)),IF($AN54="VA",SUMPRODUCT(($AZ54&gt;=INDEX('How This Works &amp; Sources'!$B$219:$J$223,0,4))*INDEX('How This Works &amp; Sources'!$B$219:$J$223,0,4+2)),IF($AN54="WI",SUMPRODUCT(($AZ54&gt;=INDEX('How This Works &amp; Sources'!$B$228:$J$232,0,4))*INDEX('How This Works &amp; Sources'!$B$228:$J$232,0,4+2)),IF($AN54="AZ",'Your Pay &amp; Benefits'!$C$82,IF($AN54="CO",IF($AY54&gt;IF($AU54="Married",10000,5000),0.044,0),IF($AN54="IA",IF($AY54&gt;IF($AU54="Head of household",19500,IF($AU54="Married",26000,13000)),0.038,0),IF($AN54="ID",IF($AY54&gt;IF($AU54="Married",32000,16094),0.053,0),IF($AN54="IL",IF($AY54&gt;(2925*$AS54+1000*$AT54),0.0495,0),IF($AN54="KY",IF($AI54&gt;3360,0.035,0),IF($AN54="LA",0.0309,IF($AN54="MA",IF(MAX(0,$AY54-MIN(($BD53+$Q54+$R54+$S54),2000)-IF($AS54=0,0,IF($AS54=1,4400,1000*$AS54+3400)))&gt;=1107750,0.09,0.05),IF($AN54="MS",IF($AI54-IF($AU54="Head of household",3400,IF($AU54="Married",4600,2300))-'Your Pay &amp; Benefits'!$C$85&gt;10000,0.04,0),IF($AN54="PA",0.0307,"")))))))))))))))</f>
      </c>
      <c r="CD54" s="21">
        <f>IF(YEAR(IF('Your Pay &amp; Benefits'!$C$7="Weekly",'Your Pay &amp; Benefits'!$C$9+7*(($BE53+1)-1),IF('Your Pay &amp; Benefits'!$C$7="Biweekly",'Your Pay &amp; Benefits'!$C$9+14*(($BE53+1)-1),IF('Your Pay &amp; Benefits'!$C$7="Semimonthly",DATE(YEAR('Your Pay &amp; Benefits'!$C$9),MONTH('Your Pay &amp; Benefits'!$C$9)+INT((($BE53+1)-1)/2),MIN(DAY('Your Pay &amp; Benefits'!$C$9),DAY(EOMONTH(DATE(YEAR('Your Pay &amp; Benefits'!$C$9),MONTH('Your Pay &amp; Benefits'!$C$9)+INT((($BE53+1)-1)/2),1),0))))+IF(MOD(($BE53+1)-1,2)=1,15,0),EDATE('Your Pay &amp; Benefits'!$C$9,($BE53+1)-1)))))&lt;&gt;'Your Pay &amp; Benefits'!$C$10,"",IF('Your Pay &amp; Benefits'!$C$7="Weekly",'Your Pay &amp; Benefits'!$C$9+7*(($BE53+1)-1),IF('Your Pay &amp; Benefits'!$C$7="Biweekly",'Your Pay &amp; Benefits'!$C$9+14*(($BE53+1)-1),IF('Your Pay &amp; Benefits'!$C$7="Semimonthly",DATE(YEAR('Your Pay &amp; Benefits'!$C$9),MONTH('Your Pay &amp; Benefits'!$C$9)+INT((($BE53+1)-1)/2),MIN(DAY('Your Pay &amp; Benefits'!$C$9),DAY(EOMONTH(DATE(YEAR('Your Pay &amp; Benefits'!$C$9),MONTH('Your Pay &amp; Benefits'!$C$9)+INT((($BE53+1)-1)/2),1),0))))+IF(MOD(($BE53+1)-1,2)=1,15,0),EDATE('Your Pay &amp; Benefits'!$C$9,($BE53+1)-1)))))</f>
      </c>
      <c r="CE54" s="21">
        <f>IF(MIN(IF(AND('Your Pay &amp; Benefits'!$C$58&gt;MAX($B$6:$B53),'Your Pay &amp; Benefits'!$C$58&gt;=DATE('Your Pay &amp; Benefits'!$C$10,1,1),'Your Pay &amp; Benefits'!$C$58&lt;=DATE('Your Pay &amp; Benefits'!$C$10,12,31)),'Your Pay &amp; Benefits'!$C$58,999999),IF(AND('Your Pay &amp; Benefits'!$C$59&gt;MAX($B$6:$B53),'Your Pay &amp; Benefits'!$C$59&gt;=DATE('Your Pay &amp; Benefits'!$C$10,1,1),'Your Pay &amp; Benefits'!$C$59&lt;=DATE('Your Pay &amp; Benefits'!$C$10,12,31)),'Your Pay &amp; Benefits'!$C$59,999999),IF(AND('Your Pay &amp; Benefits'!$C$60&gt;MAX($B$6:$B53),'Your Pay &amp; Benefits'!$C$60&gt;=DATE('Your Pay &amp; Benefits'!$C$10,1,1),'Your Pay &amp; Benefits'!$C$60&lt;=DATE('Your Pay &amp; Benefits'!$C$10,12,31)),'Your Pay &amp; Benefits'!$C$60,999999),IF(AND('Your Pay &amp; Benefits'!$C$61&gt;MAX($B$6:$B53),'Your Pay &amp; Benefits'!$C$61&gt;=DATE('Your Pay &amp; Benefits'!$C$10,1,1),'Your Pay &amp; Benefits'!$C$61&lt;=DATE('Your Pay &amp; Benefits'!$C$10,12,31)),'Your Pay &amp; Benefits'!$C$61,999999),IF(AND('Your Pay &amp; Benefits'!$C$62&gt;MAX($B$6:$B53),'Your Pay &amp; Benefits'!$C$62&gt;=DATE('Your Pay &amp; Benefits'!$C$10,1,1),'Your Pay &amp; Benefits'!$C$62&lt;=DATE('Your Pay &amp; Benefits'!$C$10,12,31)),'Your Pay &amp; Benefits'!$C$62,999999),IF(AND('Your Pay &amp; Benefits'!$C$63&gt;MAX($B$6:$B53),'Your Pay &amp; Benefits'!$C$63&gt;=DATE('Your Pay &amp; Benefits'!$C$10,1,1),'Your Pay &amp; Benefits'!$C$63&lt;=DATE('Your Pay &amp; Benefits'!$C$10,12,31)),'Your Pay &amp; Benefits'!$C$63,999999),IF(AND('Your Pay &amp; Benefits'!$C$64&gt;MAX($B$6:$B53),'Your Pay &amp; Benefits'!$C$64&gt;=DATE('Your Pay &amp; Benefits'!$C$10,1,1),'Your Pay &amp; Benefits'!$C$64&lt;=DATE('Your Pay &amp; Benefits'!$C$10,12,31)),'Your Pay &amp; Benefits'!$C$64,999999),IF(AND('Your Pay &amp; Benefits'!$C$65&gt;MAX($B$6:$B53),'Your Pay &amp; Benefits'!$C$65&gt;=DATE('Your Pay &amp; Benefits'!$C$10,1,1),'Your Pay &amp; Benefits'!$C$65&lt;=DATE('Your Pay &amp; Benefits'!$C$10,12,31)),'Your Pay &amp; Benefits'!$C$65,999999),IF(AND('Your Pay &amp; Benefits'!$C$66&gt;MAX($B$6:$B53),'Your Pay &amp; Benefits'!$C$66&gt;=DATE('Your Pay &amp; Benefits'!$C$10,1,1),'Your Pay &amp; Benefits'!$C$66&lt;=DATE('Your Pay &amp; Benefits'!$C$10,12,31)),'Your Pay &amp; Benefits'!$C$66,999999),IF(AND('Your Pay &amp; Benefits'!$C$67&gt;MAX($B$6:$B53),'Your Pay &amp; Benefits'!$C$67&gt;=DATE('Your Pay &amp; Benefits'!$C$10,1,1),'Your Pay &amp; Benefits'!$C$67&lt;=DATE('Your Pay &amp; Benefits'!$C$10,12,31)),'Your Pay &amp; Benefits'!$C$67,999999))=999999,"",MIN(IF(AND('Your Pay &amp; Benefits'!$C$58&gt;MAX($B$6:$B53),'Your Pay &amp; Benefits'!$C$58&gt;=DATE('Your Pay &amp; Benefits'!$C$10,1,1),'Your Pay &amp; Benefits'!$C$58&lt;=DATE('Your Pay &amp; Benefits'!$C$10,12,31)),'Your Pay &amp; Benefits'!$C$58,999999),IF(AND('Your Pay &amp; Benefits'!$C$59&gt;MAX($B$6:$B53),'Your Pay &amp; Benefits'!$C$59&gt;=DATE('Your Pay &amp; Benefits'!$C$10,1,1),'Your Pay &amp; Benefits'!$C$59&lt;=DATE('Your Pay &amp; Benefits'!$C$10,12,31)),'Your Pay &amp; Benefits'!$C$59,999999),IF(AND('Your Pay &amp; Benefits'!$C$60&gt;MAX($B$6:$B53),'Your Pay &amp; Benefits'!$C$60&gt;=DATE('Your Pay &amp; Benefits'!$C$10,1,1),'Your Pay &amp; Benefits'!$C$60&lt;=DATE('Your Pay &amp; Benefits'!$C$10,12,31)),'Your Pay &amp; Benefits'!$C$60,999999),IF(AND('Your Pay &amp; Benefits'!$C$61&gt;MAX($B$6:$B53),'Your Pay &amp; Benefits'!$C$61&gt;=DATE('Your Pay &amp; Benefits'!$C$10,1,1),'Your Pay &amp; Benefits'!$C$61&lt;=DATE('Your Pay &amp; Benefits'!$C$10,12,31)),'Your Pay &amp; Benefits'!$C$61,999999),IF(AND('Your Pay &amp; Benefits'!$C$62&gt;MAX($B$6:$B53),'Your Pay &amp; Benefits'!$C$62&gt;=DATE('Your Pay &amp; Benefits'!$C$10,1,1),'Your Pay &amp; Benefits'!$C$62&lt;=DATE('Your Pay &amp; Benefits'!$C$10,12,31)),'Your Pay &amp; Benefits'!$C$62,999999),IF(AND('Your Pay &amp; Benefits'!$C$63&gt;MAX($B$6:$B53),'Your Pay &amp; Benefits'!$C$63&gt;=DATE('Your Pay &amp; Benefits'!$C$10,1,1),'Your Pay &amp; Benefits'!$C$63&lt;=DATE('Your Pay &amp; Benefits'!$C$10,12,31)),'Your Pay &amp; Benefits'!$C$63,999999),IF(AND('Your Pay &amp; Benefits'!$C$64&gt;MAX($B$6:$B53),'Your Pay &amp; Benefits'!$C$64&gt;=DATE('Your Pay &amp; Benefits'!$C$10,1,1),'Your Pay &amp; Benefits'!$C$64&lt;=DATE('Your Pay &amp; Benefits'!$C$10,12,31)),'Your Pay &amp; Benefits'!$C$64,999999),IF(AND('Your Pay &amp; Benefits'!$C$65&gt;MAX($B$6:$B53),'Your Pay &amp; Benefits'!$C$65&gt;=DATE('Your Pay &amp; Benefits'!$C$10,1,1),'Your Pay &amp; Benefits'!$C$65&lt;=DATE('Your Pay &amp; Benefits'!$C$10,12,31)),'Your Pay &amp; Benefits'!$C$65,999999),IF(AND('Your Pay &amp; Benefits'!$C$66&gt;MAX($B$6:$B53),'Your Pay &amp; Benefits'!$C$66&gt;=DATE('Your Pay &amp; Benefits'!$C$10,1,1),'Your Pay &amp; Benefits'!$C$66&lt;=DATE('Your Pay &amp; Benefits'!$C$10,12,31)),'Your Pay &amp; Benefits'!$C$66,999999),IF(AND('Your Pay &amp; Benefits'!$C$67&gt;MAX($B$6:$B53),'Your Pay &amp; Benefits'!$C$67&gt;=DATE('Your Pay &amp; Benefits'!$C$10,1,1),'Your Pay &amp; Benefits'!$C$67&lt;=DATE('Your Pay &amp; Benefits'!$C$10,12,31)),'Your Pay &amp; Benefits'!$C$67,999999)))</f>
      </c>
      <c r="CF54">
        <f>IF($B54="","",IF($D54=0,$Y54,""))</f>
      </c>
    </row>
    <row r="55">
      <c r="A55" t="n">
        <v>50</v>
      </c>
      <c r="B55" s="21">
        <f>IF(AND($CD55="",$CE55=""),"",IF($CE55="",$CD55,IF($CD55="",$CE55,MIN($CD55,$CE55))))</f>
      </c>
      <c r="C55" s="7">
        <f>IF($B55="","",IF($BF55=0,0,IF('Your Pay &amp; Benefits'!$C$4="Annual salary",ROUND($AK55/IF(AND('Your Pay &amp; Benefits'!$C$88="Actual paydays",MONTH('Your Pay &amp; Benefits'!$C$9)=1),MAX(1,MAX($BE$6:$BE$68)),'Your Pay &amp; Benefits'!$C$8),2),$AK55)))</f>
      </c>
      <c r="D55" s="7">
        <f>IF($B55="","",SUMIF('Your Pay &amp; Benefits'!$C$58:$C$67,$B55,'Your Pay &amp; Benefits'!$D$58:$D$67))</f>
      </c>
      <c r="E55" s="7">
        <f>IF($B55="","",ROUND(MAX(0,MIN(IF($AL55="Percent",$AM55*($C55+$D55),$AM55),MAX(0,'Your Pay &amp; Benefits'!$C$34-$AC54))),2))</f>
      </c>
      <c r="F55" s="7">
        <f>IF($B55="","",ROUND(MAX(0,MIN(IF('Your Pay &amp; Benefits'!$C$32="Percent",'Your Pay &amp; Benefits'!$D$32*($C55+$D55),'Your Pay &amp; Benefits'!$D$32),MAX(0,'Your Pay &amp; Benefits'!$C$34-$AC54-$E55))),2))</f>
      </c>
      <c r="G55" s="7">
        <f>IF($B55="","",IF($BF55=0,0,ROUND(MAX(0,MIN($BL55,'Your Pay &amp; Benefits'!$C$37-'Your Pay &amp; Benefits'!$C$54-$BI54)),2)))</f>
      </c>
      <c r="H55" s="7">
        <f>IF($B55="","",IF(OR($BF55=0,$BQ55=1),0,ROUND(MAX(0,MIN(IF($BS55=1,ROUND(MAX(0,MIN($BJ55,'How This Works &amp; Sources'!$C$13)-$BG54)/MAX(1,MAX($BE$6:$BE$68)-($BE54)),2),ROUND(MIN($BJ55,'How This Works &amp; Sources'!$C$13)/'Your Pay &amp; Benefits'!$C$8,2)),MIN($BJ55,'How This Works &amp; Sources'!$C$13)-$BG54)),2)))</f>
      </c>
      <c r="I55" s="7">
        <f>IF($B55="","",IF(OR($BF55=0,$BR55=1),0,ROUND(MAX(0,MIN(IF($BT55=1,ROUND(MAX(0,MIN($BK55,IF('Your Pay &amp; Benefits'!$C$12="MFJ",'How This Works &amp; Sources'!$C$14,'How This Works &amp; Sources'!$C$15))-$BH54)/MAX(1,MAX($BE$6:$BE$68)-($BE54)),2),ROUND(MIN($BK55,IF('Your Pay &amp; Benefits'!$C$12="MFJ",'How This Works &amp; Sources'!$C$14,'How This Works &amp; Sources'!$C$15))/'Your Pay &amp; Benefits'!$C$8,2)),MIN($BK55,IF('Your Pay &amp; Benefits'!$C$12="MFJ",'How This Works &amp; Sources'!$C$14,'How This Works &amp; Sources'!$C$15))-$BH54)),2)))</f>
      </c>
      <c r="J55" s="7">
        <f>IF($B55="","",IF($BF55=0,0,$BM55))</f>
      </c>
      <c r="K55" s="7">
        <f>IF($B55="","",IF($BF55=0,0,$BN55+$BO55))</f>
      </c>
      <c r="L55" s="7">
        <f>IF($B55="","",IF($BF55=0,0,'Your Pay &amp; Benefits'!$D$46))</f>
      </c>
      <c r="M55" s="7">
        <f>IF($B55="","",$C55+$D55+$L55-$E55-$G55-$H55-$I55-$J55-$K55)</f>
      </c>
      <c r="N55" s="7">
        <f>IF($B55="","",$C55+$D55+$L55-$G55-$H55-$I55-$J55-$K55)</f>
      </c>
      <c r="O55" s="7">
        <f>IF($B55="","",$C55+$D55+$L55-$E55-$H55-$I55-$J55-$K55-IF(OR($AN55="CA",$AN55="NJ"),0,$G55))</f>
      </c>
      <c r="P55" s="7">
        <f>IF($B55="","",IF('Your Pay &amp; Benefits'!$C$18,0,ROUND(MAX(0,IF('Your Pay &amp; Benefits'!$C$13,SUMPRODUCT(($AH55&gt;INDEX('How This Works &amp; Sources'!$B$29:$J$36,0,IF('Your Pay &amp; Benefits'!$C$12="MFJ",1,IF('Your Pay &amp; Benefits'!$C$12="HoH",7,4))))*($AH55-INDEX('How This Works &amp; Sources'!$B$29:$J$36,0,IF('Your Pay &amp; Benefits'!$C$12="MFJ",1,IF('Your Pay &amp; Benefits'!$C$12="HoH",7,4))))*INDEX('How This Works &amp; Sources'!$B$29:$J$36,0,IF('Your Pay &amp; Benefits'!$C$12="MFJ",1,IF('Your Pay &amp; Benefits'!$C$12="HoH",7,4))+2)),SUMPRODUCT(($AH55&gt;INDEX('How This Works &amp; Sources'!$B$19:$J$26,0,IF('Your Pay &amp; Benefits'!$C$12="MFJ",1,IF('Your Pay &amp; Benefits'!$C$12="HoH",7,4))))*($AH55-INDEX('How This Works &amp; Sources'!$B$19:$J$26,0,IF('Your Pay &amp; Benefits'!$C$12="MFJ",1,IF('Your Pay &amp; Benefits'!$C$12="HoH",7,4))))*INDEX('How This Works &amp; Sources'!$B$19:$J$26,0,IF('Your Pay &amp; Benefits'!$C$12="MFJ",1,IF('Your Pay &amp; Benefits'!$C$12="HoH",7,4))+2)))/'Your Pay &amp; Benefits'!$C$8-$AO55/'Your Pay &amp; Benefits'!$C$8)+$AR55+IF('Your Pay &amp; Benefits'!$C$89="Aggregate",MAX(0,IF('Your Pay &amp; Benefits'!$C$13,SUMPRODUCT((($AH55+$D55)&gt;INDEX('How This Works &amp; Sources'!$B$29:$J$36,0,IF('Your Pay &amp; Benefits'!$C$12="MFJ",1,IF('Your Pay &amp; Benefits'!$C$12="HoH",7,4))))*(($AH55+$D55)-INDEX('How This Works &amp; Sources'!$B$29:$J$36,0,IF('Your Pay &amp; Benefits'!$C$12="MFJ",1,IF('Your Pay &amp; Benefits'!$C$12="HoH",7,4))))*INDEX('How This Works &amp; Sources'!$B$29:$J$36,0,IF('Your Pay &amp; Benefits'!$C$12="MFJ",1,IF('Your Pay &amp; Benefits'!$C$12="HoH",7,4))+2)),SUMPRODUCT((($AH55+$D55)&gt;INDEX('How This Works &amp; Sources'!$B$19:$J$26,0,IF('Your Pay &amp; Benefits'!$C$12="MFJ",1,IF('Your Pay &amp; Benefits'!$C$12="HoH",7,4))))*(($AH55+$D55)-INDEX('How This Works &amp; Sources'!$B$19:$J$26,0,IF('Your Pay &amp; Benefits'!$C$12="MFJ",1,IF('Your Pay &amp; Benefits'!$C$12="HoH",7,4))))*INDEX('How This Works &amp; Sources'!$B$19:$J$26,0,IF('Your Pay &amp; Benefits'!$C$12="MFJ",1,IF('Your Pay &amp; Benefits'!$C$12="HoH",7,4))+2)))-IF('Your Pay &amp; Benefits'!$C$13,SUMPRODUCT(($AH55&gt;INDEX('How This Works &amp; Sources'!$B$29:$J$36,0,IF('Your Pay &amp; Benefits'!$C$12="MFJ",1,IF('Your Pay &amp; Benefits'!$C$12="HoH",7,4))))*($AH55-INDEX('How This Works &amp; Sources'!$B$29:$J$36,0,IF('Your Pay &amp; Benefits'!$C$12="MFJ",1,IF('Your Pay &amp; Benefits'!$C$12="HoH",7,4))))*INDEX('How This Works &amp; Sources'!$B$29:$J$36,0,IF('Your Pay &amp; Benefits'!$C$12="MFJ",1,IF('Your Pay &amp; Benefits'!$C$12="HoH",7,4))+2)),SUMPRODUCT(($AH55&gt;INDEX('How This Works &amp; Sources'!$B$19:$J$26,0,IF('Your Pay &amp; Benefits'!$C$12="MFJ",1,IF('Your Pay &amp; Benefits'!$C$12="HoH",7,4))))*($AH55-INDEX('How This Works &amp; Sources'!$B$19:$J$26,0,IF('Your Pay &amp; Benefits'!$C$12="MFJ",1,IF('Your Pay &amp; Benefits'!$C$12="HoH",7,4))))*INDEX('How This Works &amp; Sources'!$B$19:$J$26,0,IF('Your Pay &amp; Benefits'!$C$12="MFJ",1,IF('Your Pay &amp; Benefits'!$C$12="HoH",7,4))+2)))),'How This Works &amp; Sources'!$C$10*$D55),2)))</f>
      </c>
      <c r="Q55" s="7">
        <f>IF($B55="","",ROUND('How This Works &amp; Sources'!$C$4*MIN($N55,MAX(0,'How This Works &amp; Sources'!$C$3-($AX55+$AB54-$AW55))),2))</f>
      </c>
      <c r="R55" s="7">
        <f>IF($B55="","",ROUND('How This Works &amp; Sources'!$C$5*$N55,2))</f>
      </c>
      <c r="S55" s="7">
        <f>IF($B55="","",ROUND('How This Works &amp; Sources'!$C$6*MAX(0,MIN($N55,$AG54+$N55-'How This Works &amp; Sources'!$C$7)),2))</f>
      </c>
      <c r="T55" s="7">
        <f>IF($B55="","",IF('Your Pay &amp; Benefits'!$C$26,0,IF($AN55="CA",ROUND(IF($AI55&lt;=IF(($AS55+$AT55)&gt;=2,VLOOKUP($AN55,StateTables!$A$6:$AB$56,10,FALSE),VLOOKUP($AN55,StateTables!$A$6:$AB$56,9,FALSE)),0,MAX(0,SUMPRODUCT(($AJ55&gt;INDEX('How This Works &amp; Sources'!$B$39:$J$48,0,IF($AU55="Married",4,IF($AU55="Head of household",7,1))))*($AJ55-INDEX('How This Works &amp; Sources'!$B$39:$J$48,0,IF($AU55="Married",4,IF($AU55="Head of household",7,1))))*INDEX('How This Works &amp; Sources'!$B$39:$J$48,0,IF($AU55="Married",4,IF($AU55="Head of household",7,1))+2))-VLOOKUP($AN55,StateTables!$A$6:$AB$56,11,FALSE)*$AS55)/'Your Pay &amp; Benefits'!$C$8)+'Your Pay &amp; Benefits'!$C$25+VLOOKUP($AN55,StateTables!$A$6:$AB$56,13,FALSE)*$D55,2),IF(VLOOKUP($AN55,StateTables!$A$6:$AB$56,4,FALSE)="None",0,IF(ISNUMBER(SEARCH("MANUAL",VLOOKUP($AN55,StateTables!$A$6:$AB$56,5,FALSE))),'Your Pay &amp; Benefits'!$C$28,ROUND(MAX(0,$BA55+$BB55)/'Your Pay &amp; Benefits'!$C$8+'Your Pay &amp; Benefits'!$C$25+$BC55,2))))))</f>
      </c>
      <c r="U55" s="7">
        <f>IF($B55="","",IF(VLOOKUP($AN55,StateTables!$A$6:$AB$56,24,FALSE)="flatq",IF(OR(MONTH($B55)=1,MONTH($B55)=4,MONTH($B55)=7,MONTH($B55)=10),VLOOKUP($AN55,StateTables!$A$6:$AB$56,25,FALSE),0),IF(VLOOKUP($AN55,StateTables!$A$6:$AB$56,24,FALSE)="dbl",MIN(ROUND(0.005*$N55,2),ROUND(0.6*52/'Your Pay &amp; Benefits'!$C$8,2)),IF(OR(VLOOKUP($AN55,StateTables!$A$6:$AB$56,15,FALSE)="",VLOOKUP($AN55,StateTables!$A$6:$AB$56,15,FALSE)=0),0,ROUND(VLOOKUP($AN55,StateTables!$A$6:$AB$56,15,FALSE)*IF(OR(VLOOKUP($AN55,StateTables!$A$6:$AB$56,16,FALSE)="",VLOOKUP($AN55,StateTables!$A$6:$AB$56,16,FALSE)=0),$N55,MIN($N55,MAX(0,VLOOKUP($AN55,StateTables!$A$6:$AB$56,16,FALSE)-($AX55+$AB54-$AW55)))),2))))+IF(VLOOKUP($AN55,StateTables!$A$6:$AB$56,27,FALSE)="flatq",IF(OR(MONTH($B55)=1,MONTH($B55)=4,MONTH($B55)=7,MONTH($B55)=10),VLOOKUP($AN55,StateTables!$A$6:$AB$56,28,FALSE),0),IF(VLOOKUP($AN55,StateTables!$A$6:$AB$56,27,FALSE)="dbl",MIN(ROUND(0.005*$N55,2),ROUND(0.6*52/'Your Pay &amp; Benefits'!$C$8,2)),IF(OR(VLOOKUP($AN55,StateTables!$A$6:$AB$56,18,FALSE)="",VLOOKUP($AN55,StateTables!$A$6:$AB$56,18,FALSE)=0),0,ROUND(VLOOKUP($AN55,StateTables!$A$6:$AB$56,18,FALSE)*IF(OR(VLOOKUP($AN55,StateTables!$A$6:$AB$56,19,FALSE)="",VLOOKUP($AN55,StateTables!$A$6:$AB$56,19,FALSE)=0),$N55,MIN($N55,MAX(0,VLOOKUP($AN55,StateTables!$A$6:$AB$56,19,FALSE)-($AX55+$AB54-$AW55)))),2)))))</f>
      </c>
      <c r="V55" s="7">
        <f>IF($B55="","",IF($AN55="NY",IF('Your Pay &amp; Benefits'!$C$78,ROUND(SUMPRODUCT((MAX(0,($O55-$D55)*'Your Pay &amp; Benefits'!$C$8-(IF($AU55="Married",5500,5000)+1000*$AS55))&gt;INDEX('How This Works &amp; Sources'!$B$184:$J$198,0,4))*(MAX(0,($O55-$D55)*'Your Pay &amp; Benefits'!$C$8-(IF($AU55="Married",5500,5000)+1000*$AS55))-INDEX('How This Works &amp; Sources'!$B$184:$J$198,0,4))*INDEX('How This Works &amp; Sources'!$B$184:$J$198,0,4+2))/'Your Pay &amp; Benefits'!$C$8+0.0425*$D55,2),0)+IF('Your Pay &amp; Benefits'!$C$79="Resident",ROUND(0.1675*$T55,2),IF('Your Pay &amp; Benefits'!$C$79="Nonresident",ROUND(0.005*MAX(0,($O55-$D55)-(IF($AU55="Married",7950,7400)+1000*$AS55)/'Your Pay &amp; Benefits'!$C$8),2),0)),IF($AN55="PA",IF('Your Pay &amp; Benefits'!$C$80="None",'Your Pay &amp; Benefits'!$C$27+ROUND('Your Pay &amp; Benefits'!$C$81*($C55+$D55),2),ROUND(IF('Your Pay &amp; Benefits'!$C$80="Resident",IF($B55&lt;DATE(2026,7,1),0.0374,0.03735),IF($B55&lt;DATE(2026,7,1),0.0343,0.03425))*($C55+$D55),2)),IF($BF55=0,ROUND('Your Pay &amp; Benefits'!$C$81*($C55+$D55),2),'Your Pay &amp; Benefits'!$C$27+ROUND('Your Pay &amp; Benefits'!$C$81*($C55+$D55),2)))))</f>
      </c>
      <c r="W55" s="7">
        <f>IF($B55="","",IF($BF55=0,0,$BP55))</f>
      </c>
      <c r="X55" s="7">
        <f>IF($B55="","",SUM($E55:$K55)+$P55+$Q55+$R55+$S55+$T55+$U55+$V55+$W55)</f>
      </c>
      <c r="Y55" s="22">
        <f>IF($B55="","",$C55+$D55-$X55)</f>
      </c>
      <c r="Z55" s="7">
        <f>IF($B55="","",$Z54+$C55+$D55)</f>
      </c>
      <c r="AA55" s="7">
        <f>IF($B55="","",$AA54+$Y55)</f>
      </c>
      <c r="AB55" s="7">
        <f>IF($B55="","",$AB54+MIN($N55,MAX(0,'How This Works &amp; Sources'!$C$3-($AX55+$AB54-$AW55))))</f>
      </c>
      <c r="AC55" s="7">
        <f>IF($B55="","",$AC54+$E55+$F55)</f>
      </c>
      <c r="AD55" s="3">
        <f>IF($B55="","",IF(AND($AB54&lt;'How This Works &amp; Sources'!$C$3,$AB55&gt;='How This Works &amp; Sources'!$C$3),"★ Social Security maxed on this check — from the next check your net rises by about $"&amp;TEXT(ROUND('How This Works &amp; Sources'!$C$4*$N55,2),"#,##0.00")&amp;". ","")&amp;IF(AND($AC54&lt;'Your Pay &amp; Benefits'!$C$34,$AC55&gt;='Your Pay &amp; Benefits'!$C$34),"★ 401(k) reaches the $"&amp;TEXT('Your Pay &amp; Benefits'!$C$34,"#,##0")&amp;" cap on this check — deferrals stop and net pay rises. ","")&amp;IF(AND($AG54&lt;'How This Works &amp; Sources'!$C$7,$AG55&gt;='How This Works &amp; Sources'!$C$7),"★ Wages pass $200,000 — the 0.9% Additional Medicare Tax starts here. ","")&amp;IF(AND($BJ55&gt;0,$H55&gt;0,$BG54&lt;MIN($BJ55,'How This Works &amp; Sources'!$C$13),$BG54+$H55&gt;=MIN($BJ55,'How This Works &amp; Sources'!$C$13)),"★ Health FSA election is now fully deferred for the year. ",""))</f>
      </c>
      <c r="AE55" s="41" t="n"/>
      <c r="AF55" s="7">
        <f>IF(OR($B55="",$AE55=""),"",$AE55-$Y55)</f>
      </c>
      <c r="AG55" s="7">
        <f>IF($B55="","",$AG54+$N55)</f>
      </c>
      <c r="AH55" s="7">
        <f>IF($B55="","",MAX(0,($M55-$D55)*'Your Pay &amp; Benefits'!$C$8+$AP55-$AQ55-IF('Your Pay &amp; Benefits'!$C$13,0,IF('Your Pay &amp; Benefits'!$C$12="MFJ",'How This Works &amp; Sources'!$C$8,'How This Works &amp; Sources'!$C$9))))</f>
      </c>
      <c r="AI55" s="7">
        <f>IF($B55="","",$O55*'Your Pay &amp; Benefits'!$C$8)</f>
      </c>
      <c r="AJ55" s="7">
        <f>IF($B55="","",MAX(0,$AI55-VLOOKUP($AN55,StateTables!$A$6:$AB$56,12,FALSE)*$AT55-IF(($AS55+$AT55)&gt;=2,VLOOKUP($AN55,StateTables!$A$6:$AB$56,8,FALSE),VLOOKUP($AN55,StateTables!$A$6:$AB$56,7,FALSE))))</f>
      </c>
      <c r="AK55" s="7">
        <f>IF($B55="","",IFERROR(LOOKUP(2,1/(('Changes &amp; Events'!$C$6:$C$17="Salary change")*('Changes &amp; Events'!$B$6:$B$17&lt;=$B55)*('Changes &amp; Events'!$B$6:$B$17&lt;&gt;"")),'Changes &amp; Events'!$D$6:$D$17),IF('Your Pay &amp; Benefits'!$C$4="Annual salary",'Your Pay &amp; Benefits'!$C$5,'Your Pay &amp; Benefits'!$C$6)))</f>
      </c>
      <c r="AL55">
        <f>IF($B55="","",IFERROR(LOOKUP(2,1/(('Changes &amp; Events'!$C$6:$C$17="401(k) change")*('Changes &amp; Events'!$B$6:$B$17&lt;=$B55)*('Changes &amp; Events'!$B$6:$B$17&lt;&gt;"")),'Changes &amp; Events'!$D$6:$D$17),'Your Pay &amp; Benefits'!$C$30))</f>
      </c>
      <c r="AM55" s="7">
        <f>IF($B55="","",IFERROR(LOOKUP(2,1/(('Changes &amp; Events'!$C$6:$C$17="401(k) change")*('Changes &amp; Events'!$B$6:$B$17&lt;=$B55)*('Changes &amp; Events'!$B$6:$B$17&lt;&gt;"")),'Changes &amp; Events'!$E$6:$E$17),'Your Pay &amp; Benefits'!$D$31))</f>
      </c>
      <c r="AN55">
        <f>IF($B55="","",IFERROR(LOOKUP(2,1/(('Changes &amp; Events'!$C$6:$C$17="State move")*('Changes &amp; Events'!$B$6:$B$17&lt;=$B55)*('Changes &amp; Events'!$B$6:$B$17&lt;&gt;"")),'Changes &amp; Events'!$D$6:$D$17),'Your Pay &amp; Benefits'!$C$21))</f>
      </c>
      <c r="AO55" s="7">
        <f>IF($B55="","",IFERROR(LOOKUP(2,1/(('Changes &amp; Events'!$C$6:$C$17="W-4 change")*('Changes &amp; Events'!$B$6:$B$17&lt;=$B55)*('Changes &amp; Events'!$B$6:$B$17&lt;&gt;"")),'Changes &amp; Events'!$D$6:$D$17),'Your Pay &amp; Benefits'!$C$14))</f>
      </c>
      <c r="AP55" s="7">
        <f>IF($B55="","",IFERROR(LOOKUP(2,1/(('Changes &amp; Events'!$C$6:$C$17="W-4 change")*('Changes &amp; Events'!$B$6:$B$17&lt;=$B55)*('Changes &amp; Events'!$B$6:$B$17&lt;&gt;"")),'Changes &amp; Events'!$E$6:$E$17),'Your Pay &amp; Benefits'!$C$15))</f>
      </c>
      <c r="AQ55" s="7">
        <f>IF($B55="","",IFERROR(LOOKUP(2,1/(('Changes &amp; Events'!$C$6:$C$17="W-4 change")*('Changes &amp; Events'!$B$6:$B$17&lt;=$B55)*('Changes &amp; Events'!$B$6:$B$17&lt;&gt;"")),'Changes &amp; Events'!$F$6:$F$17),'Your Pay &amp; Benefits'!$C$16))</f>
      </c>
      <c r="AR55" s="7">
        <f>IF($B55="","",IFERROR(LOOKUP(2,1/(('Changes &amp; Events'!$C$6:$C$17="W-4 change")*('Changes &amp; Events'!$B$6:$B$17&lt;=$B55)*('Changes &amp; Events'!$B$6:$B$17&lt;&gt;"")),'Changes &amp; Events'!$G$6:$G$17),'Your Pay &amp; Benefits'!$C$17))</f>
      </c>
      <c r="AS55" s="6">
        <f>IF($B55="","",IFERROR(LOOKUP(2,1/((('Changes &amp; Events'!$C$6:$C$17="State move")+('Changes &amp; Events'!$C$6:$C$17="State cert change"))*('Changes &amp; Events'!$B$6:$B$17&lt;=$B55)*('Changes &amp; Events'!$B$6:$B$17&lt;&gt;"")),'Changes &amp; Events'!$F$6:$F$17),'Your Pay &amp; Benefits'!$C$23))</f>
      </c>
      <c r="AT55" s="6">
        <f>IF($B55="","",IFERROR(LOOKUP(2,1/((('Changes &amp; Events'!$C$6:$C$17="State move")+('Changes &amp; Events'!$C$6:$C$17="State cert change"))*('Changes &amp; Events'!$B$6:$B$17&lt;=$B55)*('Changes &amp; Events'!$B$6:$B$17&lt;&gt;"")),'Changes &amp; Events'!$G$6:$G$17),'Your Pay &amp; Benefits'!$C$24))</f>
      </c>
      <c r="AU55">
        <f>IF($B55="","",IFERROR(LOOKUP(2,1/(('Changes &amp; Events'!$C$6:$C$17="State move")*('Changes &amp; Events'!$B$6:$B$17&lt;=$B55)*('Changes &amp; Events'!$B$6:$B$17&lt;&gt;"")),'Changes &amp; Events'!$E$6:$E$17),'Your Pay &amp; Benefits'!$C$22))</f>
      </c>
      <c r="AV55" s="6">
        <f>IF($B55="","",1+COUNTIFS('Changes &amp; Events'!$C$6:$C$17,"Employer change",'Changes &amp; Events'!$B$6:$B$17,"&lt;="&amp;$B55,'Changes &amp; Events'!$B$6:$B$17,"&lt;&gt;"))</f>
      </c>
      <c r="AW55" s="7">
        <f>IF($B55="","",IF($AV55=1,'Your Pay &amp; Benefits'!$C$49,IF(IFERROR(MATCH(IFERROR(LOOKUP(2,1/(('Changes &amp; Events'!$C$6:$C$17="Employer change")*('Changes &amp; Events'!$B$6:$B$17&lt;=$B55)*('Changes &amp; Events'!$B$6:$B$17&lt;&gt;"")),'Changes &amp; Events'!$B$6:$B$17),""),$B$6:$B$68,1),1)&lt;=1,'Your Pay &amp; Benefits'!$C$49,INDEX($AB$6:$AB$68,MATCH(IFERROR(LOOKUP(2,1/(('Changes &amp; Events'!$C$6:$C$17="Employer change")*('Changes &amp; Events'!$B$6:$B$17&lt;=$B55)*('Changes &amp; Events'!$B$6:$B$17&lt;&gt;"")),'Changes &amp; Events'!$B$6:$B$17),""),$B$6:$B$68,1)-1))))</f>
      </c>
      <c r="AX55" s="7">
        <f>IF($B55="","",IF($AV55=1,'Your Pay &amp; Benefits'!$C$49,IFERROR(LOOKUP(2,1/(('Changes &amp; Events'!$C$6:$C$17="Employer change")*('Changes &amp; Events'!$B$6:$B$17&lt;=$B55)*('Changes &amp; Events'!$B$6:$B$17&lt;&gt;"")),'Changes &amp; Events'!$D$6:$D$17),0)))</f>
      </c>
      <c r="AY55" s="7">
        <f>IF($B55="","",($O55-$D55)*'Your Pay &amp; Benefits'!$C$8)</f>
      </c>
      <c r="AZ55" s="7">
        <f>IF($B55="","",IF($AN55="AL",MAX(0,$AY55-IF($AU55="Married",IF($AY55&lt;=25999,8500,MAX(5000,8500-175*CEILING(($AY55-25999)/500,1))),IF($AU55="Head of household",IF($AY55&lt;=25999,5200,MAX(2500,5200-135*CEILING(($AY55-25999)/500,1))),IF($AY55&lt;=25999,3000,MAX(2500,3000-25*CEILING(($AY55-25999)/500,1)))))-($P55-'How This Works &amp; Sources'!$C$10*$D55)*'Your Pay &amp; Benefits'!$C$8-IF(OR($AU55="Married",$AU55="Head of household"),3000,1500)-$AT55*IF($AY55&lt;=50000,1000,IF($AY55&lt;=100000,500,300))),IF($AN55="AR",IF(MAX(0,$AY55-2470)&lt;97701,INT(MAX(0,$AY55-2470)/100)*100+50,MAX(0,$AY55-2470)),IF($AN55="DE",MAX(0,$AI55-3250),IF($AN55="HI",MAX(0,$AI55-1144*$AS55-4350),IF($AN55="KS",MAX(0,$AI55-(9160*IF($AU55="Married",2,1)+2320*$AT55+IF($AU55="Head of household",2320,0))),IF($AN55="MD",MAX(0,$AI55-3400-3200*$AS55),IF($AN55="MN",MAX(0,$AY55-5300*$AS55),IF($AN55="MO",MAX(0,$AI55-IF($AU55="Head of household",24150,IF($AU55="Married",IF('Your Pay &amp; Benefits'!$C$83,16100,32200),16100))),IF($AN55="MT",$AY55,IF($AN55="ND",($C55+$L55)*'Your Pay &amp; Benefits'!$C$8,IF($AN55="NE",MAX(0,$AY55-2440*$AS55),IF($AN55="NJ",MAX(0,$AY55-1000*$AS55),IF($AN55="NY",MAX(0,$AY55-(IF($AU55="Married",7950,7400)+1000*$AS55)),IF($AN55="OH",MAX(0,$AY55-650*$AS55),IF($AN55="OK",MAX(0,$AY55-1000*$AS55),IF($AN55="RI",MAX(0,$AI55-1000*$AS55),IF($AN55="SC",MAX(0,$AI55-5000*$AS55-IF($AS55=0,0,MIN(0.1*$AI55,7500))),IF($AN55="VA",MAX(0,$AI55-IF($AU55="Married",17500,8750)-930*$AS55-800*$AT55),IF($AN55="VT",MAX(0,$AI55-5400*$AS55),IF($AN55="WI",MAX(0,$AI55-MAX(0,IF($AU55="Married",9461-0.2*MAX(0,$AI55-25727),6702-0.12*MAX(0,$AI55-17780)))-400*$AS55),IF($AN55="WV",MAX(0,$AI55-2000*$AS55),$AI55))))))))))))))))))))))</f>
      </c>
      <c r="BA55" s="7">
        <f>IF($B55="","",IF($BW55&lt;&gt;"",$BW55,IF($BX55&lt;&gt;"",$BX55,IF($BY55&lt;&gt;"",$BY55,0))))</f>
      </c>
      <c r="BB55" s="7">
        <f>IF($B55="","",IF($AN55="AR",-29*$AS55,IF($AN55="DE",-110*$AS55,IF($AN55="MD",$AZ55*'Your Pay &amp; Benefits'!$C$74,IF($AN55="AZ",'Your Pay &amp; Benefits'!$C$82*($M55-$D55)*'Your Pay &amp; Benefits'!$C$8,IF($AN55="CO",0.044*MAX(0,$AY55-IF($AU55="Married",10000,5000)),IF($AN55="IA",MAX(0,0.038*MAX(0,$AY55-IF($AU55="Head of household",19500,IF($AU55="Married",26000,13000)))-40*$AS55),IF($AN55="ID",0.053*MAX(0,$AY55-IF($AU55="Married",32000,16094)),IF($AN55="IL",0.0495*MAX(0,$AY55-(2925*$AS55+1000*$AT55)),IF($AN55="IN",(0.0295+'Your Pay &amp; Benefits'!$C$76)*MAX(0,$AY55-(1000*$AS55+1500*$AT55+3000*'Your Pay &amp; Benefits'!$C$86)),IF($AN55="KY",0.035*MAX(0,$AI55-3360),IF($AN55="LA",IF('Your Pay &amp; Benefits'!$C$84="0",0.0309*$AI55,0.0309*MAX(0,$AI55-IF('Your Pay &amp; Benefits'!$C$84="2",25750,12875))),IF($AN55="MA",0.05*MIN(MAX(0,$AY55-MIN(($BD54+$Q55+$R55+$S55),2000)-IF($AS55=0,0,IF($AS55=1,4400,1000*$AS55+3400))),1107750)+0.09*MAX(0,MAX(0,$AY55-MIN(($BD54+$Q55+$R55+$S55),2000)-IF($AS55=0,0,IF($AS55=1,4400,1000*$AS55+3400)))-1107750)-IF($AU55="Head of household",120,0)-110*'Your Pay &amp; Benefits'!$C$75,IF($AN55="MI",0.0425*MAX(0,$AY55-5900*$AS55),IF($AN55="MS",0.04*MAX(0,$AI55-IF($AU55="Head of household",3400,IF($AU55="Married",4600,2300))-'Your Pay &amp; Benefits'!$C$85-10000),IF($AN55="OR",IF(OR($AU55="Married",AND($AU55="Single",$AS55&gt;=3)),SUMPRODUCT((MAX(0,$AY55-MIN(($P55-'How This Works &amp; Sources'!$C$10*$D55)*'Your Pay &amp; Benefits'!$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Sources'!$B$211:$J$214,0,4))*(MAX(0,$AY55-MIN(($P55-'How This Works &amp; Sources'!$C$10*$D55)*'Your Pay &amp; Benefits'!$C$8,IF(OR($AU55="Married",AND($AU55="Single",$AS55&gt;=3)),IF($AY55&lt;250000,8750,IF($AY55&lt;260000,7000,IF($AY55&lt;270000,5250,IF($AY55&lt;280000,3500,IF($AY55&lt;290000,1750,0))))),IF($AY55&lt;125000,8750,IF($AY55&lt;130000,7000,IF($AY55&lt;135000,5250,IF($AY55&lt;140000,3500,IF($AY55&lt;145000,1750,0)))))))-IF(OR($AU55="Married",AND($AU55="Single",$AS55&gt;=3)),5820,2910))-INDEX('How This Works &amp; Sources'!$B$211:$J$214,0,4))*INDEX('How This Works &amp; Sources'!$B$211:$J$214,0,4+2)),SUMPRODUCT((MAX(0,$AY55-MIN(($P55-'How This Works &amp; Sources'!$C$10*$D55)*'Your Pay &amp; Benefits'!$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Sources'!$B$211:$J$214,0,1))*(MAX(0,$AY55-MIN(($P55-'How This Works &amp; Sources'!$C$10*$D55)*'Your Pay &amp; Benefits'!$C$8,IF(OR($AU55="Married",AND($AU55="Single",$AS55&gt;=3)),IF($AY55&lt;250000,8750,IF($AY55&lt;260000,7000,IF($AY55&lt;270000,5250,IF($AY55&lt;280000,3500,IF($AY55&lt;290000,1750,0))))),IF($AY55&lt;125000,8750,IF($AY55&lt;130000,7000,IF($AY55&lt;135000,5250,IF($AY55&lt;140000,3500,IF($AY55&lt;145000,1750,0)))))))-IF(OR($AU55="Married",AND($AU55="Single",$AS55&gt;=3)),5820,2910))-INDEX('How This Works &amp; Sources'!$B$211:$J$214,0,1))*INDEX('How This Works &amp; Sources'!$B$211:$J$214,0,1+2)))+263-263*IF(IF($AU55="Married",$AY55&gt;200000,$AY55&gt;100000),0,$AS55),IF($AN55="PA",0.0307*(($O55+$E55+$G55)*'Your Pay &amp; Benefits'!$C$8),IF($AN55="NY",IF($AU55="Married",IF($AZ55&gt;=2155350,0,IF($AZ55&gt;=1077550,0.48,IF($AZ55&gt;=373200,1.21,IF($AZ55&gt;=323200,0.21,IF($AZ55&gt;=211550,-0.19,IF($AZ55&gt;=157650,-2.8,IF($AZ55&gt;=107650,-0.8,IF($AZ55&gt;=96800,0.05,IF($AZ55&gt;=80650,-0.1,IF($AZ55&gt;=13900,0.4,IF($AZ55&gt;=11700,-0.3,IF($AZ55&gt;=8500,0.5,0)))))))))))),IF($AZ55&gt;=1077550,0,IF($AZ55&gt;=265400,4.29,IF($AZ55&gt;=215400,2.29,IF($AZ55&gt;=157650,2.29,IF($AZ55&gt;=107650,0.29,IF($AZ55&gt;=96800,0.05,IF($AZ55&gt;=80650,-0.1,IF($AZ55&gt;=13900,0.4,IF($AZ55&gt;=11700,-0.3,IF($AZ55&gt;=8500,0.5,0))))))))))),0))))))))))))))))))</f>
      </c>
      <c r="BC55" s="7">
        <f>IF($B55="","",IF($AN55="AL",0.05*$D55,IF($AN55="AR",0.039*$D55,IF($AN55="ID",0.053*$D55,IF($AN55="IN",(0.0295+'Your Pay &amp; Benefits'!$C$76)*$D55,IF($AN55="KS",0.05*$D55,IF($AN55="MA",0.09*MIN($D55,MAX(0,MAX(0,$AY55-MIN(($BD54+$Q55+$R55+$S55),2000)-IF($AS55=0,0,IF($AS55=1,4400,1000*$AS55+3400)))+$D55-1107750))+0.05*($D55-MIN($D55,MAX(0,MAX(0,$AY55-MIN(($BD54+$Q55+$R55+$S55),2000)-IF($AS55=0,0,IF($AS55=1,4400,1000*$AS55+3400)))+$D55-1107750))),IF($AN55="MD",(0.065+'Your Pay &amp; Benefits'!$C$74)*$D55,IF($AN55="MI",0.0425*$D55,IF($AN55="MN",0.0625*$D55,IF($AN55="MO",0.047*$D55,IF($AN55="MT",0.05*$D55,IF($AN55="ND",0.015*$D55,IF($AN55="NE",0.035*$D55,IF($AN55="NJ",IF('Your Pay &amp; Benefits'!$C$77="B",SUMPRODUCT(($D55*'Your Pay &amp; Benefits'!$C$8&gt;INDEX('How This Works &amp; Sources'!$B$155:$J$162,0,4))*($D55*'Your Pay &amp; Benefits'!$C$8-INDEX('How This Works &amp; Sources'!$B$155:$J$162,0,4))*INDEX('How This Works &amp; Sources'!$B$155:$J$162,0,4+2)),IF('Your Pay &amp; Benefits'!$C$77="C",SUMPRODUCT(($D55*'Your Pay &amp; Benefits'!$C$8&gt;INDEX('How This Works &amp; Sources'!$B$155:$J$162,0,7))*($D55*'Your Pay &amp; Benefits'!$C$8-INDEX('How This Works &amp; Sources'!$B$155:$J$162,0,7))*INDEX('How This Works &amp; Sources'!$B$155:$J$162,0,7+2)),IF('Your Pay &amp; Benefits'!$C$77="D",SUMPRODUCT(($D55*'Your Pay &amp; Benefits'!$C$8&gt;INDEX('How This Works &amp; Sources'!$B$167:$J$179,0,1))*($D55*'Your Pay &amp; Benefits'!$C$8-INDEX('How This Works &amp; Sources'!$B$167:$J$179,0,1))*INDEX('How This Works &amp; Sources'!$B$167:$J$179,0,1+2)),IF('Your Pay &amp; Benefits'!$C$77="E",SUMPRODUCT(($D55*'Your Pay &amp; Benefits'!$C$8&gt;INDEX('How This Works &amp; Sources'!$B$167:$J$179,0,4))*($D55*'Your Pay &amp; Benefits'!$C$8-INDEX('How This Works &amp; Sources'!$B$167:$J$179,0,4))*INDEX('How This Works &amp; Sources'!$B$167:$J$179,0,4+2)),SUMPRODUCT(($D55*'Your Pay &amp; Benefits'!$C$8&gt;INDEX('How This Works &amp; Sources'!$B$155:$J$162,0,1))*($D55*'Your Pay &amp; Benefits'!$C$8-INDEX('How This Works &amp; Sources'!$B$155:$J$162,0,1))*INDEX('How This Works &amp; Sources'!$B$155:$J$162,0,1+2))))))/'Your Pay &amp; Benefits'!$C$8,IF($AN55="NY",0.117*$D55,IF($AN55="OH",0.0275*$D55,IF($AN55="OK",0.045*$D55,IF($AN55="OR",0.08*$D55,IF($AN55="WI",IF($AY55&lt;12760,0.0354,IF($AY55&lt;25520,0.0465,IF($AY55&lt;280950,0.053,0.0765)))*$D55,0))))))))))))))))))))</f>
      </c>
      <c r="BD55" s="7">
        <f>IF($B55="","",$BD54+$Q55+$R55+$S55)</f>
      </c>
      <c r="BE55" s="6">
        <f>IF($B55="",$BE54,$BE54+$BF55)</f>
      </c>
      <c r="BF55" s="6">
        <f>IF($B55="","",IF(AND(IF(YEAR(IF('Your Pay &amp; Benefits'!$C$7="Weekly",'Your Pay &amp; Benefits'!$C$9+7*(($BE54+1)-1),IF('Your Pay &amp; Benefits'!$C$7="Biweekly",'Your Pay &amp; Benefits'!$C$9+14*(($BE54+1)-1),IF('Your Pay &amp; Benefits'!$C$7="Semimonthly",DATE(YEAR('Your Pay &amp; Benefits'!$C$9),MONTH('Your Pay &amp; Benefits'!$C$9)+INT((($BE54+1)-1)/2),MIN(DAY('Your Pay &amp; Benefits'!$C$9),DAY(EOMONTH(DATE(YEAR('Your Pay &amp; Benefits'!$C$9),MONTH('Your Pay &amp; Benefits'!$C$9)+INT((($BE54+1)-1)/2),1),0))))+IF(MOD(($BE54+1)-1,2)=1,15,0),EDATE('Your Pay &amp; Benefits'!$C$9,($BE54+1)-1)))))&lt;&gt;'Your Pay &amp; Benefits'!$C$10,"",IF('Your Pay &amp; Benefits'!$C$7="Weekly",'Your Pay &amp; Benefits'!$C$9+7*(($BE54+1)-1),IF('Your Pay &amp; Benefits'!$C$7="Biweekly",'Your Pay &amp; Benefits'!$C$9+14*(($BE54+1)-1),IF('Your Pay &amp; Benefits'!$C$7="Semimonthly",DATE(YEAR('Your Pay &amp; Benefits'!$C$9),MONTH('Your Pay &amp; Benefits'!$C$9)+INT((($BE54+1)-1)/2),MIN(DAY('Your Pay &amp; Benefits'!$C$9),DAY(EOMONTH(DATE(YEAR('Your Pay &amp; Benefits'!$C$9),MONTH('Your Pay &amp; Benefits'!$C$9)+INT((($BE54+1)-1)/2),1),0))))+IF(MOD(($BE54+1)-1,2)=1,15,0),EDATE('Your Pay &amp; Benefits'!$C$9,($BE54+1)-1)))))&lt;&gt;"",$B55=IF(YEAR(IF('Your Pay &amp; Benefits'!$C$7="Weekly",'Your Pay &amp; Benefits'!$C$9+7*(($BE54+1)-1),IF('Your Pay &amp; Benefits'!$C$7="Biweekly",'Your Pay &amp; Benefits'!$C$9+14*(($BE54+1)-1),IF('Your Pay &amp; Benefits'!$C$7="Semimonthly",DATE(YEAR('Your Pay &amp; Benefits'!$C$9),MONTH('Your Pay &amp; Benefits'!$C$9)+INT((($BE54+1)-1)/2),MIN(DAY('Your Pay &amp; Benefits'!$C$9),DAY(EOMONTH(DATE(YEAR('Your Pay &amp; Benefits'!$C$9),MONTH('Your Pay &amp; Benefits'!$C$9)+INT((($BE54+1)-1)/2),1),0))))+IF(MOD(($BE54+1)-1,2)=1,15,0),EDATE('Your Pay &amp; Benefits'!$C$9,($BE54+1)-1)))))&lt;&gt;'Your Pay &amp; Benefits'!$C$10,"",IF('Your Pay &amp; Benefits'!$C$7="Weekly",'Your Pay &amp; Benefits'!$C$9+7*(($BE54+1)-1),IF('Your Pay &amp; Benefits'!$C$7="Biweekly",'Your Pay &amp; Benefits'!$C$9+14*(($BE54+1)-1),IF('Your Pay &amp; Benefits'!$C$7="Semimonthly",DATE(YEAR('Your Pay &amp; Benefits'!$C$9),MONTH('Your Pay &amp; Benefits'!$C$9)+INT((($BE54+1)-1)/2),MIN(DAY('Your Pay &amp; Benefits'!$C$9),DAY(EOMONTH(DATE(YEAR('Your Pay &amp; Benefits'!$C$9),MONTH('Your Pay &amp; Benefits'!$C$9)+INT((($BE54+1)-1)/2),1),0))))+IF(MOD(($BE54+1)-1,2)=1,15,0),EDATE('Your Pay &amp; Benefits'!$C$9,($BE54+1)-1)))))),1,0))</f>
      </c>
      <c r="BG55" s="7">
        <f>IF($B55="","",$BG54+$H55)</f>
      </c>
      <c r="BH55" s="7">
        <f>IF($B55="","",$BH54+$I55)</f>
      </c>
      <c r="BI55" s="7">
        <f>IF($B55="","",$BI54+$G55)</f>
      </c>
      <c r="BJ55" s="7">
        <f>IF($B55="","",IFERROR(LOOKUP(2,1/(((('Changes &amp; Events'!$C$6:$C$17="Deduction start"))*('Changes &amp; Events'!$D$6:$D$17="Health FSA"))*('Changes &amp; Events'!$B$6:$B$17&lt;=$B55)*('Changes &amp; Events'!$B$6:$B$17&lt;&gt;"")),'Changes &amp; Events'!$E$6:$E$17),'Your Pay &amp; Benefits'!$D$38))</f>
      </c>
      <c r="BK55" s="7">
        <f>IF($B55="","",IFERROR(LOOKUP(2,1/(((('Changes &amp; Events'!$C$6:$C$17="Deduction start"))*('Changes &amp; Events'!$D$6:$D$17="Dependent-care FSA"))*('Changes &amp; Events'!$B$6:$B$17&lt;=$B55)*('Changes &amp; Events'!$B$6:$B$17&lt;&gt;"")),'Changes &amp; Events'!$E$6:$E$17),'Your Pay &amp; Benefits'!$D$39))</f>
      </c>
      <c r="BL55" s="7">
        <f>IF($B55="","",IFERROR(LOOKUP(2,1/(((('Changes &amp; Events'!$C$6:$C$17="Deduction start")+('Changes &amp; Events'!$C$6:$C$17="Deduction stop"))*('Changes &amp; Events'!$D$6:$D$17="HSA"))*('Changes &amp; Events'!$B$6:$B$17&lt;=$B55)*('Changes &amp; Events'!$B$6:$B$17&lt;&gt;"")),'Changes &amp; Events'!$I$6:$I$17),'Your Pay &amp; Benefits'!$D$35))</f>
      </c>
      <c r="BM55" s="7">
        <f>IF($B55="","",IFERROR(LOOKUP(2,1/(((('Changes &amp; Events'!$C$6:$C$17="Deduction start")+('Changes &amp; Events'!$C$6:$C$17="Deduction stop"))*('Changes &amp; Events'!$D$6:$D$17="Premiums"))*('Changes &amp; Events'!$B$6:$B$17&lt;=$B55)*('Changes &amp; Events'!$B$6:$B$17&lt;&gt;"")),'Changes &amp; Events'!$I$6:$I$17),'Your Pay &amp; Benefits'!$D$40+'Your Pay &amp; Benefits'!$D$41+'Your Pay &amp; Benefits'!$D$42))</f>
      </c>
      <c r="BN55" s="7">
        <f>IF($B55="","",IFERROR(LOOKUP(2,1/(((('Changes &amp; Events'!$C$6:$C$17="Deduction start")+('Changes &amp; Events'!$C$6:$C$17="Deduction stop"))*('Changes &amp; Events'!$D$6:$D$17="Commuter"))*('Changes &amp; Events'!$B$6:$B$17&lt;=$B55)*('Changes &amp; Events'!$B$6:$B$17&lt;&gt;"")),'Changes &amp; Events'!$I$6:$I$17),'Your Pay &amp; Benefits'!$D$43))</f>
      </c>
      <c r="BO55" s="7">
        <f>IF($B55="","",IFERROR(LOOKUP(2,1/(((('Changes &amp; Events'!$C$6:$C$17="Deduction start")+('Changes &amp; Events'!$C$6:$C$17="Deduction stop"))*('Changes &amp; Events'!$D$6:$D$17="Other pre-tax"))*('Changes &amp; Events'!$B$6:$B$17&lt;=$B55)*('Changes &amp; Events'!$B$6:$B$17&lt;&gt;"")),'Changes &amp; Events'!$I$6:$I$17),'Your Pay &amp; Benefits'!$D$44))</f>
      </c>
      <c r="BP55" s="7">
        <f>IF($B55="","",IFERROR(LOOKUP(2,1/(((('Changes &amp; Events'!$C$6:$C$17="Deduction start")+('Changes &amp; Events'!$C$6:$C$17="Deduction stop"))*('Changes &amp; Events'!$D$6:$D$17="Other post-tax"))*('Changes &amp; Events'!$B$6:$B$17&lt;=$B55)*('Changes &amp; Events'!$B$6:$B$17&lt;&gt;"")),'Changes &amp; Events'!$I$6:$I$17),'Your Pay &amp; Benefits'!$D$45))</f>
      </c>
      <c r="BQ55" s="6">
        <f>IF($B55="","",IFERROR(LOOKUP(2,1/(((('Changes &amp; Events'!$C$6:$C$17="Deduction start")+('Changes &amp; Events'!$C$6:$C$17="Deduction stop"))*('Changes &amp; Events'!$D$6:$D$17="Health FSA"))*('Changes &amp; Events'!$B$6:$B$17&lt;=$B55)*('Changes &amp; Events'!$B$6:$B$17&lt;&gt;"")),'Changes &amp; Events'!$J$6:$J$17),0))</f>
      </c>
      <c r="BR55" s="6">
        <f>IF($B55="","",IFERROR(LOOKUP(2,1/(((('Changes &amp; Events'!$C$6:$C$17="Deduction start")+('Changes &amp; Events'!$C$6:$C$17="Deduction stop"))*('Changes &amp; Events'!$D$6:$D$17="Dependent-care FSA"))*('Changes &amp; Events'!$B$6:$B$17&lt;=$B55)*('Changes &amp; Events'!$B$6:$B$17&lt;&gt;"")),'Changes &amp; Events'!$J$6:$J$17),0))</f>
      </c>
      <c r="BS55" s="6">
        <f>IF($B55="","",IF(SUMPRODUCT(('Changes &amp; Events'!$C$6:$C$17="Deduction start")*('Changes &amp; Events'!$B$6:$B$17&lt;=$B55)*('Changes &amp; Events'!$B$6:$B$17&lt;&gt;"")*('Changes &amp; Events'!$D$6:$D$17="Health FSA"))&gt;0,1,0))</f>
      </c>
      <c r="BT55" s="6">
        <f>IF($B55="","",IF(SUMPRODUCT(('Changes &amp; Events'!$C$6:$C$17="Deduction start")*('Changes &amp; Events'!$B$6:$B$17&lt;=$B55)*('Changes &amp; Events'!$B$6:$B$17&lt;&gt;"")*('Changes &amp; Events'!$D$6:$D$17="Dependent-care FSA"))&gt;0,1,0))</f>
      </c>
      <c r="BU55" s="24">
        <f>IF($B55="","",IF('Your Pay &amp; Benefits'!$C$13,SUMPRODUCT(($AH55&gt;=INDEX('How This Works &amp; Sources'!$B$29:$J$36,0,IF('Your Pay &amp; Benefits'!$C$12="MFJ",1,IF('Your Pay &amp; Benefits'!$C$12="HoH",7,4))))*INDEX('How This Works &amp; Sources'!$B$29:$J$36,0,IF('Your Pay &amp; Benefits'!$C$12="MFJ",1,IF('Your Pay &amp; Benefits'!$C$12="HoH",7,4))+2)),SUMPRODUCT(($AH55&gt;=INDEX('How This Works &amp; Sources'!$B$19:$J$26,0,IF('Your Pay &amp; Benefits'!$C$12="MFJ",1,IF('Your Pay &amp; Benefits'!$C$12="HoH",7,4))))*INDEX('How This Works &amp; Sources'!$B$19:$J$26,0,IF('Your Pay &amp; Benefits'!$C$12="MFJ",1,IF('Your Pay &amp; Benefits'!$C$12="HoH",7,4))+2))))</f>
      </c>
      <c r="BV55" s="24">
        <f>IF($B55="","",IF($BZ55&lt;&gt;"",$BZ55,IF($CA55&lt;&gt;"",$CA55,IF($CB55&lt;&gt;"",$CB55,IF($CC55&lt;&gt;"",$CC55,0)))))</f>
      </c>
      <c r="BW55" s="7">
        <f>IF($B55="","",IF($AN55="MD",IF(OR($AU55="Married",$AU55="Head of household"),SUMPRODUCT(($AZ55&gt;INDEX('How This Works &amp; Sources'!$B$114:$J$120,0,1))*($AZ55-INDEX('How This Works &amp; Sources'!$B$114:$J$120,0,1))*INDEX('How This Works &amp; Sources'!$B$114:$J$120,0,1+2)),SUMPRODUCT(($AZ55&gt;INDEX('How This Works &amp; Sources'!$B$103:$J$109,0,7))*($AZ55-INDEX('How This Works &amp; Sources'!$B$103:$J$109,0,7))*INDEX('How This Works &amp; Sources'!$B$103:$J$109,0,7+2))),IF($AN55="MO",SUMPRODUCT(($AZ55&gt;INDEX('How This Works &amp; Sources'!$B$125:$J$132,0,1))*($AZ55-INDEX('How This Works &amp; Sources'!$B$125:$J$132,0,1))*INDEX('How This Works &amp; Sources'!$B$125:$J$132,0,1+2)),IF($AN55="MT",IF($AU55="Head of household",SUMPRODUCT(($AZ55&gt;INDEX('How This Works &amp; Sources'!$B$137:$J$139,0,1))*($AZ55-INDEX('How This Works &amp; Sources'!$B$137:$J$139,0,1))*INDEX('How This Works &amp; Sources'!$B$137:$J$139,0,1+2)),IF($AU55="Married",SUMPRODUCT(($AZ55&gt;INDEX('How This Works &amp; Sources'!$B$125:$J$132,0,7))*($AZ55-INDEX('How This Works &amp; Sources'!$B$125:$J$132,0,7))*INDEX('How This Works &amp; Sources'!$B$125:$J$132,0,7+2)),SUMPRODUCT(($AZ55&gt;INDEX('How This Works &amp; Sources'!$B$125:$J$132,0,4))*($AZ55-INDEX('How This Works &amp; Sources'!$B$125:$J$132,0,4))*INDEX('How This Works &amp; Sources'!$B$125:$J$132,0,4+2)))),IF($AN55="ND",IF($AU55="Head of household",SUMPRODUCT(($AZ55&gt;INDEX('How This Works &amp; Sources'!$B$144:$J$150,0,1))*($AZ55-INDEX('How This Works &amp; Sources'!$B$144:$J$150,0,1))*INDEX('How This Works &amp; Sources'!$B$144:$J$150,0,1+2)),IF($AU55="Married",SUMPRODUCT(($AZ55&gt;INDEX('How This Works &amp; Sources'!$B$137:$J$139,0,7))*($AZ55-INDEX('How This Works &amp; Sources'!$B$137:$J$139,0,7))*INDEX('How This Works &amp; Sources'!$B$137:$J$139,0,7+2)),SUMPRODUCT(($AZ55&gt;INDEX('How This Works &amp; Sources'!$B$137:$J$139,0,4))*($AZ55-INDEX('How This Works &amp; Sources'!$B$137:$J$139,0,4))*INDEX('How This Works &amp; Sources'!$B$137:$J$139,0,4+2)))),IF($AN55="NJ",IF('Your Pay &amp; Benefits'!$C$77="B",SUMPRODUCT(($AZ55&gt;INDEX('How This Works &amp; Sources'!$B$155:$J$162,0,4))*($AZ55-INDEX('How This Works &amp; Sources'!$B$155:$J$162,0,4))*INDEX('How This Works &amp; Sources'!$B$155:$J$162,0,4+2)),IF('Your Pay &amp; Benefits'!$C$77="C",SUMPRODUCT(($AZ55&gt;INDEX('How This Works &amp; Sources'!$B$155:$J$162,0,7))*($AZ55-INDEX('How This Works &amp; Sources'!$B$155:$J$162,0,7))*INDEX('How This Works &amp; Sources'!$B$155:$J$162,0,7+2)),IF('Your Pay &amp; Benefits'!$C$77="D",SUMPRODUCT(($AZ55&gt;INDEX('How This Works &amp; Sources'!$B$167:$J$179,0,1))*($AZ55-INDEX('How This Works &amp; Sources'!$B$167:$J$179,0,1))*INDEX('How This Works &amp; Sources'!$B$167:$J$179,0,1+2)),IF('Your Pay &amp; Benefits'!$C$77="E",SUMPRODUCT(($AZ55&gt;INDEX('How This Works &amp; Sources'!$B$167:$J$179,0,4))*($AZ55-INDEX('How This Works &amp; Sources'!$B$167:$J$179,0,4))*INDEX('How This Works &amp; Sources'!$B$167:$J$179,0,4+2)),SUMPRODUCT(($AZ55&gt;INDEX('How This Works &amp; Sources'!$B$155:$J$162,0,1))*($AZ55-INDEX('How This Works &amp; Sources'!$B$155:$J$162,0,1))*INDEX('How This Works &amp; Sources'!$B$155:$J$162,0,1+2)))))),IF($AN55="NY",IF($AU55="Married",IF($AZ55&gt;=2155350,$AZ55*IF($AZ55&gt;25000000,0.117,IF($AZ55&gt;5000000,0.111,0.1045)),SUMPRODUCT(($AZ55&gt;INDEX('How This Works &amp; Sources'!$B$184:$J$198,0,1))*($AZ55-INDEX('How This Works &amp; Sources'!$B$184:$J$198,0,1))*INDEX('How This Works &amp; Sources'!$B$184:$J$198,0,1+2))),IF($AZ55&gt;=1077550,$AZ55*IF($AZ55&gt;25000000,0.117,IF($AZ55&gt;5000000,0.111,0.1045)),SUMPRODUCT(($AZ55&gt;INDEX('How This Works &amp; Sources'!$B$167:$J$179,0,7))*($AZ55-INDEX('How This Works &amp; Sources'!$B$167:$J$179,0,7))*INDEX('How This Works &amp; Sources'!$B$167:$J$179,0,7+2)))),"")))))))</f>
      </c>
      <c r="BX55" s="7">
        <f>IF($B55="","",IF($AN55="AL",IF(OR($AU55="Married",$AU55="Head of household"),SUMPRODUCT(($AZ55&gt;INDEX('How This Works &amp; Sources'!$B$82:$J$86,0,4))*($AZ55-INDEX('How This Works &amp; Sources'!$B$82:$J$86,0,4))*INDEX('How This Works &amp; Sources'!$B$82:$J$86,0,4+2)),SUMPRODUCT(($AZ55&gt;INDEX('How This Works &amp; Sources'!$B$82:$J$86,0,1))*($AZ55-INDEX('How This Works &amp; Sources'!$B$82:$J$86,0,1))*INDEX('How This Works &amp; Sources'!$B$82:$J$86,0,1+2))),IF($AN55="KS",IF($AU55="Married",SUMPRODUCT(($AZ55&gt;INDEX('How This Works &amp; Sources'!$B$103:$J$109,0,4))*($AZ55-INDEX('How This Works &amp; Sources'!$B$103:$J$109,0,4))*INDEX('How This Works &amp; Sources'!$B$103:$J$109,0,4+2)),SUMPRODUCT(($AZ55&gt;INDEX('How This Works &amp; Sources'!$B$103:$J$109,0,1))*($AZ55-INDEX('How This Works &amp; Sources'!$B$103:$J$109,0,1))*INDEX('How This Works &amp; Sources'!$B$103:$J$109,0,1+2))),IF($AN55="MN",IF($AU55="Married",SUMPRODUCT(($AZ55&gt;INDEX('How This Works &amp; Sources'!$B$114:$J$120,0,7))*($AZ55-INDEX('How This Works &amp; Sources'!$B$114:$J$120,0,7))*INDEX('How This Works &amp; Sources'!$B$114:$J$120,0,7+2)),SUMPRODUCT(($AZ55&gt;INDEX('How This Works &amp; Sources'!$B$114:$J$120,0,4))*($AZ55-INDEX('How This Works &amp; Sources'!$B$114:$J$120,0,4))*INDEX('How This Works &amp; Sources'!$B$114:$J$120,0,4+2))),IF($AN55="NE",MAX(IF($AU55="Married",SUMPRODUCT(($AZ55&gt;INDEX('How This Works &amp; Sources'!$B$144:$J$150,0,7))*($AZ55-INDEX('How This Works &amp; Sources'!$B$144:$J$150,0,7))*INDEX('How This Works &amp; Sources'!$B$144:$J$150,0,7+2)),SUMPRODUCT(($AZ55&gt;INDEX('How This Works &amp; Sources'!$B$144:$J$150,0,4))*($AZ55-INDEX('How This Works &amp; Sources'!$B$144:$J$150,0,4))*INDEX('How This Works &amp; Sources'!$B$144:$J$150,0,4+2))),0.015*$AZ55),IF($AN55="OH",IF($B55&gt;=DATE(2026,8,1),SUMPRODUCT(($AZ55&gt;INDEX('How This Works &amp; Sources'!$B$203:$J$206,0,1))*($AZ55-INDEX('How This Works &amp; Sources'!$B$203:$J$206,0,1))*INDEX('How This Works &amp; Sources'!$B$203:$J$206,0,1+2)),SUMPRODUCT(($AZ55&gt;INDEX('How This Works &amp; Sources'!$B$184:$J$198,0,7))*($AZ55-INDEX('How This Works &amp; Sources'!$B$184:$J$198,0,7))*INDEX('How This Works &amp; Sources'!$B$184:$J$198,0,7+2))),IF($AN55="OK",IF($AU55="Married",SUMPRODUCT(($AZ55&gt;INDEX('How This Works &amp; Sources'!$B$203:$J$206,0,7))*($AZ55-INDEX('How This Works &amp; Sources'!$B$203:$J$206,0,7))*INDEX('How This Works &amp; Sources'!$B$203:$J$206,0,7+2)),SUMPRODUCT(($AZ55&gt;INDEX('How This Works &amp; Sources'!$B$203:$J$206,0,4))*($AZ55-INDEX('How This Works &amp; Sources'!$B$203:$J$206,0,4))*INDEX('How This Works &amp; Sources'!$B$203:$J$206,0,4+2))),IF($AN55="RI",SUMPRODUCT(($AZ55&gt;INDEX('How This Works &amp; Sources'!$B$211:$J$214,0,7))*($AZ55-INDEX('How This Works &amp; Sources'!$B$211:$J$214,0,7))*INDEX('How This Works &amp; Sources'!$B$211:$J$214,0,7+2)),IF($AN55="VT",IF($AU55="Married",SUMPRODUCT(($AZ55&gt;INDEX('How This Works &amp; Sources'!$B$228:$J$232,0,1))*($AZ55-INDEX('How This Works &amp; Sources'!$B$228:$J$232,0,1))*INDEX('How This Works &amp; Sources'!$B$228:$J$232,0,1+2)),SUMPRODUCT(($AZ55&gt;INDEX('How This Works &amp; Sources'!$B$219:$J$223,0,7))*($AZ55-INDEX('How This Works &amp; Sources'!$B$219:$J$223,0,7))*INDEX('How This Works &amp; Sources'!$B$219:$J$223,0,7+2))),IF($AN55="WV",IF($AU55="Married",SUMPRODUCT(($AZ55&gt;INDEX('How This Works &amp; Sources'!$B$237:$J$241,0,7))*($AZ55-INDEX('How This Works &amp; Sources'!$B$237:$J$241,0,7))*INDEX('How This Works &amp; Sources'!$B$237:$J$241,0,7+2)),SUMPRODUCT(($AZ55&gt;INDEX('How This Works &amp; Sources'!$B$228:$J$232,0,7))*($AZ55-INDEX('How This Works &amp; Sources'!$B$228:$J$232,0,7))*INDEX('How This Works &amp; Sources'!$B$228:$J$232,0,7+2))),""))))))))))</f>
      </c>
      <c r="BY55" s="7">
        <f>IF($B55="","",IF($AN55="AR",SUMPRODUCT(($AZ55&gt;INDEX('How This Works &amp; Sources'!$B$82:$J$86,0,7))*($AZ55-INDEX('How This Works &amp; Sources'!$B$82:$J$86,0,7))*INDEX('How This Works &amp; Sources'!$B$82:$J$86,0,7+2)),IF($AN55="DE",SUMPRODUCT(($AZ55&gt;INDEX('How This Works &amp; Sources'!$B$91:$J$98,0,1))*($AZ55-INDEX('How This Works &amp; Sources'!$B$91:$J$98,0,1))*INDEX('How This Works &amp; Sources'!$B$91:$J$98,0,1+2)),IF($AN55="HI",IF($AU55="Married",SUMPRODUCT(($AZ55&gt;INDEX('How This Works &amp; Sources'!$B$91:$J$98,0,7))*($AZ55-INDEX('How This Works &amp; Sources'!$B$91:$J$98,0,7))*INDEX('How This Works &amp; Sources'!$B$91:$J$98,0,7+2)),SUMPRODUCT(($AZ55&gt;INDEX('How This Works &amp; Sources'!$B$91:$J$98,0,4))*($AZ55-INDEX('How This Works &amp; Sources'!$B$91:$J$98,0,4))*INDEX('How This Works &amp; Sources'!$B$91:$J$98,0,4+2))),IF($AN55="SC",SUMPRODUCT(($AZ55&gt;INDEX('How This Works &amp; Sources'!$B$219:$J$223,0,1))*($AZ55-INDEX('How This Works &amp; Sources'!$B$219:$J$223,0,1))*INDEX('How This Works &amp; Sources'!$B$219:$J$223,0,1+2)),IF($AN55="VA",SUMPRODUCT(($AZ55&gt;INDEX('How This Works &amp; Sources'!$B$219:$J$223,0,4))*($AZ55-INDEX('How This Works &amp; Sources'!$B$219:$J$223,0,4))*INDEX('How This Works &amp; Sources'!$B$219:$J$223,0,4+2)),IF($AN55="WI",SUMPRODUCT(($AZ55&gt;INDEX('How This Works &amp; Sources'!$B$228:$J$232,0,4))*($AZ55-INDEX('How This Works &amp; Sources'!$B$228:$J$232,0,4))*INDEX('How This Works &amp; Sources'!$B$228:$J$232,0,4+2)),"")))))))</f>
      </c>
      <c r="BZ55" s="24">
        <f>IF($B55="","",IF($AN55="NJ",IF('Your Pay &amp; Benefits'!$C$77="B",SUMPRODUCT(($AZ55&gt;=INDEX('How This Works &amp; Sources'!$B$155:$J$162,0,4))*INDEX('How This Works &amp; Sources'!$B$155:$J$162,0,4+2)),IF('Your Pay &amp; Benefits'!$C$77="C",SUMPRODUCT(($AZ55&gt;=INDEX('How This Works &amp; Sources'!$B$155:$J$162,0,7))*INDEX('How This Works &amp; Sources'!$B$155:$J$162,0,7+2)),IF('Your Pay &amp; Benefits'!$C$77="D",SUMPRODUCT(($AZ55&gt;=INDEX('How This Works &amp; Sources'!$B$167:$J$179,0,1))*INDEX('How This Works &amp; Sources'!$B$167:$J$179,0,1+2)),IF('Your Pay &amp; Benefits'!$C$77="E",SUMPRODUCT(($AZ55&gt;=INDEX('How This Works &amp; Sources'!$B$167:$J$179,0,4))*INDEX('How This Works &amp; Sources'!$B$167:$J$179,0,4+2)),SUMPRODUCT(($AZ55&gt;=INDEX('How This Works &amp; Sources'!$B$155:$J$162,0,1))*INDEX('How This Works &amp; Sources'!$B$155:$J$162,0,1+2)))))),IF($AN55="OR",IF(OR($AU55="Married",AND($AU55="Single",$AS55&gt;=3)),SUMPRODUCT((MAX(0,$AY55-MIN(($P55-'How This Works &amp; Sources'!$C$10*$D55)*'Your Pay &amp; Benefits'!$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Sources'!$B$211:$J$214,0,4))*INDEX('How This Works &amp; Sources'!$B$211:$J$214,0,4+2)),SUMPRODUCT((MAX(0,$AY55-MIN(($P55-'How This Works &amp; Sources'!$C$10*$D55)*'Your Pay &amp; Benefits'!$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Sources'!$B$211:$J$214,0,1))*INDEX('How This Works &amp; Sources'!$B$211:$J$214,0,1+2)))*IF(($P55-'How This Works &amp; Sources'!$C$10*$D55)*'Your Pay &amp; Benefits'!$C$8&gt;=IF(OR($AU55="Married",AND($AU55="Single",$AS55&gt;=3)),IF($AY55&lt;250000,8750,IF($AY55&lt;260000,7000,IF($AY55&lt;270000,5250,IF($AY55&lt;280000,3500,IF($AY55&lt;290000,1750,0))))),IF($AY55&lt;125000,8750,IF($AY55&lt;130000,7000,IF($AY55&lt;135000,5250,IF($AY55&lt;140000,3500,IF($AY55&lt;145000,1750,0)))))),1,1-IF('Your Pay &amp; Benefits'!$C$13,SUMPRODUCT(($AH55&gt;=INDEX('How This Works &amp; Sources'!$B$29:$J$36,0,IF('Your Pay &amp; Benefits'!$C$12="MFJ",1,IF('Your Pay &amp; Benefits'!$C$12="HoH",7,4))))*INDEX('How This Works &amp; Sources'!$B$29:$J$36,0,IF('Your Pay &amp; Benefits'!$C$12="MFJ",1,IF('Your Pay &amp; Benefits'!$C$12="HoH",7,4))+2)),SUMPRODUCT(($AH55&gt;=INDEX('How This Works &amp; Sources'!$B$19:$J$26,0,IF('Your Pay &amp; Benefits'!$C$12="MFJ",1,IF('Your Pay &amp; Benefits'!$C$12="HoH",7,4))))*INDEX('How This Works &amp; Sources'!$B$19:$J$26,0,IF('Your Pay &amp; Benefits'!$C$12="MFJ",1,IF('Your Pay &amp; Benefits'!$C$12="HoH",7,4))+2)))),IF($AN55="MI",IF($AY55&gt;5900*$AS55,0.0425,0),""))))</f>
      </c>
      <c r="CA55" s="24">
        <f>IF($B55="","",IF($AN55="AL",IF(OR($AU55="Married",$AU55="Head of household"),SUMPRODUCT(($AZ55&gt;=INDEX('How This Works &amp; Sources'!$B$82:$J$86,0,4))*INDEX('How This Works &amp; Sources'!$B$82:$J$86,0,4+2)),SUMPRODUCT(($AZ55&gt;=INDEX('How This Works &amp; Sources'!$B$82:$J$86,0,1))*INDEX('How This Works &amp; Sources'!$B$82:$J$86,0,1+2)))*(1-IF('Your Pay &amp; Benefits'!$C$13,SUMPRODUCT(($AH55&gt;=INDEX('How This Works &amp; Sources'!$B$29:$J$36,0,IF('Your Pay &amp; Benefits'!$C$12="MFJ",1,IF('Your Pay &amp; Benefits'!$C$12="HoH",7,4))))*INDEX('How This Works &amp; Sources'!$B$29:$J$36,0,IF('Your Pay &amp; Benefits'!$C$12="MFJ",1,IF('Your Pay &amp; Benefits'!$C$12="HoH",7,4))+2)),SUMPRODUCT(($AH55&gt;=INDEX('How This Works &amp; Sources'!$B$19:$J$26,0,IF('Your Pay &amp; Benefits'!$C$12="MFJ",1,IF('Your Pay &amp; Benefits'!$C$12="HoH",7,4))))*INDEX('How This Works &amp; Sources'!$B$19:$J$26,0,IF('Your Pay &amp; Benefits'!$C$12="MFJ",1,IF('Your Pay &amp; Benefits'!$C$12="HoH",7,4))+2)))),IF($AN55="KS",IF($AU55="Married",SUMPRODUCT(($AZ55&gt;=INDEX('How This Works &amp; Sources'!$B$103:$J$109,0,4))*INDEX('How This Works &amp; Sources'!$B$103:$J$109,0,4+2)),SUMPRODUCT(($AZ55&gt;=INDEX('How This Works &amp; Sources'!$B$103:$J$109,0,1))*INDEX('How This Works &amp; Sources'!$B$103:$J$109,0,1+2))),IF($AN55="MD",IF(OR($AU55="Married",$AU55="Head of household"),SUMPRODUCT(($AZ55&gt;=INDEX('How This Works &amp; Sources'!$B$114:$J$120,0,1))*INDEX('How This Works &amp; Sources'!$B$114:$J$120,0,1+2)),SUMPRODUCT(($AZ55&gt;=INDEX('How This Works &amp; Sources'!$B$103:$J$109,0,7))*INDEX('How This Works &amp; Sources'!$B$103:$J$109,0,7+2)))+'Your Pay &amp; Benefits'!$C$74,IF($AN55="MT",IF($AU55="Head of household",SUMPRODUCT(($AZ55&gt;=INDEX('How This Works &amp; Sources'!$B$137:$J$139,0,1))*INDEX('How This Works &amp; Sources'!$B$137:$J$139,0,1+2)),IF($AU55="Married",SUMPRODUCT(($AZ55&gt;=INDEX('How This Works &amp; Sources'!$B$125:$J$132,0,7))*INDEX('How This Works &amp; Sources'!$B$125:$J$132,0,7+2)),SUMPRODUCT(($AZ55&gt;=INDEX('How This Works &amp; Sources'!$B$125:$J$132,0,4))*INDEX('How This Works &amp; Sources'!$B$125:$J$132,0,4+2)))),IF($AN55="ND",IF($AU55="Head of household",SUMPRODUCT(($AZ55&gt;=INDEX('How This Works &amp; Sources'!$B$144:$J$150,0,1))*INDEX('How This Works &amp; Sources'!$B$144:$J$150,0,1+2)),IF($AU55="Married",SUMPRODUCT(($AZ55&gt;=INDEX('How This Works &amp; Sources'!$B$137:$J$139,0,7))*INDEX('How This Works &amp; Sources'!$B$137:$J$139,0,7+2)),SUMPRODUCT(($AZ55&gt;=INDEX('How This Works &amp; Sources'!$B$137:$J$139,0,4))*INDEX('How This Works &amp; Sources'!$B$137:$J$139,0,4+2)))),IF($AN55="NY",IF($AU55="Married",IF($AZ55&gt;=2155350,IF($AZ55&gt;25000000,0.117,IF($AZ55&gt;5000000,0.111,0.1045)),SUMPRODUCT(($AZ55&gt;=INDEX('How This Works &amp; Sources'!$B$184:$J$198,0,1))*INDEX('How This Works &amp; Sources'!$B$184:$J$198,0,1+2))),IF($AZ55&gt;=1077550,IF($AZ55&gt;25000000,0.117,IF($AZ55&gt;5000000,0.111,0.1045)),SUMPRODUCT(($AZ55&gt;=INDEX('How This Works &amp; Sources'!$B$167:$J$179,0,7))*INDEX('How This Works &amp; Sources'!$B$167:$J$179,0,7+2)))),"")))))))</f>
      </c>
      <c r="CB55" s="24">
        <f>IF($B55="","",IF($AN55="CA",SUMPRODUCT(($AJ55&gt;=INDEX('How This Works &amp; Sources'!$B$39:$J$48,0,IF($AU55="Married",4,IF($AU55="Head of household",7,1))))*INDEX('How This Works &amp; Sources'!$B$39:$J$48,0,IF($AU55="Married",4,IF($AU55="Head of household",7,1))+2)),IF($AN55="HI",IF($AU55="Married",SUMPRODUCT(($AZ55&gt;=INDEX('How This Works &amp; Sources'!$B$91:$J$98,0,7))*INDEX('How This Works &amp; Sources'!$B$91:$J$98,0,7+2)),SUMPRODUCT(($AZ55&gt;=INDEX('How This Works &amp; Sources'!$B$91:$J$98,0,4))*INDEX('How This Works &amp; Sources'!$B$91:$J$98,0,4+2))),IF($AN55="MN",IF($AU55="Married",SUMPRODUCT(($AZ55&gt;=INDEX('How This Works &amp; Sources'!$B$114:$J$120,0,7))*INDEX('How This Works &amp; Sources'!$B$114:$J$120,0,7+2)),SUMPRODUCT(($AZ55&gt;=INDEX('How This Works &amp; Sources'!$B$114:$J$120,0,4))*INDEX('How This Works &amp; Sources'!$B$114:$J$120,0,4+2))),IF($AN55="MO",SUMPRODUCT(($AZ55&gt;=INDEX('How This Works &amp; Sources'!$B$125:$J$132,0,1))*INDEX('How This Works &amp; Sources'!$B$125:$J$132,0,1+2)),IF($AN55="NE",MAX(IF($AU55="Married",SUMPRODUCT(($AZ55&gt;=INDEX('How This Works &amp; Sources'!$B$144:$J$150,0,7))*INDEX('How This Works &amp; Sources'!$B$144:$J$150,0,7+2)),SUMPRODUCT(($AZ55&gt;=INDEX('How This Works &amp; Sources'!$B$144:$J$150,0,4))*INDEX('How This Works &amp; Sources'!$B$144:$J$150,0,4+2))),0.015),IF($AN55="OH",IF($B55&gt;=DATE(2026,8,1),SUMPRODUCT(($AZ55&gt;=INDEX('How This Works &amp; Sources'!$B$203:$J$206,0,1))*INDEX('How This Works &amp; Sources'!$B$203:$J$206,0,1+2)),SUMPRODUCT(($AZ55&gt;=INDEX('How This Works &amp; Sources'!$B$184:$J$198,0,7))*INDEX('How This Works &amp; Sources'!$B$184:$J$198,0,7+2))),IF($AN55="OK",IF($AU55="Married",SUMPRODUCT(($AZ55&gt;=INDEX('How This Works &amp; Sources'!$B$203:$J$206,0,7))*INDEX('How This Works &amp; Sources'!$B$203:$J$206,0,7+2)),SUMPRODUCT(($AZ55&gt;=INDEX('How This Works &amp; Sources'!$B$203:$J$206,0,4))*INDEX('How This Works &amp; Sources'!$B$203:$J$206,0,4+2))),IF($AN55="RI",SUMPRODUCT(($AZ55&gt;=INDEX('How This Works &amp; Sources'!$B$211:$J$214,0,7))*INDEX('How This Works &amp; Sources'!$B$211:$J$214,0,7+2)),IF($AN55="SC",SUMPRODUCT(($AZ55&gt;=INDEX('How This Works &amp; Sources'!$B$219:$J$223,0,1))*INDEX('How This Works &amp; Sources'!$B$219:$J$223,0,1+2)),IF($AN55="VT",IF($AU55="Married",SUMPRODUCT(($AZ55&gt;=INDEX('How This Works &amp; Sources'!$B$228:$J$232,0,1))*INDEX('How This Works &amp; Sources'!$B$228:$J$232,0,1+2)),SUMPRODUCT(($AZ55&gt;=INDEX('How This Works &amp; Sources'!$B$219:$J$223,0,7))*INDEX('How This Works &amp; Sources'!$B$219:$J$223,0,7+2))),IF($AN55="WV",IF($AU55="Married",SUMPRODUCT(($AZ55&gt;=INDEX('How This Works &amp; Sources'!$B$237:$J$241,0,7))*INDEX('How This Works &amp; Sources'!$B$237:$J$241,0,7+2)),SUMPRODUCT(($AZ55&gt;=INDEX('How This Works &amp; Sources'!$B$228:$J$232,0,7))*INDEX('How This Works &amp; Sources'!$B$228:$J$232,0,7+2))),IF($AN55="IN",(0.0295+'Your Pay &amp; Benefits'!$C$76),"")))))))))))))</f>
      </c>
      <c r="CC55" s="24">
        <f>IF($B55="","",IF($AN55="AR",SUMPRODUCT(($AZ55&gt;=INDEX('How This Works &amp; Sources'!$B$82:$J$86,0,7))*INDEX('How This Works &amp; Sources'!$B$82:$J$86,0,7+2)),IF($AN55="DE",SUMPRODUCT(($AZ55&gt;=INDEX('How This Works &amp; Sources'!$B$91:$J$98,0,1))*INDEX('How This Works &amp; Sources'!$B$91:$J$98,0,1+2)),IF($AN55="VA",SUMPRODUCT(($AZ55&gt;=INDEX('How This Works &amp; Sources'!$B$219:$J$223,0,4))*INDEX('How This Works &amp; Sources'!$B$219:$J$223,0,4+2)),IF($AN55="WI",SUMPRODUCT(($AZ55&gt;=INDEX('How This Works &amp; Sources'!$B$228:$J$232,0,4))*INDEX('How This Works &amp; Sources'!$B$228:$J$232,0,4+2)),IF($AN55="AZ",'Your Pay &amp; Benefits'!$C$82,IF($AN55="CO",IF($AY55&gt;IF($AU55="Married",10000,5000),0.044,0),IF($AN55="IA",IF($AY55&gt;IF($AU55="Head of household",19500,IF($AU55="Married",26000,13000)),0.038,0),IF($AN55="ID",IF($AY55&gt;IF($AU55="Married",32000,16094),0.053,0),IF($AN55="IL",IF($AY55&gt;(2925*$AS55+1000*$AT55),0.0495,0),IF($AN55="KY",IF($AI55&gt;3360,0.035,0),IF($AN55="LA",0.0309,IF($AN55="MA",IF(MAX(0,$AY55-MIN(($BD54+$Q55+$R55+$S55),2000)-IF($AS55=0,0,IF($AS55=1,4400,1000*$AS55+3400)))&gt;=1107750,0.09,0.05),IF($AN55="MS",IF($AI55-IF($AU55="Head of household",3400,IF($AU55="Married",4600,2300))-'Your Pay &amp; Benefits'!$C$85&gt;10000,0.04,0),IF($AN55="PA",0.0307,"")))))))))))))))</f>
      </c>
      <c r="CD55" s="21">
        <f>IF(YEAR(IF('Your Pay &amp; Benefits'!$C$7="Weekly",'Your Pay &amp; Benefits'!$C$9+7*(($BE54+1)-1),IF('Your Pay &amp; Benefits'!$C$7="Biweekly",'Your Pay &amp; Benefits'!$C$9+14*(($BE54+1)-1),IF('Your Pay &amp; Benefits'!$C$7="Semimonthly",DATE(YEAR('Your Pay &amp; Benefits'!$C$9),MONTH('Your Pay &amp; Benefits'!$C$9)+INT((($BE54+1)-1)/2),MIN(DAY('Your Pay &amp; Benefits'!$C$9),DAY(EOMONTH(DATE(YEAR('Your Pay &amp; Benefits'!$C$9),MONTH('Your Pay &amp; Benefits'!$C$9)+INT((($BE54+1)-1)/2),1),0))))+IF(MOD(($BE54+1)-1,2)=1,15,0),EDATE('Your Pay &amp; Benefits'!$C$9,($BE54+1)-1)))))&lt;&gt;'Your Pay &amp; Benefits'!$C$10,"",IF('Your Pay &amp; Benefits'!$C$7="Weekly",'Your Pay &amp; Benefits'!$C$9+7*(($BE54+1)-1),IF('Your Pay &amp; Benefits'!$C$7="Biweekly",'Your Pay &amp; Benefits'!$C$9+14*(($BE54+1)-1),IF('Your Pay &amp; Benefits'!$C$7="Semimonthly",DATE(YEAR('Your Pay &amp; Benefits'!$C$9),MONTH('Your Pay &amp; Benefits'!$C$9)+INT((($BE54+1)-1)/2),MIN(DAY('Your Pay &amp; Benefits'!$C$9),DAY(EOMONTH(DATE(YEAR('Your Pay &amp; Benefits'!$C$9),MONTH('Your Pay &amp; Benefits'!$C$9)+INT((($BE54+1)-1)/2),1),0))))+IF(MOD(($BE54+1)-1,2)=1,15,0),EDATE('Your Pay &amp; Benefits'!$C$9,($BE54+1)-1)))))</f>
      </c>
      <c r="CE55" s="21">
        <f>IF(MIN(IF(AND('Your Pay &amp; Benefits'!$C$58&gt;MAX($B$6:$B54),'Your Pay &amp; Benefits'!$C$58&gt;=DATE('Your Pay &amp; Benefits'!$C$10,1,1),'Your Pay &amp; Benefits'!$C$58&lt;=DATE('Your Pay &amp; Benefits'!$C$10,12,31)),'Your Pay &amp; Benefits'!$C$58,999999),IF(AND('Your Pay &amp; Benefits'!$C$59&gt;MAX($B$6:$B54),'Your Pay &amp; Benefits'!$C$59&gt;=DATE('Your Pay &amp; Benefits'!$C$10,1,1),'Your Pay &amp; Benefits'!$C$59&lt;=DATE('Your Pay &amp; Benefits'!$C$10,12,31)),'Your Pay &amp; Benefits'!$C$59,999999),IF(AND('Your Pay &amp; Benefits'!$C$60&gt;MAX($B$6:$B54),'Your Pay &amp; Benefits'!$C$60&gt;=DATE('Your Pay &amp; Benefits'!$C$10,1,1),'Your Pay &amp; Benefits'!$C$60&lt;=DATE('Your Pay &amp; Benefits'!$C$10,12,31)),'Your Pay &amp; Benefits'!$C$60,999999),IF(AND('Your Pay &amp; Benefits'!$C$61&gt;MAX($B$6:$B54),'Your Pay &amp; Benefits'!$C$61&gt;=DATE('Your Pay &amp; Benefits'!$C$10,1,1),'Your Pay &amp; Benefits'!$C$61&lt;=DATE('Your Pay &amp; Benefits'!$C$10,12,31)),'Your Pay &amp; Benefits'!$C$61,999999),IF(AND('Your Pay &amp; Benefits'!$C$62&gt;MAX($B$6:$B54),'Your Pay &amp; Benefits'!$C$62&gt;=DATE('Your Pay &amp; Benefits'!$C$10,1,1),'Your Pay &amp; Benefits'!$C$62&lt;=DATE('Your Pay &amp; Benefits'!$C$10,12,31)),'Your Pay &amp; Benefits'!$C$62,999999),IF(AND('Your Pay &amp; Benefits'!$C$63&gt;MAX($B$6:$B54),'Your Pay &amp; Benefits'!$C$63&gt;=DATE('Your Pay &amp; Benefits'!$C$10,1,1),'Your Pay &amp; Benefits'!$C$63&lt;=DATE('Your Pay &amp; Benefits'!$C$10,12,31)),'Your Pay &amp; Benefits'!$C$63,999999),IF(AND('Your Pay &amp; Benefits'!$C$64&gt;MAX($B$6:$B54),'Your Pay &amp; Benefits'!$C$64&gt;=DATE('Your Pay &amp; Benefits'!$C$10,1,1),'Your Pay &amp; Benefits'!$C$64&lt;=DATE('Your Pay &amp; Benefits'!$C$10,12,31)),'Your Pay &amp; Benefits'!$C$64,999999),IF(AND('Your Pay &amp; Benefits'!$C$65&gt;MAX($B$6:$B54),'Your Pay &amp; Benefits'!$C$65&gt;=DATE('Your Pay &amp; Benefits'!$C$10,1,1),'Your Pay &amp; Benefits'!$C$65&lt;=DATE('Your Pay &amp; Benefits'!$C$10,12,31)),'Your Pay &amp; Benefits'!$C$65,999999),IF(AND('Your Pay &amp; Benefits'!$C$66&gt;MAX($B$6:$B54),'Your Pay &amp; Benefits'!$C$66&gt;=DATE('Your Pay &amp; Benefits'!$C$10,1,1),'Your Pay &amp; Benefits'!$C$66&lt;=DATE('Your Pay &amp; Benefits'!$C$10,12,31)),'Your Pay &amp; Benefits'!$C$66,999999),IF(AND('Your Pay &amp; Benefits'!$C$67&gt;MAX($B$6:$B54),'Your Pay &amp; Benefits'!$C$67&gt;=DATE('Your Pay &amp; Benefits'!$C$10,1,1),'Your Pay &amp; Benefits'!$C$67&lt;=DATE('Your Pay &amp; Benefits'!$C$10,12,31)),'Your Pay &amp; Benefits'!$C$67,999999))=999999,"",MIN(IF(AND('Your Pay &amp; Benefits'!$C$58&gt;MAX($B$6:$B54),'Your Pay &amp; Benefits'!$C$58&gt;=DATE('Your Pay &amp; Benefits'!$C$10,1,1),'Your Pay &amp; Benefits'!$C$58&lt;=DATE('Your Pay &amp; Benefits'!$C$10,12,31)),'Your Pay &amp; Benefits'!$C$58,999999),IF(AND('Your Pay &amp; Benefits'!$C$59&gt;MAX($B$6:$B54),'Your Pay &amp; Benefits'!$C$59&gt;=DATE('Your Pay &amp; Benefits'!$C$10,1,1),'Your Pay &amp; Benefits'!$C$59&lt;=DATE('Your Pay &amp; Benefits'!$C$10,12,31)),'Your Pay &amp; Benefits'!$C$59,999999),IF(AND('Your Pay &amp; Benefits'!$C$60&gt;MAX($B$6:$B54),'Your Pay &amp; Benefits'!$C$60&gt;=DATE('Your Pay &amp; Benefits'!$C$10,1,1),'Your Pay &amp; Benefits'!$C$60&lt;=DATE('Your Pay &amp; Benefits'!$C$10,12,31)),'Your Pay &amp; Benefits'!$C$60,999999),IF(AND('Your Pay &amp; Benefits'!$C$61&gt;MAX($B$6:$B54),'Your Pay &amp; Benefits'!$C$61&gt;=DATE('Your Pay &amp; Benefits'!$C$10,1,1),'Your Pay &amp; Benefits'!$C$61&lt;=DATE('Your Pay &amp; Benefits'!$C$10,12,31)),'Your Pay &amp; Benefits'!$C$61,999999),IF(AND('Your Pay &amp; Benefits'!$C$62&gt;MAX($B$6:$B54),'Your Pay &amp; Benefits'!$C$62&gt;=DATE('Your Pay &amp; Benefits'!$C$10,1,1),'Your Pay &amp; Benefits'!$C$62&lt;=DATE('Your Pay &amp; Benefits'!$C$10,12,31)),'Your Pay &amp; Benefits'!$C$62,999999),IF(AND('Your Pay &amp; Benefits'!$C$63&gt;MAX($B$6:$B54),'Your Pay &amp; Benefits'!$C$63&gt;=DATE('Your Pay &amp; Benefits'!$C$10,1,1),'Your Pay &amp; Benefits'!$C$63&lt;=DATE('Your Pay &amp; Benefits'!$C$10,12,31)),'Your Pay &amp; Benefits'!$C$63,999999),IF(AND('Your Pay &amp; Benefits'!$C$64&gt;MAX($B$6:$B54),'Your Pay &amp; Benefits'!$C$64&gt;=DATE('Your Pay &amp; Benefits'!$C$10,1,1),'Your Pay &amp; Benefits'!$C$64&lt;=DATE('Your Pay &amp; Benefits'!$C$10,12,31)),'Your Pay &amp; Benefits'!$C$64,999999),IF(AND('Your Pay &amp; Benefits'!$C$65&gt;MAX($B$6:$B54),'Your Pay &amp; Benefits'!$C$65&gt;=DATE('Your Pay &amp; Benefits'!$C$10,1,1),'Your Pay &amp; Benefits'!$C$65&lt;=DATE('Your Pay &amp; Benefits'!$C$10,12,31)),'Your Pay &amp; Benefits'!$C$65,999999),IF(AND('Your Pay &amp; Benefits'!$C$66&gt;MAX($B$6:$B54),'Your Pay &amp; Benefits'!$C$66&gt;=DATE('Your Pay &amp; Benefits'!$C$10,1,1),'Your Pay &amp; Benefits'!$C$66&lt;=DATE('Your Pay &amp; Benefits'!$C$10,12,31)),'Your Pay &amp; Benefits'!$C$66,999999),IF(AND('Your Pay &amp; Benefits'!$C$67&gt;MAX($B$6:$B54),'Your Pay &amp; Benefits'!$C$67&gt;=DATE('Your Pay &amp; Benefits'!$C$10,1,1),'Your Pay &amp; Benefits'!$C$67&lt;=DATE('Your Pay &amp; Benefits'!$C$10,12,31)),'Your Pay &amp; Benefits'!$C$67,999999)))</f>
      </c>
      <c r="CF55">
        <f>IF($B55="","",IF($D55=0,$Y55,""))</f>
      </c>
    </row>
    <row r="56">
      <c r="A56" t="n">
        <v>51</v>
      </c>
      <c r="B56" s="21">
        <f>IF(AND($CD56="",$CE56=""),"",IF($CE56="",$CD56,IF($CD56="",$CE56,MIN($CD56,$CE56))))</f>
      </c>
      <c r="C56" s="7">
        <f>IF($B56="","",IF($BF56=0,0,IF('Your Pay &amp; Benefits'!$C$4="Annual salary",ROUND($AK56/IF(AND('Your Pay &amp; Benefits'!$C$88="Actual paydays",MONTH('Your Pay &amp; Benefits'!$C$9)=1),MAX(1,MAX($BE$6:$BE$68)),'Your Pay &amp; Benefits'!$C$8),2),$AK56)))</f>
      </c>
      <c r="D56" s="7">
        <f>IF($B56="","",SUMIF('Your Pay &amp; Benefits'!$C$58:$C$67,$B56,'Your Pay &amp; Benefits'!$D$58:$D$67))</f>
      </c>
      <c r="E56" s="7">
        <f>IF($B56="","",ROUND(MAX(0,MIN(IF($AL56="Percent",$AM56*($C56+$D56),$AM56),MAX(0,'Your Pay &amp; Benefits'!$C$34-$AC55))),2))</f>
      </c>
      <c r="F56" s="7">
        <f>IF($B56="","",ROUND(MAX(0,MIN(IF('Your Pay &amp; Benefits'!$C$32="Percent",'Your Pay &amp; Benefits'!$D$32*($C56+$D56),'Your Pay &amp; Benefits'!$D$32),MAX(0,'Your Pay &amp; Benefits'!$C$34-$AC55-$E56))),2))</f>
      </c>
      <c r="G56" s="7">
        <f>IF($B56="","",IF($BF56=0,0,ROUND(MAX(0,MIN($BL56,'Your Pay &amp; Benefits'!$C$37-'Your Pay &amp; Benefits'!$C$54-$BI55)),2)))</f>
      </c>
      <c r="H56" s="7">
        <f>IF($B56="","",IF(OR($BF56=0,$BQ56=1),0,ROUND(MAX(0,MIN(IF($BS56=1,ROUND(MAX(0,MIN($BJ56,'How This Works &amp; Sources'!$C$13)-$BG55)/MAX(1,MAX($BE$6:$BE$68)-($BE55)),2),ROUND(MIN($BJ56,'How This Works &amp; Sources'!$C$13)/'Your Pay &amp; Benefits'!$C$8,2)),MIN($BJ56,'How This Works &amp; Sources'!$C$13)-$BG55)),2)))</f>
      </c>
      <c r="I56" s="7">
        <f>IF($B56="","",IF(OR($BF56=0,$BR56=1),0,ROUND(MAX(0,MIN(IF($BT56=1,ROUND(MAX(0,MIN($BK56,IF('Your Pay &amp; Benefits'!$C$12="MFJ",'How This Works &amp; Sources'!$C$14,'How This Works &amp; Sources'!$C$15))-$BH55)/MAX(1,MAX($BE$6:$BE$68)-($BE55)),2),ROUND(MIN($BK56,IF('Your Pay &amp; Benefits'!$C$12="MFJ",'How This Works &amp; Sources'!$C$14,'How This Works &amp; Sources'!$C$15))/'Your Pay &amp; Benefits'!$C$8,2)),MIN($BK56,IF('Your Pay &amp; Benefits'!$C$12="MFJ",'How This Works &amp; Sources'!$C$14,'How This Works &amp; Sources'!$C$15))-$BH55)),2)))</f>
      </c>
      <c r="J56" s="7">
        <f>IF($B56="","",IF($BF56=0,0,$BM56))</f>
      </c>
      <c r="K56" s="7">
        <f>IF($B56="","",IF($BF56=0,0,$BN56+$BO56))</f>
      </c>
      <c r="L56" s="7">
        <f>IF($B56="","",IF($BF56=0,0,'Your Pay &amp; Benefits'!$D$46))</f>
      </c>
      <c r="M56" s="7">
        <f>IF($B56="","",$C56+$D56+$L56-$E56-$G56-$H56-$I56-$J56-$K56)</f>
      </c>
      <c r="N56" s="7">
        <f>IF($B56="","",$C56+$D56+$L56-$G56-$H56-$I56-$J56-$K56)</f>
      </c>
      <c r="O56" s="7">
        <f>IF($B56="","",$C56+$D56+$L56-$E56-$H56-$I56-$J56-$K56-IF(OR($AN56="CA",$AN56="NJ"),0,$G56))</f>
      </c>
      <c r="P56" s="7">
        <f>IF($B56="","",IF('Your Pay &amp; Benefits'!$C$18,0,ROUND(MAX(0,IF('Your Pay &amp; Benefits'!$C$13,SUMPRODUCT(($AH56&gt;INDEX('How This Works &amp; Sources'!$B$29:$J$36,0,IF('Your Pay &amp; Benefits'!$C$12="MFJ",1,IF('Your Pay &amp; Benefits'!$C$12="HoH",7,4))))*($AH56-INDEX('How This Works &amp; Sources'!$B$29:$J$36,0,IF('Your Pay &amp; Benefits'!$C$12="MFJ",1,IF('Your Pay &amp; Benefits'!$C$12="HoH",7,4))))*INDEX('How This Works &amp; Sources'!$B$29:$J$36,0,IF('Your Pay &amp; Benefits'!$C$12="MFJ",1,IF('Your Pay &amp; Benefits'!$C$12="HoH",7,4))+2)),SUMPRODUCT(($AH56&gt;INDEX('How This Works &amp; Sources'!$B$19:$J$26,0,IF('Your Pay &amp; Benefits'!$C$12="MFJ",1,IF('Your Pay &amp; Benefits'!$C$12="HoH",7,4))))*($AH56-INDEX('How This Works &amp; Sources'!$B$19:$J$26,0,IF('Your Pay &amp; Benefits'!$C$12="MFJ",1,IF('Your Pay &amp; Benefits'!$C$12="HoH",7,4))))*INDEX('How This Works &amp; Sources'!$B$19:$J$26,0,IF('Your Pay &amp; Benefits'!$C$12="MFJ",1,IF('Your Pay &amp; Benefits'!$C$12="HoH",7,4))+2)))/'Your Pay &amp; Benefits'!$C$8-$AO56/'Your Pay &amp; Benefits'!$C$8)+$AR56+IF('Your Pay &amp; Benefits'!$C$89="Aggregate",MAX(0,IF('Your Pay &amp; Benefits'!$C$13,SUMPRODUCT((($AH56+$D56)&gt;INDEX('How This Works &amp; Sources'!$B$29:$J$36,0,IF('Your Pay &amp; Benefits'!$C$12="MFJ",1,IF('Your Pay &amp; Benefits'!$C$12="HoH",7,4))))*(($AH56+$D56)-INDEX('How This Works &amp; Sources'!$B$29:$J$36,0,IF('Your Pay &amp; Benefits'!$C$12="MFJ",1,IF('Your Pay &amp; Benefits'!$C$12="HoH",7,4))))*INDEX('How This Works &amp; Sources'!$B$29:$J$36,0,IF('Your Pay &amp; Benefits'!$C$12="MFJ",1,IF('Your Pay &amp; Benefits'!$C$12="HoH",7,4))+2)),SUMPRODUCT((($AH56+$D56)&gt;INDEX('How This Works &amp; Sources'!$B$19:$J$26,0,IF('Your Pay &amp; Benefits'!$C$12="MFJ",1,IF('Your Pay &amp; Benefits'!$C$12="HoH",7,4))))*(($AH56+$D56)-INDEX('How This Works &amp; Sources'!$B$19:$J$26,0,IF('Your Pay &amp; Benefits'!$C$12="MFJ",1,IF('Your Pay &amp; Benefits'!$C$12="HoH",7,4))))*INDEX('How This Works &amp; Sources'!$B$19:$J$26,0,IF('Your Pay &amp; Benefits'!$C$12="MFJ",1,IF('Your Pay &amp; Benefits'!$C$12="HoH",7,4))+2)))-IF('Your Pay &amp; Benefits'!$C$13,SUMPRODUCT(($AH56&gt;INDEX('How This Works &amp; Sources'!$B$29:$J$36,0,IF('Your Pay &amp; Benefits'!$C$12="MFJ",1,IF('Your Pay &amp; Benefits'!$C$12="HoH",7,4))))*($AH56-INDEX('How This Works &amp; Sources'!$B$29:$J$36,0,IF('Your Pay &amp; Benefits'!$C$12="MFJ",1,IF('Your Pay &amp; Benefits'!$C$12="HoH",7,4))))*INDEX('How This Works &amp; Sources'!$B$29:$J$36,0,IF('Your Pay &amp; Benefits'!$C$12="MFJ",1,IF('Your Pay &amp; Benefits'!$C$12="HoH",7,4))+2)),SUMPRODUCT(($AH56&gt;INDEX('How This Works &amp; Sources'!$B$19:$J$26,0,IF('Your Pay &amp; Benefits'!$C$12="MFJ",1,IF('Your Pay &amp; Benefits'!$C$12="HoH",7,4))))*($AH56-INDEX('How This Works &amp; Sources'!$B$19:$J$26,0,IF('Your Pay &amp; Benefits'!$C$12="MFJ",1,IF('Your Pay &amp; Benefits'!$C$12="HoH",7,4))))*INDEX('How This Works &amp; Sources'!$B$19:$J$26,0,IF('Your Pay &amp; Benefits'!$C$12="MFJ",1,IF('Your Pay &amp; Benefits'!$C$12="HoH",7,4))+2)))),'How This Works &amp; Sources'!$C$10*$D56),2)))</f>
      </c>
      <c r="Q56" s="7">
        <f>IF($B56="","",ROUND('How This Works &amp; Sources'!$C$4*MIN($N56,MAX(0,'How This Works &amp; Sources'!$C$3-($AX56+$AB55-$AW56))),2))</f>
      </c>
      <c r="R56" s="7">
        <f>IF($B56="","",ROUND('How This Works &amp; Sources'!$C$5*$N56,2))</f>
      </c>
      <c r="S56" s="7">
        <f>IF($B56="","",ROUND('How This Works &amp; Sources'!$C$6*MAX(0,MIN($N56,$AG55+$N56-'How This Works &amp; Sources'!$C$7)),2))</f>
      </c>
      <c r="T56" s="7">
        <f>IF($B56="","",IF('Your Pay &amp; Benefits'!$C$26,0,IF($AN56="CA",ROUND(IF($AI56&lt;=IF(($AS56+$AT56)&gt;=2,VLOOKUP($AN56,StateTables!$A$6:$AB$56,10,FALSE),VLOOKUP($AN56,StateTables!$A$6:$AB$56,9,FALSE)),0,MAX(0,SUMPRODUCT(($AJ56&gt;INDEX('How This Works &amp; Sources'!$B$39:$J$48,0,IF($AU56="Married",4,IF($AU56="Head of household",7,1))))*($AJ56-INDEX('How This Works &amp; Sources'!$B$39:$J$48,0,IF($AU56="Married",4,IF($AU56="Head of household",7,1))))*INDEX('How This Works &amp; Sources'!$B$39:$J$48,0,IF($AU56="Married",4,IF($AU56="Head of household",7,1))+2))-VLOOKUP($AN56,StateTables!$A$6:$AB$56,11,FALSE)*$AS56)/'Your Pay &amp; Benefits'!$C$8)+'Your Pay &amp; Benefits'!$C$25+VLOOKUP($AN56,StateTables!$A$6:$AB$56,13,FALSE)*$D56,2),IF(VLOOKUP($AN56,StateTables!$A$6:$AB$56,4,FALSE)="None",0,IF(ISNUMBER(SEARCH("MANUAL",VLOOKUP($AN56,StateTables!$A$6:$AB$56,5,FALSE))),'Your Pay &amp; Benefits'!$C$28,ROUND(MAX(0,$BA56+$BB56)/'Your Pay &amp; Benefits'!$C$8+'Your Pay &amp; Benefits'!$C$25+$BC56,2))))))</f>
      </c>
      <c r="U56" s="7">
        <f>IF($B56="","",IF(VLOOKUP($AN56,StateTables!$A$6:$AB$56,24,FALSE)="flatq",IF(OR(MONTH($B56)=1,MONTH($B56)=4,MONTH($B56)=7,MONTH($B56)=10),VLOOKUP($AN56,StateTables!$A$6:$AB$56,25,FALSE),0),IF(VLOOKUP($AN56,StateTables!$A$6:$AB$56,24,FALSE)="dbl",MIN(ROUND(0.005*$N56,2),ROUND(0.6*52/'Your Pay &amp; Benefits'!$C$8,2)),IF(OR(VLOOKUP($AN56,StateTables!$A$6:$AB$56,15,FALSE)="",VLOOKUP($AN56,StateTables!$A$6:$AB$56,15,FALSE)=0),0,ROUND(VLOOKUP($AN56,StateTables!$A$6:$AB$56,15,FALSE)*IF(OR(VLOOKUP($AN56,StateTables!$A$6:$AB$56,16,FALSE)="",VLOOKUP($AN56,StateTables!$A$6:$AB$56,16,FALSE)=0),$N56,MIN($N56,MAX(0,VLOOKUP($AN56,StateTables!$A$6:$AB$56,16,FALSE)-($AX56+$AB55-$AW56)))),2))))+IF(VLOOKUP($AN56,StateTables!$A$6:$AB$56,27,FALSE)="flatq",IF(OR(MONTH($B56)=1,MONTH($B56)=4,MONTH($B56)=7,MONTH($B56)=10),VLOOKUP($AN56,StateTables!$A$6:$AB$56,28,FALSE),0),IF(VLOOKUP($AN56,StateTables!$A$6:$AB$56,27,FALSE)="dbl",MIN(ROUND(0.005*$N56,2),ROUND(0.6*52/'Your Pay &amp; Benefits'!$C$8,2)),IF(OR(VLOOKUP($AN56,StateTables!$A$6:$AB$56,18,FALSE)="",VLOOKUP($AN56,StateTables!$A$6:$AB$56,18,FALSE)=0),0,ROUND(VLOOKUP($AN56,StateTables!$A$6:$AB$56,18,FALSE)*IF(OR(VLOOKUP($AN56,StateTables!$A$6:$AB$56,19,FALSE)="",VLOOKUP($AN56,StateTables!$A$6:$AB$56,19,FALSE)=0),$N56,MIN($N56,MAX(0,VLOOKUP($AN56,StateTables!$A$6:$AB$56,19,FALSE)-($AX56+$AB55-$AW56)))),2)))))</f>
      </c>
      <c r="V56" s="7">
        <f>IF($B56="","",IF($AN56="NY",IF('Your Pay &amp; Benefits'!$C$78,ROUND(SUMPRODUCT((MAX(0,($O56-$D56)*'Your Pay &amp; Benefits'!$C$8-(IF($AU56="Married",5500,5000)+1000*$AS56))&gt;INDEX('How This Works &amp; Sources'!$B$184:$J$198,0,4))*(MAX(0,($O56-$D56)*'Your Pay &amp; Benefits'!$C$8-(IF($AU56="Married",5500,5000)+1000*$AS56))-INDEX('How This Works &amp; Sources'!$B$184:$J$198,0,4))*INDEX('How This Works &amp; Sources'!$B$184:$J$198,0,4+2))/'Your Pay &amp; Benefits'!$C$8+0.0425*$D56,2),0)+IF('Your Pay &amp; Benefits'!$C$79="Resident",ROUND(0.1675*$T56,2),IF('Your Pay &amp; Benefits'!$C$79="Nonresident",ROUND(0.005*MAX(0,($O56-$D56)-(IF($AU56="Married",7950,7400)+1000*$AS56)/'Your Pay &amp; Benefits'!$C$8),2),0)),IF($AN56="PA",IF('Your Pay &amp; Benefits'!$C$80="None",'Your Pay &amp; Benefits'!$C$27+ROUND('Your Pay &amp; Benefits'!$C$81*($C56+$D56),2),ROUND(IF('Your Pay &amp; Benefits'!$C$80="Resident",IF($B56&lt;DATE(2026,7,1),0.0374,0.03735),IF($B56&lt;DATE(2026,7,1),0.0343,0.03425))*($C56+$D56),2)),IF($BF56=0,ROUND('Your Pay &amp; Benefits'!$C$81*($C56+$D56),2),'Your Pay &amp; Benefits'!$C$27+ROUND('Your Pay &amp; Benefits'!$C$81*($C56+$D56),2)))))</f>
      </c>
      <c r="W56" s="7">
        <f>IF($B56="","",IF($BF56=0,0,$BP56))</f>
      </c>
      <c r="X56" s="7">
        <f>IF($B56="","",SUM($E56:$K56)+$P56+$Q56+$R56+$S56+$T56+$U56+$V56+$W56)</f>
      </c>
      <c r="Y56" s="22">
        <f>IF($B56="","",$C56+$D56-$X56)</f>
      </c>
      <c r="Z56" s="7">
        <f>IF($B56="","",$Z55+$C56+$D56)</f>
      </c>
      <c r="AA56" s="7">
        <f>IF($B56="","",$AA55+$Y56)</f>
      </c>
      <c r="AB56" s="7">
        <f>IF($B56="","",$AB55+MIN($N56,MAX(0,'How This Works &amp; Sources'!$C$3-($AX56+$AB55-$AW56))))</f>
      </c>
      <c r="AC56" s="7">
        <f>IF($B56="","",$AC55+$E56+$F56)</f>
      </c>
      <c r="AD56" s="3">
        <f>IF($B56="","",IF(AND($AB55&lt;'How This Works &amp; Sources'!$C$3,$AB56&gt;='How This Works &amp; Sources'!$C$3),"★ Social Security maxed on this check — from the next check your net rises by about $"&amp;TEXT(ROUND('How This Works &amp; Sources'!$C$4*$N56,2),"#,##0.00")&amp;". ","")&amp;IF(AND($AC55&lt;'Your Pay &amp; Benefits'!$C$34,$AC56&gt;='Your Pay &amp; Benefits'!$C$34),"★ 401(k) reaches the $"&amp;TEXT('Your Pay &amp; Benefits'!$C$34,"#,##0")&amp;" cap on this check — deferrals stop and net pay rises. ","")&amp;IF(AND($AG55&lt;'How This Works &amp; Sources'!$C$7,$AG56&gt;='How This Works &amp; Sources'!$C$7),"★ Wages pass $200,000 — the 0.9% Additional Medicare Tax starts here. ","")&amp;IF(AND($BJ56&gt;0,$H56&gt;0,$BG55&lt;MIN($BJ56,'How This Works &amp; Sources'!$C$13),$BG55+$H56&gt;=MIN($BJ56,'How This Works &amp; Sources'!$C$13)),"★ Health FSA election is now fully deferred for the year. ",""))</f>
      </c>
      <c r="AE56" s="41" t="n"/>
      <c r="AF56" s="7">
        <f>IF(OR($B56="",$AE56=""),"",$AE56-$Y56)</f>
      </c>
      <c r="AG56" s="7">
        <f>IF($B56="","",$AG55+$N56)</f>
      </c>
      <c r="AH56" s="7">
        <f>IF($B56="","",MAX(0,($M56-$D56)*'Your Pay &amp; Benefits'!$C$8+$AP56-$AQ56-IF('Your Pay &amp; Benefits'!$C$13,0,IF('Your Pay &amp; Benefits'!$C$12="MFJ",'How This Works &amp; Sources'!$C$8,'How This Works &amp; Sources'!$C$9))))</f>
      </c>
      <c r="AI56" s="7">
        <f>IF($B56="","",$O56*'Your Pay &amp; Benefits'!$C$8)</f>
      </c>
      <c r="AJ56" s="7">
        <f>IF($B56="","",MAX(0,$AI56-VLOOKUP($AN56,StateTables!$A$6:$AB$56,12,FALSE)*$AT56-IF(($AS56+$AT56)&gt;=2,VLOOKUP($AN56,StateTables!$A$6:$AB$56,8,FALSE),VLOOKUP($AN56,StateTables!$A$6:$AB$56,7,FALSE))))</f>
      </c>
      <c r="AK56" s="7">
        <f>IF($B56="","",IFERROR(LOOKUP(2,1/(('Changes &amp; Events'!$C$6:$C$17="Salary change")*('Changes &amp; Events'!$B$6:$B$17&lt;=$B56)*('Changes &amp; Events'!$B$6:$B$17&lt;&gt;"")),'Changes &amp; Events'!$D$6:$D$17),IF('Your Pay &amp; Benefits'!$C$4="Annual salary",'Your Pay &amp; Benefits'!$C$5,'Your Pay &amp; Benefits'!$C$6)))</f>
      </c>
      <c r="AL56">
        <f>IF($B56="","",IFERROR(LOOKUP(2,1/(('Changes &amp; Events'!$C$6:$C$17="401(k) change")*('Changes &amp; Events'!$B$6:$B$17&lt;=$B56)*('Changes &amp; Events'!$B$6:$B$17&lt;&gt;"")),'Changes &amp; Events'!$D$6:$D$17),'Your Pay &amp; Benefits'!$C$30))</f>
      </c>
      <c r="AM56" s="7">
        <f>IF($B56="","",IFERROR(LOOKUP(2,1/(('Changes &amp; Events'!$C$6:$C$17="401(k) change")*('Changes &amp; Events'!$B$6:$B$17&lt;=$B56)*('Changes &amp; Events'!$B$6:$B$17&lt;&gt;"")),'Changes &amp; Events'!$E$6:$E$17),'Your Pay &amp; Benefits'!$D$31))</f>
      </c>
      <c r="AN56">
        <f>IF($B56="","",IFERROR(LOOKUP(2,1/(('Changes &amp; Events'!$C$6:$C$17="State move")*('Changes &amp; Events'!$B$6:$B$17&lt;=$B56)*('Changes &amp; Events'!$B$6:$B$17&lt;&gt;"")),'Changes &amp; Events'!$D$6:$D$17),'Your Pay &amp; Benefits'!$C$21))</f>
      </c>
      <c r="AO56" s="7">
        <f>IF($B56="","",IFERROR(LOOKUP(2,1/(('Changes &amp; Events'!$C$6:$C$17="W-4 change")*('Changes &amp; Events'!$B$6:$B$17&lt;=$B56)*('Changes &amp; Events'!$B$6:$B$17&lt;&gt;"")),'Changes &amp; Events'!$D$6:$D$17),'Your Pay &amp; Benefits'!$C$14))</f>
      </c>
      <c r="AP56" s="7">
        <f>IF($B56="","",IFERROR(LOOKUP(2,1/(('Changes &amp; Events'!$C$6:$C$17="W-4 change")*('Changes &amp; Events'!$B$6:$B$17&lt;=$B56)*('Changes &amp; Events'!$B$6:$B$17&lt;&gt;"")),'Changes &amp; Events'!$E$6:$E$17),'Your Pay &amp; Benefits'!$C$15))</f>
      </c>
      <c r="AQ56" s="7">
        <f>IF($B56="","",IFERROR(LOOKUP(2,1/(('Changes &amp; Events'!$C$6:$C$17="W-4 change")*('Changes &amp; Events'!$B$6:$B$17&lt;=$B56)*('Changes &amp; Events'!$B$6:$B$17&lt;&gt;"")),'Changes &amp; Events'!$F$6:$F$17),'Your Pay &amp; Benefits'!$C$16))</f>
      </c>
      <c r="AR56" s="7">
        <f>IF($B56="","",IFERROR(LOOKUP(2,1/(('Changes &amp; Events'!$C$6:$C$17="W-4 change")*('Changes &amp; Events'!$B$6:$B$17&lt;=$B56)*('Changes &amp; Events'!$B$6:$B$17&lt;&gt;"")),'Changes &amp; Events'!$G$6:$G$17),'Your Pay &amp; Benefits'!$C$17))</f>
      </c>
      <c r="AS56" s="6">
        <f>IF($B56="","",IFERROR(LOOKUP(2,1/((('Changes &amp; Events'!$C$6:$C$17="State move")+('Changes &amp; Events'!$C$6:$C$17="State cert change"))*('Changes &amp; Events'!$B$6:$B$17&lt;=$B56)*('Changes &amp; Events'!$B$6:$B$17&lt;&gt;"")),'Changes &amp; Events'!$F$6:$F$17),'Your Pay &amp; Benefits'!$C$23))</f>
      </c>
      <c r="AT56" s="6">
        <f>IF($B56="","",IFERROR(LOOKUP(2,1/((('Changes &amp; Events'!$C$6:$C$17="State move")+('Changes &amp; Events'!$C$6:$C$17="State cert change"))*('Changes &amp; Events'!$B$6:$B$17&lt;=$B56)*('Changes &amp; Events'!$B$6:$B$17&lt;&gt;"")),'Changes &amp; Events'!$G$6:$G$17),'Your Pay &amp; Benefits'!$C$24))</f>
      </c>
      <c r="AU56">
        <f>IF($B56="","",IFERROR(LOOKUP(2,1/(('Changes &amp; Events'!$C$6:$C$17="State move")*('Changes &amp; Events'!$B$6:$B$17&lt;=$B56)*('Changes &amp; Events'!$B$6:$B$17&lt;&gt;"")),'Changes &amp; Events'!$E$6:$E$17),'Your Pay &amp; Benefits'!$C$22))</f>
      </c>
      <c r="AV56" s="6">
        <f>IF($B56="","",1+COUNTIFS('Changes &amp; Events'!$C$6:$C$17,"Employer change",'Changes &amp; Events'!$B$6:$B$17,"&lt;="&amp;$B56,'Changes &amp; Events'!$B$6:$B$17,"&lt;&gt;"))</f>
      </c>
      <c r="AW56" s="7">
        <f>IF($B56="","",IF($AV56=1,'Your Pay &amp; Benefits'!$C$49,IF(IFERROR(MATCH(IFERROR(LOOKUP(2,1/(('Changes &amp; Events'!$C$6:$C$17="Employer change")*('Changes &amp; Events'!$B$6:$B$17&lt;=$B56)*('Changes &amp; Events'!$B$6:$B$17&lt;&gt;"")),'Changes &amp; Events'!$B$6:$B$17),""),$B$6:$B$68,1),1)&lt;=1,'Your Pay &amp; Benefits'!$C$49,INDEX($AB$6:$AB$68,MATCH(IFERROR(LOOKUP(2,1/(('Changes &amp; Events'!$C$6:$C$17="Employer change")*('Changes &amp; Events'!$B$6:$B$17&lt;=$B56)*('Changes &amp; Events'!$B$6:$B$17&lt;&gt;"")),'Changes &amp; Events'!$B$6:$B$17),""),$B$6:$B$68,1)-1))))</f>
      </c>
      <c r="AX56" s="7">
        <f>IF($B56="","",IF($AV56=1,'Your Pay &amp; Benefits'!$C$49,IFERROR(LOOKUP(2,1/(('Changes &amp; Events'!$C$6:$C$17="Employer change")*('Changes &amp; Events'!$B$6:$B$17&lt;=$B56)*('Changes &amp; Events'!$B$6:$B$17&lt;&gt;"")),'Changes &amp; Events'!$D$6:$D$17),0)))</f>
      </c>
      <c r="AY56" s="7">
        <f>IF($B56="","",($O56-$D56)*'Your Pay &amp; Benefits'!$C$8)</f>
      </c>
      <c r="AZ56" s="7">
        <f>IF($B56="","",IF($AN56="AL",MAX(0,$AY56-IF($AU56="Married",IF($AY56&lt;=25999,8500,MAX(5000,8500-175*CEILING(($AY56-25999)/500,1))),IF($AU56="Head of household",IF($AY56&lt;=25999,5200,MAX(2500,5200-135*CEILING(($AY56-25999)/500,1))),IF($AY56&lt;=25999,3000,MAX(2500,3000-25*CEILING(($AY56-25999)/500,1)))))-($P56-'How This Works &amp; Sources'!$C$10*$D56)*'Your Pay &amp; Benefits'!$C$8-IF(OR($AU56="Married",$AU56="Head of household"),3000,1500)-$AT56*IF($AY56&lt;=50000,1000,IF($AY56&lt;=100000,500,300))),IF($AN56="AR",IF(MAX(0,$AY56-2470)&lt;97701,INT(MAX(0,$AY56-2470)/100)*100+50,MAX(0,$AY56-2470)),IF($AN56="DE",MAX(0,$AI56-3250),IF($AN56="HI",MAX(0,$AI56-1144*$AS56-4350),IF($AN56="KS",MAX(0,$AI56-(9160*IF($AU56="Married",2,1)+2320*$AT56+IF($AU56="Head of household",2320,0))),IF($AN56="MD",MAX(0,$AI56-3400-3200*$AS56),IF($AN56="MN",MAX(0,$AY56-5300*$AS56),IF($AN56="MO",MAX(0,$AI56-IF($AU56="Head of household",24150,IF($AU56="Married",IF('Your Pay &amp; Benefits'!$C$83,16100,32200),16100))),IF($AN56="MT",$AY56,IF($AN56="ND",($C56+$L56)*'Your Pay &amp; Benefits'!$C$8,IF($AN56="NE",MAX(0,$AY56-2440*$AS56),IF($AN56="NJ",MAX(0,$AY56-1000*$AS56),IF($AN56="NY",MAX(0,$AY56-(IF($AU56="Married",7950,7400)+1000*$AS56)),IF($AN56="OH",MAX(0,$AY56-650*$AS56),IF($AN56="OK",MAX(0,$AY56-1000*$AS56),IF($AN56="RI",MAX(0,$AI56-1000*$AS56),IF($AN56="SC",MAX(0,$AI56-5000*$AS56-IF($AS56=0,0,MIN(0.1*$AI56,7500))),IF($AN56="VA",MAX(0,$AI56-IF($AU56="Married",17500,8750)-930*$AS56-800*$AT56),IF($AN56="VT",MAX(0,$AI56-5400*$AS56),IF($AN56="WI",MAX(0,$AI56-MAX(0,IF($AU56="Married",9461-0.2*MAX(0,$AI56-25727),6702-0.12*MAX(0,$AI56-17780)))-400*$AS56),IF($AN56="WV",MAX(0,$AI56-2000*$AS56),$AI56))))))))))))))))))))))</f>
      </c>
      <c r="BA56" s="7">
        <f>IF($B56="","",IF($BW56&lt;&gt;"",$BW56,IF($BX56&lt;&gt;"",$BX56,IF($BY56&lt;&gt;"",$BY56,0))))</f>
      </c>
      <c r="BB56" s="7">
        <f>IF($B56="","",IF($AN56="AR",-29*$AS56,IF($AN56="DE",-110*$AS56,IF($AN56="MD",$AZ56*'Your Pay &amp; Benefits'!$C$74,IF($AN56="AZ",'Your Pay &amp; Benefits'!$C$82*($M56-$D56)*'Your Pay &amp; Benefits'!$C$8,IF($AN56="CO",0.044*MAX(0,$AY56-IF($AU56="Married",10000,5000)),IF($AN56="IA",MAX(0,0.038*MAX(0,$AY56-IF($AU56="Head of household",19500,IF($AU56="Married",26000,13000)))-40*$AS56),IF($AN56="ID",0.053*MAX(0,$AY56-IF($AU56="Married",32000,16094)),IF($AN56="IL",0.0495*MAX(0,$AY56-(2925*$AS56+1000*$AT56)),IF($AN56="IN",(0.0295+'Your Pay &amp; Benefits'!$C$76)*MAX(0,$AY56-(1000*$AS56+1500*$AT56+3000*'Your Pay &amp; Benefits'!$C$86)),IF($AN56="KY",0.035*MAX(0,$AI56-3360),IF($AN56="LA",IF('Your Pay &amp; Benefits'!$C$84="0",0.0309*$AI56,0.0309*MAX(0,$AI56-IF('Your Pay &amp; Benefits'!$C$84="2",25750,12875))),IF($AN56="MA",0.05*MIN(MAX(0,$AY56-MIN(($BD55+$Q56+$R56+$S56),2000)-IF($AS56=0,0,IF($AS56=1,4400,1000*$AS56+3400))),1107750)+0.09*MAX(0,MAX(0,$AY56-MIN(($BD55+$Q56+$R56+$S56),2000)-IF($AS56=0,0,IF($AS56=1,4400,1000*$AS56+3400)))-1107750)-IF($AU56="Head of household",120,0)-110*'Your Pay &amp; Benefits'!$C$75,IF($AN56="MI",0.0425*MAX(0,$AY56-5900*$AS56),IF($AN56="MS",0.04*MAX(0,$AI56-IF($AU56="Head of household",3400,IF($AU56="Married",4600,2300))-'Your Pay &amp; Benefits'!$C$85-10000),IF($AN56="OR",IF(OR($AU56="Married",AND($AU56="Single",$AS56&gt;=3)),SUMPRODUCT((MAX(0,$AY56-MIN(($P56-'How This Works &amp; Sources'!$C$10*$D56)*'Your Pay &amp; Benefits'!$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Sources'!$B$211:$J$214,0,4))*(MAX(0,$AY56-MIN(($P56-'How This Works &amp; Sources'!$C$10*$D56)*'Your Pay &amp; Benefits'!$C$8,IF(OR($AU56="Married",AND($AU56="Single",$AS56&gt;=3)),IF($AY56&lt;250000,8750,IF($AY56&lt;260000,7000,IF($AY56&lt;270000,5250,IF($AY56&lt;280000,3500,IF($AY56&lt;290000,1750,0))))),IF($AY56&lt;125000,8750,IF($AY56&lt;130000,7000,IF($AY56&lt;135000,5250,IF($AY56&lt;140000,3500,IF($AY56&lt;145000,1750,0)))))))-IF(OR($AU56="Married",AND($AU56="Single",$AS56&gt;=3)),5820,2910))-INDEX('How This Works &amp; Sources'!$B$211:$J$214,0,4))*INDEX('How This Works &amp; Sources'!$B$211:$J$214,0,4+2)),SUMPRODUCT((MAX(0,$AY56-MIN(($P56-'How This Works &amp; Sources'!$C$10*$D56)*'Your Pay &amp; Benefits'!$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Sources'!$B$211:$J$214,0,1))*(MAX(0,$AY56-MIN(($P56-'How This Works &amp; Sources'!$C$10*$D56)*'Your Pay &amp; Benefits'!$C$8,IF(OR($AU56="Married",AND($AU56="Single",$AS56&gt;=3)),IF($AY56&lt;250000,8750,IF($AY56&lt;260000,7000,IF($AY56&lt;270000,5250,IF($AY56&lt;280000,3500,IF($AY56&lt;290000,1750,0))))),IF($AY56&lt;125000,8750,IF($AY56&lt;130000,7000,IF($AY56&lt;135000,5250,IF($AY56&lt;140000,3500,IF($AY56&lt;145000,1750,0)))))))-IF(OR($AU56="Married",AND($AU56="Single",$AS56&gt;=3)),5820,2910))-INDEX('How This Works &amp; Sources'!$B$211:$J$214,0,1))*INDEX('How This Works &amp; Sources'!$B$211:$J$214,0,1+2)))+263-263*IF(IF($AU56="Married",$AY56&gt;200000,$AY56&gt;100000),0,$AS56),IF($AN56="PA",0.0307*(($O56+$E56+$G56)*'Your Pay &amp; Benefits'!$C$8),IF($AN56="NY",IF($AU56="Married",IF($AZ56&gt;=2155350,0,IF($AZ56&gt;=1077550,0.48,IF($AZ56&gt;=373200,1.21,IF($AZ56&gt;=323200,0.21,IF($AZ56&gt;=211550,-0.19,IF($AZ56&gt;=157650,-2.8,IF($AZ56&gt;=107650,-0.8,IF($AZ56&gt;=96800,0.05,IF($AZ56&gt;=80650,-0.1,IF($AZ56&gt;=13900,0.4,IF($AZ56&gt;=11700,-0.3,IF($AZ56&gt;=8500,0.5,0)))))))))))),IF($AZ56&gt;=1077550,0,IF($AZ56&gt;=265400,4.29,IF($AZ56&gt;=215400,2.29,IF($AZ56&gt;=157650,2.29,IF($AZ56&gt;=107650,0.29,IF($AZ56&gt;=96800,0.05,IF($AZ56&gt;=80650,-0.1,IF($AZ56&gt;=13900,0.4,IF($AZ56&gt;=11700,-0.3,IF($AZ56&gt;=8500,0.5,0))))))))))),0))))))))))))))))))</f>
      </c>
      <c r="BC56" s="7">
        <f>IF($B56="","",IF($AN56="AL",0.05*$D56,IF($AN56="AR",0.039*$D56,IF($AN56="ID",0.053*$D56,IF($AN56="IN",(0.0295+'Your Pay &amp; Benefits'!$C$76)*$D56,IF($AN56="KS",0.05*$D56,IF($AN56="MA",0.09*MIN($D56,MAX(0,MAX(0,$AY56-MIN(($BD55+$Q56+$R56+$S56),2000)-IF($AS56=0,0,IF($AS56=1,4400,1000*$AS56+3400)))+$D56-1107750))+0.05*($D56-MIN($D56,MAX(0,MAX(0,$AY56-MIN(($BD55+$Q56+$R56+$S56),2000)-IF($AS56=0,0,IF($AS56=1,4400,1000*$AS56+3400)))+$D56-1107750))),IF($AN56="MD",(0.065+'Your Pay &amp; Benefits'!$C$74)*$D56,IF($AN56="MI",0.0425*$D56,IF($AN56="MN",0.0625*$D56,IF($AN56="MO",0.047*$D56,IF($AN56="MT",0.05*$D56,IF($AN56="ND",0.015*$D56,IF($AN56="NE",0.035*$D56,IF($AN56="NJ",IF('Your Pay &amp; Benefits'!$C$77="B",SUMPRODUCT(($D56*'Your Pay &amp; Benefits'!$C$8&gt;INDEX('How This Works &amp; Sources'!$B$155:$J$162,0,4))*($D56*'Your Pay &amp; Benefits'!$C$8-INDEX('How This Works &amp; Sources'!$B$155:$J$162,0,4))*INDEX('How This Works &amp; Sources'!$B$155:$J$162,0,4+2)),IF('Your Pay &amp; Benefits'!$C$77="C",SUMPRODUCT(($D56*'Your Pay &amp; Benefits'!$C$8&gt;INDEX('How This Works &amp; Sources'!$B$155:$J$162,0,7))*($D56*'Your Pay &amp; Benefits'!$C$8-INDEX('How This Works &amp; Sources'!$B$155:$J$162,0,7))*INDEX('How This Works &amp; Sources'!$B$155:$J$162,0,7+2)),IF('Your Pay &amp; Benefits'!$C$77="D",SUMPRODUCT(($D56*'Your Pay &amp; Benefits'!$C$8&gt;INDEX('How This Works &amp; Sources'!$B$167:$J$179,0,1))*($D56*'Your Pay &amp; Benefits'!$C$8-INDEX('How This Works &amp; Sources'!$B$167:$J$179,0,1))*INDEX('How This Works &amp; Sources'!$B$167:$J$179,0,1+2)),IF('Your Pay &amp; Benefits'!$C$77="E",SUMPRODUCT(($D56*'Your Pay &amp; Benefits'!$C$8&gt;INDEX('How This Works &amp; Sources'!$B$167:$J$179,0,4))*($D56*'Your Pay &amp; Benefits'!$C$8-INDEX('How This Works &amp; Sources'!$B$167:$J$179,0,4))*INDEX('How This Works &amp; Sources'!$B$167:$J$179,0,4+2)),SUMPRODUCT(($D56*'Your Pay &amp; Benefits'!$C$8&gt;INDEX('How This Works &amp; Sources'!$B$155:$J$162,0,1))*($D56*'Your Pay &amp; Benefits'!$C$8-INDEX('How This Works &amp; Sources'!$B$155:$J$162,0,1))*INDEX('How This Works &amp; Sources'!$B$155:$J$162,0,1+2))))))/'Your Pay &amp; Benefits'!$C$8,IF($AN56="NY",0.117*$D56,IF($AN56="OH",0.0275*$D56,IF($AN56="OK",0.045*$D56,IF($AN56="OR",0.08*$D56,IF($AN56="WI",IF($AY56&lt;12760,0.0354,IF($AY56&lt;25520,0.0465,IF($AY56&lt;280950,0.053,0.0765)))*$D56,0))))))))))))))))))))</f>
      </c>
      <c r="BD56" s="7">
        <f>IF($B56="","",$BD55+$Q56+$R56+$S56)</f>
      </c>
      <c r="BE56" s="6">
        <f>IF($B56="",$BE55,$BE55+$BF56)</f>
      </c>
      <c r="BF56" s="6">
        <f>IF($B56="","",IF(AND(IF(YEAR(IF('Your Pay &amp; Benefits'!$C$7="Weekly",'Your Pay &amp; Benefits'!$C$9+7*(($BE55+1)-1),IF('Your Pay &amp; Benefits'!$C$7="Biweekly",'Your Pay &amp; Benefits'!$C$9+14*(($BE55+1)-1),IF('Your Pay &amp; Benefits'!$C$7="Semimonthly",DATE(YEAR('Your Pay &amp; Benefits'!$C$9),MONTH('Your Pay &amp; Benefits'!$C$9)+INT((($BE55+1)-1)/2),MIN(DAY('Your Pay &amp; Benefits'!$C$9),DAY(EOMONTH(DATE(YEAR('Your Pay &amp; Benefits'!$C$9),MONTH('Your Pay &amp; Benefits'!$C$9)+INT((($BE55+1)-1)/2),1),0))))+IF(MOD(($BE55+1)-1,2)=1,15,0),EDATE('Your Pay &amp; Benefits'!$C$9,($BE55+1)-1)))))&lt;&gt;'Your Pay &amp; Benefits'!$C$10,"",IF('Your Pay &amp; Benefits'!$C$7="Weekly",'Your Pay &amp; Benefits'!$C$9+7*(($BE55+1)-1),IF('Your Pay &amp; Benefits'!$C$7="Biweekly",'Your Pay &amp; Benefits'!$C$9+14*(($BE55+1)-1),IF('Your Pay &amp; Benefits'!$C$7="Semimonthly",DATE(YEAR('Your Pay &amp; Benefits'!$C$9),MONTH('Your Pay &amp; Benefits'!$C$9)+INT((($BE55+1)-1)/2),MIN(DAY('Your Pay &amp; Benefits'!$C$9),DAY(EOMONTH(DATE(YEAR('Your Pay &amp; Benefits'!$C$9),MONTH('Your Pay &amp; Benefits'!$C$9)+INT((($BE55+1)-1)/2),1),0))))+IF(MOD(($BE55+1)-1,2)=1,15,0),EDATE('Your Pay &amp; Benefits'!$C$9,($BE55+1)-1)))))&lt;&gt;"",$B56=IF(YEAR(IF('Your Pay &amp; Benefits'!$C$7="Weekly",'Your Pay &amp; Benefits'!$C$9+7*(($BE55+1)-1),IF('Your Pay &amp; Benefits'!$C$7="Biweekly",'Your Pay &amp; Benefits'!$C$9+14*(($BE55+1)-1),IF('Your Pay &amp; Benefits'!$C$7="Semimonthly",DATE(YEAR('Your Pay &amp; Benefits'!$C$9),MONTH('Your Pay &amp; Benefits'!$C$9)+INT((($BE55+1)-1)/2),MIN(DAY('Your Pay &amp; Benefits'!$C$9),DAY(EOMONTH(DATE(YEAR('Your Pay &amp; Benefits'!$C$9),MONTH('Your Pay &amp; Benefits'!$C$9)+INT((($BE55+1)-1)/2),1),0))))+IF(MOD(($BE55+1)-1,2)=1,15,0),EDATE('Your Pay &amp; Benefits'!$C$9,($BE55+1)-1)))))&lt;&gt;'Your Pay &amp; Benefits'!$C$10,"",IF('Your Pay &amp; Benefits'!$C$7="Weekly",'Your Pay &amp; Benefits'!$C$9+7*(($BE55+1)-1),IF('Your Pay &amp; Benefits'!$C$7="Biweekly",'Your Pay &amp; Benefits'!$C$9+14*(($BE55+1)-1),IF('Your Pay &amp; Benefits'!$C$7="Semimonthly",DATE(YEAR('Your Pay &amp; Benefits'!$C$9),MONTH('Your Pay &amp; Benefits'!$C$9)+INT((($BE55+1)-1)/2),MIN(DAY('Your Pay &amp; Benefits'!$C$9),DAY(EOMONTH(DATE(YEAR('Your Pay &amp; Benefits'!$C$9),MONTH('Your Pay &amp; Benefits'!$C$9)+INT((($BE55+1)-1)/2),1),0))))+IF(MOD(($BE55+1)-1,2)=1,15,0),EDATE('Your Pay &amp; Benefits'!$C$9,($BE55+1)-1)))))),1,0))</f>
      </c>
      <c r="BG56" s="7">
        <f>IF($B56="","",$BG55+$H56)</f>
      </c>
      <c r="BH56" s="7">
        <f>IF($B56="","",$BH55+$I56)</f>
      </c>
      <c r="BI56" s="7">
        <f>IF($B56="","",$BI55+$G56)</f>
      </c>
      <c r="BJ56" s="7">
        <f>IF($B56="","",IFERROR(LOOKUP(2,1/(((('Changes &amp; Events'!$C$6:$C$17="Deduction start"))*('Changes &amp; Events'!$D$6:$D$17="Health FSA"))*('Changes &amp; Events'!$B$6:$B$17&lt;=$B56)*('Changes &amp; Events'!$B$6:$B$17&lt;&gt;"")),'Changes &amp; Events'!$E$6:$E$17),'Your Pay &amp; Benefits'!$D$38))</f>
      </c>
      <c r="BK56" s="7">
        <f>IF($B56="","",IFERROR(LOOKUP(2,1/(((('Changes &amp; Events'!$C$6:$C$17="Deduction start"))*('Changes &amp; Events'!$D$6:$D$17="Dependent-care FSA"))*('Changes &amp; Events'!$B$6:$B$17&lt;=$B56)*('Changes &amp; Events'!$B$6:$B$17&lt;&gt;"")),'Changes &amp; Events'!$E$6:$E$17),'Your Pay &amp; Benefits'!$D$39))</f>
      </c>
      <c r="BL56" s="7">
        <f>IF($B56="","",IFERROR(LOOKUP(2,1/(((('Changes &amp; Events'!$C$6:$C$17="Deduction start")+('Changes &amp; Events'!$C$6:$C$17="Deduction stop"))*('Changes &amp; Events'!$D$6:$D$17="HSA"))*('Changes &amp; Events'!$B$6:$B$17&lt;=$B56)*('Changes &amp; Events'!$B$6:$B$17&lt;&gt;"")),'Changes &amp; Events'!$I$6:$I$17),'Your Pay &amp; Benefits'!$D$35))</f>
      </c>
      <c r="BM56" s="7">
        <f>IF($B56="","",IFERROR(LOOKUP(2,1/(((('Changes &amp; Events'!$C$6:$C$17="Deduction start")+('Changes &amp; Events'!$C$6:$C$17="Deduction stop"))*('Changes &amp; Events'!$D$6:$D$17="Premiums"))*('Changes &amp; Events'!$B$6:$B$17&lt;=$B56)*('Changes &amp; Events'!$B$6:$B$17&lt;&gt;"")),'Changes &amp; Events'!$I$6:$I$17),'Your Pay &amp; Benefits'!$D$40+'Your Pay &amp; Benefits'!$D$41+'Your Pay &amp; Benefits'!$D$42))</f>
      </c>
      <c r="BN56" s="7">
        <f>IF($B56="","",IFERROR(LOOKUP(2,1/(((('Changes &amp; Events'!$C$6:$C$17="Deduction start")+('Changes &amp; Events'!$C$6:$C$17="Deduction stop"))*('Changes &amp; Events'!$D$6:$D$17="Commuter"))*('Changes &amp; Events'!$B$6:$B$17&lt;=$B56)*('Changes &amp; Events'!$B$6:$B$17&lt;&gt;"")),'Changes &amp; Events'!$I$6:$I$17),'Your Pay &amp; Benefits'!$D$43))</f>
      </c>
      <c r="BO56" s="7">
        <f>IF($B56="","",IFERROR(LOOKUP(2,1/(((('Changes &amp; Events'!$C$6:$C$17="Deduction start")+('Changes &amp; Events'!$C$6:$C$17="Deduction stop"))*('Changes &amp; Events'!$D$6:$D$17="Other pre-tax"))*('Changes &amp; Events'!$B$6:$B$17&lt;=$B56)*('Changes &amp; Events'!$B$6:$B$17&lt;&gt;"")),'Changes &amp; Events'!$I$6:$I$17),'Your Pay &amp; Benefits'!$D$44))</f>
      </c>
      <c r="BP56" s="7">
        <f>IF($B56="","",IFERROR(LOOKUP(2,1/(((('Changes &amp; Events'!$C$6:$C$17="Deduction start")+('Changes &amp; Events'!$C$6:$C$17="Deduction stop"))*('Changes &amp; Events'!$D$6:$D$17="Other post-tax"))*('Changes &amp; Events'!$B$6:$B$17&lt;=$B56)*('Changes &amp; Events'!$B$6:$B$17&lt;&gt;"")),'Changes &amp; Events'!$I$6:$I$17),'Your Pay &amp; Benefits'!$D$45))</f>
      </c>
      <c r="BQ56" s="6">
        <f>IF($B56="","",IFERROR(LOOKUP(2,1/(((('Changes &amp; Events'!$C$6:$C$17="Deduction start")+('Changes &amp; Events'!$C$6:$C$17="Deduction stop"))*('Changes &amp; Events'!$D$6:$D$17="Health FSA"))*('Changes &amp; Events'!$B$6:$B$17&lt;=$B56)*('Changes &amp; Events'!$B$6:$B$17&lt;&gt;"")),'Changes &amp; Events'!$J$6:$J$17),0))</f>
      </c>
      <c r="BR56" s="6">
        <f>IF($B56="","",IFERROR(LOOKUP(2,1/(((('Changes &amp; Events'!$C$6:$C$17="Deduction start")+('Changes &amp; Events'!$C$6:$C$17="Deduction stop"))*('Changes &amp; Events'!$D$6:$D$17="Dependent-care FSA"))*('Changes &amp; Events'!$B$6:$B$17&lt;=$B56)*('Changes &amp; Events'!$B$6:$B$17&lt;&gt;"")),'Changes &amp; Events'!$J$6:$J$17),0))</f>
      </c>
      <c r="BS56" s="6">
        <f>IF($B56="","",IF(SUMPRODUCT(('Changes &amp; Events'!$C$6:$C$17="Deduction start")*('Changes &amp; Events'!$B$6:$B$17&lt;=$B56)*('Changes &amp; Events'!$B$6:$B$17&lt;&gt;"")*('Changes &amp; Events'!$D$6:$D$17="Health FSA"))&gt;0,1,0))</f>
      </c>
      <c r="BT56" s="6">
        <f>IF($B56="","",IF(SUMPRODUCT(('Changes &amp; Events'!$C$6:$C$17="Deduction start")*('Changes &amp; Events'!$B$6:$B$17&lt;=$B56)*('Changes &amp; Events'!$B$6:$B$17&lt;&gt;"")*('Changes &amp; Events'!$D$6:$D$17="Dependent-care FSA"))&gt;0,1,0))</f>
      </c>
      <c r="BU56" s="24">
        <f>IF($B56="","",IF('Your Pay &amp; Benefits'!$C$13,SUMPRODUCT(($AH56&gt;=INDEX('How This Works &amp; Sources'!$B$29:$J$36,0,IF('Your Pay &amp; Benefits'!$C$12="MFJ",1,IF('Your Pay &amp; Benefits'!$C$12="HoH",7,4))))*INDEX('How This Works &amp; Sources'!$B$29:$J$36,0,IF('Your Pay &amp; Benefits'!$C$12="MFJ",1,IF('Your Pay &amp; Benefits'!$C$12="HoH",7,4))+2)),SUMPRODUCT(($AH56&gt;=INDEX('How This Works &amp; Sources'!$B$19:$J$26,0,IF('Your Pay &amp; Benefits'!$C$12="MFJ",1,IF('Your Pay &amp; Benefits'!$C$12="HoH",7,4))))*INDEX('How This Works &amp; Sources'!$B$19:$J$26,0,IF('Your Pay &amp; Benefits'!$C$12="MFJ",1,IF('Your Pay &amp; Benefits'!$C$12="HoH",7,4))+2))))</f>
      </c>
      <c r="BV56" s="24">
        <f>IF($B56="","",IF($BZ56&lt;&gt;"",$BZ56,IF($CA56&lt;&gt;"",$CA56,IF($CB56&lt;&gt;"",$CB56,IF($CC56&lt;&gt;"",$CC56,0)))))</f>
      </c>
      <c r="BW56" s="7">
        <f>IF($B56="","",IF($AN56="MD",IF(OR($AU56="Married",$AU56="Head of household"),SUMPRODUCT(($AZ56&gt;INDEX('How This Works &amp; Sources'!$B$114:$J$120,0,1))*($AZ56-INDEX('How This Works &amp; Sources'!$B$114:$J$120,0,1))*INDEX('How This Works &amp; Sources'!$B$114:$J$120,0,1+2)),SUMPRODUCT(($AZ56&gt;INDEX('How This Works &amp; Sources'!$B$103:$J$109,0,7))*($AZ56-INDEX('How This Works &amp; Sources'!$B$103:$J$109,0,7))*INDEX('How This Works &amp; Sources'!$B$103:$J$109,0,7+2))),IF($AN56="MO",SUMPRODUCT(($AZ56&gt;INDEX('How This Works &amp; Sources'!$B$125:$J$132,0,1))*($AZ56-INDEX('How This Works &amp; Sources'!$B$125:$J$132,0,1))*INDEX('How This Works &amp; Sources'!$B$125:$J$132,0,1+2)),IF($AN56="MT",IF($AU56="Head of household",SUMPRODUCT(($AZ56&gt;INDEX('How This Works &amp; Sources'!$B$137:$J$139,0,1))*($AZ56-INDEX('How This Works &amp; Sources'!$B$137:$J$139,0,1))*INDEX('How This Works &amp; Sources'!$B$137:$J$139,0,1+2)),IF($AU56="Married",SUMPRODUCT(($AZ56&gt;INDEX('How This Works &amp; Sources'!$B$125:$J$132,0,7))*($AZ56-INDEX('How This Works &amp; Sources'!$B$125:$J$132,0,7))*INDEX('How This Works &amp; Sources'!$B$125:$J$132,0,7+2)),SUMPRODUCT(($AZ56&gt;INDEX('How This Works &amp; Sources'!$B$125:$J$132,0,4))*($AZ56-INDEX('How This Works &amp; Sources'!$B$125:$J$132,0,4))*INDEX('How This Works &amp; Sources'!$B$125:$J$132,0,4+2)))),IF($AN56="ND",IF($AU56="Head of household",SUMPRODUCT(($AZ56&gt;INDEX('How This Works &amp; Sources'!$B$144:$J$150,0,1))*($AZ56-INDEX('How This Works &amp; Sources'!$B$144:$J$150,0,1))*INDEX('How This Works &amp; Sources'!$B$144:$J$150,0,1+2)),IF($AU56="Married",SUMPRODUCT(($AZ56&gt;INDEX('How This Works &amp; Sources'!$B$137:$J$139,0,7))*($AZ56-INDEX('How This Works &amp; Sources'!$B$137:$J$139,0,7))*INDEX('How This Works &amp; Sources'!$B$137:$J$139,0,7+2)),SUMPRODUCT(($AZ56&gt;INDEX('How This Works &amp; Sources'!$B$137:$J$139,0,4))*($AZ56-INDEX('How This Works &amp; Sources'!$B$137:$J$139,0,4))*INDEX('How This Works &amp; Sources'!$B$137:$J$139,0,4+2)))),IF($AN56="NJ",IF('Your Pay &amp; Benefits'!$C$77="B",SUMPRODUCT(($AZ56&gt;INDEX('How This Works &amp; Sources'!$B$155:$J$162,0,4))*($AZ56-INDEX('How This Works &amp; Sources'!$B$155:$J$162,0,4))*INDEX('How This Works &amp; Sources'!$B$155:$J$162,0,4+2)),IF('Your Pay &amp; Benefits'!$C$77="C",SUMPRODUCT(($AZ56&gt;INDEX('How This Works &amp; Sources'!$B$155:$J$162,0,7))*($AZ56-INDEX('How This Works &amp; Sources'!$B$155:$J$162,0,7))*INDEX('How This Works &amp; Sources'!$B$155:$J$162,0,7+2)),IF('Your Pay &amp; Benefits'!$C$77="D",SUMPRODUCT(($AZ56&gt;INDEX('How This Works &amp; Sources'!$B$167:$J$179,0,1))*($AZ56-INDEX('How This Works &amp; Sources'!$B$167:$J$179,0,1))*INDEX('How This Works &amp; Sources'!$B$167:$J$179,0,1+2)),IF('Your Pay &amp; Benefits'!$C$77="E",SUMPRODUCT(($AZ56&gt;INDEX('How This Works &amp; Sources'!$B$167:$J$179,0,4))*($AZ56-INDEX('How This Works &amp; Sources'!$B$167:$J$179,0,4))*INDEX('How This Works &amp; Sources'!$B$167:$J$179,0,4+2)),SUMPRODUCT(($AZ56&gt;INDEX('How This Works &amp; Sources'!$B$155:$J$162,0,1))*($AZ56-INDEX('How This Works &amp; Sources'!$B$155:$J$162,0,1))*INDEX('How This Works &amp; Sources'!$B$155:$J$162,0,1+2)))))),IF($AN56="NY",IF($AU56="Married",IF($AZ56&gt;=2155350,$AZ56*IF($AZ56&gt;25000000,0.117,IF($AZ56&gt;5000000,0.111,0.1045)),SUMPRODUCT(($AZ56&gt;INDEX('How This Works &amp; Sources'!$B$184:$J$198,0,1))*($AZ56-INDEX('How This Works &amp; Sources'!$B$184:$J$198,0,1))*INDEX('How This Works &amp; Sources'!$B$184:$J$198,0,1+2))),IF($AZ56&gt;=1077550,$AZ56*IF($AZ56&gt;25000000,0.117,IF($AZ56&gt;5000000,0.111,0.1045)),SUMPRODUCT(($AZ56&gt;INDEX('How This Works &amp; Sources'!$B$167:$J$179,0,7))*($AZ56-INDEX('How This Works &amp; Sources'!$B$167:$J$179,0,7))*INDEX('How This Works &amp; Sources'!$B$167:$J$179,0,7+2)))),"")))))))</f>
      </c>
      <c r="BX56" s="7">
        <f>IF($B56="","",IF($AN56="AL",IF(OR($AU56="Married",$AU56="Head of household"),SUMPRODUCT(($AZ56&gt;INDEX('How This Works &amp; Sources'!$B$82:$J$86,0,4))*($AZ56-INDEX('How This Works &amp; Sources'!$B$82:$J$86,0,4))*INDEX('How This Works &amp; Sources'!$B$82:$J$86,0,4+2)),SUMPRODUCT(($AZ56&gt;INDEX('How This Works &amp; Sources'!$B$82:$J$86,0,1))*($AZ56-INDEX('How This Works &amp; Sources'!$B$82:$J$86,0,1))*INDEX('How This Works &amp; Sources'!$B$82:$J$86,0,1+2))),IF($AN56="KS",IF($AU56="Married",SUMPRODUCT(($AZ56&gt;INDEX('How This Works &amp; Sources'!$B$103:$J$109,0,4))*($AZ56-INDEX('How This Works &amp; Sources'!$B$103:$J$109,0,4))*INDEX('How This Works &amp; Sources'!$B$103:$J$109,0,4+2)),SUMPRODUCT(($AZ56&gt;INDEX('How This Works &amp; Sources'!$B$103:$J$109,0,1))*($AZ56-INDEX('How This Works &amp; Sources'!$B$103:$J$109,0,1))*INDEX('How This Works &amp; Sources'!$B$103:$J$109,0,1+2))),IF($AN56="MN",IF($AU56="Married",SUMPRODUCT(($AZ56&gt;INDEX('How This Works &amp; Sources'!$B$114:$J$120,0,7))*($AZ56-INDEX('How This Works &amp; Sources'!$B$114:$J$120,0,7))*INDEX('How This Works &amp; Sources'!$B$114:$J$120,0,7+2)),SUMPRODUCT(($AZ56&gt;INDEX('How This Works &amp; Sources'!$B$114:$J$120,0,4))*($AZ56-INDEX('How This Works &amp; Sources'!$B$114:$J$120,0,4))*INDEX('How This Works &amp; Sources'!$B$114:$J$120,0,4+2))),IF($AN56="NE",MAX(IF($AU56="Married",SUMPRODUCT(($AZ56&gt;INDEX('How This Works &amp; Sources'!$B$144:$J$150,0,7))*($AZ56-INDEX('How This Works &amp; Sources'!$B$144:$J$150,0,7))*INDEX('How This Works &amp; Sources'!$B$144:$J$150,0,7+2)),SUMPRODUCT(($AZ56&gt;INDEX('How This Works &amp; Sources'!$B$144:$J$150,0,4))*($AZ56-INDEX('How This Works &amp; Sources'!$B$144:$J$150,0,4))*INDEX('How This Works &amp; Sources'!$B$144:$J$150,0,4+2))),0.015*$AZ56),IF($AN56="OH",IF($B56&gt;=DATE(2026,8,1),SUMPRODUCT(($AZ56&gt;INDEX('How This Works &amp; Sources'!$B$203:$J$206,0,1))*($AZ56-INDEX('How This Works &amp; Sources'!$B$203:$J$206,0,1))*INDEX('How This Works &amp; Sources'!$B$203:$J$206,0,1+2)),SUMPRODUCT(($AZ56&gt;INDEX('How This Works &amp; Sources'!$B$184:$J$198,0,7))*($AZ56-INDEX('How This Works &amp; Sources'!$B$184:$J$198,0,7))*INDEX('How This Works &amp; Sources'!$B$184:$J$198,0,7+2))),IF($AN56="OK",IF($AU56="Married",SUMPRODUCT(($AZ56&gt;INDEX('How This Works &amp; Sources'!$B$203:$J$206,0,7))*($AZ56-INDEX('How This Works &amp; Sources'!$B$203:$J$206,0,7))*INDEX('How This Works &amp; Sources'!$B$203:$J$206,0,7+2)),SUMPRODUCT(($AZ56&gt;INDEX('How This Works &amp; Sources'!$B$203:$J$206,0,4))*($AZ56-INDEX('How This Works &amp; Sources'!$B$203:$J$206,0,4))*INDEX('How This Works &amp; Sources'!$B$203:$J$206,0,4+2))),IF($AN56="RI",SUMPRODUCT(($AZ56&gt;INDEX('How This Works &amp; Sources'!$B$211:$J$214,0,7))*($AZ56-INDEX('How This Works &amp; Sources'!$B$211:$J$214,0,7))*INDEX('How This Works &amp; Sources'!$B$211:$J$214,0,7+2)),IF($AN56="VT",IF($AU56="Married",SUMPRODUCT(($AZ56&gt;INDEX('How This Works &amp; Sources'!$B$228:$J$232,0,1))*($AZ56-INDEX('How This Works &amp; Sources'!$B$228:$J$232,0,1))*INDEX('How This Works &amp; Sources'!$B$228:$J$232,0,1+2)),SUMPRODUCT(($AZ56&gt;INDEX('How This Works &amp; Sources'!$B$219:$J$223,0,7))*($AZ56-INDEX('How This Works &amp; Sources'!$B$219:$J$223,0,7))*INDEX('How This Works &amp; Sources'!$B$219:$J$223,0,7+2))),IF($AN56="WV",IF($AU56="Married",SUMPRODUCT(($AZ56&gt;INDEX('How This Works &amp; Sources'!$B$237:$J$241,0,7))*($AZ56-INDEX('How This Works &amp; Sources'!$B$237:$J$241,0,7))*INDEX('How This Works &amp; Sources'!$B$237:$J$241,0,7+2)),SUMPRODUCT(($AZ56&gt;INDEX('How This Works &amp; Sources'!$B$228:$J$232,0,7))*($AZ56-INDEX('How This Works &amp; Sources'!$B$228:$J$232,0,7))*INDEX('How This Works &amp; Sources'!$B$228:$J$232,0,7+2))),""))))))))))</f>
      </c>
      <c r="BY56" s="7">
        <f>IF($B56="","",IF($AN56="AR",SUMPRODUCT(($AZ56&gt;INDEX('How This Works &amp; Sources'!$B$82:$J$86,0,7))*($AZ56-INDEX('How This Works &amp; Sources'!$B$82:$J$86,0,7))*INDEX('How This Works &amp; Sources'!$B$82:$J$86,0,7+2)),IF($AN56="DE",SUMPRODUCT(($AZ56&gt;INDEX('How This Works &amp; Sources'!$B$91:$J$98,0,1))*($AZ56-INDEX('How This Works &amp; Sources'!$B$91:$J$98,0,1))*INDEX('How This Works &amp; Sources'!$B$91:$J$98,0,1+2)),IF($AN56="HI",IF($AU56="Married",SUMPRODUCT(($AZ56&gt;INDEX('How This Works &amp; Sources'!$B$91:$J$98,0,7))*($AZ56-INDEX('How This Works &amp; Sources'!$B$91:$J$98,0,7))*INDEX('How This Works &amp; Sources'!$B$91:$J$98,0,7+2)),SUMPRODUCT(($AZ56&gt;INDEX('How This Works &amp; Sources'!$B$91:$J$98,0,4))*($AZ56-INDEX('How This Works &amp; Sources'!$B$91:$J$98,0,4))*INDEX('How This Works &amp; Sources'!$B$91:$J$98,0,4+2))),IF($AN56="SC",SUMPRODUCT(($AZ56&gt;INDEX('How This Works &amp; Sources'!$B$219:$J$223,0,1))*($AZ56-INDEX('How This Works &amp; Sources'!$B$219:$J$223,0,1))*INDEX('How This Works &amp; Sources'!$B$219:$J$223,0,1+2)),IF($AN56="VA",SUMPRODUCT(($AZ56&gt;INDEX('How This Works &amp; Sources'!$B$219:$J$223,0,4))*($AZ56-INDEX('How This Works &amp; Sources'!$B$219:$J$223,0,4))*INDEX('How This Works &amp; Sources'!$B$219:$J$223,0,4+2)),IF($AN56="WI",SUMPRODUCT(($AZ56&gt;INDEX('How This Works &amp; Sources'!$B$228:$J$232,0,4))*($AZ56-INDEX('How This Works &amp; Sources'!$B$228:$J$232,0,4))*INDEX('How This Works &amp; Sources'!$B$228:$J$232,0,4+2)),"")))))))</f>
      </c>
      <c r="BZ56" s="24">
        <f>IF($B56="","",IF($AN56="NJ",IF('Your Pay &amp; Benefits'!$C$77="B",SUMPRODUCT(($AZ56&gt;=INDEX('How This Works &amp; Sources'!$B$155:$J$162,0,4))*INDEX('How This Works &amp; Sources'!$B$155:$J$162,0,4+2)),IF('Your Pay &amp; Benefits'!$C$77="C",SUMPRODUCT(($AZ56&gt;=INDEX('How This Works &amp; Sources'!$B$155:$J$162,0,7))*INDEX('How This Works &amp; Sources'!$B$155:$J$162,0,7+2)),IF('Your Pay &amp; Benefits'!$C$77="D",SUMPRODUCT(($AZ56&gt;=INDEX('How This Works &amp; Sources'!$B$167:$J$179,0,1))*INDEX('How This Works &amp; Sources'!$B$167:$J$179,0,1+2)),IF('Your Pay &amp; Benefits'!$C$77="E",SUMPRODUCT(($AZ56&gt;=INDEX('How This Works &amp; Sources'!$B$167:$J$179,0,4))*INDEX('How This Works &amp; Sources'!$B$167:$J$179,0,4+2)),SUMPRODUCT(($AZ56&gt;=INDEX('How This Works &amp; Sources'!$B$155:$J$162,0,1))*INDEX('How This Works &amp; Sources'!$B$155:$J$162,0,1+2)))))),IF($AN56="OR",IF(OR($AU56="Married",AND($AU56="Single",$AS56&gt;=3)),SUMPRODUCT((MAX(0,$AY56-MIN(($P56-'How This Works &amp; Sources'!$C$10*$D56)*'Your Pay &amp; Benefits'!$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Sources'!$B$211:$J$214,0,4))*INDEX('How This Works &amp; Sources'!$B$211:$J$214,0,4+2)),SUMPRODUCT((MAX(0,$AY56-MIN(($P56-'How This Works &amp; Sources'!$C$10*$D56)*'Your Pay &amp; Benefits'!$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Sources'!$B$211:$J$214,0,1))*INDEX('How This Works &amp; Sources'!$B$211:$J$214,0,1+2)))*IF(($P56-'How This Works &amp; Sources'!$C$10*$D56)*'Your Pay &amp; Benefits'!$C$8&gt;=IF(OR($AU56="Married",AND($AU56="Single",$AS56&gt;=3)),IF($AY56&lt;250000,8750,IF($AY56&lt;260000,7000,IF($AY56&lt;270000,5250,IF($AY56&lt;280000,3500,IF($AY56&lt;290000,1750,0))))),IF($AY56&lt;125000,8750,IF($AY56&lt;130000,7000,IF($AY56&lt;135000,5250,IF($AY56&lt;140000,3500,IF($AY56&lt;145000,1750,0)))))),1,1-IF('Your Pay &amp; Benefits'!$C$13,SUMPRODUCT(($AH56&gt;=INDEX('How This Works &amp; Sources'!$B$29:$J$36,0,IF('Your Pay &amp; Benefits'!$C$12="MFJ",1,IF('Your Pay &amp; Benefits'!$C$12="HoH",7,4))))*INDEX('How This Works &amp; Sources'!$B$29:$J$36,0,IF('Your Pay &amp; Benefits'!$C$12="MFJ",1,IF('Your Pay &amp; Benefits'!$C$12="HoH",7,4))+2)),SUMPRODUCT(($AH56&gt;=INDEX('How This Works &amp; Sources'!$B$19:$J$26,0,IF('Your Pay &amp; Benefits'!$C$12="MFJ",1,IF('Your Pay &amp; Benefits'!$C$12="HoH",7,4))))*INDEX('How This Works &amp; Sources'!$B$19:$J$26,0,IF('Your Pay &amp; Benefits'!$C$12="MFJ",1,IF('Your Pay &amp; Benefits'!$C$12="HoH",7,4))+2)))),IF($AN56="MI",IF($AY56&gt;5900*$AS56,0.0425,0),""))))</f>
      </c>
      <c r="CA56" s="24">
        <f>IF($B56="","",IF($AN56="AL",IF(OR($AU56="Married",$AU56="Head of household"),SUMPRODUCT(($AZ56&gt;=INDEX('How This Works &amp; Sources'!$B$82:$J$86,0,4))*INDEX('How This Works &amp; Sources'!$B$82:$J$86,0,4+2)),SUMPRODUCT(($AZ56&gt;=INDEX('How This Works &amp; Sources'!$B$82:$J$86,0,1))*INDEX('How This Works &amp; Sources'!$B$82:$J$86,0,1+2)))*(1-IF('Your Pay &amp; Benefits'!$C$13,SUMPRODUCT(($AH56&gt;=INDEX('How This Works &amp; Sources'!$B$29:$J$36,0,IF('Your Pay &amp; Benefits'!$C$12="MFJ",1,IF('Your Pay &amp; Benefits'!$C$12="HoH",7,4))))*INDEX('How This Works &amp; Sources'!$B$29:$J$36,0,IF('Your Pay &amp; Benefits'!$C$12="MFJ",1,IF('Your Pay &amp; Benefits'!$C$12="HoH",7,4))+2)),SUMPRODUCT(($AH56&gt;=INDEX('How This Works &amp; Sources'!$B$19:$J$26,0,IF('Your Pay &amp; Benefits'!$C$12="MFJ",1,IF('Your Pay &amp; Benefits'!$C$12="HoH",7,4))))*INDEX('How This Works &amp; Sources'!$B$19:$J$26,0,IF('Your Pay &amp; Benefits'!$C$12="MFJ",1,IF('Your Pay &amp; Benefits'!$C$12="HoH",7,4))+2)))),IF($AN56="KS",IF($AU56="Married",SUMPRODUCT(($AZ56&gt;=INDEX('How This Works &amp; Sources'!$B$103:$J$109,0,4))*INDEX('How This Works &amp; Sources'!$B$103:$J$109,0,4+2)),SUMPRODUCT(($AZ56&gt;=INDEX('How This Works &amp; Sources'!$B$103:$J$109,0,1))*INDEX('How This Works &amp; Sources'!$B$103:$J$109,0,1+2))),IF($AN56="MD",IF(OR($AU56="Married",$AU56="Head of household"),SUMPRODUCT(($AZ56&gt;=INDEX('How This Works &amp; Sources'!$B$114:$J$120,0,1))*INDEX('How This Works &amp; Sources'!$B$114:$J$120,0,1+2)),SUMPRODUCT(($AZ56&gt;=INDEX('How This Works &amp; Sources'!$B$103:$J$109,0,7))*INDEX('How This Works &amp; Sources'!$B$103:$J$109,0,7+2)))+'Your Pay &amp; Benefits'!$C$74,IF($AN56="MT",IF($AU56="Head of household",SUMPRODUCT(($AZ56&gt;=INDEX('How This Works &amp; Sources'!$B$137:$J$139,0,1))*INDEX('How This Works &amp; Sources'!$B$137:$J$139,0,1+2)),IF($AU56="Married",SUMPRODUCT(($AZ56&gt;=INDEX('How This Works &amp; Sources'!$B$125:$J$132,0,7))*INDEX('How This Works &amp; Sources'!$B$125:$J$132,0,7+2)),SUMPRODUCT(($AZ56&gt;=INDEX('How This Works &amp; Sources'!$B$125:$J$132,0,4))*INDEX('How This Works &amp; Sources'!$B$125:$J$132,0,4+2)))),IF($AN56="ND",IF($AU56="Head of household",SUMPRODUCT(($AZ56&gt;=INDEX('How This Works &amp; Sources'!$B$144:$J$150,0,1))*INDEX('How This Works &amp; Sources'!$B$144:$J$150,0,1+2)),IF($AU56="Married",SUMPRODUCT(($AZ56&gt;=INDEX('How This Works &amp; Sources'!$B$137:$J$139,0,7))*INDEX('How This Works &amp; Sources'!$B$137:$J$139,0,7+2)),SUMPRODUCT(($AZ56&gt;=INDEX('How This Works &amp; Sources'!$B$137:$J$139,0,4))*INDEX('How This Works &amp; Sources'!$B$137:$J$139,0,4+2)))),IF($AN56="NY",IF($AU56="Married",IF($AZ56&gt;=2155350,IF($AZ56&gt;25000000,0.117,IF($AZ56&gt;5000000,0.111,0.1045)),SUMPRODUCT(($AZ56&gt;=INDEX('How This Works &amp; Sources'!$B$184:$J$198,0,1))*INDEX('How This Works &amp; Sources'!$B$184:$J$198,0,1+2))),IF($AZ56&gt;=1077550,IF($AZ56&gt;25000000,0.117,IF($AZ56&gt;5000000,0.111,0.1045)),SUMPRODUCT(($AZ56&gt;=INDEX('How This Works &amp; Sources'!$B$167:$J$179,0,7))*INDEX('How This Works &amp; Sources'!$B$167:$J$179,0,7+2)))),"")))))))</f>
      </c>
      <c r="CB56" s="24">
        <f>IF($B56="","",IF($AN56="CA",SUMPRODUCT(($AJ56&gt;=INDEX('How This Works &amp; Sources'!$B$39:$J$48,0,IF($AU56="Married",4,IF($AU56="Head of household",7,1))))*INDEX('How This Works &amp; Sources'!$B$39:$J$48,0,IF($AU56="Married",4,IF($AU56="Head of household",7,1))+2)),IF($AN56="HI",IF($AU56="Married",SUMPRODUCT(($AZ56&gt;=INDEX('How This Works &amp; Sources'!$B$91:$J$98,0,7))*INDEX('How This Works &amp; Sources'!$B$91:$J$98,0,7+2)),SUMPRODUCT(($AZ56&gt;=INDEX('How This Works &amp; Sources'!$B$91:$J$98,0,4))*INDEX('How This Works &amp; Sources'!$B$91:$J$98,0,4+2))),IF($AN56="MN",IF($AU56="Married",SUMPRODUCT(($AZ56&gt;=INDEX('How This Works &amp; Sources'!$B$114:$J$120,0,7))*INDEX('How This Works &amp; Sources'!$B$114:$J$120,0,7+2)),SUMPRODUCT(($AZ56&gt;=INDEX('How This Works &amp; Sources'!$B$114:$J$120,0,4))*INDEX('How This Works &amp; Sources'!$B$114:$J$120,0,4+2))),IF($AN56="MO",SUMPRODUCT(($AZ56&gt;=INDEX('How This Works &amp; Sources'!$B$125:$J$132,0,1))*INDEX('How This Works &amp; Sources'!$B$125:$J$132,0,1+2)),IF($AN56="NE",MAX(IF($AU56="Married",SUMPRODUCT(($AZ56&gt;=INDEX('How This Works &amp; Sources'!$B$144:$J$150,0,7))*INDEX('How This Works &amp; Sources'!$B$144:$J$150,0,7+2)),SUMPRODUCT(($AZ56&gt;=INDEX('How This Works &amp; Sources'!$B$144:$J$150,0,4))*INDEX('How This Works &amp; Sources'!$B$144:$J$150,0,4+2))),0.015),IF($AN56="OH",IF($B56&gt;=DATE(2026,8,1),SUMPRODUCT(($AZ56&gt;=INDEX('How This Works &amp; Sources'!$B$203:$J$206,0,1))*INDEX('How This Works &amp; Sources'!$B$203:$J$206,0,1+2)),SUMPRODUCT(($AZ56&gt;=INDEX('How This Works &amp; Sources'!$B$184:$J$198,0,7))*INDEX('How This Works &amp; Sources'!$B$184:$J$198,0,7+2))),IF($AN56="OK",IF($AU56="Married",SUMPRODUCT(($AZ56&gt;=INDEX('How This Works &amp; Sources'!$B$203:$J$206,0,7))*INDEX('How This Works &amp; Sources'!$B$203:$J$206,0,7+2)),SUMPRODUCT(($AZ56&gt;=INDEX('How This Works &amp; Sources'!$B$203:$J$206,0,4))*INDEX('How This Works &amp; Sources'!$B$203:$J$206,0,4+2))),IF($AN56="RI",SUMPRODUCT(($AZ56&gt;=INDEX('How This Works &amp; Sources'!$B$211:$J$214,0,7))*INDEX('How This Works &amp; Sources'!$B$211:$J$214,0,7+2)),IF($AN56="SC",SUMPRODUCT(($AZ56&gt;=INDEX('How This Works &amp; Sources'!$B$219:$J$223,0,1))*INDEX('How This Works &amp; Sources'!$B$219:$J$223,0,1+2)),IF($AN56="VT",IF($AU56="Married",SUMPRODUCT(($AZ56&gt;=INDEX('How This Works &amp; Sources'!$B$228:$J$232,0,1))*INDEX('How This Works &amp; Sources'!$B$228:$J$232,0,1+2)),SUMPRODUCT(($AZ56&gt;=INDEX('How This Works &amp; Sources'!$B$219:$J$223,0,7))*INDEX('How This Works &amp; Sources'!$B$219:$J$223,0,7+2))),IF($AN56="WV",IF($AU56="Married",SUMPRODUCT(($AZ56&gt;=INDEX('How This Works &amp; Sources'!$B$237:$J$241,0,7))*INDEX('How This Works &amp; Sources'!$B$237:$J$241,0,7+2)),SUMPRODUCT(($AZ56&gt;=INDEX('How This Works &amp; Sources'!$B$228:$J$232,0,7))*INDEX('How This Works &amp; Sources'!$B$228:$J$232,0,7+2))),IF($AN56="IN",(0.0295+'Your Pay &amp; Benefits'!$C$76),"")))))))))))))</f>
      </c>
      <c r="CC56" s="24">
        <f>IF($B56="","",IF($AN56="AR",SUMPRODUCT(($AZ56&gt;=INDEX('How This Works &amp; Sources'!$B$82:$J$86,0,7))*INDEX('How This Works &amp; Sources'!$B$82:$J$86,0,7+2)),IF($AN56="DE",SUMPRODUCT(($AZ56&gt;=INDEX('How This Works &amp; Sources'!$B$91:$J$98,0,1))*INDEX('How This Works &amp; Sources'!$B$91:$J$98,0,1+2)),IF($AN56="VA",SUMPRODUCT(($AZ56&gt;=INDEX('How This Works &amp; Sources'!$B$219:$J$223,0,4))*INDEX('How This Works &amp; Sources'!$B$219:$J$223,0,4+2)),IF($AN56="WI",SUMPRODUCT(($AZ56&gt;=INDEX('How This Works &amp; Sources'!$B$228:$J$232,0,4))*INDEX('How This Works &amp; Sources'!$B$228:$J$232,0,4+2)),IF($AN56="AZ",'Your Pay &amp; Benefits'!$C$82,IF($AN56="CO",IF($AY56&gt;IF($AU56="Married",10000,5000),0.044,0),IF($AN56="IA",IF($AY56&gt;IF($AU56="Head of household",19500,IF($AU56="Married",26000,13000)),0.038,0),IF($AN56="ID",IF($AY56&gt;IF($AU56="Married",32000,16094),0.053,0),IF($AN56="IL",IF($AY56&gt;(2925*$AS56+1000*$AT56),0.0495,0),IF($AN56="KY",IF($AI56&gt;3360,0.035,0),IF($AN56="LA",0.0309,IF($AN56="MA",IF(MAX(0,$AY56-MIN(($BD55+$Q56+$R56+$S56),2000)-IF($AS56=0,0,IF($AS56=1,4400,1000*$AS56+3400)))&gt;=1107750,0.09,0.05),IF($AN56="MS",IF($AI56-IF($AU56="Head of household",3400,IF($AU56="Married",4600,2300))-'Your Pay &amp; Benefits'!$C$85&gt;10000,0.04,0),IF($AN56="PA",0.0307,"")))))))))))))))</f>
      </c>
      <c r="CD56" s="21">
        <f>IF(YEAR(IF('Your Pay &amp; Benefits'!$C$7="Weekly",'Your Pay &amp; Benefits'!$C$9+7*(($BE55+1)-1),IF('Your Pay &amp; Benefits'!$C$7="Biweekly",'Your Pay &amp; Benefits'!$C$9+14*(($BE55+1)-1),IF('Your Pay &amp; Benefits'!$C$7="Semimonthly",DATE(YEAR('Your Pay &amp; Benefits'!$C$9),MONTH('Your Pay &amp; Benefits'!$C$9)+INT((($BE55+1)-1)/2),MIN(DAY('Your Pay &amp; Benefits'!$C$9),DAY(EOMONTH(DATE(YEAR('Your Pay &amp; Benefits'!$C$9),MONTH('Your Pay &amp; Benefits'!$C$9)+INT((($BE55+1)-1)/2),1),0))))+IF(MOD(($BE55+1)-1,2)=1,15,0),EDATE('Your Pay &amp; Benefits'!$C$9,($BE55+1)-1)))))&lt;&gt;'Your Pay &amp; Benefits'!$C$10,"",IF('Your Pay &amp; Benefits'!$C$7="Weekly",'Your Pay &amp; Benefits'!$C$9+7*(($BE55+1)-1),IF('Your Pay &amp; Benefits'!$C$7="Biweekly",'Your Pay &amp; Benefits'!$C$9+14*(($BE55+1)-1),IF('Your Pay &amp; Benefits'!$C$7="Semimonthly",DATE(YEAR('Your Pay &amp; Benefits'!$C$9),MONTH('Your Pay &amp; Benefits'!$C$9)+INT((($BE55+1)-1)/2),MIN(DAY('Your Pay &amp; Benefits'!$C$9),DAY(EOMONTH(DATE(YEAR('Your Pay &amp; Benefits'!$C$9),MONTH('Your Pay &amp; Benefits'!$C$9)+INT((($BE55+1)-1)/2),1),0))))+IF(MOD(($BE55+1)-1,2)=1,15,0),EDATE('Your Pay &amp; Benefits'!$C$9,($BE55+1)-1)))))</f>
      </c>
      <c r="CE56" s="21">
        <f>IF(MIN(IF(AND('Your Pay &amp; Benefits'!$C$58&gt;MAX($B$6:$B55),'Your Pay &amp; Benefits'!$C$58&gt;=DATE('Your Pay &amp; Benefits'!$C$10,1,1),'Your Pay &amp; Benefits'!$C$58&lt;=DATE('Your Pay &amp; Benefits'!$C$10,12,31)),'Your Pay &amp; Benefits'!$C$58,999999),IF(AND('Your Pay &amp; Benefits'!$C$59&gt;MAX($B$6:$B55),'Your Pay &amp; Benefits'!$C$59&gt;=DATE('Your Pay &amp; Benefits'!$C$10,1,1),'Your Pay &amp; Benefits'!$C$59&lt;=DATE('Your Pay &amp; Benefits'!$C$10,12,31)),'Your Pay &amp; Benefits'!$C$59,999999),IF(AND('Your Pay &amp; Benefits'!$C$60&gt;MAX($B$6:$B55),'Your Pay &amp; Benefits'!$C$60&gt;=DATE('Your Pay &amp; Benefits'!$C$10,1,1),'Your Pay &amp; Benefits'!$C$60&lt;=DATE('Your Pay &amp; Benefits'!$C$10,12,31)),'Your Pay &amp; Benefits'!$C$60,999999),IF(AND('Your Pay &amp; Benefits'!$C$61&gt;MAX($B$6:$B55),'Your Pay &amp; Benefits'!$C$61&gt;=DATE('Your Pay &amp; Benefits'!$C$10,1,1),'Your Pay &amp; Benefits'!$C$61&lt;=DATE('Your Pay &amp; Benefits'!$C$10,12,31)),'Your Pay &amp; Benefits'!$C$61,999999),IF(AND('Your Pay &amp; Benefits'!$C$62&gt;MAX($B$6:$B55),'Your Pay &amp; Benefits'!$C$62&gt;=DATE('Your Pay &amp; Benefits'!$C$10,1,1),'Your Pay &amp; Benefits'!$C$62&lt;=DATE('Your Pay &amp; Benefits'!$C$10,12,31)),'Your Pay &amp; Benefits'!$C$62,999999),IF(AND('Your Pay &amp; Benefits'!$C$63&gt;MAX($B$6:$B55),'Your Pay &amp; Benefits'!$C$63&gt;=DATE('Your Pay &amp; Benefits'!$C$10,1,1),'Your Pay &amp; Benefits'!$C$63&lt;=DATE('Your Pay &amp; Benefits'!$C$10,12,31)),'Your Pay &amp; Benefits'!$C$63,999999),IF(AND('Your Pay &amp; Benefits'!$C$64&gt;MAX($B$6:$B55),'Your Pay &amp; Benefits'!$C$64&gt;=DATE('Your Pay &amp; Benefits'!$C$10,1,1),'Your Pay &amp; Benefits'!$C$64&lt;=DATE('Your Pay &amp; Benefits'!$C$10,12,31)),'Your Pay &amp; Benefits'!$C$64,999999),IF(AND('Your Pay &amp; Benefits'!$C$65&gt;MAX($B$6:$B55),'Your Pay &amp; Benefits'!$C$65&gt;=DATE('Your Pay &amp; Benefits'!$C$10,1,1),'Your Pay &amp; Benefits'!$C$65&lt;=DATE('Your Pay &amp; Benefits'!$C$10,12,31)),'Your Pay &amp; Benefits'!$C$65,999999),IF(AND('Your Pay &amp; Benefits'!$C$66&gt;MAX($B$6:$B55),'Your Pay &amp; Benefits'!$C$66&gt;=DATE('Your Pay &amp; Benefits'!$C$10,1,1),'Your Pay &amp; Benefits'!$C$66&lt;=DATE('Your Pay &amp; Benefits'!$C$10,12,31)),'Your Pay &amp; Benefits'!$C$66,999999),IF(AND('Your Pay &amp; Benefits'!$C$67&gt;MAX($B$6:$B55),'Your Pay &amp; Benefits'!$C$67&gt;=DATE('Your Pay &amp; Benefits'!$C$10,1,1),'Your Pay &amp; Benefits'!$C$67&lt;=DATE('Your Pay &amp; Benefits'!$C$10,12,31)),'Your Pay &amp; Benefits'!$C$67,999999))=999999,"",MIN(IF(AND('Your Pay &amp; Benefits'!$C$58&gt;MAX($B$6:$B55),'Your Pay &amp; Benefits'!$C$58&gt;=DATE('Your Pay &amp; Benefits'!$C$10,1,1),'Your Pay &amp; Benefits'!$C$58&lt;=DATE('Your Pay &amp; Benefits'!$C$10,12,31)),'Your Pay &amp; Benefits'!$C$58,999999),IF(AND('Your Pay &amp; Benefits'!$C$59&gt;MAX($B$6:$B55),'Your Pay &amp; Benefits'!$C$59&gt;=DATE('Your Pay &amp; Benefits'!$C$10,1,1),'Your Pay &amp; Benefits'!$C$59&lt;=DATE('Your Pay &amp; Benefits'!$C$10,12,31)),'Your Pay &amp; Benefits'!$C$59,999999),IF(AND('Your Pay &amp; Benefits'!$C$60&gt;MAX($B$6:$B55),'Your Pay &amp; Benefits'!$C$60&gt;=DATE('Your Pay &amp; Benefits'!$C$10,1,1),'Your Pay &amp; Benefits'!$C$60&lt;=DATE('Your Pay &amp; Benefits'!$C$10,12,31)),'Your Pay &amp; Benefits'!$C$60,999999),IF(AND('Your Pay &amp; Benefits'!$C$61&gt;MAX($B$6:$B55),'Your Pay &amp; Benefits'!$C$61&gt;=DATE('Your Pay &amp; Benefits'!$C$10,1,1),'Your Pay &amp; Benefits'!$C$61&lt;=DATE('Your Pay &amp; Benefits'!$C$10,12,31)),'Your Pay &amp; Benefits'!$C$61,999999),IF(AND('Your Pay &amp; Benefits'!$C$62&gt;MAX($B$6:$B55),'Your Pay &amp; Benefits'!$C$62&gt;=DATE('Your Pay &amp; Benefits'!$C$10,1,1),'Your Pay &amp; Benefits'!$C$62&lt;=DATE('Your Pay &amp; Benefits'!$C$10,12,31)),'Your Pay &amp; Benefits'!$C$62,999999),IF(AND('Your Pay &amp; Benefits'!$C$63&gt;MAX($B$6:$B55),'Your Pay &amp; Benefits'!$C$63&gt;=DATE('Your Pay &amp; Benefits'!$C$10,1,1),'Your Pay &amp; Benefits'!$C$63&lt;=DATE('Your Pay &amp; Benefits'!$C$10,12,31)),'Your Pay &amp; Benefits'!$C$63,999999),IF(AND('Your Pay &amp; Benefits'!$C$64&gt;MAX($B$6:$B55),'Your Pay &amp; Benefits'!$C$64&gt;=DATE('Your Pay &amp; Benefits'!$C$10,1,1),'Your Pay &amp; Benefits'!$C$64&lt;=DATE('Your Pay &amp; Benefits'!$C$10,12,31)),'Your Pay &amp; Benefits'!$C$64,999999),IF(AND('Your Pay &amp; Benefits'!$C$65&gt;MAX($B$6:$B55),'Your Pay &amp; Benefits'!$C$65&gt;=DATE('Your Pay &amp; Benefits'!$C$10,1,1),'Your Pay &amp; Benefits'!$C$65&lt;=DATE('Your Pay &amp; Benefits'!$C$10,12,31)),'Your Pay &amp; Benefits'!$C$65,999999),IF(AND('Your Pay &amp; Benefits'!$C$66&gt;MAX($B$6:$B55),'Your Pay &amp; Benefits'!$C$66&gt;=DATE('Your Pay &amp; Benefits'!$C$10,1,1),'Your Pay &amp; Benefits'!$C$66&lt;=DATE('Your Pay &amp; Benefits'!$C$10,12,31)),'Your Pay &amp; Benefits'!$C$66,999999),IF(AND('Your Pay &amp; Benefits'!$C$67&gt;MAX($B$6:$B55),'Your Pay &amp; Benefits'!$C$67&gt;=DATE('Your Pay &amp; Benefits'!$C$10,1,1),'Your Pay &amp; Benefits'!$C$67&lt;=DATE('Your Pay &amp; Benefits'!$C$10,12,31)),'Your Pay &amp; Benefits'!$C$67,999999)))</f>
      </c>
      <c r="CF56">
        <f>IF($B56="","",IF($D56=0,$Y56,""))</f>
      </c>
    </row>
    <row r="57">
      <c r="A57" t="n">
        <v>52</v>
      </c>
      <c r="B57" s="21">
        <f>IF(AND($CD57="",$CE57=""),"",IF($CE57="",$CD57,IF($CD57="",$CE57,MIN($CD57,$CE57))))</f>
      </c>
      <c r="C57" s="7">
        <f>IF($B57="","",IF($BF57=0,0,IF('Your Pay &amp; Benefits'!$C$4="Annual salary",ROUND($AK57/IF(AND('Your Pay &amp; Benefits'!$C$88="Actual paydays",MONTH('Your Pay &amp; Benefits'!$C$9)=1),MAX(1,MAX($BE$6:$BE$68)),'Your Pay &amp; Benefits'!$C$8),2),$AK57)))</f>
      </c>
      <c r="D57" s="7">
        <f>IF($B57="","",SUMIF('Your Pay &amp; Benefits'!$C$58:$C$67,$B57,'Your Pay &amp; Benefits'!$D$58:$D$67))</f>
      </c>
      <c r="E57" s="7">
        <f>IF($B57="","",ROUND(MAX(0,MIN(IF($AL57="Percent",$AM57*($C57+$D57),$AM57),MAX(0,'Your Pay &amp; Benefits'!$C$34-$AC56))),2))</f>
      </c>
      <c r="F57" s="7">
        <f>IF($B57="","",ROUND(MAX(0,MIN(IF('Your Pay &amp; Benefits'!$C$32="Percent",'Your Pay &amp; Benefits'!$D$32*($C57+$D57),'Your Pay &amp; Benefits'!$D$32),MAX(0,'Your Pay &amp; Benefits'!$C$34-$AC56-$E57))),2))</f>
      </c>
      <c r="G57" s="7">
        <f>IF($B57="","",IF($BF57=0,0,ROUND(MAX(0,MIN($BL57,'Your Pay &amp; Benefits'!$C$37-'Your Pay &amp; Benefits'!$C$54-$BI56)),2)))</f>
      </c>
      <c r="H57" s="7">
        <f>IF($B57="","",IF(OR($BF57=0,$BQ57=1),0,ROUND(MAX(0,MIN(IF($BS57=1,ROUND(MAX(0,MIN($BJ57,'How This Works &amp; Sources'!$C$13)-$BG56)/MAX(1,MAX($BE$6:$BE$68)-($BE56)),2),ROUND(MIN($BJ57,'How This Works &amp; Sources'!$C$13)/'Your Pay &amp; Benefits'!$C$8,2)),MIN($BJ57,'How This Works &amp; Sources'!$C$13)-$BG56)),2)))</f>
      </c>
      <c r="I57" s="7">
        <f>IF($B57="","",IF(OR($BF57=0,$BR57=1),0,ROUND(MAX(0,MIN(IF($BT57=1,ROUND(MAX(0,MIN($BK57,IF('Your Pay &amp; Benefits'!$C$12="MFJ",'How This Works &amp; Sources'!$C$14,'How This Works &amp; Sources'!$C$15))-$BH56)/MAX(1,MAX($BE$6:$BE$68)-($BE56)),2),ROUND(MIN($BK57,IF('Your Pay &amp; Benefits'!$C$12="MFJ",'How This Works &amp; Sources'!$C$14,'How This Works &amp; Sources'!$C$15))/'Your Pay &amp; Benefits'!$C$8,2)),MIN($BK57,IF('Your Pay &amp; Benefits'!$C$12="MFJ",'How This Works &amp; Sources'!$C$14,'How This Works &amp; Sources'!$C$15))-$BH56)),2)))</f>
      </c>
      <c r="J57" s="7">
        <f>IF($B57="","",IF($BF57=0,0,$BM57))</f>
      </c>
      <c r="K57" s="7">
        <f>IF($B57="","",IF($BF57=0,0,$BN57+$BO57))</f>
      </c>
      <c r="L57" s="7">
        <f>IF($B57="","",IF($BF57=0,0,'Your Pay &amp; Benefits'!$D$46))</f>
      </c>
      <c r="M57" s="7">
        <f>IF($B57="","",$C57+$D57+$L57-$E57-$G57-$H57-$I57-$J57-$K57)</f>
      </c>
      <c r="N57" s="7">
        <f>IF($B57="","",$C57+$D57+$L57-$G57-$H57-$I57-$J57-$K57)</f>
      </c>
      <c r="O57" s="7">
        <f>IF($B57="","",$C57+$D57+$L57-$E57-$H57-$I57-$J57-$K57-IF(OR($AN57="CA",$AN57="NJ"),0,$G57))</f>
      </c>
      <c r="P57" s="7">
        <f>IF($B57="","",IF('Your Pay &amp; Benefits'!$C$18,0,ROUND(MAX(0,IF('Your Pay &amp; Benefits'!$C$13,SUMPRODUCT(($AH57&gt;INDEX('How This Works &amp; Sources'!$B$29:$J$36,0,IF('Your Pay &amp; Benefits'!$C$12="MFJ",1,IF('Your Pay &amp; Benefits'!$C$12="HoH",7,4))))*($AH57-INDEX('How This Works &amp; Sources'!$B$29:$J$36,0,IF('Your Pay &amp; Benefits'!$C$12="MFJ",1,IF('Your Pay &amp; Benefits'!$C$12="HoH",7,4))))*INDEX('How This Works &amp; Sources'!$B$29:$J$36,0,IF('Your Pay &amp; Benefits'!$C$12="MFJ",1,IF('Your Pay &amp; Benefits'!$C$12="HoH",7,4))+2)),SUMPRODUCT(($AH57&gt;INDEX('How This Works &amp; Sources'!$B$19:$J$26,0,IF('Your Pay &amp; Benefits'!$C$12="MFJ",1,IF('Your Pay &amp; Benefits'!$C$12="HoH",7,4))))*($AH57-INDEX('How This Works &amp; Sources'!$B$19:$J$26,0,IF('Your Pay &amp; Benefits'!$C$12="MFJ",1,IF('Your Pay &amp; Benefits'!$C$12="HoH",7,4))))*INDEX('How This Works &amp; Sources'!$B$19:$J$26,0,IF('Your Pay &amp; Benefits'!$C$12="MFJ",1,IF('Your Pay &amp; Benefits'!$C$12="HoH",7,4))+2)))/'Your Pay &amp; Benefits'!$C$8-$AO57/'Your Pay &amp; Benefits'!$C$8)+$AR57+IF('Your Pay &amp; Benefits'!$C$89="Aggregate",MAX(0,IF('Your Pay &amp; Benefits'!$C$13,SUMPRODUCT((($AH57+$D57)&gt;INDEX('How This Works &amp; Sources'!$B$29:$J$36,0,IF('Your Pay &amp; Benefits'!$C$12="MFJ",1,IF('Your Pay &amp; Benefits'!$C$12="HoH",7,4))))*(($AH57+$D57)-INDEX('How This Works &amp; Sources'!$B$29:$J$36,0,IF('Your Pay &amp; Benefits'!$C$12="MFJ",1,IF('Your Pay &amp; Benefits'!$C$12="HoH",7,4))))*INDEX('How This Works &amp; Sources'!$B$29:$J$36,0,IF('Your Pay &amp; Benefits'!$C$12="MFJ",1,IF('Your Pay &amp; Benefits'!$C$12="HoH",7,4))+2)),SUMPRODUCT((($AH57+$D57)&gt;INDEX('How This Works &amp; Sources'!$B$19:$J$26,0,IF('Your Pay &amp; Benefits'!$C$12="MFJ",1,IF('Your Pay &amp; Benefits'!$C$12="HoH",7,4))))*(($AH57+$D57)-INDEX('How This Works &amp; Sources'!$B$19:$J$26,0,IF('Your Pay &amp; Benefits'!$C$12="MFJ",1,IF('Your Pay &amp; Benefits'!$C$12="HoH",7,4))))*INDEX('How This Works &amp; Sources'!$B$19:$J$26,0,IF('Your Pay &amp; Benefits'!$C$12="MFJ",1,IF('Your Pay &amp; Benefits'!$C$12="HoH",7,4))+2)))-IF('Your Pay &amp; Benefits'!$C$13,SUMPRODUCT(($AH57&gt;INDEX('How This Works &amp; Sources'!$B$29:$J$36,0,IF('Your Pay &amp; Benefits'!$C$12="MFJ",1,IF('Your Pay &amp; Benefits'!$C$12="HoH",7,4))))*($AH57-INDEX('How This Works &amp; Sources'!$B$29:$J$36,0,IF('Your Pay &amp; Benefits'!$C$12="MFJ",1,IF('Your Pay &amp; Benefits'!$C$12="HoH",7,4))))*INDEX('How This Works &amp; Sources'!$B$29:$J$36,0,IF('Your Pay &amp; Benefits'!$C$12="MFJ",1,IF('Your Pay &amp; Benefits'!$C$12="HoH",7,4))+2)),SUMPRODUCT(($AH57&gt;INDEX('How This Works &amp; Sources'!$B$19:$J$26,0,IF('Your Pay &amp; Benefits'!$C$12="MFJ",1,IF('Your Pay &amp; Benefits'!$C$12="HoH",7,4))))*($AH57-INDEX('How This Works &amp; Sources'!$B$19:$J$26,0,IF('Your Pay &amp; Benefits'!$C$12="MFJ",1,IF('Your Pay &amp; Benefits'!$C$12="HoH",7,4))))*INDEX('How This Works &amp; Sources'!$B$19:$J$26,0,IF('Your Pay &amp; Benefits'!$C$12="MFJ",1,IF('Your Pay &amp; Benefits'!$C$12="HoH",7,4))+2)))),'How This Works &amp; Sources'!$C$10*$D57),2)))</f>
      </c>
      <c r="Q57" s="7">
        <f>IF($B57="","",ROUND('How This Works &amp; Sources'!$C$4*MIN($N57,MAX(0,'How This Works &amp; Sources'!$C$3-($AX57+$AB56-$AW57))),2))</f>
      </c>
      <c r="R57" s="7">
        <f>IF($B57="","",ROUND('How This Works &amp; Sources'!$C$5*$N57,2))</f>
      </c>
      <c r="S57" s="7">
        <f>IF($B57="","",ROUND('How This Works &amp; Sources'!$C$6*MAX(0,MIN($N57,$AG56+$N57-'How This Works &amp; Sources'!$C$7)),2))</f>
      </c>
      <c r="T57" s="7">
        <f>IF($B57="","",IF('Your Pay &amp; Benefits'!$C$26,0,IF($AN57="CA",ROUND(IF($AI57&lt;=IF(($AS57+$AT57)&gt;=2,VLOOKUP($AN57,StateTables!$A$6:$AB$56,10,FALSE),VLOOKUP($AN57,StateTables!$A$6:$AB$56,9,FALSE)),0,MAX(0,SUMPRODUCT(($AJ57&gt;INDEX('How This Works &amp; Sources'!$B$39:$J$48,0,IF($AU57="Married",4,IF($AU57="Head of household",7,1))))*($AJ57-INDEX('How This Works &amp; Sources'!$B$39:$J$48,0,IF($AU57="Married",4,IF($AU57="Head of household",7,1))))*INDEX('How This Works &amp; Sources'!$B$39:$J$48,0,IF($AU57="Married",4,IF($AU57="Head of household",7,1))+2))-VLOOKUP($AN57,StateTables!$A$6:$AB$56,11,FALSE)*$AS57)/'Your Pay &amp; Benefits'!$C$8)+'Your Pay &amp; Benefits'!$C$25+VLOOKUP($AN57,StateTables!$A$6:$AB$56,13,FALSE)*$D57,2),IF(VLOOKUP($AN57,StateTables!$A$6:$AB$56,4,FALSE)="None",0,IF(ISNUMBER(SEARCH("MANUAL",VLOOKUP($AN57,StateTables!$A$6:$AB$56,5,FALSE))),'Your Pay &amp; Benefits'!$C$28,ROUND(MAX(0,$BA57+$BB57)/'Your Pay &amp; Benefits'!$C$8+'Your Pay &amp; Benefits'!$C$25+$BC57,2))))))</f>
      </c>
      <c r="U57" s="7">
        <f>IF($B57="","",IF(VLOOKUP($AN57,StateTables!$A$6:$AB$56,24,FALSE)="flatq",IF(OR(MONTH($B57)=1,MONTH($B57)=4,MONTH($B57)=7,MONTH($B57)=10),VLOOKUP($AN57,StateTables!$A$6:$AB$56,25,FALSE),0),IF(VLOOKUP($AN57,StateTables!$A$6:$AB$56,24,FALSE)="dbl",MIN(ROUND(0.005*$N57,2),ROUND(0.6*52/'Your Pay &amp; Benefits'!$C$8,2)),IF(OR(VLOOKUP($AN57,StateTables!$A$6:$AB$56,15,FALSE)="",VLOOKUP($AN57,StateTables!$A$6:$AB$56,15,FALSE)=0),0,ROUND(VLOOKUP($AN57,StateTables!$A$6:$AB$56,15,FALSE)*IF(OR(VLOOKUP($AN57,StateTables!$A$6:$AB$56,16,FALSE)="",VLOOKUP($AN57,StateTables!$A$6:$AB$56,16,FALSE)=0),$N57,MIN($N57,MAX(0,VLOOKUP($AN57,StateTables!$A$6:$AB$56,16,FALSE)-($AX57+$AB56-$AW57)))),2))))+IF(VLOOKUP($AN57,StateTables!$A$6:$AB$56,27,FALSE)="flatq",IF(OR(MONTH($B57)=1,MONTH($B57)=4,MONTH($B57)=7,MONTH($B57)=10),VLOOKUP($AN57,StateTables!$A$6:$AB$56,28,FALSE),0),IF(VLOOKUP($AN57,StateTables!$A$6:$AB$56,27,FALSE)="dbl",MIN(ROUND(0.005*$N57,2),ROUND(0.6*52/'Your Pay &amp; Benefits'!$C$8,2)),IF(OR(VLOOKUP($AN57,StateTables!$A$6:$AB$56,18,FALSE)="",VLOOKUP($AN57,StateTables!$A$6:$AB$56,18,FALSE)=0),0,ROUND(VLOOKUP($AN57,StateTables!$A$6:$AB$56,18,FALSE)*IF(OR(VLOOKUP($AN57,StateTables!$A$6:$AB$56,19,FALSE)="",VLOOKUP($AN57,StateTables!$A$6:$AB$56,19,FALSE)=0),$N57,MIN($N57,MAX(0,VLOOKUP($AN57,StateTables!$A$6:$AB$56,19,FALSE)-($AX57+$AB56-$AW57)))),2)))))</f>
      </c>
      <c r="V57" s="7">
        <f>IF($B57="","",IF($AN57="NY",IF('Your Pay &amp; Benefits'!$C$78,ROUND(SUMPRODUCT((MAX(0,($O57-$D57)*'Your Pay &amp; Benefits'!$C$8-(IF($AU57="Married",5500,5000)+1000*$AS57))&gt;INDEX('How This Works &amp; Sources'!$B$184:$J$198,0,4))*(MAX(0,($O57-$D57)*'Your Pay &amp; Benefits'!$C$8-(IF($AU57="Married",5500,5000)+1000*$AS57))-INDEX('How This Works &amp; Sources'!$B$184:$J$198,0,4))*INDEX('How This Works &amp; Sources'!$B$184:$J$198,0,4+2))/'Your Pay &amp; Benefits'!$C$8+0.0425*$D57,2),0)+IF('Your Pay &amp; Benefits'!$C$79="Resident",ROUND(0.1675*$T57,2),IF('Your Pay &amp; Benefits'!$C$79="Nonresident",ROUND(0.005*MAX(0,($O57-$D57)-(IF($AU57="Married",7950,7400)+1000*$AS57)/'Your Pay &amp; Benefits'!$C$8),2),0)),IF($AN57="PA",IF('Your Pay &amp; Benefits'!$C$80="None",'Your Pay &amp; Benefits'!$C$27+ROUND('Your Pay &amp; Benefits'!$C$81*($C57+$D57),2),ROUND(IF('Your Pay &amp; Benefits'!$C$80="Resident",IF($B57&lt;DATE(2026,7,1),0.0374,0.03735),IF($B57&lt;DATE(2026,7,1),0.0343,0.03425))*($C57+$D57),2)),IF($BF57=0,ROUND('Your Pay &amp; Benefits'!$C$81*($C57+$D57),2),'Your Pay &amp; Benefits'!$C$27+ROUND('Your Pay &amp; Benefits'!$C$81*($C57+$D57),2)))))</f>
      </c>
      <c r="W57" s="7">
        <f>IF($B57="","",IF($BF57=0,0,$BP57))</f>
      </c>
      <c r="X57" s="7">
        <f>IF($B57="","",SUM($E57:$K57)+$P57+$Q57+$R57+$S57+$T57+$U57+$V57+$W57)</f>
      </c>
      <c r="Y57" s="22">
        <f>IF($B57="","",$C57+$D57-$X57)</f>
      </c>
      <c r="Z57" s="7">
        <f>IF($B57="","",$Z56+$C57+$D57)</f>
      </c>
      <c r="AA57" s="7">
        <f>IF($B57="","",$AA56+$Y57)</f>
      </c>
      <c r="AB57" s="7">
        <f>IF($B57="","",$AB56+MIN($N57,MAX(0,'How This Works &amp; Sources'!$C$3-($AX57+$AB56-$AW57))))</f>
      </c>
      <c r="AC57" s="7">
        <f>IF($B57="","",$AC56+$E57+$F57)</f>
      </c>
      <c r="AD57" s="3">
        <f>IF($B57="","",IF(AND($AB56&lt;'How This Works &amp; Sources'!$C$3,$AB57&gt;='How This Works &amp; Sources'!$C$3),"★ Social Security maxed on this check — from the next check your net rises by about $"&amp;TEXT(ROUND('How This Works &amp; Sources'!$C$4*$N57,2),"#,##0.00")&amp;". ","")&amp;IF(AND($AC56&lt;'Your Pay &amp; Benefits'!$C$34,$AC57&gt;='Your Pay &amp; Benefits'!$C$34),"★ 401(k) reaches the $"&amp;TEXT('Your Pay &amp; Benefits'!$C$34,"#,##0")&amp;" cap on this check — deferrals stop and net pay rises. ","")&amp;IF(AND($AG56&lt;'How This Works &amp; Sources'!$C$7,$AG57&gt;='How This Works &amp; Sources'!$C$7),"★ Wages pass $200,000 — the 0.9% Additional Medicare Tax starts here. ","")&amp;IF(AND($BJ57&gt;0,$H57&gt;0,$BG56&lt;MIN($BJ57,'How This Works &amp; Sources'!$C$13),$BG56+$H57&gt;=MIN($BJ57,'How This Works &amp; Sources'!$C$13)),"★ Health FSA election is now fully deferred for the year. ",""))</f>
      </c>
      <c r="AE57" s="41" t="n"/>
      <c r="AF57" s="7">
        <f>IF(OR($B57="",$AE57=""),"",$AE57-$Y57)</f>
      </c>
      <c r="AG57" s="7">
        <f>IF($B57="","",$AG56+$N57)</f>
      </c>
      <c r="AH57" s="7">
        <f>IF($B57="","",MAX(0,($M57-$D57)*'Your Pay &amp; Benefits'!$C$8+$AP57-$AQ57-IF('Your Pay &amp; Benefits'!$C$13,0,IF('Your Pay &amp; Benefits'!$C$12="MFJ",'How This Works &amp; Sources'!$C$8,'How This Works &amp; Sources'!$C$9))))</f>
      </c>
      <c r="AI57" s="7">
        <f>IF($B57="","",$O57*'Your Pay &amp; Benefits'!$C$8)</f>
      </c>
      <c r="AJ57" s="7">
        <f>IF($B57="","",MAX(0,$AI57-VLOOKUP($AN57,StateTables!$A$6:$AB$56,12,FALSE)*$AT57-IF(($AS57+$AT57)&gt;=2,VLOOKUP($AN57,StateTables!$A$6:$AB$56,8,FALSE),VLOOKUP($AN57,StateTables!$A$6:$AB$56,7,FALSE))))</f>
      </c>
      <c r="AK57" s="7">
        <f>IF($B57="","",IFERROR(LOOKUP(2,1/(('Changes &amp; Events'!$C$6:$C$17="Salary change")*('Changes &amp; Events'!$B$6:$B$17&lt;=$B57)*('Changes &amp; Events'!$B$6:$B$17&lt;&gt;"")),'Changes &amp; Events'!$D$6:$D$17),IF('Your Pay &amp; Benefits'!$C$4="Annual salary",'Your Pay &amp; Benefits'!$C$5,'Your Pay &amp; Benefits'!$C$6)))</f>
      </c>
      <c r="AL57">
        <f>IF($B57="","",IFERROR(LOOKUP(2,1/(('Changes &amp; Events'!$C$6:$C$17="401(k) change")*('Changes &amp; Events'!$B$6:$B$17&lt;=$B57)*('Changes &amp; Events'!$B$6:$B$17&lt;&gt;"")),'Changes &amp; Events'!$D$6:$D$17),'Your Pay &amp; Benefits'!$C$30))</f>
      </c>
      <c r="AM57" s="7">
        <f>IF($B57="","",IFERROR(LOOKUP(2,1/(('Changes &amp; Events'!$C$6:$C$17="401(k) change")*('Changes &amp; Events'!$B$6:$B$17&lt;=$B57)*('Changes &amp; Events'!$B$6:$B$17&lt;&gt;"")),'Changes &amp; Events'!$E$6:$E$17),'Your Pay &amp; Benefits'!$D$31))</f>
      </c>
      <c r="AN57">
        <f>IF($B57="","",IFERROR(LOOKUP(2,1/(('Changes &amp; Events'!$C$6:$C$17="State move")*('Changes &amp; Events'!$B$6:$B$17&lt;=$B57)*('Changes &amp; Events'!$B$6:$B$17&lt;&gt;"")),'Changes &amp; Events'!$D$6:$D$17),'Your Pay &amp; Benefits'!$C$21))</f>
      </c>
      <c r="AO57" s="7">
        <f>IF($B57="","",IFERROR(LOOKUP(2,1/(('Changes &amp; Events'!$C$6:$C$17="W-4 change")*('Changes &amp; Events'!$B$6:$B$17&lt;=$B57)*('Changes &amp; Events'!$B$6:$B$17&lt;&gt;"")),'Changes &amp; Events'!$D$6:$D$17),'Your Pay &amp; Benefits'!$C$14))</f>
      </c>
      <c r="AP57" s="7">
        <f>IF($B57="","",IFERROR(LOOKUP(2,1/(('Changes &amp; Events'!$C$6:$C$17="W-4 change")*('Changes &amp; Events'!$B$6:$B$17&lt;=$B57)*('Changes &amp; Events'!$B$6:$B$17&lt;&gt;"")),'Changes &amp; Events'!$E$6:$E$17),'Your Pay &amp; Benefits'!$C$15))</f>
      </c>
      <c r="AQ57" s="7">
        <f>IF($B57="","",IFERROR(LOOKUP(2,1/(('Changes &amp; Events'!$C$6:$C$17="W-4 change")*('Changes &amp; Events'!$B$6:$B$17&lt;=$B57)*('Changes &amp; Events'!$B$6:$B$17&lt;&gt;"")),'Changes &amp; Events'!$F$6:$F$17),'Your Pay &amp; Benefits'!$C$16))</f>
      </c>
      <c r="AR57" s="7">
        <f>IF($B57="","",IFERROR(LOOKUP(2,1/(('Changes &amp; Events'!$C$6:$C$17="W-4 change")*('Changes &amp; Events'!$B$6:$B$17&lt;=$B57)*('Changes &amp; Events'!$B$6:$B$17&lt;&gt;"")),'Changes &amp; Events'!$G$6:$G$17),'Your Pay &amp; Benefits'!$C$17))</f>
      </c>
      <c r="AS57" s="6">
        <f>IF($B57="","",IFERROR(LOOKUP(2,1/((('Changes &amp; Events'!$C$6:$C$17="State move")+('Changes &amp; Events'!$C$6:$C$17="State cert change"))*('Changes &amp; Events'!$B$6:$B$17&lt;=$B57)*('Changes &amp; Events'!$B$6:$B$17&lt;&gt;"")),'Changes &amp; Events'!$F$6:$F$17),'Your Pay &amp; Benefits'!$C$23))</f>
      </c>
      <c r="AT57" s="6">
        <f>IF($B57="","",IFERROR(LOOKUP(2,1/((('Changes &amp; Events'!$C$6:$C$17="State move")+('Changes &amp; Events'!$C$6:$C$17="State cert change"))*('Changes &amp; Events'!$B$6:$B$17&lt;=$B57)*('Changes &amp; Events'!$B$6:$B$17&lt;&gt;"")),'Changes &amp; Events'!$G$6:$G$17),'Your Pay &amp; Benefits'!$C$24))</f>
      </c>
      <c r="AU57">
        <f>IF($B57="","",IFERROR(LOOKUP(2,1/(('Changes &amp; Events'!$C$6:$C$17="State move")*('Changes &amp; Events'!$B$6:$B$17&lt;=$B57)*('Changes &amp; Events'!$B$6:$B$17&lt;&gt;"")),'Changes &amp; Events'!$E$6:$E$17),'Your Pay &amp; Benefits'!$C$22))</f>
      </c>
      <c r="AV57" s="6">
        <f>IF($B57="","",1+COUNTIFS('Changes &amp; Events'!$C$6:$C$17,"Employer change",'Changes &amp; Events'!$B$6:$B$17,"&lt;="&amp;$B57,'Changes &amp; Events'!$B$6:$B$17,"&lt;&gt;"))</f>
      </c>
      <c r="AW57" s="7">
        <f>IF($B57="","",IF($AV57=1,'Your Pay &amp; Benefits'!$C$49,IF(IFERROR(MATCH(IFERROR(LOOKUP(2,1/(('Changes &amp; Events'!$C$6:$C$17="Employer change")*('Changes &amp; Events'!$B$6:$B$17&lt;=$B57)*('Changes &amp; Events'!$B$6:$B$17&lt;&gt;"")),'Changes &amp; Events'!$B$6:$B$17),""),$B$6:$B$68,1),1)&lt;=1,'Your Pay &amp; Benefits'!$C$49,INDEX($AB$6:$AB$68,MATCH(IFERROR(LOOKUP(2,1/(('Changes &amp; Events'!$C$6:$C$17="Employer change")*('Changes &amp; Events'!$B$6:$B$17&lt;=$B57)*('Changes &amp; Events'!$B$6:$B$17&lt;&gt;"")),'Changes &amp; Events'!$B$6:$B$17),""),$B$6:$B$68,1)-1))))</f>
      </c>
      <c r="AX57" s="7">
        <f>IF($B57="","",IF($AV57=1,'Your Pay &amp; Benefits'!$C$49,IFERROR(LOOKUP(2,1/(('Changes &amp; Events'!$C$6:$C$17="Employer change")*('Changes &amp; Events'!$B$6:$B$17&lt;=$B57)*('Changes &amp; Events'!$B$6:$B$17&lt;&gt;"")),'Changes &amp; Events'!$D$6:$D$17),0)))</f>
      </c>
      <c r="AY57" s="7">
        <f>IF($B57="","",($O57-$D57)*'Your Pay &amp; Benefits'!$C$8)</f>
      </c>
      <c r="AZ57" s="7">
        <f>IF($B57="","",IF($AN57="AL",MAX(0,$AY57-IF($AU57="Married",IF($AY57&lt;=25999,8500,MAX(5000,8500-175*CEILING(($AY57-25999)/500,1))),IF($AU57="Head of household",IF($AY57&lt;=25999,5200,MAX(2500,5200-135*CEILING(($AY57-25999)/500,1))),IF($AY57&lt;=25999,3000,MAX(2500,3000-25*CEILING(($AY57-25999)/500,1)))))-($P57-'How This Works &amp; Sources'!$C$10*$D57)*'Your Pay &amp; Benefits'!$C$8-IF(OR($AU57="Married",$AU57="Head of household"),3000,1500)-$AT57*IF($AY57&lt;=50000,1000,IF($AY57&lt;=100000,500,300))),IF($AN57="AR",IF(MAX(0,$AY57-2470)&lt;97701,INT(MAX(0,$AY57-2470)/100)*100+50,MAX(0,$AY57-2470)),IF($AN57="DE",MAX(0,$AI57-3250),IF($AN57="HI",MAX(0,$AI57-1144*$AS57-4350),IF($AN57="KS",MAX(0,$AI57-(9160*IF($AU57="Married",2,1)+2320*$AT57+IF($AU57="Head of household",2320,0))),IF($AN57="MD",MAX(0,$AI57-3400-3200*$AS57),IF($AN57="MN",MAX(0,$AY57-5300*$AS57),IF($AN57="MO",MAX(0,$AI57-IF($AU57="Head of household",24150,IF($AU57="Married",IF('Your Pay &amp; Benefits'!$C$83,16100,32200),16100))),IF($AN57="MT",$AY57,IF($AN57="ND",($C57+$L57)*'Your Pay &amp; Benefits'!$C$8,IF($AN57="NE",MAX(0,$AY57-2440*$AS57),IF($AN57="NJ",MAX(0,$AY57-1000*$AS57),IF($AN57="NY",MAX(0,$AY57-(IF($AU57="Married",7950,7400)+1000*$AS57)),IF($AN57="OH",MAX(0,$AY57-650*$AS57),IF($AN57="OK",MAX(0,$AY57-1000*$AS57),IF($AN57="RI",MAX(0,$AI57-1000*$AS57),IF($AN57="SC",MAX(0,$AI57-5000*$AS57-IF($AS57=0,0,MIN(0.1*$AI57,7500))),IF($AN57="VA",MAX(0,$AI57-IF($AU57="Married",17500,8750)-930*$AS57-800*$AT57),IF($AN57="VT",MAX(0,$AI57-5400*$AS57),IF($AN57="WI",MAX(0,$AI57-MAX(0,IF($AU57="Married",9461-0.2*MAX(0,$AI57-25727),6702-0.12*MAX(0,$AI57-17780)))-400*$AS57),IF($AN57="WV",MAX(0,$AI57-2000*$AS57),$AI57))))))))))))))))))))))</f>
      </c>
      <c r="BA57" s="7">
        <f>IF($B57="","",IF($BW57&lt;&gt;"",$BW57,IF($BX57&lt;&gt;"",$BX57,IF($BY57&lt;&gt;"",$BY57,0))))</f>
      </c>
      <c r="BB57" s="7">
        <f>IF($B57="","",IF($AN57="AR",-29*$AS57,IF($AN57="DE",-110*$AS57,IF($AN57="MD",$AZ57*'Your Pay &amp; Benefits'!$C$74,IF($AN57="AZ",'Your Pay &amp; Benefits'!$C$82*($M57-$D57)*'Your Pay &amp; Benefits'!$C$8,IF($AN57="CO",0.044*MAX(0,$AY57-IF($AU57="Married",10000,5000)),IF($AN57="IA",MAX(0,0.038*MAX(0,$AY57-IF($AU57="Head of household",19500,IF($AU57="Married",26000,13000)))-40*$AS57),IF($AN57="ID",0.053*MAX(0,$AY57-IF($AU57="Married",32000,16094)),IF($AN57="IL",0.0495*MAX(0,$AY57-(2925*$AS57+1000*$AT57)),IF($AN57="IN",(0.0295+'Your Pay &amp; Benefits'!$C$76)*MAX(0,$AY57-(1000*$AS57+1500*$AT57+3000*'Your Pay &amp; Benefits'!$C$86)),IF($AN57="KY",0.035*MAX(0,$AI57-3360),IF($AN57="LA",IF('Your Pay &amp; Benefits'!$C$84="0",0.0309*$AI57,0.0309*MAX(0,$AI57-IF('Your Pay &amp; Benefits'!$C$84="2",25750,12875))),IF($AN57="MA",0.05*MIN(MAX(0,$AY57-MIN(($BD56+$Q57+$R57+$S57),2000)-IF($AS57=0,0,IF($AS57=1,4400,1000*$AS57+3400))),1107750)+0.09*MAX(0,MAX(0,$AY57-MIN(($BD56+$Q57+$R57+$S57),2000)-IF($AS57=0,0,IF($AS57=1,4400,1000*$AS57+3400)))-1107750)-IF($AU57="Head of household",120,0)-110*'Your Pay &amp; Benefits'!$C$75,IF($AN57="MI",0.0425*MAX(0,$AY57-5900*$AS57),IF($AN57="MS",0.04*MAX(0,$AI57-IF($AU57="Head of household",3400,IF($AU57="Married",4600,2300))-'Your Pay &amp; Benefits'!$C$85-10000),IF($AN57="OR",IF(OR($AU57="Married",AND($AU57="Single",$AS57&gt;=3)),SUMPRODUCT((MAX(0,$AY57-MIN(($P57-'How This Works &amp; Sources'!$C$10*$D57)*'Your Pay &amp; Benefits'!$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Sources'!$B$211:$J$214,0,4))*(MAX(0,$AY57-MIN(($P57-'How This Works &amp; Sources'!$C$10*$D57)*'Your Pay &amp; Benefits'!$C$8,IF(OR($AU57="Married",AND($AU57="Single",$AS57&gt;=3)),IF($AY57&lt;250000,8750,IF($AY57&lt;260000,7000,IF($AY57&lt;270000,5250,IF($AY57&lt;280000,3500,IF($AY57&lt;290000,1750,0))))),IF($AY57&lt;125000,8750,IF($AY57&lt;130000,7000,IF($AY57&lt;135000,5250,IF($AY57&lt;140000,3500,IF($AY57&lt;145000,1750,0)))))))-IF(OR($AU57="Married",AND($AU57="Single",$AS57&gt;=3)),5820,2910))-INDEX('How This Works &amp; Sources'!$B$211:$J$214,0,4))*INDEX('How This Works &amp; Sources'!$B$211:$J$214,0,4+2)),SUMPRODUCT((MAX(0,$AY57-MIN(($P57-'How This Works &amp; Sources'!$C$10*$D57)*'Your Pay &amp; Benefits'!$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Sources'!$B$211:$J$214,0,1))*(MAX(0,$AY57-MIN(($P57-'How This Works &amp; Sources'!$C$10*$D57)*'Your Pay &amp; Benefits'!$C$8,IF(OR($AU57="Married",AND($AU57="Single",$AS57&gt;=3)),IF($AY57&lt;250000,8750,IF($AY57&lt;260000,7000,IF($AY57&lt;270000,5250,IF($AY57&lt;280000,3500,IF($AY57&lt;290000,1750,0))))),IF($AY57&lt;125000,8750,IF($AY57&lt;130000,7000,IF($AY57&lt;135000,5250,IF($AY57&lt;140000,3500,IF($AY57&lt;145000,1750,0)))))))-IF(OR($AU57="Married",AND($AU57="Single",$AS57&gt;=3)),5820,2910))-INDEX('How This Works &amp; Sources'!$B$211:$J$214,0,1))*INDEX('How This Works &amp; Sources'!$B$211:$J$214,0,1+2)))+263-263*IF(IF($AU57="Married",$AY57&gt;200000,$AY57&gt;100000),0,$AS57),IF($AN57="PA",0.0307*(($O57+$E57+$G57)*'Your Pay &amp; Benefits'!$C$8),IF($AN57="NY",IF($AU57="Married",IF($AZ57&gt;=2155350,0,IF($AZ57&gt;=1077550,0.48,IF($AZ57&gt;=373200,1.21,IF($AZ57&gt;=323200,0.21,IF($AZ57&gt;=211550,-0.19,IF($AZ57&gt;=157650,-2.8,IF($AZ57&gt;=107650,-0.8,IF($AZ57&gt;=96800,0.05,IF($AZ57&gt;=80650,-0.1,IF($AZ57&gt;=13900,0.4,IF($AZ57&gt;=11700,-0.3,IF($AZ57&gt;=8500,0.5,0)))))))))))),IF($AZ57&gt;=1077550,0,IF($AZ57&gt;=265400,4.29,IF($AZ57&gt;=215400,2.29,IF($AZ57&gt;=157650,2.29,IF($AZ57&gt;=107650,0.29,IF($AZ57&gt;=96800,0.05,IF($AZ57&gt;=80650,-0.1,IF($AZ57&gt;=13900,0.4,IF($AZ57&gt;=11700,-0.3,IF($AZ57&gt;=8500,0.5,0))))))))))),0))))))))))))))))))</f>
      </c>
      <c r="BC57" s="7">
        <f>IF($B57="","",IF($AN57="AL",0.05*$D57,IF($AN57="AR",0.039*$D57,IF($AN57="ID",0.053*$D57,IF($AN57="IN",(0.0295+'Your Pay &amp; Benefits'!$C$76)*$D57,IF($AN57="KS",0.05*$D57,IF($AN57="MA",0.09*MIN($D57,MAX(0,MAX(0,$AY57-MIN(($BD56+$Q57+$R57+$S57),2000)-IF($AS57=0,0,IF($AS57=1,4400,1000*$AS57+3400)))+$D57-1107750))+0.05*($D57-MIN($D57,MAX(0,MAX(0,$AY57-MIN(($BD56+$Q57+$R57+$S57),2000)-IF($AS57=0,0,IF($AS57=1,4400,1000*$AS57+3400)))+$D57-1107750))),IF($AN57="MD",(0.065+'Your Pay &amp; Benefits'!$C$74)*$D57,IF($AN57="MI",0.0425*$D57,IF($AN57="MN",0.0625*$D57,IF($AN57="MO",0.047*$D57,IF($AN57="MT",0.05*$D57,IF($AN57="ND",0.015*$D57,IF($AN57="NE",0.035*$D57,IF($AN57="NJ",IF('Your Pay &amp; Benefits'!$C$77="B",SUMPRODUCT(($D57*'Your Pay &amp; Benefits'!$C$8&gt;INDEX('How This Works &amp; Sources'!$B$155:$J$162,0,4))*($D57*'Your Pay &amp; Benefits'!$C$8-INDEX('How This Works &amp; Sources'!$B$155:$J$162,0,4))*INDEX('How This Works &amp; Sources'!$B$155:$J$162,0,4+2)),IF('Your Pay &amp; Benefits'!$C$77="C",SUMPRODUCT(($D57*'Your Pay &amp; Benefits'!$C$8&gt;INDEX('How This Works &amp; Sources'!$B$155:$J$162,0,7))*($D57*'Your Pay &amp; Benefits'!$C$8-INDEX('How This Works &amp; Sources'!$B$155:$J$162,0,7))*INDEX('How This Works &amp; Sources'!$B$155:$J$162,0,7+2)),IF('Your Pay &amp; Benefits'!$C$77="D",SUMPRODUCT(($D57*'Your Pay &amp; Benefits'!$C$8&gt;INDEX('How This Works &amp; Sources'!$B$167:$J$179,0,1))*($D57*'Your Pay &amp; Benefits'!$C$8-INDEX('How This Works &amp; Sources'!$B$167:$J$179,0,1))*INDEX('How This Works &amp; Sources'!$B$167:$J$179,0,1+2)),IF('Your Pay &amp; Benefits'!$C$77="E",SUMPRODUCT(($D57*'Your Pay &amp; Benefits'!$C$8&gt;INDEX('How This Works &amp; Sources'!$B$167:$J$179,0,4))*($D57*'Your Pay &amp; Benefits'!$C$8-INDEX('How This Works &amp; Sources'!$B$167:$J$179,0,4))*INDEX('How This Works &amp; Sources'!$B$167:$J$179,0,4+2)),SUMPRODUCT(($D57*'Your Pay &amp; Benefits'!$C$8&gt;INDEX('How This Works &amp; Sources'!$B$155:$J$162,0,1))*($D57*'Your Pay &amp; Benefits'!$C$8-INDEX('How This Works &amp; Sources'!$B$155:$J$162,0,1))*INDEX('How This Works &amp; Sources'!$B$155:$J$162,0,1+2))))))/'Your Pay &amp; Benefits'!$C$8,IF($AN57="NY",0.117*$D57,IF($AN57="OH",0.0275*$D57,IF($AN57="OK",0.045*$D57,IF($AN57="OR",0.08*$D57,IF($AN57="WI",IF($AY57&lt;12760,0.0354,IF($AY57&lt;25520,0.0465,IF($AY57&lt;280950,0.053,0.0765)))*$D57,0))))))))))))))))))))</f>
      </c>
      <c r="BD57" s="7">
        <f>IF($B57="","",$BD56+$Q57+$R57+$S57)</f>
      </c>
      <c r="BE57" s="6">
        <f>IF($B57="",$BE56,$BE56+$BF57)</f>
      </c>
      <c r="BF57" s="6">
        <f>IF($B57="","",IF(AND(IF(YEAR(IF('Your Pay &amp; Benefits'!$C$7="Weekly",'Your Pay &amp; Benefits'!$C$9+7*(($BE56+1)-1),IF('Your Pay &amp; Benefits'!$C$7="Biweekly",'Your Pay &amp; Benefits'!$C$9+14*(($BE56+1)-1),IF('Your Pay &amp; Benefits'!$C$7="Semimonthly",DATE(YEAR('Your Pay &amp; Benefits'!$C$9),MONTH('Your Pay &amp; Benefits'!$C$9)+INT((($BE56+1)-1)/2),MIN(DAY('Your Pay &amp; Benefits'!$C$9),DAY(EOMONTH(DATE(YEAR('Your Pay &amp; Benefits'!$C$9),MONTH('Your Pay &amp; Benefits'!$C$9)+INT((($BE56+1)-1)/2),1),0))))+IF(MOD(($BE56+1)-1,2)=1,15,0),EDATE('Your Pay &amp; Benefits'!$C$9,($BE56+1)-1)))))&lt;&gt;'Your Pay &amp; Benefits'!$C$10,"",IF('Your Pay &amp; Benefits'!$C$7="Weekly",'Your Pay &amp; Benefits'!$C$9+7*(($BE56+1)-1),IF('Your Pay &amp; Benefits'!$C$7="Biweekly",'Your Pay &amp; Benefits'!$C$9+14*(($BE56+1)-1),IF('Your Pay &amp; Benefits'!$C$7="Semimonthly",DATE(YEAR('Your Pay &amp; Benefits'!$C$9),MONTH('Your Pay &amp; Benefits'!$C$9)+INT((($BE56+1)-1)/2),MIN(DAY('Your Pay &amp; Benefits'!$C$9),DAY(EOMONTH(DATE(YEAR('Your Pay &amp; Benefits'!$C$9),MONTH('Your Pay &amp; Benefits'!$C$9)+INT((($BE56+1)-1)/2),1),0))))+IF(MOD(($BE56+1)-1,2)=1,15,0),EDATE('Your Pay &amp; Benefits'!$C$9,($BE56+1)-1)))))&lt;&gt;"",$B57=IF(YEAR(IF('Your Pay &amp; Benefits'!$C$7="Weekly",'Your Pay &amp; Benefits'!$C$9+7*(($BE56+1)-1),IF('Your Pay &amp; Benefits'!$C$7="Biweekly",'Your Pay &amp; Benefits'!$C$9+14*(($BE56+1)-1),IF('Your Pay &amp; Benefits'!$C$7="Semimonthly",DATE(YEAR('Your Pay &amp; Benefits'!$C$9),MONTH('Your Pay &amp; Benefits'!$C$9)+INT((($BE56+1)-1)/2),MIN(DAY('Your Pay &amp; Benefits'!$C$9),DAY(EOMONTH(DATE(YEAR('Your Pay &amp; Benefits'!$C$9),MONTH('Your Pay &amp; Benefits'!$C$9)+INT((($BE56+1)-1)/2),1),0))))+IF(MOD(($BE56+1)-1,2)=1,15,0),EDATE('Your Pay &amp; Benefits'!$C$9,($BE56+1)-1)))))&lt;&gt;'Your Pay &amp; Benefits'!$C$10,"",IF('Your Pay &amp; Benefits'!$C$7="Weekly",'Your Pay &amp; Benefits'!$C$9+7*(($BE56+1)-1),IF('Your Pay &amp; Benefits'!$C$7="Biweekly",'Your Pay &amp; Benefits'!$C$9+14*(($BE56+1)-1),IF('Your Pay &amp; Benefits'!$C$7="Semimonthly",DATE(YEAR('Your Pay &amp; Benefits'!$C$9),MONTH('Your Pay &amp; Benefits'!$C$9)+INT((($BE56+1)-1)/2),MIN(DAY('Your Pay &amp; Benefits'!$C$9),DAY(EOMONTH(DATE(YEAR('Your Pay &amp; Benefits'!$C$9),MONTH('Your Pay &amp; Benefits'!$C$9)+INT((($BE56+1)-1)/2),1),0))))+IF(MOD(($BE56+1)-1,2)=1,15,0),EDATE('Your Pay &amp; Benefits'!$C$9,($BE56+1)-1)))))),1,0))</f>
      </c>
      <c r="BG57" s="7">
        <f>IF($B57="","",$BG56+$H57)</f>
      </c>
      <c r="BH57" s="7">
        <f>IF($B57="","",$BH56+$I57)</f>
      </c>
      <c r="BI57" s="7">
        <f>IF($B57="","",$BI56+$G57)</f>
      </c>
      <c r="BJ57" s="7">
        <f>IF($B57="","",IFERROR(LOOKUP(2,1/(((('Changes &amp; Events'!$C$6:$C$17="Deduction start"))*('Changes &amp; Events'!$D$6:$D$17="Health FSA"))*('Changes &amp; Events'!$B$6:$B$17&lt;=$B57)*('Changes &amp; Events'!$B$6:$B$17&lt;&gt;"")),'Changes &amp; Events'!$E$6:$E$17),'Your Pay &amp; Benefits'!$D$38))</f>
      </c>
      <c r="BK57" s="7">
        <f>IF($B57="","",IFERROR(LOOKUP(2,1/(((('Changes &amp; Events'!$C$6:$C$17="Deduction start"))*('Changes &amp; Events'!$D$6:$D$17="Dependent-care FSA"))*('Changes &amp; Events'!$B$6:$B$17&lt;=$B57)*('Changes &amp; Events'!$B$6:$B$17&lt;&gt;"")),'Changes &amp; Events'!$E$6:$E$17),'Your Pay &amp; Benefits'!$D$39))</f>
      </c>
      <c r="BL57" s="7">
        <f>IF($B57="","",IFERROR(LOOKUP(2,1/(((('Changes &amp; Events'!$C$6:$C$17="Deduction start")+('Changes &amp; Events'!$C$6:$C$17="Deduction stop"))*('Changes &amp; Events'!$D$6:$D$17="HSA"))*('Changes &amp; Events'!$B$6:$B$17&lt;=$B57)*('Changes &amp; Events'!$B$6:$B$17&lt;&gt;"")),'Changes &amp; Events'!$I$6:$I$17),'Your Pay &amp; Benefits'!$D$35))</f>
      </c>
      <c r="BM57" s="7">
        <f>IF($B57="","",IFERROR(LOOKUP(2,1/(((('Changes &amp; Events'!$C$6:$C$17="Deduction start")+('Changes &amp; Events'!$C$6:$C$17="Deduction stop"))*('Changes &amp; Events'!$D$6:$D$17="Premiums"))*('Changes &amp; Events'!$B$6:$B$17&lt;=$B57)*('Changes &amp; Events'!$B$6:$B$17&lt;&gt;"")),'Changes &amp; Events'!$I$6:$I$17),'Your Pay &amp; Benefits'!$D$40+'Your Pay &amp; Benefits'!$D$41+'Your Pay &amp; Benefits'!$D$42))</f>
      </c>
      <c r="BN57" s="7">
        <f>IF($B57="","",IFERROR(LOOKUP(2,1/(((('Changes &amp; Events'!$C$6:$C$17="Deduction start")+('Changes &amp; Events'!$C$6:$C$17="Deduction stop"))*('Changes &amp; Events'!$D$6:$D$17="Commuter"))*('Changes &amp; Events'!$B$6:$B$17&lt;=$B57)*('Changes &amp; Events'!$B$6:$B$17&lt;&gt;"")),'Changes &amp; Events'!$I$6:$I$17),'Your Pay &amp; Benefits'!$D$43))</f>
      </c>
      <c r="BO57" s="7">
        <f>IF($B57="","",IFERROR(LOOKUP(2,1/(((('Changes &amp; Events'!$C$6:$C$17="Deduction start")+('Changes &amp; Events'!$C$6:$C$17="Deduction stop"))*('Changes &amp; Events'!$D$6:$D$17="Other pre-tax"))*('Changes &amp; Events'!$B$6:$B$17&lt;=$B57)*('Changes &amp; Events'!$B$6:$B$17&lt;&gt;"")),'Changes &amp; Events'!$I$6:$I$17),'Your Pay &amp; Benefits'!$D$44))</f>
      </c>
      <c r="BP57" s="7">
        <f>IF($B57="","",IFERROR(LOOKUP(2,1/(((('Changes &amp; Events'!$C$6:$C$17="Deduction start")+('Changes &amp; Events'!$C$6:$C$17="Deduction stop"))*('Changes &amp; Events'!$D$6:$D$17="Other post-tax"))*('Changes &amp; Events'!$B$6:$B$17&lt;=$B57)*('Changes &amp; Events'!$B$6:$B$17&lt;&gt;"")),'Changes &amp; Events'!$I$6:$I$17),'Your Pay &amp; Benefits'!$D$45))</f>
      </c>
      <c r="BQ57" s="6">
        <f>IF($B57="","",IFERROR(LOOKUP(2,1/(((('Changes &amp; Events'!$C$6:$C$17="Deduction start")+('Changes &amp; Events'!$C$6:$C$17="Deduction stop"))*('Changes &amp; Events'!$D$6:$D$17="Health FSA"))*('Changes &amp; Events'!$B$6:$B$17&lt;=$B57)*('Changes &amp; Events'!$B$6:$B$17&lt;&gt;"")),'Changes &amp; Events'!$J$6:$J$17),0))</f>
      </c>
      <c r="BR57" s="6">
        <f>IF($B57="","",IFERROR(LOOKUP(2,1/(((('Changes &amp; Events'!$C$6:$C$17="Deduction start")+('Changes &amp; Events'!$C$6:$C$17="Deduction stop"))*('Changes &amp; Events'!$D$6:$D$17="Dependent-care FSA"))*('Changes &amp; Events'!$B$6:$B$17&lt;=$B57)*('Changes &amp; Events'!$B$6:$B$17&lt;&gt;"")),'Changes &amp; Events'!$J$6:$J$17),0))</f>
      </c>
      <c r="BS57" s="6">
        <f>IF($B57="","",IF(SUMPRODUCT(('Changes &amp; Events'!$C$6:$C$17="Deduction start")*('Changes &amp; Events'!$B$6:$B$17&lt;=$B57)*('Changes &amp; Events'!$B$6:$B$17&lt;&gt;"")*('Changes &amp; Events'!$D$6:$D$17="Health FSA"))&gt;0,1,0))</f>
      </c>
      <c r="BT57" s="6">
        <f>IF($B57="","",IF(SUMPRODUCT(('Changes &amp; Events'!$C$6:$C$17="Deduction start")*('Changes &amp; Events'!$B$6:$B$17&lt;=$B57)*('Changes &amp; Events'!$B$6:$B$17&lt;&gt;"")*('Changes &amp; Events'!$D$6:$D$17="Dependent-care FSA"))&gt;0,1,0))</f>
      </c>
      <c r="BU57" s="24">
        <f>IF($B57="","",IF('Your Pay &amp; Benefits'!$C$13,SUMPRODUCT(($AH57&gt;=INDEX('How This Works &amp; Sources'!$B$29:$J$36,0,IF('Your Pay &amp; Benefits'!$C$12="MFJ",1,IF('Your Pay &amp; Benefits'!$C$12="HoH",7,4))))*INDEX('How This Works &amp; Sources'!$B$29:$J$36,0,IF('Your Pay &amp; Benefits'!$C$12="MFJ",1,IF('Your Pay &amp; Benefits'!$C$12="HoH",7,4))+2)),SUMPRODUCT(($AH57&gt;=INDEX('How This Works &amp; Sources'!$B$19:$J$26,0,IF('Your Pay &amp; Benefits'!$C$12="MFJ",1,IF('Your Pay &amp; Benefits'!$C$12="HoH",7,4))))*INDEX('How This Works &amp; Sources'!$B$19:$J$26,0,IF('Your Pay &amp; Benefits'!$C$12="MFJ",1,IF('Your Pay &amp; Benefits'!$C$12="HoH",7,4))+2))))</f>
      </c>
      <c r="BV57" s="24">
        <f>IF($B57="","",IF($BZ57&lt;&gt;"",$BZ57,IF($CA57&lt;&gt;"",$CA57,IF($CB57&lt;&gt;"",$CB57,IF($CC57&lt;&gt;"",$CC57,0)))))</f>
      </c>
      <c r="BW57" s="7">
        <f>IF($B57="","",IF($AN57="MD",IF(OR($AU57="Married",$AU57="Head of household"),SUMPRODUCT(($AZ57&gt;INDEX('How This Works &amp; Sources'!$B$114:$J$120,0,1))*($AZ57-INDEX('How This Works &amp; Sources'!$B$114:$J$120,0,1))*INDEX('How This Works &amp; Sources'!$B$114:$J$120,0,1+2)),SUMPRODUCT(($AZ57&gt;INDEX('How This Works &amp; Sources'!$B$103:$J$109,0,7))*($AZ57-INDEX('How This Works &amp; Sources'!$B$103:$J$109,0,7))*INDEX('How This Works &amp; Sources'!$B$103:$J$109,0,7+2))),IF($AN57="MO",SUMPRODUCT(($AZ57&gt;INDEX('How This Works &amp; Sources'!$B$125:$J$132,0,1))*($AZ57-INDEX('How This Works &amp; Sources'!$B$125:$J$132,0,1))*INDEX('How This Works &amp; Sources'!$B$125:$J$132,0,1+2)),IF($AN57="MT",IF($AU57="Head of household",SUMPRODUCT(($AZ57&gt;INDEX('How This Works &amp; Sources'!$B$137:$J$139,0,1))*($AZ57-INDEX('How This Works &amp; Sources'!$B$137:$J$139,0,1))*INDEX('How This Works &amp; Sources'!$B$137:$J$139,0,1+2)),IF($AU57="Married",SUMPRODUCT(($AZ57&gt;INDEX('How This Works &amp; Sources'!$B$125:$J$132,0,7))*($AZ57-INDEX('How This Works &amp; Sources'!$B$125:$J$132,0,7))*INDEX('How This Works &amp; Sources'!$B$125:$J$132,0,7+2)),SUMPRODUCT(($AZ57&gt;INDEX('How This Works &amp; Sources'!$B$125:$J$132,0,4))*($AZ57-INDEX('How This Works &amp; Sources'!$B$125:$J$132,0,4))*INDEX('How This Works &amp; Sources'!$B$125:$J$132,0,4+2)))),IF($AN57="ND",IF($AU57="Head of household",SUMPRODUCT(($AZ57&gt;INDEX('How This Works &amp; Sources'!$B$144:$J$150,0,1))*($AZ57-INDEX('How This Works &amp; Sources'!$B$144:$J$150,0,1))*INDEX('How This Works &amp; Sources'!$B$144:$J$150,0,1+2)),IF($AU57="Married",SUMPRODUCT(($AZ57&gt;INDEX('How This Works &amp; Sources'!$B$137:$J$139,0,7))*($AZ57-INDEX('How This Works &amp; Sources'!$B$137:$J$139,0,7))*INDEX('How This Works &amp; Sources'!$B$137:$J$139,0,7+2)),SUMPRODUCT(($AZ57&gt;INDEX('How This Works &amp; Sources'!$B$137:$J$139,0,4))*($AZ57-INDEX('How This Works &amp; Sources'!$B$137:$J$139,0,4))*INDEX('How This Works &amp; Sources'!$B$137:$J$139,0,4+2)))),IF($AN57="NJ",IF('Your Pay &amp; Benefits'!$C$77="B",SUMPRODUCT(($AZ57&gt;INDEX('How This Works &amp; Sources'!$B$155:$J$162,0,4))*($AZ57-INDEX('How This Works &amp; Sources'!$B$155:$J$162,0,4))*INDEX('How This Works &amp; Sources'!$B$155:$J$162,0,4+2)),IF('Your Pay &amp; Benefits'!$C$77="C",SUMPRODUCT(($AZ57&gt;INDEX('How This Works &amp; Sources'!$B$155:$J$162,0,7))*($AZ57-INDEX('How This Works &amp; Sources'!$B$155:$J$162,0,7))*INDEX('How This Works &amp; Sources'!$B$155:$J$162,0,7+2)),IF('Your Pay &amp; Benefits'!$C$77="D",SUMPRODUCT(($AZ57&gt;INDEX('How This Works &amp; Sources'!$B$167:$J$179,0,1))*($AZ57-INDEX('How This Works &amp; Sources'!$B$167:$J$179,0,1))*INDEX('How This Works &amp; Sources'!$B$167:$J$179,0,1+2)),IF('Your Pay &amp; Benefits'!$C$77="E",SUMPRODUCT(($AZ57&gt;INDEX('How This Works &amp; Sources'!$B$167:$J$179,0,4))*($AZ57-INDEX('How This Works &amp; Sources'!$B$167:$J$179,0,4))*INDEX('How This Works &amp; Sources'!$B$167:$J$179,0,4+2)),SUMPRODUCT(($AZ57&gt;INDEX('How This Works &amp; Sources'!$B$155:$J$162,0,1))*($AZ57-INDEX('How This Works &amp; Sources'!$B$155:$J$162,0,1))*INDEX('How This Works &amp; Sources'!$B$155:$J$162,0,1+2)))))),IF($AN57="NY",IF($AU57="Married",IF($AZ57&gt;=2155350,$AZ57*IF($AZ57&gt;25000000,0.117,IF($AZ57&gt;5000000,0.111,0.1045)),SUMPRODUCT(($AZ57&gt;INDEX('How This Works &amp; Sources'!$B$184:$J$198,0,1))*($AZ57-INDEX('How This Works &amp; Sources'!$B$184:$J$198,0,1))*INDEX('How This Works &amp; Sources'!$B$184:$J$198,0,1+2))),IF($AZ57&gt;=1077550,$AZ57*IF($AZ57&gt;25000000,0.117,IF($AZ57&gt;5000000,0.111,0.1045)),SUMPRODUCT(($AZ57&gt;INDEX('How This Works &amp; Sources'!$B$167:$J$179,0,7))*($AZ57-INDEX('How This Works &amp; Sources'!$B$167:$J$179,0,7))*INDEX('How This Works &amp; Sources'!$B$167:$J$179,0,7+2)))),"")))))))</f>
      </c>
      <c r="BX57" s="7">
        <f>IF($B57="","",IF($AN57="AL",IF(OR($AU57="Married",$AU57="Head of household"),SUMPRODUCT(($AZ57&gt;INDEX('How This Works &amp; Sources'!$B$82:$J$86,0,4))*($AZ57-INDEX('How This Works &amp; Sources'!$B$82:$J$86,0,4))*INDEX('How This Works &amp; Sources'!$B$82:$J$86,0,4+2)),SUMPRODUCT(($AZ57&gt;INDEX('How This Works &amp; Sources'!$B$82:$J$86,0,1))*($AZ57-INDEX('How This Works &amp; Sources'!$B$82:$J$86,0,1))*INDEX('How This Works &amp; Sources'!$B$82:$J$86,0,1+2))),IF($AN57="KS",IF($AU57="Married",SUMPRODUCT(($AZ57&gt;INDEX('How This Works &amp; Sources'!$B$103:$J$109,0,4))*($AZ57-INDEX('How This Works &amp; Sources'!$B$103:$J$109,0,4))*INDEX('How This Works &amp; Sources'!$B$103:$J$109,0,4+2)),SUMPRODUCT(($AZ57&gt;INDEX('How This Works &amp; Sources'!$B$103:$J$109,0,1))*($AZ57-INDEX('How This Works &amp; Sources'!$B$103:$J$109,0,1))*INDEX('How This Works &amp; Sources'!$B$103:$J$109,0,1+2))),IF($AN57="MN",IF($AU57="Married",SUMPRODUCT(($AZ57&gt;INDEX('How This Works &amp; Sources'!$B$114:$J$120,0,7))*($AZ57-INDEX('How This Works &amp; Sources'!$B$114:$J$120,0,7))*INDEX('How This Works &amp; Sources'!$B$114:$J$120,0,7+2)),SUMPRODUCT(($AZ57&gt;INDEX('How This Works &amp; Sources'!$B$114:$J$120,0,4))*($AZ57-INDEX('How This Works &amp; Sources'!$B$114:$J$120,0,4))*INDEX('How This Works &amp; Sources'!$B$114:$J$120,0,4+2))),IF($AN57="NE",MAX(IF($AU57="Married",SUMPRODUCT(($AZ57&gt;INDEX('How This Works &amp; Sources'!$B$144:$J$150,0,7))*($AZ57-INDEX('How This Works &amp; Sources'!$B$144:$J$150,0,7))*INDEX('How This Works &amp; Sources'!$B$144:$J$150,0,7+2)),SUMPRODUCT(($AZ57&gt;INDEX('How This Works &amp; Sources'!$B$144:$J$150,0,4))*($AZ57-INDEX('How This Works &amp; Sources'!$B$144:$J$150,0,4))*INDEX('How This Works &amp; Sources'!$B$144:$J$150,0,4+2))),0.015*$AZ57),IF($AN57="OH",IF($B57&gt;=DATE(2026,8,1),SUMPRODUCT(($AZ57&gt;INDEX('How This Works &amp; Sources'!$B$203:$J$206,0,1))*($AZ57-INDEX('How This Works &amp; Sources'!$B$203:$J$206,0,1))*INDEX('How This Works &amp; Sources'!$B$203:$J$206,0,1+2)),SUMPRODUCT(($AZ57&gt;INDEX('How This Works &amp; Sources'!$B$184:$J$198,0,7))*($AZ57-INDEX('How This Works &amp; Sources'!$B$184:$J$198,0,7))*INDEX('How This Works &amp; Sources'!$B$184:$J$198,0,7+2))),IF($AN57="OK",IF($AU57="Married",SUMPRODUCT(($AZ57&gt;INDEX('How This Works &amp; Sources'!$B$203:$J$206,0,7))*($AZ57-INDEX('How This Works &amp; Sources'!$B$203:$J$206,0,7))*INDEX('How This Works &amp; Sources'!$B$203:$J$206,0,7+2)),SUMPRODUCT(($AZ57&gt;INDEX('How This Works &amp; Sources'!$B$203:$J$206,0,4))*($AZ57-INDEX('How This Works &amp; Sources'!$B$203:$J$206,0,4))*INDEX('How This Works &amp; Sources'!$B$203:$J$206,0,4+2))),IF($AN57="RI",SUMPRODUCT(($AZ57&gt;INDEX('How This Works &amp; Sources'!$B$211:$J$214,0,7))*($AZ57-INDEX('How This Works &amp; Sources'!$B$211:$J$214,0,7))*INDEX('How This Works &amp; Sources'!$B$211:$J$214,0,7+2)),IF($AN57="VT",IF($AU57="Married",SUMPRODUCT(($AZ57&gt;INDEX('How This Works &amp; Sources'!$B$228:$J$232,0,1))*($AZ57-INDEX('How This Works &amp; Sources'!$B$228:$J$232,0,1))*INDEX('How This Works &amp; Sources'!$B$228:$J$232,0,1+2)),SUMPRODUCT(($AZ57&gt;INDEX('How This Works &amp; Sources'!$B$219:$J$223,0,7))*($AZ57-INDEX('How This Works &amp; Sources'!$B$219:$J$223,0,7))*INDEX('How This Works &amp; Sources'!$B$219:$J$223,0,7+2))),IF($AN57="WV",IF($AU57="Married",SUMPRODUCT(($AZ57&gt;INDEX('How This Works &amp; Sources'!$B$237:$J$241,0,7))*($AZ57-INDEX('How This Works &amp; Sources'!$B$237:$J$241,0,7))*INDEX('How This Works &amp; Sources'!$B$237:$J$241,0,7+2)),SUMPRODUCT(($AZ57&gt;INDEX('How This Works &amp; Sources'!$B$228:$J$232,0,7))*($AZ57-INDEX('How This Works &amp; Sources'!$B$228:$J$232,0,7))*INDEX('How This Works &amp; Sources'!$B$228:$J$232,0,7+2))),""))))))))))</f>
      </c>
      <c r="BY57" s="7">
        <f>IF($B57="","",IF($AN57="AR",SUMPRODUCT(($AZ57&gt;INDEX('How This Works &amp; Sources'!$B$82:$J$86,0,7))*($AZ57-INDEX('How This Works &amp; Sources'!$B$82:$J$86,0,7))*INDEX('How This Works &amp; Sources'!$B$82:$J$86,0,7+2)),IF($AN57="DE",SUMPRODUCT(($AZ57&gt;INDEX('How This Works &amp; Sources'!$B$91:$J$98,0,1))*($AZ57-INDEX('How This Works &amp; Sources'!$B$91:$J$98,0,1))*INDEX('How This Works &amp; Sources'!$B$91:$J$98,0,1+2)),IF($AN57="HI",IF($AU57="Married",SUMPRODUCT(($AZ57&gt;INDEX('How This Works &amp; Sources'!$B$91:$J$98,0,7))*($AZ57-INDEX('How This Works &amp; Sources'!$B$91:$J$98,0,7))*INDEX('How This Works &amp; Sources'!$B$91:$J$98,0,7+2)),SUMPRODUCT(($AZ57&gt;INDEX('How This Works &amp; Sources'!$B$91:$J$98,0,4))*($AZ57-INDEX('How This Works &amp; Sources'!$B$91:$J$98,0,4))*INDEX('How This Works &amp; Sources'!$B$91:$J$98,0,4+2))),IF($AN57="SC",SUMPRODUCT(($AZ57&gt;INDEX('How This Works &amp; Sources'!$B$219:$J$223,0,1))*($AZ57-INDEX('How This Works &amp; Sources'!$B$219:$J$223,0,1))*INDEX('How This Works &amp; Sources'!$B$219:$J$223,0,1+2)),IF($AN57="VA",SUMPRODUCT(($AZ57&gt;INDEX('How This Works &amp; Sources'!$B$219:$J$223,0,4))*($AZ57-INDEX('How This Works &amp; Sources'!$B$219:$J$223,0,4))*INDEX('How This Works &amp; Sources'!$B$219:$J$223,0,4+2)),IF($AN57="WI",SUMPRODUCT(($AZ57&gt;INDEX('How This Works &amp; Sources'!$B$228:$J$232,0,4))*($AZ57-INDEX('How This Works &amp; Sources'!$B$228:$J$232,0,4))*INDEX('How This Works &amp; Sources'!$B$228:$J$232,0,4+2)),"")))))))</f>
      </c>
      <c r="BZ57" s="24">
        <f>IF($B57="","",IF($AN57="NJ",IF('Your Pay &amp; Benefits'!$C$77="B",SUMPRODUCT(($AZ57&gt;=INDEX('How This Works &amp; Sources'!$B$155:$J$162,0,4))*INDEX('How This Works &amp; Sources'!$B$155:$J$162,0,4+2)),IF('Your Pay &amp; Benefits'!$C$77="C",SUMPRODUCT(($AZ57&gt;=INDEX('How This Works &amp; Sources'!$B$155:$J$162,0,7))*INDEX('How This Works &amp; Sources'!$B$155:$J$162,0,7+2)),IF('Your Pay &amp; Benefits'!$C$77="D",SUMPRODUCT(($AZ57&gt;=INDEX('How This Works &amp; Sources'!$B$167:$J$179,0,1))*INDEX('How This Works &amp; Sources'!$B$167:$J$179,0,1+2)),IF('Your Pay &amp; Benefits'!$C$77="E",SUMPRODUCT(($AZ57&gt;=INDEX('How This Works &amp; Sources'!$B$167:$J$179,0,4))*INDEX('How This Works &amp; Sources'!$B$167:$J$179,0,4+2)),SUMPRODUCT(($AZ57&gt;=INDEX('How This Works &amp; Sources'!$B$155:$J$162,0,1))*INDEX('How This Works &amp; Sources'!$B$155:$J$162,0,1+2)))))),IF($AN57="OR",IF(OR($AU57="Married",AND($AU57="Single",$AS57&gt;=3)),SUMPRODUCT((MAX(0,$AY57-MIN(($P57-'How This Works &amp; Sources'!$C$10*$D57)*'Your Pay &amp; Benefits'!$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Sources'!$B$211:$J$214,0,4))*INDEX('How This Works &amp; Sources'!$B$211:$J$214,0,4+2)),SUMPRODUCT((MAX(0,$AY57-MIN(($P57-'How This Works &amp; Sources'!$C$10*$D57)*'Your Pay &amp; Benefits'!$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Sources'!$B$211:$J$214,0,1))*INDEX('How This Works &amp; Sources'!$B$211:$J$214,0,1+2)))*IF(($P57-'How This Works &amp; Sources'!$C$10*$D57)*'Your Pay &amp; Benefits'!$C$8&gt;=IF(OR($AU57="Married",AND($AU57="Single",$AS57&gt;=3)),IF($AY57&lt;250000,8750,IF($AY57&lt;260000,7000,IF($AY57&lt;270000,5250,IF($AY57&lt;280000,3500,IF($AY57&lt;290000,1750,0))))),IF($AY57&lt;125000,8750,IF($AY57&lt;130000,7000,IF($AY57&lt;135000,5250,IF($AY57&lt;140000,3500,IF($AY57&lt;145000,1750,0)))))),1,1-IF('Your Pay &amp; Benefits'!$C$13,SUMPRODUCT(($AH57&gt;=INDEX('How This Works &amp; Sources'!$B$29:$J$36,0,IF('Your Pay &amp; Benefits'!$C$12="MFJ",1,IF('Your Pay &amp; Benefits'!$C$12="HoH",7,4))))*INDEX('How This Works &amp; Sources'!$B$29:$J$36,0,IF('Your Pay &amp; Benefits'!$C$12="MFJ",1,IF('Your Pay &amp; Benefits'!$C$12="HoH",7,4))+2)),SUMPRODUCT(($AH57&gt;=INDEX('How This Works &amp; Sources'!$B$19:$J$26,0,IF('Your Pay &amp; Benefits'!$C$12="MFJ",1,IF('Your Pay &amp; Benefits'!$C$12="HoH",7,4))))*INDEX('How This Works &amp; Sources'!$B$19:$J$26,0,IF('Your Pay &amp; Benefits'!$C$12="MFJ",1,IF('Your Pay &amp; Benefits'!$C$12="HoH",7,4))+2)))),IF($AN57="MI",IF($AY57&gt;5900*$AS57,0.0425,0),""))))</f>
      </c>
      <c r="CA57" s="24">
        <f>IF($B57="","",IF($AN57="AL",IF(OR($AU57="Married",$AU57="Head of household"),SUMPRODUCT(($AZ57&gt;=INDEX('How This Works &amp; Sources'!$B$82:$J$86,0,4))*INDEX('How This Works &amp; Sources'!$B$82:$J$86,0,4+2)),SUMPRODUCT(($AZ57&gt;=INDEX('How This Works &amp; Sources'!$B$82:$J$86,0,1))*INDEX('How This Works &amp; Sources'!$B$82:$J$86,0,1+2)))*(1-IF('Your Pay &amp; Benefits'!$C$13,SUMPRODUCT(($AH57&gt;=INDEX('How This Works &amp; Sources'!$B$29:$J$36,0,IF('Your Pay &amp; Benefits'!$C$12="MFJ",1,IF('Your Pay &amp; Benefits'!$C$12="HoH",7,4))))*INDEX('How This Works &amp; Sources'!$B$29:$J$36,0,IF('Your Pay &amp; Benefits'!$C$12="MFJ",1,IF('Your Pay &amp; Benefits'!$C$12="HoH",7,4))+2)),SUMPRODUCT(($AH57&gt;=INDEX('How This Works &amp; Sources'!$B$19:$J$26,0,IF('Your Pay &amp; Benefits'!$C$12="MFJ",1,IF('Your Pay &amp; Benefits'!$C$12="HoH",7,4))))*INDEX('How This Works &amp; Sources'!$B$19:$J$26,0,IF('Your Pay &amp; Benefits'!$C$12="MFJ",1,IF('Your Pay &amp; Benefits'!$C$12="HoH",7,4))+2)))),IF($AN57="KS",IF($AU57="Married",SUMPRODUCT(($AZ57&gt;=INDEX('How This Works &amp; Sources'!$B$103:$J$109,0,4))*INDEX('How This Works &amp; Sources'!$B$103:$J$109,0,4+2)),SUMPRODUCT(($AZ57&gt;=INDEX('How This Works &amp; Sources'!$B$103:$J$109,0,1))*INDEX('How This Works &amp; Sources'!$B$103:$J$109,0,1+2))),IF($AN57="MD",IF(OR($AU57="Married",$AU57="Head of household"),SUMPRODUCT(($AZ57&gt;=INDEX('How This Works &amp; Sources'!$B$114:$J$120,0,1))*INDEX('How This Works &amp; Sources'!$B$114:$J$120,0,1+2)),SUMPRODUCT(($AZ57&gt;=INDEX('How This Works &amp; Sources'!$B$103:$J$109,0,7))*INDEX('How This Works &amp; Sources'!$B$103:$J$109,0,7+2)))+'Your Pay &amp; Benefits'!$C$74,IF($AN57="MT",IF($AU57="Head of household",SUMPRODUCT(($AZ57&gt;=INDEX('How This Works &amp; Sources'!$B$137:$J$139,0,1))*INDEX('How This Works &amp; Sources'!$B$137:$J$139,0,1+2)),IF($AU57="Married",SUMPRODUCT(($AZ57&gt;=INDEX('How This Works &amp; Sources'!$B$125:$J$132,0,7))*INDEX('How This Works &amp; Sources'!$B$125:$J$132,0,7+2)),SUMPRODUCT(($AZ57&gt;=INDEX('How This Works &amp; Sources'!$B$125:$J$132,0,4))*INDEX('How This Works &amp; Sources'!$B$125:$J$132,0,4+2)))),IF($AN57="ND",IF($AU57="Head of household",SUMPRODUCT(($AZ57&gt;=INDEX('How This Works &amp; Sources'!$B$144:$J$150,0,1))*INDEX('How This Works &amp; Sources'!$B$144:$J$150,0,1+2)),IF($AU57="Married",SUMPRODUCT(($AZ57&gt;=INDEX('How This Works &amp; Sources'!$B$137:$J$139,0,7))*INDEX('How This Works &amp; Sources'!$B$137:$J$139,0,7+2)),SUMPRODUCT(($AZ57&gt;=INDEX('How This Works &amp; Sources'!$B$137:$J$139,0,4))*INDEX('How This Works &amp; Sources'!$B$137:$J$139,0,4+2)))),IF($AN57="NY",IF($AU57="Married",IF($AZ57&gt;=2155350,IF($AZ57&gt;25000000,0.117,IF($AZ57&gt;5000000,0.111,0.1045)),SUMPRODUCT(($AZ57&gt;=INDEX('How This Works &amp; Sources'!$B$184:$J$198,0,1))*INDEX('How This Works &amp; Sources'!$B$184:$J$198,0,1+2))),IF($AZ57&gt;=1077550,IF($AZ57&gt;25000000,0.117,IF($AZ57&gt;5000000,0.111,0.1045)),SUMPRODUCT(($AZ57&gt;=INDEX('How This Works &amp; Sources'!$B$167:$J$179,0,7))*INDEX('How This Works &amp; Sources'!$B$167:$J$179,0,7+2)))),"")))))))</f>
      </c>
      <c r="CB57" s="24">
        <f>IF($B57="","",IF($AN57="CA",SUMPRODUCT(($AJ57&gt;=INDEX('How This Works &amp; Sources'!$B$39:$J$48,0,IF($AU57="Married",4,IF($AU57="Head of household",7,1))))*INDEX('How This Works &amp; Sources'!$B$39:$J$48,0,IF($AU57="Married",4,IF($AU57="Head of household",7,1))+2)),IF($AN57="HI",IF($AU57="Married",SUMPRODUCT(($AZ57&gt;=INDEX('How This Works &amp; Sources'!$B$91:$J$98,0,7))*INDEX('How This Works &amp; Sources'!$B$91:$J$98,0,7+2)),SUMPRODUCT(($AZ57&gt;=INDEX('How This Works &amp; Sources'!$B$91:$J$98,0,4))*INDEX('How This Works &amp; Sources'!$B$91:$J$98,0,4+2))),IF($AN57="MN",IF($AU57="Married",SUMPRODUCT(($AZ57&gt;=INDEX('How This Works &amp; Sources'!$B$114:$J$120,0,7))*INDEX('How This Works &amp; Sources'!$B$114:$J$120,0,7+2)),SUMPRODUCT(($AZ57&gt;=INDEX('How This Works &amp; Sources'!$B$114:$J$120,0,4))*INDEX('How This Works &amp; Sources'!$B$114:$J$120,0,4+2))),IF($AN57="MO",SUMPRODUCT(($AZ57&gt;=INDEX('How This Works &amp; Sources'!$B$125:$J$132,0,1))*INDEX('How This Works &amp; Sources'!$B$125:$J$132,0,1+2)),IF($AN57="NE",MAX(IF($AU57="Married",SUMPRODUCT(($AZ57&gt;=INDEX('How This Works &amp; Sources'!$B$144:$J$150,0,7))*INDEX('How This Works &amp; Sources'!$B$144:$J$150,0,7+2)),SUMPRODUCT(($AZ57&gt;=INDEX('How This Works &amp; Sources'!$B$144:$J$150,0,4))*INDEX('How This Works &amp; Sources'!$B$144:$J$150,0,4+2))),0.015),IF($AN57="OH",IF($B57&gt;=DATE(2026,8,1),SUMPRODUCT(($AZ57&gt;=INDEX('How This Works &amp; Sources'!$B$203:$J$206,0,1))*INDEX('How This Works &amp; Sources'!$B$203:$J$206,0,1+2)),SUMPRODUCT(($AZ57&gt;=INDEX('How This Works &amp; Sources'!$B$184:$J$198,0,7))*INDEX('How This Works &amp; Sources'!$B$184:$J$198,0,7+2))),IF($AN57="OK",IF($AU57="Married",SUMPRODUCT(($AZ57&gt;=INDEX('How This Works &amp; Sources'!$B$203:$J$206,0,7))*INDEX('How This Works &amp; Sources'!$B$203:$J$206,0,7+2)),SUMPRODUCT(($AZ57&gt;=INDEX('How This Works &amp; Sources'!$B$203:$J$206,0,4))*INDEX('How This Works &amp; Sources'!$B$203:$J$206,0,4+2))),IF($AN57="RI",SUMPRODUCT(($AZ57&gt;=INDEX('How This Works &amp; Sources'!$B$211:$J$214,0,7))*INDEX('How This Works &amp; Sources'!$B$211:$J$214,0,7+2)),IF($AN57="SC",SUMPRODUCT(($AZ57&gt;=INDEX('How This Works &amp; Sources'!$B$219:$J$223,0,1))*INDEX('How This Works &amp; Sources'!$B$219:$J$223,0,1+2)),IF($AN57="VT",IF($AU57="Married",SUMPRODUCT(($AZ57&gt;=INDEX('How This Works &amp; Sources'!$B$228:$J$232,0,1))*INDEX('How This Works &amp; Sources'!$B$228:$J$232,0,1+2)),SUMPRODUCT(($AZ57&gt;=INDEX('How This Works &amp; Sources'!$B$219:$J$223,0,7))*INDEX('How This Works &amp; Sources'!$B$219:$J$223,0,7+2))),IF($AN57="WV",IF($AU57="Married",SUMPRODUCT(($AZ57&gt;=INDEX('How This Works &amp; Sources'!$B$237:$J$241,0,7))*INDEX('How This Works &amp; Sources'!$B$237:$J$241,0,7+2)),SUMPRODUCT(($AZ57&gt;=INDEX('How This Works &amp; Sources'!$B$228:$J$232,0,7))*INDEX('How This Works &amp; Sources'!$B$228:$J$232,0,7+2))),IF($AN57="IN",(0.0295+'Your Pay &amp; Benefits'!$C$76),"")))))))))))))</f>
      </c>
      <c r="CC57" s="24">
        <f>IF($B57="","",IF($AN57="AR",SUMPRODUCT(($AZ57&gt;=INDEX('How This Works &amp; Sources'!$B$82:$J$86,0,7))*INDEX('How This Works &amp; Sources'!$B$82:$J$86,0,7+2)),IF($AN57="DE",SUMPRODUCT(($AZ57&gt;=INDEX('How This Works &amp; Sources'!$B$91:$J$98,0,1))*INDEX('How This Works &amp; Sources'!$B$91:$J$98,0,1+2)),IF($AN57="VA",SUMPRODUCT(($AZ57&gt;=INDEX('How This Works &amp; Sources'!$B$219:$J$223,0,4))*INDEX('How This Works &amp; Sources'!$B$219:$J$223,0,4+2)),IF($AN57="WI",SUMPRODUCT(($AZ57&gt;=INDEX('How This Works &amp; Sources'!$B$228:$J$232,0,4))*INDEX('How This Works &amp; Sources'!$B$228:$J$232,0,4+2)),IF($AN57="AZ",'Your Pay &amp; Benefits'!$C$82,IF($AN57="CO",IF($AY57&gt;IF($AU57="Married",10000,5000),0.044,0),IF($AN57="IA",IF($AY57&gt;IF($AU57="Head of household",19500,IF($AU57="Married",26000,13000)),0.038,0),IF($AN57="ID",IF($AY57&gt;IF($AU57="Married",32000,16094),0.053,0),IF($AN57="IL",IF($AY57&gt;(2925*$AS57+1000*$AT57),0.0495,0),IF($AN57="KY",IF($AI57&gt;3360,0.035,0),IF($AN57="LA",0.0309,IF($AN57="MA",IF(MAX(0,$AY57-MIN(($BD56+$Q57+$R57+$S57),2000)-IF($AS57=0,0,IF($AS57=1,4400,1000*$AS57+3400)))&gt;=1107750,0.09,0.05),IF($AN57="MS",IF($AI57-IF($AU57="Head of household",3400,IF($AU57="Married",4600,2300))-'Your Pay &amp; Benefits'!$C$85&gt;10000,0.04,0),IF($AN57="PA",0.0307,"")))))))))))))))</f>
      </c>
      <c r="CD57" s="21">
        <f>IF(YEAR(IF('Your Pay &amp; Benefits'!$C$7="Weekly",'Your Pay &amp; Benefits'!$C$9+7*(($BE56+1)-1),IF('Your Pay &amp; Benefits'!$C$7="Biweekly",'Your Pay &amp; Benefits'!$C$9+14*(($BE56+1)-1),IF('Your Pay &amp; Benefits'!$C$7="Semimonthly",DATE(YEAR('Your Pay &amp; Benefits'!$C$9),MONTH('Your Pay &amp; Benefits'!$C$9)+INT((($BE56+1)-1)/2),MIN(DAY('Your Pay &amp; Benefits'!$C$9),DAY(EOMONTH(DATE(YEAR('Your Pay &amp; Benefits'!$C$9),MONTH('Your Pay &amp; Benefits'!$C$9)+INT((($BE56+1)-1)/2),1),0))))+IF(MOD(($BE56+1)-1,2)=1,15,0),EDATE('Your Pay &amp; Benefits'!$C$9,($BE56+1)-1)))))&lt;&gt;'Your Pay &amp; Benefits'!$C$10,"",IF('Your Pay &amp; Benefits'!$C$7="Weekly",'Your Pay &amp; Benefits'!$C$9+7*(($BE56+1)-1),IF('Your Pay &amp; Benefits'!$C$7="Biweekly",'Your Pay &amp; Benefits'!$C$9+14*(($BE56+1)-1),IF('Your Pay &amp; Benefits'!$C$7="Semimonthly",DATE(YEAR('Your Pay &amp; Benefits'!$C$9),MONTH('Your Pay &amp; Benefits'!$C$9)+INT((($BE56+1)-1)/2),MIN(DAY('Your Pay &amp; Benefits'!$C$9),DAY(EOMONTH(DATE(YEAR('Your Pay &amp; Benefits'!$C$9),MONTH('Your Pay &amp; Benefits'!$C$9)+INT((($BE56+1)-1)/2),1),0))))+IF(MOD(($BE56+1)-1,2)=1,15,0),EDATE('Your Pay &amp; Benefits'!$C$9,($BE56+1)-1)))))</f>
      </c>
      <c r="CE57" s="21">
        <f>IF(MIN(IF(AND('Your Pay &amp; Benefits'!$C$58&gt;MAX($B$6:$B56),'Your Pay &amp; Benefits'!$C$58&gt;=DATE('Your Pay &amp; Benefits'!$C$10,1,1),'Your Pay &amp; Benefits'!$C$58&lt;=DATE('Your Pay &amp; Benefits'!$C$10,12,31)),'Your Pay &amp; Benefits'!$C$58,999999),IF(AND('Your Pay &amp; Benefits'!$C$59&gt;MAX($B$6:$B56),'Your Pay &amp; Benefits'!$C$59&gt;=DATE('Your Pay &amp; Benefits'!$C$10,1,1),'Your Pay &amp; Benefits'!$C$59&lt;=DATE('Your Pay &amp; Benefits'!$C$10,12,31)),'Your Pay &amp; Benefits'!$C$59,999999),IF(AND('Your Pay &amp; Benefits'!$C$60&gt;MAX($B$6:$B56),'Your Pay &amp; Benefits'!$C$60&gt;=DATE('Your Pay &amp; Benefits'!$C$10,1,1),'Your Pay &amp; Benefits'!$C$60&lt;=DATE('Your Pay &amp; Benefits'!$C$10,12,31)),'Your Pay &amp; Benefits'!$C$60,999999),IF(AND('Your Pay &amp; Benefits'!$C$61&gt;MAX($B$6:$B56),'Your Pay &amp; Benefits'!$C$61&gt;=DATE('Your Pay &amp; Benefits'!$C$10,1,1),'Your Pay &amp; Benefits'!$C$61&lt;=DATE('Your Pay &amp; Benefits'!$C$10,12,31)),'Your Pay &amp; Benefits'!$C$61,999999),IF(AND('Your Pay &amp; Benefits'!$C$62&gt;MAX($B$6:$B56),'Your Pay &amp; Benefits'!$C$62&gt;=DATE('Your Pay &amp; Benefits'!$C$10,1,1),'Your Pay &amp; Benefits'!$C$62&lt;=DATE('Your Pay &amp; Benefits'!$C$10,12,31)),'Your Pay &amp; Benefits'!$C$62,999999),IF(AND('Your Pay &amp; Benefits'!$C$63&gt;MAX($B$6:$B56),'Your Pay &amp; Benefits'!$C$63&gt;=DATE('Your Pay &amp; Benefits'!$C$10,1,1),'Your Pay &amp; Benefits'!$C$63&lt;=DATE('Your Pay &amp; Benefits'!$C$10,12,31)),'Your Pay &amp; Benefits'!$C$63,999999),IF(AND('Your Pay &amp; Benefits'!$C$64&gt;MAX($B$6:$B56),'Your Pay &amp; Benefits'!$C$64&gt;=DATE('Your Pay &amp; Benefits'!$C$10,1,1),'Your Pay &amp; Benefits'!$C$64&lt;=DATE('Your Pay &amp; Benefits'!$C$10,12,31)),'Your Pay &amp; Benefits'!$C$64,999999),IF(AND('Your Pay &amp; Benefits'!$C$65&gt;MAX($B$6:$B56),'Your Pay &amp; Benefits'!$C$65&gt;=DATE('Your Pay &amp; Benefits'!$C$10,1,1),'Your Pay &amp; Benefits'!$C$65&lt;=DATE('Your Pay &amp; Benefits'!$C$10,12,31)),'Your Pay &amp; Benefits'!$C$65,999999),IF(AND('Your Pay &amp; Benefits'!$C$66&gt;MAX($B$6:$B56),'Your Pay &amp; Benefits'!$C$66&gt;=DATE('Your Pay &amp; Benefits'!$C$10,1,1),'Your Pay &amp; Benefits'!$C$66&lt;=DATE('Your Pay &amp; Benefits'!$C$10,12,31)),'Your Pay &amp; Benefits'!$C$66,999999),IF(AND('Your Pay &amp; Benefits'!$C$67&gt;MAX($B$6:$B56),'Your Pay &amp; Benefits'!$C$67&gt;=DATE('Your Pay &amp; Benefits'!$C$10,1,1),'Your Pay &amp; Benefits'!$C$67&lt;=DATE('Your Pay &amp; Benefits'!$C$10,12,31)),'Your Pay &amp; Benefits'!$C$67,999999))=999999,"",MIN(IF(AND('Your Pay &amp; Benefits'!$C$58&gt;MAX($B$6:$B56),'Your Pay &amp; Benefits'!$C$58&gt;=DATE('Your Pay &amp; Benefits'!$C$10,1,1),'Your Pay &amp; Benefits'!$C$58&lt;=DATE('Your Pay &amp; Benefits'!$C$10,12,31)),'Your Pay &amp; Benefits'!$C$58,999999),IF(AND('Your Pay &amp; Benefits'!$C$59&gt;MAX($B$6:$B56),'Your Pay &amp; Benefits'!$C$59&gt;=DATE('Your Pay &amp; Benefits'!$C$10,1,1),'Your Pay &amp; Benefits'!$C$59&lt;=DATE('Your Pay &amp; Benefits'!$C$10,12,31)),'Your Pay &amp; Benefits'!$C$59,999999),IF(AND('Your Pay &amp; Benefits'!$C$60&gt;MAX($B$6:$B56),'Your Pay &amp; Benefits'!$C$60&gt;=DATE('Your Pay &amp; Benefits'!$C$10,1,1),'Your Pay &amp; Benefits'!$C$60&lt;=DATE('Your Pay &amp; Benefits'!$C$10,12,31)),'Your Pay &amp; Benefits'!$C$60,999999),IF(AND('Your Pay &amp; Benefits'!$C$61&gt;MAX($B$6:$B56),'Your Pay &amp; Benefits'!$C$61&gt;=DATE('Your Pay &amp; Benefits'!$C$10,1,1),'Your Pay &amp; Benefits'!$C$61&lt;=DATE('Your Pay &amp; Benefits'!$C$10,12,31)),'Your Pay &amp; Benefits'!$C$61,999999),IF(AND('Your Pay &amp; Benefits'!$C$62&gt;MAX($B$6:$B56),'Your Pay &amp; Benefits'!$C$62&gt;=DATE('Your Pay &amp; Benefits'!$C$10,1,1),'Your Pay &amp; Benefits'!$C$62&lt;=DATE('Your Pay &amp; Benefits'!$C$10,12,31)),'Your Pay &amp; Benefits'!$C$62,999999),IF(AND('Your Pay &amp; Benefits'!$C$63&gt;MAX($B$6:$B56),'Your Pay &amp; Benefits'!$C$63&gt;=DATE('Your Pay &amp; Benefits'!$C$10,1,1),'Your Pay &amp; Benefits'!$C$63&lt;=DATE('Your Pay &amp; Benefits'!$C$10,12,31)),'Your Pay &amp; Benefits'!$C$63,999999),IF(AND('Your Pay &amp; Benefits'!$C$64&gt;MAX($B$6:$B56),'Your Pay &amp; Benefits'!$C$64&gt;=DATE('Your Pay &amp; Benefits'!$C$10,1,1),'Your Pay &amp; Benefits'!$C$64&lt;=DATE('Your Pay &amp; Benefits'!$C$10,12,31)),'Your Pay &amp; Benefits'!$C$64,999999),IF(AND('Your Pay &amp; Benefits'!$C$65&gt;MAX($B$6:$B56),'Your Pay &amp; Benefits'!$C$65&gt;=DATE('Your Pay &amp; Benefits'!$C$10,1,1),'Your Pay &amp; Benefits'!$C$65&lt;=DATE('Your Pay &amp; Benefits'!$C$10,12,31)),'Your Pay &amp; Benefits'!$C$65,999999),IF(AND('Your Pay &amp; Benefits'!$C$66&gt;MAX($B$6:$B56),'Your Pay &amp; Benefits'!$C$66&gt;=DATE('Your Pay &amp; Benefits'!$C$10,1,1),'Your Pay &amp; Benefits'!$C$66&lt;=DATE('Your Pay &amp; Benefits'!$C$10,12,31)),'Your Pay &amp; Benefits'!$C$66,999999),IF(AND('Your Pay &amp; Benefits'!$C$67&gt;MAX($B$6:$B56),'Your Pay &amp; Benefits'!$C$67&gt;=DATE('Your Pay &amp; Benefits'!$C$10,1,1),'Your Pay &amp; Benefits'!$C$67&lt;=DATE('Your Pay &amp; Benefits'!$C$10,12,31)),'Your Pay &amp; Benefits'!$C$67,999999)))</f>
      </c>
      <c r="CF57">
        <f>IF($B57="","",IF($D57=0,$Y57,""))</f>
      </c>
    </row>
    <row r="58">
      <c r="A58" t="n">
        <v>53</v>
      </c>
      <c r="B58" s="21">
        <f>IF(AND($CD58="",$CE58=""),"",IF($CE58="",$CD58,IF($CD58="",$CE58,MIN($CD58,$CE58))))</f>
      </c>
      <c r="C58" s="7">
        <f>IF($B58="","",IF($BF58=0,0,IF('Your Pay &amp; Benefits'!$C$4="Annual salary",ROUND($AK58/IF(AND('Your Pay &amp; Benefits'!$C$88="Actual paydays",MONTH('Your Pay &amp; Benefits'!$C$9)=1),MAX(1,MAX($BE$6:$BE$68)),'Your Pay &amp; Benefits'!$C$8),2),$AK58)))</f>
      </c>
      <c r="D58" s="7">
        <f>IF($B58="","",SUMIF('Your Pay &amp; Benefits'!$C$58:$C$67,$B58,'Your Pay &amp; Benefits'!$D$58:$D$67))</f>
      </c>
      <c r="E58" s="7">
        <f>IF($B58="","",ROUND(MAX(0,MIN(IF($AL58="Percent",$AM58*($C58+$D58),$AM58),MAX(0,'Your Pay &amp; Benefits'!$C$34-$AC57))),2))</f>
      </c>
      <c r="F58" s="7">
        <f>IF($B58="","",ROUND(MAX(0,MIN(IF('Your Pay &amp; Benefits'!$C$32="Percent",'Your Pay &amp; Benefits'!$D$32*($C58+$D58),'Your Pay &amp; Benefits'!$D$32),MAX(0,'Your Pay &amp; Benefits'!$C$34-$AC57-$E58))),2))</f>
      </c>
      <c r="G58" s="7">
        <f>IF($B58="","",IF($BF58=0,0,ROUND(MAX(0,MIN($BL58,'Your Pay &amp; Benefits'!$C$37-'Your Pay &amp; Benefits'!$C$54-$BI57)),2)))</f>
      </c>
      <c r="H58" s="7">
        <f>IF($B58="","",IF(OR($BF58=0,$BQ58=1),0,ROUND(MAX(0,MIN(IF($BS58=1,ROUND(MAX(0,MIN($BJ58,'How This Works &amp; Sources'!$C$13)-$BG57)/MAX(1,MAX($BE$6:$BE$68)-($BE57)),2),ROUND(MIN($BJ58,'How This Works &amp; Sources'!$C$13)/'Your Pay &amp; Benefits'!$C$8,2)),MIN($BJ58,'How This Works &amp; Sources'!$C$13)-$BG57)),2)))</f>
      </c>
      <c r="I58" s="7">
        <f>IF($B58="","",IF(OR($BF58=0,$BR58=1),0,ROUND(MAX(0,MIN(IF($BT58=1,ROUND(MAX(0,MIN($BK58,IF('Your Pay &amp; Benefits'!$C$12="MFJ",'How This Works &amp; Sources'!$C$14,'How This Works &amp; Sources'!$C$15))-$BH57)/MAX(1,MAX($BE$6:$BE$68)-($BE57)),2),ROUND(MIN($BK58,IF('Your Pay &amp; Benefits'!$C$12="MFJ",'How This Works &amp; Sources'!$C$14,'How This Works &amp; Sources'!$C$15))/'Your Pay &amp; Benefits'!$C$8,2)),MIN($BK58,IF('Your Pay &amp; Benefits'!$C$12="MFJ",'How This Works &amp; Sources'!$C$14,'How This Works &amp; Sources'!$C$15))-$BH57)),2)))</f>
      </c>
      <c r="J58" s="7">
        <f>IF($B58="","",IF($BF58=0,0,$BM58))</f>
      </c>
      <c r="K58" s="7">
        <f>IF($B58="","",IF($BF58=0,0,$BN58+$BO58))</f>
      </c>
      <c r="L58" s="7">
        <f>IF($B58="","",IF($BF58=0,0,'Your Pay &amp; Benefits'!$D$46))</f>
      </c>
      <c r="M58" s="7">
        <f>IF($B58="","",$C58+$D58+$L58-$E58-$G58-$H58-$I58-$J58-$K58)</f>
      </c>
      <c r="N58" s="7">
        <f>IF($B58="","",$C58+$D58+$L58-$G58-$H58-$I58-$J58-$K58)</f>
      </c>
      <c r="O58" s="7">
        <f>IF($B58="","",$C58+$D58+$L58-$E58-$H58-$I58-$J58-$K58-IF(OR($AN58="CA",$AN58="NJ"),0,$G58))</f>
      </c>
      <c r="P58" s="7">
        <f>IF($B58="","",IF('Your Pay &amp; Benefits'!$C$18,0,ROUND(MAX(0,IF('Your Pay &amp; Benefits'!$C$13,SUMPRODUCT(($AH58&gt;INDEX('How This Works &amp; Sources'!$B$29:$J$36,0,IF('Your Pay &amp; Benefits'!$C$12="MFJ",1,IF('Your Pay &amp; Benefits'!$C$12="HoH",7,4))))*($AH58-INDEX('How This Works &amp; Sources'!$B$29:$J$36,0,IF('Your Pay &amp; Benefits'!$C$12="MFJ",1,IF('Your Pay &amp; Benefits'!$C$12="HoH",7,4))))*INDEX('How This Works &amp; Sources'!$B$29:$J$36,0,IF('Your Pay &amp; Benefits'!$C$12="MFJ",1,IF('Your Pay &amp; Benefits'!$C$12="HoH",7,4))+2)),SUMPRODUCT(($AH58&gt;INDEX('How This Works &amp; Sources'!$B$19:$J$26,0,IF('Your Pay &amp; Benefits'!$C$12="MFJ",1,IF('Your Pay &amp; Benefits'!$C$12="HoH",7,4))))*($AH58-INDEX('How This Works &amp; Sources'!$B$19:$J$26,0,IF('Your Pay &amp; Benefits'!$C$12="MFJ",1,IF('Your Pay &amp; Benefits'!$C$12="HoH",7,4))))*INDEX('How This Works &amp; Sources'!$B$19:$J$26,0,IF('Your Pay &amp; Benefits'!$C$12="MFJ",1,IF('Your Pay &amp; Benefits'!$C$12="HoH",7,4))+2)))/'Your Pay &amp; Benefits'!$C$8-$AO58/'Your Pay &amp; Benefits'!$C$8)+$AR58+IF('Your Pay &amp; Benefits'!$C$89="Aggregate",MAX(0,IF('Your Pay &amp; Benefits'!$C$13,SUMPRODUCT((($AH58+$D58)&gt;INDEX('How This Works &amp; Sources'!$B$29:$J$36,0,IF('Your Pay &amp; Benefits'!$C$12="MFJ",1,IF('Your Pay &amp; Benefits'!$C$12="HoH",7,4))))*(($AH58+$D58)-INDEX('How This Works &amp; Sources'!$B$29:$J$36,0,IF('Your Pay &amp; Benefits'!$C$12="MFJ",1,IF('Your Pay &amp; Benefits'!$C$12="HoH",7,4))))*INDEX('How This Works &amp; Sources'!$B$29:$J$36,0,IF('Your Pay &amp; Benefits'!$C$12="MFJ",1,IF('Your Pay &amp; Benefits'!$C$12="HoH",7,4))+2)),SUMPRODUCT((($AH58+$D58)&gt;INDEX('How This Works &amp; Sources'!$B$19:$J$26,0,IF('Your Pay &amp; Benefits'!$C$12="MFJ",1,IF('Your Pay &amp; Benefits'!$C$12="HoH",7,4))))*(($AH58+$D58)-INDEX('How This Works &amp; Sources'!$B$19:$J$26,0,IF('Your Pay &amp; Benefits'!$C$12="MFJ",1,IF('Your Pay &amp; Benefits'!$C$12="HoH",7,4))))*INDEX('How This Works &amp; Sources'!$B$19:$J$26,0,IF('Your Pay &amp; Benefits'!$C$12="MFJ",1,IF('Your Pay &amp; Benefits'!$C$12="HoH",7,4))+2)))-IF('Your Pay &amp; Benefits'!$C$13,SUMPRODUCT(($AH58&gt;INDEX('How This Works &amp; Sources'!$B$29:$J$36,0,IF('Your Pay &amp; Benefits'!$C$12="MFJ",1,IF('Your Pay &amp; Benefits'!$C$12="HoH",7,4))))*($AH58-INDEX('How This Works &amp; Sources'!$B$29:$J$36,0,IF('Your Pay &amp; Benefits'!$C$12="MFJ",1,IF('Your Pay &amp; Benefits'!$C$12="HoH",7,4))))*INDEX('How This Works &amp; Sources'!$B$29:$J$36,0,IF('Your Pay &amp; Benefits'!$C$12="MFJ",1,IF('Your Pay &amp; Benefits'!$C$12="HoH",7,4))+2)),SUMPRODUCT(($AH58&gt;INDEX('How This Works &amp; Sources'!$B$19:$J$26,0,IF('Your Pay &amp; Benefits'!$C$12="MFJ",1,IF('Your Pay &amp; Benefits'!$C$12="HoH",7,4))))*($AH58-INDEX('How This Works &amp; Sources'!$B$19:$J$26,0,IF('Your Pay &amp; Benefits'!$C$12="MFJ",1,IF('Your Pay &amp; Benefits'!$C$12="HoH",7,4))))*INDEX('How This Works &amp; Sources'!$B$19:$J$26,0,IF('Your Pay &amp; Benefits'!$C$12="MFJ",1,IF('Your Pay &amp; Benefits'!$C$12="HoH",7,4))+2)))),'How This Works &amp; Sources'!$C$10*$D58),2)))</f>
      </c>
      <c r="Q58" s="7">
        <f>IF($B58="","",ROUND('How This Works &amp; Sources'!$C$4*MIN($N58,MAX(0,'How This Works &amp; Sources'!$C$3-($AX58+$AB57-$AW58))),2))</f>
      </c>
      <c r="R58" s="7">
        <f>IF($B58="","",ROUND('How This Works &amp; Sources'!$C$5*$N58,2))</f>
      </c>
      <c r="S58" s="7">
        <f>IF($B58="","",ROUND('How This Works &amp; Sources'!$C$6*MAX(0,MIN($N58,$AG57+$N58-'How This Works &amp; Sources'!$C$7)),2))</f>
      </c>
      <c r="T58" s="7">
        <f>IF($B58="","",IF('Your Pay &amp; Benefits'!$C$26,0,IF($AN58="CA",ROUND(IF($AI58&lt;=IF(($AS58+$AT58)&gt;=2,VLOOKUP($AN58,StateTables!$A$6:$AB$56,10,FALSE),VLOOKUP($AN58,StateTables!$A$6:$AB$56,9,FALSE)),0,MAX(0,SUMPRODUCT(($AJ58&gt;INDEX('How This Works &amp; Sources'!$B$39:$J$48,0,IF($AU58="Married",4,IF($AU58="Head of household",7,1))))*($AJ58-INDEX('How This Works &amp; Sources'!$B$39:$J$48,0,IF($AU58="Married",4,IF($AU58="Head of household",7,1))))*INDEX('How This Works &amp; Sources'!$B$39:$J$48,0,IF($AU58="Married",4,IF($AU58="Head of household",7,1))+2))-VLOOKUP($AN58,StateTables!$A$6:$AB$56,11,FALSE)*$AS58)/'Your Pay &amp; Benefits'!$C$8)+'Your Pay &amp; Benefits'!$C$25+VLOOKUP($AN58,StateTables!$A$6:$AB$56,13,FALSE)*$D58,2),IF(VLOOKUP($AN58,StateTables!$A$6:$AB$56,4,FALSE)="None",0,IF(ISNUMBER(SEARCH("MANUAL",VLOOKUP($AN58,StateTables!$A$6:$AB$56,5,FALSE))),'Your Pay &amp; Benefits'!$C$28,ROUND(MAX(0,$BA58+$BB58)/'Your Pay &amp; Benefits'!$C$8+'Your Pay &amp; Benefits'!$C$25+$BC58,2))))))</f>
      </c>
      <c r="U58" s="7">
        <f>IF($B58="","",IF(VLOOKUP($AN58,StateTables!$A$6:$AB$56,24,FALSE)="flatq",IF(OR(MONTH($B58)=1,MONTH($B58)=4,MONTH($B58)=7,MONTH($B58)=10),VLOOKUP($AN58,StateTables!$A$6:$AB$56,25,FALSE),0),IF(VLOOKUP($AN58,StateTables!$A$6:$AB$56,24,FALSE)="dbl",MIN(ROUND(0.005*$N58,2),ROUND(0.6*52/'Your Pay &amp; Benefits'!$C$8,2)),IF(OR(VLOOKUP($AN58,StateTables!$A$6:$AB$56,15,FALSE)="",VLOOKUP($AN58,StateTables!$A$6:$AB$56,15,FALSE)=0),0,ROUND(VLOOKUP($AN58,StateTables!$A$6:$AB$56,15,FALSE)*IF(OR(VLOOKUP($AN58,StateTables!$A$6:$AB$56,16,FALSE)="",VLOOKUP($AN58,StateTables!$A$6:$AB$56,16,FALSE)=0),$N58,MIN($N58,MAX(0,VLOOKUP($AN58,StateTables!$A$6:$AB$56,16,FALSE)-($AX58+$AB57-$AW58)))),2))))+IF(VLOOKUP($AN58,StateTables!$A$6:$AB$56,27,FALSE)="flatq",IF(OR(MONTH($B58)=1,MONTH($B58)=4,MONTH($B58)=7,MONTH($B58)=10),VLOOKUP($AN58,StateTables!$A$6:$AB$56,28,FALSE),0),IF(VLOOKUP($AN58,StateTables!$A$6:$AB$56,27,FALSE)="dbl",MIN(ROUND(0.005*$N58,2),ROUND(0.6*52/'Your Pay &amp; Benefits'!$C$8,2)),IF(OR(VLOOKUP($AN58,StateTables!$A$6:$AB$56,18,FALSE)="",VLOOKUP($AN58,StateTables!$A$6:$AB$56,18,FALSE)=0),0,ROUND(VLOOKUP($AN58,StateTables!$A$6:$AB$56,18,FALSE)*IF(OR(VLOOKUP($AN58,StateTables!$A$6:$AB$56,19,FALSE)="",VLOOKUP($AN58,StateTables!$A$6:$AB$56,19,FALSE)=0),$N58,MIN($N58,MAX(0,VLOOKUP($AN58,StateTables!$A$6:$AB$56,19,FALSE)-($AX58+$AB57-$AW58)))),2)))))</f>
      </c>
      <c r="V58" s="7">
        <f>IF($B58="","",IF($AN58="NY",IF('Your Pay &amp; Benefits'!$C$78,ROUND(SUMPRODUCT((MAX(0,($O58-$D58)*'Your Pay &amp; Benefits'!$C$8-(IF($AU58="Married",5500,5000)+1000*$AS58))&gt;INDEX('How This Works &amp; Sources'!$B$184:$J$198,0,4))*(MAX(0,($O58-$D58)*'Your Pay &amp; Benefits'!$C$8-(IF($AU58="Married",5500,5000)+1000*$AS58))-INDEX('How This Works &amp; Sources'!$B$184:$J$198,0,4))*INDEX('How This Works &amp; Sources'!$B$184:$J$198,0,4+2))/'Your Pay &amp; Benefits'!$C$8+0.0425*$D58,2),0)+IF('Your Pay &amp; Benefits'!$C$79="Resident",ROUND(0.1675*$T58,2),IF('Your Pay &amp; Benefits'!$C$79="Nonresident",ROUND(0.005*MAX(0,($O58-$D58)-(IF($AU58="Married",7950,7400)+1000*$AS58)/'Your Pay &amp; Benefits'!$C$8),2),0)),IF($AN58="PA",IF('Your Pay &amp; Benefits'!$C$80="None",'Your Pay &amp; Benefits'!$C$27+ROUND('Your Pay &amp; Benefits'!$C$81*($C58+$D58),2),ROUND(IF('Your Pay &amp; Benefits'!$C$80="Resident",IF($B58&lt;DATE(2026,7,1),0.0374,0.03735),IF($B58&lt;DATE(2026,7,1),0.0343,0.03425))*($C58+$D58),2)),IF($BF58=0,ROUND('Your Pay &amp; Benefits'!$C$81*($C58+$D58),2),'Your Pay &amp; Benefits'!$C$27+ROUND('Your Pay &amp; Benefits'!$C$81*($C58+$D58),2)))))</f>
      </c>
      <c r="W58" s="7">
        <f>IF($B58="","",IF($BF58=0,0,$BP58))</f>
      </c>
      <c r="X58" s="7">
        <f>IF($B58="","",SUM($E58:$K58)+$P58+$Q58+$R58+$S58+$T58+$U58+$V58+$W58)</f>
      </c>
      <c r="Y58" s="22">
        <f>IF($B58="","",$C58+$D58-$X58)</f>
      </c>
      <c r="Z58" s="7">
        <f>IF($B58="","",$Z57+$C58+$D58)</f>
      </c>
      <c r="AA58" s="7">
        <f>IF($B58="","",$AA57+$Y58)</f>
      </c>
      <c r="AB58" s="7">
        <f>IF($B58="","",$AB57+MIN($N58,MAX(0,'How This Works &amp; Sources'!$C$3-($AX58+$AB57-$AW58))))</f>
      </c>
      <c r="AC58" s="7">
        <f>IF($B58="","",$AC57+$E58+$F58)</f>
      </c>
      <c r="AD58" s="3">
        <f>IF($B58="","",IF(AND($AB57&lt;'How This Works &amp; Sources'!$C$3,$AB58&gt;='How This Works &amp; Sources'!$C$3),"★ Social Security maxed on this check — from the next check your net rises by about $"&amp;TEXT(ROUND('How This Works &amp; Sources'!$C$4*$N58,2),"#,##0.00")&amp;". ","")&amp;IF(AND($AC57&lt;'Your Pay &amp; Benefits'!$C$34,$AC58&gt;='Your Pay &amp; Benefits'!$C$34),"★ 401(k) reaches the $"&amp;TEXT('Your Pay &amp; Benefits'!$C$34,"#,##0")&amp;" cap on this check — deferrals stop and net pay rises. ","")&amp;IF(AND($AG57&lt;'How This Works &amp; Sources'!$C$7,$AG58&gt;='How This Works &amp; Sources'!$C$7),"★ Wages pass $200,000 — the 0.9% Additional Medicare Tax starts here. ","")&amp;IF(AND($BJ58&gt;0,$H58&gt;0,$BG57&lt;MIN($BJ58,'How This Works &amp; Sources'!$C$13),$BG57+$H58&gt;=MIN($BJ58,'How This Works &amp; Sources'!$C$13)),"★ Health FSA election is now fully deferred for the year. ",""))</f>
      </c>
      <c r="AE58" s="41" t="n"/>
      <c r="AF58" s="7">
        <f>IF(OR($B58="",$AE58=""),"",$AE58-$Y58)</f>
      </c>
      <c r="AG58" s="7">
        <f>IF($B58="","",$AG57+$N58)</f>
      </c>
      <c r="AH58" s="7">
        <f>IF($B58="","",MAX(0,($M58-$D58)*'Your Pay &amp; Benefits'!$C$8+$AP58-$AQ58-IF('Your Pay &amp; Benefits'!$C$13,0,IF('Your Pay &amp; Benefits'!$C$12="MFJ",'How This Works &amp; Sources'!$C$8,'How This Works &amp; Sources'!$C$9))))</f>
      </c>
      <c r="AI58" s="7">
        <f>IF($B58="","",$O58*'Your Pay &amp; Benefits'!$C$8)</f>
      </c>
      <c r="AJ58" s="7">
        <f>IF($B58="","",MAX(0,$AI58-VLOOKUP($AN58,StateTables!$A$6:$AB$56,12,FALSE)*$AT58-IF(($AS58+$AT58)&gt;=2,VLOOKUP($AN58,StateTables!$A$6:$AB$56,8,FALSE),VLOOKUP($AN58,StateTables!$A$6:$AB$56,7,FALSE))))</f>
      </c>
      <c r="AK58" s="7">
        <f>IF($B58="","",IFERROR(LOOKUP(2,1/(('Changes &amp; Events'!$C$6:$C$17="Salary change")*('Changes &amp; Events'!$B$6:$B$17&lt;=$B58)*('Changes &amp; Events'!$B$6:$B$17&lt;&gt;"")),'Changes &amp; Events'!$D$6:$D$17),IF('Your Pay &amp; Benefits'!$C$4="Annual salary",'Your Pay &amp; Benefits'!$C$5,'Your Pay &amp; Benefits'!$C$6)))</f>
      </c>
      <c r="AL58">
        <f>IF($B58="","",IFERROR(LOOKUP(2,1/(('Changes &amp; Events'!$C$6:$C$17="401(k) change")*('Changes &amp; Events'!$B$6:$B$17&lt;=$B58)*('Changes &amp; Events'!$B$6:$B$17&lt;&gt;"")),'Changes &amp; Events'!$D$6:$D$17),'Your Pay &amp; Benefits'!$C$30))</f>
      </c>
      <c r="AM58" s="7">
        <f>IF($B58="","",IFERROR(LOOKUP(2,1/(('Changes &amp; Events'!$C$6:$C$17="401(k) change")*('Changes &amp; Events'!$B$6:$B$17&lt;=$B58)*('Changes &amp; Events'!$B$6:$B$17&lt;&gt;"")),'Changes &amp; Events'!$E$6:$E$17),'Your Pay &amp; Benefits'!$D$31))</f>
      </c>
      <c r="AN58">
        <f>IF($B58="","",IFERROR(LOOKUP(2,1/(('Changes &amp; Events'!$C$6:$C$17="State move")*('Changes &amp; Events'!$B$6:$B$17&lt;=$B58)*('Changes &amp; Events'!$B$6:$B$17&lt;&gt;"")),'Changes &amp; Events'!$D$6:$D$17),'Your Pay &amp; Benefits'!$C$21))</f>
      </c>
      <c r="AO58" s="7">
        <f>IF($B58="","",IFERROR(LOOKUP(2,1/(('Changes &amp; Events'!$C$6:$C$17="W-4 change")*('Changes &amp; Events'!$B$6:$B$17&lt;=$B58)*('Changes &amp; Events'!$B$6:$B$17&lt;&gt;"")),'Changes &amp; Events'!$D$6:$D$17),'Your Pay &amp; Benefits'!$C$14))</f>
      </c>
      <c r="AP58" s="7">
        <f>IF($B58="","",IFERROR(LOOKUP(2,1/(('Changes &amp; Events'!$C$6:$C$17="W-4 change")*('Changes &amp; Events'!$B$6:$B$17&lt;=$B58)*('Changes &amp; Events'!$B$6:$B$17&lt;&gt;"")),'Changes &amp; Events'!$E$6:$E$17),'Your Pay &amp; Benefits'!$C$15))</f>
      </c>
      <c r="AQ58" s="7">
        <f>IF($B58="","",IFERROR(LOOKUP(2,1/(('Changes &amp; Events'!$C$6:$C$17="W-4 change")*('Changes &amp; Events'!$B$6:$B$17&lt;=$B58)*('Changes &amp; Events'!$B$6:$B$17&lt;&gt;"")),'Changes &amp; Events'!$F$6:$F$17),'Your Pay &amp; Benefits'!$C$16))</f>
      </c>
      <c r="AR58" s="7">
        <f>IF($B58="","",IFERROR(LOOKUP(2,1/(('Changes &amp; Events'!$C$6:$C$17="W-4 change")*('Changes &amp; Events'!$B$6:$B$17&lt;=$B58)*('Changes &amp; Events'!$B$6:$B$17&lt;&gt;"")),'Changes &amp; Events'!$G$6:$G$17),'Your Pay &amp; Benefits'!$C$17))</f>
      </c>
      <c r="AS58" s="6">
        <f>IF($B58="","",IFERROR(LOOKUP(2,1/((('Changes &amp; Events'!$C$6:$C$17="State move")+('Changes &amp; Events'!$C$6:$C$17="State cert change"))*('Changes &amp; Events'!$B$6:$B$17&lt;=$B58)*('Changes &amp; Events'!$B$6:$B$17&lt;&gt;"")),'Changes &amp; Events'!$F$6:$F$17),'Your Pay &amp; Benefits'!$C$23))</f>
      </c>
      <c r="AT58" s="6">
        <f>IF($B58="","",IFERROR(LOOKUP(2,1/((('Changes &amp; Events'!$C$6:$C$17="State move")+('Changes &amp; Events'!$C$6:$C$17="State cert change"))*('Changes &amp; Events'!$B$6:$B$17&lt;=$B58)*('Changes &amp; Events'!$B$6:$B$17&lt;&gt;"")),'Changes &amp; Events'!$G$6:$G$17),'Your Pay &amp; Benefits'!$C$24))</f>
      </c>
      <c r="AU58">
        <f>IF($B58="","",IFERROR(LOOKUP(2,1/(('Changes &amp; Events'!$C$6:$C$17="State move")*('Changes &amp; Events'!$B$6:$B$17&lt;=$B58)*('Changes &amp; Events'!$B$6:$B$17&lt;&gt;"")),'Changes &amp; Events'!$E$6:$E$17),'Your Pay &amp; Benefits'!$C$22))</f>
      </c>
      <c r="AV58" s="6">
        <f>IF($B58="","",1+COUNTIFS('Changes &amp; Events'!$C$6:$C$17,"Employer change",'Changes &amp; Events'!$B$6:$B$17,"&lt;="&amp;$B58,'Changes &amp; Events'!$B$6:$B$17,"&lt;&gt;"))</f>
      </c>
      <c r="AW58" s="7">
        <f>IF($B58="","",IF($AV58=1,'Your Pay &amp; Benefits'!$C$49,IF(IFERROR(MATCH(IFERROR(LOOKUP(2,1/(('Changes &amp; Events'!$C$6:$C$17="Employer change")*('Changes &amp; Events'!$B$6:$B$17&lt;=$B58)*('Changes &amp; Events'!$B$6:$B$17&lt;&gt;"")),'Changes &amp; Events'!$B$6:$B$17),""),$B$6:$B$68,1),1)&lt;=1,'Your Pay &amp; Benefits'!$C$49,INDEX($AB$6:$AB$68,MATCH(IFERROR(LOOKUP(2,1/(('Changes &amp; Events'!$C$6:$C$17="Employer change")*('Changes &amp; Events'!$B$6:$B$17&lt;=$B58)*('Changes &amp; Events'!$B$6:$B$17&lt;&gt;"")),'Changes &amp; Events'!$B$6:$B$17),""),$B$6:$B$68,1)-1))))</f>
      </c>
      <c r="AX58" s="7">
        <f>IF($B58="","",IF($AV58=1,'Your Pay &amp; Benefits'!$C$49,IFERROR(LOOKUP(2,1/(('Changes &amp; Events'!$C$6:$C$17="Employer change")*('Changes &amp; Events'!$B$6:$B$17&lt;=$B58)*('Changes &amp; Events'!$B$6:$B$17&lt;&gt;"")),'Changes &amp; Events'!$D$6:$D$17),0)))</f>
      </c>
      <c r="AY58" s="7">
        <f>IF($B58="","",($O58-$D58)*'Your Pay &amp; Benefits'!$C$8)</f>
      </c>
      <c r="AZ58" s="7">
        <f>IF($B58="","",IF($AN58="AL",MAX(0,$AY58-IF($AU58="Married",IF($AY58&lt;=25999,8500,MAX(5000,8500-175*CEILING(($AY58-25999)/500,1))),IF($AU58="Head of household",IF($AY58&lt;=25999,5200,MAX(2500,5200-135*CEILING(($AY58-25999)/500,1))),IF($AY58&lt;=25999,3000,MAX(2500,3000-25*CEILING(($AY58-25999)/500,1)))))-($P58-'How This Works &amp; Sources'!$C$10*$D58)*'Your Pay &amp; Benefits'!$C$8-IF(OR($AU58="Married",$AU58="Head of household"),3000,1500)-$AT58*IF($AY58&lt;=50000,1000,IF($AY58&lt;=100000,500,300))),IF($AN58="AR",IF(MAX(0,$AY58-2470)&lt;97701,INT(MAX(0,$AY58-2470)/100)*100+50,MAX(0,$AY58-2470)),IF($AN58="DE",MAX(0,$AI58-3250),IF($AN58="HI",MAX(0,$AI58-1144*$AS58-4350),IF($AN58="KS",MAX(0,$AI58-(9160*IF($AU58="Married",2,1)+2320*$AT58+IF($AU58="Head of household",2320,0))),IF($AN58="MD",MAX(0,$AI58-3400-3200*$AS58),IF($AN58="MN",MAX(0,$AY58-5300*$AS58),IF($AN58="MO",MAX(0,$AI58-IF($AU58="Head of household",24150,IF($AU58="Married",IF('Your Pay &amp; Benefits'!$C$83,16100,32200),16100))),IF($AN58="MT",$AY58,IF($AN58="ND",($C58+$L58)*'Your Pay &amp; Benefits'!$C$8,IF($AN58="NE",MAX(0,$AY58-2440*$AS58),IF($AN58="NJ",MAX(0,$AY58-1000*$AS58),IF($AN58="NY",MAX(0,$AY58-(IF($AU58="Married",7950,7400)+1000*$AS58)),IF($AN58="OH",MAX(0,$AY58-650*$AS58),IF($AN58="OK",MAX(0,$AY58-1000*$AS58),IF($AN58="RI",MAX(0,$AI58-1000*$AS58),IF($AN58="SC",MAX(0,$AI58-5000*$AS58-IF($AS58=0,0,MIN(0.1*$AI58,7500))),IF($AN58="VA",MAX(0,$AI58-IF($AU58="Married",17500,8750)-930*$AS58-800*$AT58),IF($AN58="VT",MAX(0,$AI58-5400*$AS58),IF($AN58="WI",MAX(0,$AI58-MAX(0,IF($AU58="Married",9461-0.2*MAX(0,$AI58-25727),6702-0.12*MAX(0,$AI58-17780)))-400*$AS58),IF($AN58="WV",MAX(0,$AI58-2000*$AS58),$AI58))))))))))))))))))))))</f>
      </c>
      <c r="BA58" s="7">
        <f>IF($B58="","",IF($BW58&lt;&gt;"",$BW58,IF($BX58&lt;&gt;"",$BX58,IF($BY58&lt;&gt;"",$BY58,0))))</f>
      </c>
      <c r="BB58" s="7">
        <f>IF($B58="","",IF($AN58="AR",-29*$AS58,IF($AN58="DE",-110*$AS58,IF($AN58="MD",$AZ58*'Your Pay &amp; Benefits'!$C$74,IF($AN58="AZ",'Your Pay &amp; Benefits'!$C$82*($M58-$D58)*'Your Pay &amp; Benefits'!$C$8,IF($AN58="CO",0.044*MAX(0,$AY58-IF($AU58="Married",10000,5000)),IF($AN58="IA",MAX(0,0.038*MAX(0,$AY58-IF($AU58="Head of household",19500,IF($AU58="Married",26000,13000)))-40*$AS58),IF($AN58="ID",0.053*MAX(0,$AY58-IF($AU58="Married",32000,16094)),IF($AN58="IL",0.0495*MAX(0,$AY58-(2925*$AS58+1000*$AT58)),IF($AN58="IN",(0.0295+'Your Pay &amp; Benefits'!$C$76)*MAX(0,$AY58-(1000*$AS58+1500*$AT58+3000*'Your Pay &amp; Benefits'!$C$86)),IF($AN58="KY",0.035*MAX(0,$AI58-3360),IF($AN58="LA",IF('Your Pay &amp; Benefits'!$C$84="0",0.0309*$AI58,0.0309*MAX(0,$AI58-IF('Your Pay &amp; Benefits'!$C$84="2",25750,12875))),IF($AN58="MA",0.05*MIN(MAX(0,$AY58-MIN(($BD57+$Q58+$R58+$S58),2000)-IF($AS58=0,0,IF($AS58=1,4400,1000*$AS58+3400))),1107750)+0.09*MAX(0,MAX(0,$AY58-MIN(($BD57+$Q58+$R58+$S58),2000)-IF($AS58=0,0,IF($AS58=1,4400,1000*$AS58+3400)))-1107750)-IF($AU58="Head of household",120,0)-110*'Your Pay &amp; Benefits'!$C$75,IF($AN58="MI",0.0425*MAX(0,$AY58-5900*$AS58),IF($AN58="MS",0.04*MAX(0,$AI58-IF($AU58="Head of household",3400,IF($AU58="Married",4600,2300))-'Your Pay &amp; Benefits'!$C$85-10000),IF($AN58="OR",IF(OR($AU58="Married",AND($AU58="Single",$AS58&gt;=3)),SUMPRODUCT((MAX(0,$AY58-MIN(($P58-'How This Works &amp; Sources'!$C$10*$D58)*'Your Pay &amp; Benefits'!$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Sources'!$B$211:$J$214,0,4))*(MAX(0,$AY58-MIN(($P58-'How This Works &amp; Sources'!$C$10*$D58)*'Your Pay &amp; Benefits'!$C$8,IF(OR($AU58="Married",AND($AU58="Single",$AS58&gt;=3)),IF($AY58&lt;250000,8750,IF($AY58&lt;260000,7000,IF($AY58&lt;270000,5250,IF($AY58&lt;280000,3500,IF($AY58&lt;290000,1750,0))))),IF($AY58&lt;125000,8750,IF($AY58&lt;130000,7000,IF($AY58&lt;135000,5250,IF($AY58&lt;140000,3500,IF($AY58&lt;145000,1750,0)))))))-IF(OR($AU58="Married",AND($AU58="Single",$AS58&gt;=3)),5820,2910))-INDEX('How This Works &amp; Sources'!$B$211:$J$214,0,4))*INDEX('How This Works &amp; Sources'!$B$211:$J$214,0,4+2)),SUMPRODUCT((MAX(0,$AY58-MIN(($P58-'How This Works &amp; Sources'!$C$10*$D58)*'Your Pay &amp; Benefits'!$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Sources'!$B$211:$J$214,0,1))*(MAX(0,$AY58-MIN(($P58-'How This Works &amp; Sources'!$C$10*$D58)*'Your Pay &amp; Benefits'!$C$8,IF(OR($AU58="Married",AND($AU58="Single",$AS58&gt;=3)),IF($AY58&lt;250000,8750,IF($AY58&lt;260000,7000,IF($AY58&lt;270000,5250,IF($AY58&lt;280000,3500,IF($AY58&lt;290000,1750,0))))),IF($AY58&lt;125000,8750,IF($AY58&lt;130000,7000,IF($AY58&lt;135000,5250,IF($AY58&lt;140000,3500,IF($AY58&lt;145000,1750,0)))))))-IF(OR($AU58="Married",AND($AU58="Single",$AS58&gt;=3)),5820,2910))-INDEX('How This Works &amp; Sources'!$B$211:$J$214,0,1))*INDEX('How This Works &amp; Sources'!$B$211:$J$214,0,1+2)))+263-263*IF(IF($AU58="Married",$AY58&gt;200000,$AY58&gt;100000),0,$AS58),IF($AN58="PA",0.0307*(($O58+$E58+$G58)*'Your Pay &amp; Benefits'!$C$8),IF($AN58="NY",IF($AU58="Married",IF($AZ58&gt;=2155350,0,IF($AZ58&gt;=1077550,0.48,IF($AZ58&gt;=373200,1.21,IF($AZ58&gt;=323200,0.21,IF($AZ58&gt;=211550,-0.19,IF($AZ58&gt;=157650,-2.8,IF($AZ58&gt;=107650,-0.8,IF($AZ58&gt;=96800,0.05,IF($AZ58&gt;=80650,-0.1,IF($AZ58&gt;=13900,0.4,IF($AZ58&gt;=11700,-0.3,IF($AZ58&gt;=8500,0.5,0)))))))))))),IF($AZ58&gt;=1077550,0,IF($AZ58&gt;=265400,4.29,IF($AZ58&gt;=215400,2.29,IF($AZ58&gt;=157650,2.29,IF($AZ58&gt;=107650,0.29,IF($AZ58&gt;=96800,0.05,IF($AZ58&gt;=80650,-0.1,IF($AZ58&gt;=13900,0.4,IF($AZ58&gt;=11700,-0.3,IF($AZ58&gt;=8500,0.5,0))))))))))),0))))))))))))))))))</f>
      </c>
      <c r="BC58" s="7">
        <f>IF($B58="","",IF($AN58="AL",0.05*$D58,IF($AN58="AR",0.039*$D58,IF($AN58="ID",0.053*$D58,IF($AN58="IN",(0.0295+'Your Pay &amp; Benefits'!$C$76)*$D58,IF($AN58="KS",0.05*$D58,IF($AN58="MA",0.09*MIN($D58,MAX(0,MAX(0,$AY58-MIN(($BD57+$Q58+$R58+$S58),2000)-IF($AS58=0,0,IF($AS58=1,4400,1000*$AS58+3400)))+$D58-1107750))+0.05*($D58-MIN($D58,MAX(0,MAX(0,$AY58-MIN(($BD57+$Q58+$R58+$S58),2000)-IF($AS58=0,0,IF($AS58=1,4400,1000*$AS58+3400)))+$D58-1107750))),IF($AN58="MD",(0.065+'Your Pay &amp; Benefits'!$C$74)*$D58,IF($AN58="MI",0.0425*$D58,IF($AN58="MN",0.0625*$D58,IF($AN58="MO",0.047*$D58,IF($AN58="MT",0.05*$D58,IF($AN58="ND",0.015*$D58,IF($AN58="NE",0.035*$D58,IF($AN58="NJ",IF('Your Pay &amp; Benefits'!$C$77="B",SUMPRODUCT(($D58*'Your Pay &amp; Benefits'!$C$8&gt;INDEX('How This Works &amp; Sources'!$B$155:$J$162,0,4))*($D58*'Your Pay &amp; Benefits'!$C$8-INDEX('How This Works &amp; Sources'!$B$155:$J$162,0,4))*INDEX('How This Works &amp; Sources'!$B$155:$J$162,0,4+2)),IF('Your Pay &amp; Benefits'!$C$77="C",SUMPRODUCT(($D58*'Your Pay &amp; Benefits'!$C$8&gt;INDEX('How This Works &amp; Sources'!$B$155:$J$162,0,7))*($D58*'Your Pay &amp; Benefits'!$C$8-INDEX('How This Works &amp; Sources'!$B$155:$J$162,0,7))*INDEX('How This Works &amp; Sources'!$B$155:$J$162,0,7+2)),IF('Your Pay &amp; Benefits'!$C$77="D",SUMPRODUCT(($D58*'Your Pay &amp; Benefits'!$C$8&gt;INDEX('How This Works &amp; Sources'!$B$167:$J$179,0,1))*($D58*'Your Pay &amp; Benefits'!$C$8-INDEX('How This Works &amp; Sources'!$B$167:$J$179,0,1))*INDEX('How This Works &amp; Sources'!$B$167:$J$179,0,1+2)),IF('Your Pay &amp; Benefits'!$C$77="E",SUMPRODUCT(($D58*'Your Pay &amp; Benefits'!$C$8&gt;INDEX('How This Works &amp; Sources'!$B$167:$J$179,0,4))*($D58*'Your Pay &amp; Benefits'!$C$8-INDEX('How This Works &amp; Sources'!$B$167:$J$179,0,4))*INDEX('How This Works &amp; Sources'!$B$167:$J$179,0,4+2)),SUMPRODUCT(($D58*'Your Pay &amp; Benefits'!$C$8&gt;INDEX('How This Works &amp; Sources'!$B$155:$J$162,0,1))*($D58*'Your Pay &amp; Benefits'!$C$8-INDEX('How This Works &amp; Sources'!$B$155:$J$162,0,1))*INDEX('How This Works &amp; Sources'!$B$155:$J$162,0,1+2))))))/'Your Pay &amp; Benefits'!$C$8,IF($AN58="NY",0.117*$D58,IF($AN58="OH",0.0275*$D58,IF($AN58="OK",0.045*$D58,IF($AN58="OR",0.08*$D58,IF($AN58="WI",IF($AY58&lt;12760,0.0354,IF($AY58&lt;25520,0.0465,IF($AY58&lt;280950,0.053,0.0765)))*$D58,0))))))))))))))))))))</f>
      </c>
      <c r="BD58" s="7">
        <f>IF($B58="","",$BD57+$Q58+$R58+$S58)</f>
      </c>
      <c r="BE58" s="6">
        <f>IF($B58="",$BE57,$BE57+$BF58)</f>
      </c>
      <c r="BF58" s="6">
        <f>IF($B58="","",IF(AND(IF(YEAR(IF('Your Pay &amp; Benefits'!$C$7="Weekly",'Your Pay &amp; Benefits'!$C$9+7*(($BE57+1)-1),IF('Your Pay &amp; Benefits'!$C$7="Biweekly",'Your Pay &amp; Benefits'!$C$9+14*(($BE57+1)-1),IF('Your Pay &amp; Benefits'!$C$7="Semimonthly",DATE(YEAR('Your Pay &amp; Benefits'!$C$9),MONTH('Your Pay &amp; Benefits'!$C$9)+INT((($BE57+1)-1)/2),MIN(DAY('Your Pay &amp; Benefits'!$C$9),DAY(EOMONTH(DATE(YEAR('Your Pay &amp; Benefits'!$C$9),MONTH('Your Pay &amp; Benefits'!$C$9)+INT((($BE57+1)-1)/2),1),0))))+IF(MOD(($BE57+1)-1,2)=1,15,0),EDATE('Your Pay &amp; Benefits'!$C$9,($BE57+1)-1)))))&lt;&gt;'Your Pay &amp; Benefits'!$C$10,"",IF('Your Pay &amp; Benefits'!$C$7="Weekly",'Your Pay &amp; Benefits'!$C$9+7*(($BE57+1)-1),IF('Your Pay &amp; Benefits'!$C$7="Biweekly",'Your Pay &amp; Benefits'!$C$9+14*(($BE57+1)-1),IF('Your Pay &amp; Benefits'!$C$7="Semimonthly",DATE(YEAR('Your Pay &amp; Benefits'!$C$9),MONTH('Your Pay &amp; Benefits'!$C$9)+INT((($BE57+1)-1)/2),MIN(DAY('Your Pay &amp; Benefits'!$C$9),DAY(EOMONTH(DATE(YEAR('Your Pay &amp; Benefits'!$C$9),MONTH('Your Pay &amp; Benefits'!$C$9)+INT((($BE57+1)-1)/2),1),0))))+IF(MOD(($BE57+1)-1,2)=1,15,0),EDATE('Your Pay &amp; Benefits'!$C$9,($BE57+1)-1)))))&lt;&gt;"",$B58=IF(YEAR(IF('Your Pay &amp; Benefits'!$C$7="Weekly",'Your Pay &amp; Benefits'!$C$9+7*(($BE57+1)-1),IF('Your Pay &amp; Benefits'!$C$7="Biweekly",'Your Pay &amp; Benefits'!$C$9+14*(($BE57+1)-1),IF('Your Pay &amp; Benefits'!$C$7="Semimonthly",DATE(YEAR('Your Pay &amp; Benefits'!$C$9),MONTH('Your Pay &amp; Benefits'!$C$9)+INT((($BE57+1)-1)/2),MIN(DAY('Your Pay &amp; Benefits'!$C$9),DAY(EOMONTH(DATE(YEAR('Your Pay &amp; Benefits'!$C$9),MONTH('Your Pay &amp; Benefits'!$C$9)+INT((($BE57+1)-1)/2),1),0))))+IF(MOD(($BE57+1)-1,2)=1,15,0),EDATE('Your Pay &amp; Benefits'!$C$9,($BE57+1)-1)))))&lt;&gt;'Your Pay &amp; Benefits'!$C$10,"",IF('Your Pay &amp; Benefits'!$C$7="Weekly",'Your Pay &amp; Benefits'!$C$9+7*(($BE57+1)-1),IF('Your Pay &amp; Benefits'!$C$7="Biweekly",'Your Pay &amp; Benefits'!$C$9+14*(($BE57+1)-1),IF('Your Pay &amp; Benefits'!$C$7="Semimonthly",DATE(YEAR('Your Pay &amp; Benefits'!$C$9),MONTH('Your Pay &amp; Benefits'!$C$9)+INT((($BE57+1)-1)/2),MIN(DAY('Your Pay &amp; Benefits'!$C$9),DAY(EOMONTH(DATE(YEAR('Your Pay &amp; Benefits'!$C$9),MONTH('Your Pay &amp; Benefits'!$C$9)+INT((($BE57+1)-1)/2),1),0))))+IF(MOD(($BE57+1)-1,2)=1,15,0),EDATE('Your Pay &amp; Benefits'!$C$9,($BE57+1)-1)))))),1,0))</f>
      </c>
      <c r="BG58" s="7">
        <f>IF($B58="","",$BG57+$H58)</f>
      </c>
      <c r="BH58" s="7">
        <f>IF($B58="","",$BH57+$I58)</f>
      </c>
      <c r="BI58" s="7">
        <f>IF($B58="","",$BI57+$G58)</f>
      </c>
      <c r="BJ58" s="7">
        <f>IF($B58="","",IFERROR(LOOKUP(2,1/(((('Changes &amp; Events'!$C$6:$C$17="Deduction start"))*('Changes &amp; Events'!$D$6:$D$17="Health FSA"))*('Changes &amp; Events'!$B$6:$B$17&lt;=$B58)*('Changes &amp; Events'!$B$6:$B$17&lt;&gt;"")),'Changes &amp; Events'!$E$6:$E$17),'Your Pay &amp; Benefits'!$D$38))</f>
      </c>
      <c r="BK58" s="7">
        <f>IF($B58="","",IFERROR(LOOKUP(2,1/(((('Changes &amp; Events'!$C$6:$C$17="Deduction start"))*('Changes &amp; Events'!$D$6:$D$17="Dependent-care FSA"))*('Changes &amp; Events'!$B$6:$B$17&lt;=$B58)*('Changes &amp; Events'!$B$6:$B$17&lt;&gt;"")),'Changes &amp; Events'!$E$6:$E$17),'Your Pay &amp; Benefits'!$D$39))</f>
      </c>
      <c r="BL58" s="7">
        <f>IF($B58="","",IFERROR(LOOKUP(2,1/(((('Changes &amp; Events'!$C$6:$C$17="Deduction start")+('Changes &amp; Events'!$C$6:$C$17="Deduction stop"))*('Changes &amp; Events'!$D$6:$D$17="HSA"))*('Changes &amp; Events'!$B$6:$B$17&lt;=$B58)*('Changes &amp; Events'!$B$6:$B$17&lt;&gt;"")),'Changes &amp; Events'!$I$6:$I$17),'Your Pay &amp; Benefits'!$D$35))</f>
      </c>
      <c r="BM58" s="7">
        <f>IF($B58="","",IFERROR(LOOKUP(2,1/(((('Changes &amp; Events'!$C$6:$C$17="Deduction start")+('Changes &amp; Events'!$C$6:$C$17="Deduction stop"))*('Changes &amp; Events'!$D$6:$D$17="Premiums"))*('Changes &amp; Events'!$B$6:$B$17&lt;=$B58)*('Changes &amp; Events'!$B$6:$B$17&lt;&gt;"")),'Changes &amp; Events'!$I$6:$I$17),'Your Pay &amp; Benefits'!$D$40+'Your Pay &amp; Benefits'!$D$41+'Your Pay &amp; Benefits'!$D$42))</f>
      </c>
      <c r="BN58" s="7">
        <f>IF($B58="","",IFERROR(LOOKUP(2,1/(((('Changes &amp; Events'!$C$6:$C$17="Deduction start")+('Changes &amp; Events'!$C$6:$C$17="Deduction stop"))*('Changes &amp; Events'!$D$6:$D$17="Commuter"))*('Changes &amp; Events'!$B$6:$B$17&lt;=$B58)*('Changes &amp; Events'!$B$6:$B$17&lt;&gt;"")),'Changes &amp; Events'!$I$6:$I$17),'Your Pay &amp; Benefits'!$D$43))</f>
      </c>
      <c r="BO58" s="7">
        <f>IF($B58="","",IFERROR(LOOKUP(2,1/(((('Changes &amp; Events'!$C$6:$C$17="Deduction start")+('Changes &amp; Events'!$C$6:$C$17="Deduction stop"))*('Changes &amp; Events'!$D$6:$D$17="Other pre-tax"))*('Changes &amp; Events'!$B$6:$B$17&lt;=$B58)*('Changes &amp; Events'!$B$6:$B$17&lt;&gt;"")),'Changes &amp; Events'!$I$6:$I$17),'Your Pay &amp; Benefits'!$D$44))</f>
      </c>
      <c r="BP58" s="7">
        <f>IF($B58="","",IFERROR(LOOKUP(2,1/(((('Changes &amp; Events'!$C$6:$C$17="Deduction start")+('Changes &amp; Events'!$C$6:$C$17="Deduction stop"))*('Changes &amp; Events'!$D$6:$D$17="Other post-tax"))*('Changes &amp; Events'!$B$6:$B$17&lt;=$B58)*('Changes &amp; Events'!$B$6:$B$17&lt;&gt;"")),'Changes &amp; Events'!$I$6:$I$17),'Your Pay &amp; Benefits'!$D$45))</f>
      </c>
      <c r="BQ58" s="6">
        <f>IF($B58="","",IFERROR(LOOKUP(2,1/(((('Changes &amp; Events'!$C$6:$C$17="Deduction start")+('Changes &amp; Events'!$C$6:$C$17="Deduction stop"))*('Changes &amp; Events'!$D$6:$D$17="Health FSA"))*('Changes &amp; Events'!$B$6:$B$17&lt;=$B58)*('Changes &amp; Events'!$B$6:$B$17&lt;&gt;"")),'Changes &amp; Events'!$J$6:$J$17),0))</f>
      </c>
      <c r="BR58" s="6">
        <f>IF($B58="","",IFERROR(LOOKUP(2,1/(((('Changes &amp; Events'!$C$6:$C$17="Deduction start")+('Changes &amp; Events'!$C$6:$C$17="Deduction stop"))*('Changes &amp; Events'!$D$6:$D$17="Dependent-care FSA"))*('Changes &amp; Events'!$B$6:$B$17&lt;=$B58)*('Changes &amp; Events'!$B$6:$B$17&lt;&gt;"")),'Changes &amp; Events'!$J$6:$J$17),0))</f>
      </c>
      <c r="BS58" s="6">
        <f>IF($B58="","",IF(SUMPRODUCT(('Changes &amp; Events'!$C$6:$C$17="Deduction start")*('Changes &amp; Events'!$B$6:$B$17&lt;=$B58)*('Changes &amp; Events'!$B$6:$B$17&lt;&gt;"")*('Changes &amp; Events'!$D$6:$D$17="Health FSA"))&gt;0,1,0))</f>
      </c>
      <c r="BT58" s="6">
        <f>IF($B58="","",IF(SUMPRODUCT(('Changes &amp; Events'!$C$6:$C$17="Deduction start")*('Changes &amp; Events'!$B$6:$B$17&lt;=$B58)*('Changes &amp; Events'!$B$6:$B$17&lt;&gt;"")*('Changes &amp; Events'!$D$6:$D$17="Dependent-care FSA"))&gt;0,1,0))</f>
      </c>
      <c r="BU58" s="24">
        <f>IF($B58="","",IF('Your Pay &amp; Benefits'!$C$13,SUMPRODUCT(($AH58&gt;=INDEX('How This Works &amp; Sources'!$B$29:$J$36,0,IF('Your Pay &amp; Benefits'!$C$12="MFJ",1,IF('Your Pay &amp; Benefits'!$C$12="HoH",7,4))))*INDEX('How This Works &amp; Sources'!$B$29:$J$36,0,IF('Your Pay &amp; Benefits'!$C$12="MFJ",1,IF('Your Pay &amp; Benefits'!$C$12="HoH",7,4))+2)),SUMPRODUCT(($AH58&gt;=INDEX('How This Works &amp; Sources'!$B$19:$J$26,0,IF('Your Pay &amp; Benefits'!$C$12="MFJ",1,IF('Your Pay &amp; Benefits'!$C$12="HoH",7,4))))*INDEX('How This Works &amp; Sources'!$B$19:$J$26,0,IF('Your Pay &amp; Benefits'!$C$12="MFJ",1,IF('Your Pay &amp; Benefits'!$C$12="HoH",7,4))+2))))</f>
      </c>
      <c r="BV58" s="24">
        <f>IF($B58="","",IF($BZ58&lt;&gt;"",$BZ58,IF($CA58&lt;&gt;"",$CA58,IF($CB58&lt;&gt;"",$CB58,IF($CC58&lt;&gt;"",$CC58,0)))))</f>
      </c>
      <c r="BW58" s="7">
        <f>IF($B58="","",IF($AN58="MD",IF(OR($AU58="Married",$AU58="Head of household"),SUMPRODUCT(($AZ58&gt;INDEX('How This Works &amp; Sources'!$B$114:$J$120,0,1))*($AZ58-INDEX('How This Works &amp; Sources'!$B$114:$J$120,0,1))*INDEX('How This Works &amp; Sources'!$B$114:$J$120,0,1+2)),SUMPRODUCT(($AZ58&gt;INDEX('How This Works &amp; Sources'!$B$103:$J$109,0,7))*($AZ58-INDEX('How This Works &amp; Sources'!$B$103:$J$109,0,7))*INDEX('How This Works &amp; Sources'!$B$103:$J$109,0,7+2))),IF($AN58="MO",SUMPRODUCT(($AZ58&gt;INDEX('How This Works &amp; Sources'!$B$125:$J$132,0,1))*($AZ58-INDEX('How This Works &amp; Sources'!$B$125:$J$132,0,1))*INDEX('How This Works &amp; Sources'!$B$125:$J$132,0,1+2)),IF($AN58="MT",IF($AU58="Head of household",SUMPRODUCT(($AZ58&gt;INDEX('How This Works &amp; Sources'!$B$137:$J$139,0,1))*($AZ58-INDEX('How This Works &amp; Sources'!$B$137:$J$139,0,1))*INDEX('How This Works &amp; Sources'!$B$137:$J$139,0,1+2)),IF($AU58="Married",SUMPRODUCT(($AZ58&gt;INDEX('How This Works &amp; Sources'!$B$125:$J$132,0,7))*($AZ58-INDEX('How This Works &amp; Sources'!$B$125:$J$132,0,7))*INDEX('How This Works &amp; Sources'!$B$125:$J$132,0,7+2)),SUMPRODUCT(($AZ58&gt;INDEX('How This Works &amp; Sources'!$B$125:$J$132,0,4))*($AZ58-INDEX('How This Works &amp; Sources'!$B$125:$J$132,0,4))*INDEX('How This Works &amp; Sources'!$B$125:$J$132,0,4+2)))),IF($AN58="ND",IF($AU58="Head of household",SUMPRODUCT(($AZ58&gt;INDEX('How This Works &amp; Sources'!$B$144:$J$150,0,1))*($AZ58-INDEX('How This Works &amp; Sources'!$B$144:$J$150,0,1))*INDEX('How This Works &amp; Sources'!$B$144:$J$150,0,1+2)),IF($AU58="Married",SUMPRODUCT(($AZ58&gt;INDEX('How This Works &amp; Sources'!$B$137:$J$139,0,7))*($AZ58-INDEX('How This Works &amp; Sources'!$B$137:$J$139,0,7))*INDEX('How This Works &amp; Sources'!$B$137:$J$139,0,7+2)),SUMPRODUCT(($AZ58&gt;INDEX('How This Works &amp; Sources'!$B$137:$J$139,0,4))*($AZ58-INDEX('How This Works &amp; Sources'!$B$137:$J$139,0,4))*INDEX('How This Works &amp; Sources'!$B$137:$J$139,0,4+2)))),IF($AN58="NJ",IF('Your Pay &amp; Benefits'!$C$77="B",SUMPRODUCT(($AZ58&gt;INDEX('How This Works &amp; Sources'!$B$155:$J$162,0,4))*($AZ58-INDEX('How This Works &amp; Sources'!$B$155:$J$162,0,4))*INDEX('How This Works &amp; Sources'!$B$155:$J$162,0,4+2)),IF('Your Pay &amp; Benefits'!$C$77="C",SUMPRODUCT(($AZ58&gt;INDEX('How This Works &amp; Sources'!$B$155:$J$162,0,7))*($AZ58-INDEX('How This Works &amp; Sources'!$B$155:$J$162,0,7))*INDEX('How This Works &amp; Sources'!$B$155:$J$162,0,7+2)),IF('Your Pay &amp; Benefits'!$C$77="D",SUMPRODUCT(($AZ58&gt;INDEX('How This Works &amp; Sources'!$B$167:$J$179,0,1))*($AZ58-INDEX('How This Works &amp; Sources'!$B$167:$J$179,0,1))*INDEX('How This Works &amp; Sources'!$B$167:$J$179,0,1+2)),IF('Your Pay &amp; Benefits'!$C$77="E",SUMPRODUCT(($AZ58&gt;INDEX('How This Works &amp; Sources'!$B$167:$J$179,0,4))*($AZ58-INDEX('How This Works &amp; Sources'!$B$167:$J$179,0,4))*INDEX('How This Works &amp; Sources'!$B$167:$J$179,0,4+2)),SUMPRODUCT(($AZ58&gt;INDEX('How This Works &amp; Sources'!$B$155:$J$162,0,1))*($AZ58-INDEX('How This Works &amp; Sources'!$B$155:$J$162,0,1))*INDEX('How This Works &amp; Sources'!$B$155:$J$162,0,1+2)))))),IF($AN58="NY",IF($AU58="Married",IF($AZ58&gt;=2155350,$AZ58*IF($AZ58&gt;25000000,0.117,IF($AZ58&gt;5000000,0.111,0.1045)),SUMPRODUCT(($AZ58&gt;INDEX('How This Works &amp; Sources'!$B$184:$J$198,0,1))*($AZ58-INDEX('How This Works &amp; Sources'!$B$184:$J$198,0,1))*INDEX('How This Works &amp; Sources'!$B$184:$J$198,0,1+2))),IF($AZ58&gt;=1077550,$AZ58*IF($AZ58&gt;25000000,0.117,IF($AZ58&gt;5000000,0.111,0.1045)),SUMPRODUCT(($AZ58&gt;INDEX('How This Works &amp; Sources'!$B$167:$J$179,0,7))*($AZ58-INDEX('How This Works &amp; Sources'!$B$167:$J$179,0,7))*INDEX('How This Works &amp; Sources'!$B$167:$J$179,0,7+2)))),"")))))))</f>
      </c>
      <c r="BX58" s="7">
        <f>IF($B58="","",IF($AN58="AL",IF(OR($AU58="Married",$AU58="Head of household"),SUMPRODUCT(($AZ58&gt;INDEX('How This Works &amp; Sources'!$B$82:$J$86,0,4))*($AZ58-INDEX('How This Works &amp; Sources'!$B$82:$J$86,0,4))*INDEX('How This Works &amp; Sources'!$B$82:$J$86,0,4+2)),SUMPRODUCT(($AZ58&gt;INDEX('How This Works &amp; Sources'!$B$82:$J$86,0,1))*($AZ58-INDEX('How This Works &amp; Sources'!$B$82:$J$86,0,1))*INDEX('How This Works &amp; Sources'!$B$82:$J$86,0,1+2))),IF($AN58="KS",IF($AU58="Married",SUMPRODUCT(($AZ58&gt;INDEX('How This Works &amp; Sources'!$B$103:$J$109,0,4))*($AZ58-INDEX('How This Works &amp; Sources'!$B$103:$J$109,0,4))*INDEX('How This Works &amp; Sources'!$B$103:$J$109,0,4+2)),SUMPRODUCT(($AZ58&gt;INDEX('How This Works &amp; Sources'!$B$103:$J$109,0,1))*($AZ58-INDEX('How This Works &amp; Sources'!$B$103:$J$109,0,1))*INDEX('How This Works &amp; Sources'!$B$103:$J$109,0,1+2))),IF($AN58="MN",IF($AU58="Married",SUMPRODUCT(($AZ58&gt;INDEX('How This Works &amp; Sources'!$B$114:$J$120,0,7))*($AZ58-INDEX('How This Works &amp; Sources'!$B$114:$J$120,0,7))*INDEX('How This Works &amp; Sources'!$B$114:$J$120,0,7+2)),SUMPRODUCT(($AZ58&gt;INDEX('How This Works &amp; Sources'!$B$114:$J$120,0,4))*($AZ58-INDEX('How This Works &amp; Sources'!$B$114:$J$120,0,4))*INDEX('How This Works &amp; Sources'!$B$114:$J$120,0,4+2))),IF($AN58="NE",MAX(IF($AU58="Married",SUMPRODUCT(($AZ58&gt;INDEX('How This Works &amp; Sources'!$B$144:$J$150,0,7))*($AZ58-INDEX('How This Works &amp; Sources'!$B$144:$J$150,0,7))*INDEX('How This Works &amp; Sources'!$B$144:$J$150,0,7+2)),SUMPRODUCT(($AZ58&gt;INDEX('How This Works &amp; Sources'!$B$144:$J$150,0,4))*($AZ58-INDEX('How This Works &amp; Sources'!$B$144:$J$150,0,4))*INDEX('How This Works &amp; Sources'!$B$144:$J$150,0,4+2))),0.015*$AZ58),IF($AN58="OH",IF($B58&gt;=DATE(2026,8,1),SUMPRODUCT(($AZ58&gt;INDEX('How This Works &amp; Sources'!$B$203:$J$206,0,1))*($AZ58-INDEX('How This Works &amp; Sources'!$B$203:$J$206,0,1))*INDEX('How This Works &amp; Sources'!$B$203:$J$206,0,1+2)),SUMPRODUCT(($AZ58&gt;INDEX('How This Works &amp; Sources'!$B$184:$J$198,0,7))*($AZ58-INDEX('How This Works &amp; Sources'!$B$184:$J$198,0,7))*INDEX('How This Works &amp; Sources'!$B$184:$J$198,0,7+2))),IF($AN58="OK",IF($AU58="Married",SUMPRODUCT(($AZ58&gt;INDEX('How This Works &amp; Sources'!$B$203:$J$206,0,7))*($AZ58-INDEX('How This Works &amp; Sources'!$B$203:$J$206,0,7))*INDEX('How This Works &amp; Sources'!$B$203:$J$206,0,7+2)),SUMPRODUCT(($AZ58&gt;INDEX('How This Works &amp; Sources'!$B$203:$J$206,0,4))*($AZ58-INDEX('How This Works &amp; Sources'!$B$203:$J$206,0,4))*INDEX('How This Works &amp; Sources'!$B$203:$J$206,0,4+2))),IF($AN58="RI",SUMPRODUCT(($AZ58&gt;INDEX('How This Works &amp; Sources'!$B$211:$J$214,0,7))*($AZ58-INDEX('How This Works &amp; Sources'!$B$211:$J$214,0,7))*INDEX('How This Works &amp; Sources'!$B$211:$J$214,0,7+2)),IF($AN58="VT",IF($AU58="Married",SUMPRODUCT(($AZ58&gt;INDEX('How This Works &amp; Sources'!$B$228:$J$232,0,1))*($AZ58-INDEX('How This Works &amp; Sources'!$B$228:$J$232,0,1))*INDEX('How This Works &amp; Sources'!$B$228:$J$232,0,1+2)),SUMPRODUCT(($AZ58&gt;INDEX('How This Works &amp; Sources'!$B$219:$J$223,0,7))*($AZ58-INDEX('How This Works &amp; Sources'!$B$219:$J$223,0,7))*INDEX('How This Works &amp; Sources'!$B$219:$J$223,0,7+2))),IF($AN58="WV",IF($AU58="Married",SUMPRODUCT(($AZ58&gt;INDEX('How This Works &amp; Sources'!$B$237:$J$241,0,7))*($AZ58-INDEX('How This Works &amp; Sources'!$B$237:$J$241,0,7))*INDEX('How This Works &amp; Sources'!$B$237:$J$241,0,7+2)),SUMPRODUCT(($AZ58&gt;INDEX('How This Works &amp; Sources'!$B$228:$J$232,0,7))*($AZ58-INDEX('How This Works &amp; Sources'!$B$228:$J$232,0,7))*INDEX('How This Works &amp; Sources'!$B$228:$J$232,0,7+2))),""))))))))))</f>
      </c>
      <c r="BY58" s="7">
        <f>IF($B58="","",IF($AN58="AR",SUMPRODUCT(($AZ58&gt;INDEX('How This Works &amp; Sources'!$B$82:$J$86,0,7))*($AZ58-INDEX('How This Works &amp; Sources'!$B$82:$J$86,0,7))*INDEX('How This Works &amp; Sources'!$B$82:$J$86,0,7+2)),IF($AN58="DE",SUMPRODUCT(($AZ58&gt;INDEX('How This Works &amp; Sources'!$B$91:$J$98,0,1))*($AZ58-INDEX('How This Works &amp; Sources'!$B$91:$J$98,0,1))*INDEX('How This Works &amp; Sources'!$B$91:$J$98,0,1+2)),IF($AN58="HI",IF($AU58="Married",SUMPRODUCT(($AZ58&gt;INDEX('How This Works &amp; Sources'!$B$91:$J$98,0,7))*($AZ58-INDEX('How This Works &amp; Sources'!$B$91:$J$98,0,7))*INDEX('How This Works &amp; Sources'!$B$91:$J$98,0,7+2)),SUMPRODUCT(($AZ58&gt;INDEX('How This Works &amp; Sources'!$B$91:$J$98,0,4))*($AZ58-INDEX('How This Works &amp; Sources'!$B$91:$J$98,0,4))*INDEX('How This Works &amp; Sources'!$B$91:$J$98,0,4+2))),IF($AN58="SC",SUMPRODUCT(($AZ58&gt;INDEX('How This Works &amp; Sources'!$B$219:$J$223,0,1))*($AZ58-INDEX('How This Works &amp; Sources'!$B$219:$J$223,0,1))*INDEX('How This Works &amp; Sources'!$B$219:$J$223,0,1+2)),IF($AN58="VA",SUMPRODUCT(($AZ58&gt;INDEX('How This Works &amp; Sources'!$B$219:$J$223,0,4))*($AZ58-INDEX('How This Works &amp; Sources'!$B$219:$J$223,0,4))*INDEX('How This Works &amp; Sources'!$B$219:$J$223,0,4+2)),IF($AN58="WI",SUMPRODUCT(($AZ58&gt;INDEX('How This Works &amp; Sources'!$B$228:$J$232,0,4))*($AZ58-INDEX('How This Works &amp; Sources'!$B$228:$J$232,0,4))*INDEX('How This Works &amp; Sources'!$B$228:$J$232,0,4+2)),"")))))))</f>
      </c>
      <c r="BZ58" s="24">
        <f>IF($B58="","",IF($AN58="NJ",IF('Your Pay &amp; Benefits'!$C$77="B",SUMPRODUCT(($AZ58&gt;=INDEX('How This Works &amp; Sources'!$B$155:$J$162,0,4))*INDEX('How This Works &amp; Sources'!$B$155:$J$162,0,4+2)),IF('Your Pay &amp; Benefits'!$C$77="C",SUMPRODUCT(($AZ58&gt;=INDEX('How This Works &amp; Sources'!$B$155:$J$162,0,7))*INDEX('How This Works &amp; Sources'!$B$155:$J$162,0,7+2)),IF('Your Pay &amp; Benefits'!$C$77="D",SUMPRODUCT(($AZ58&gt;=INDEX('How This Works &amp; Sources'!$B$167:$J$179,0,1))*INDEX('How This Works &amp; Sources'!$B$167:$J$179,0,1+2)),IF('Your Pay &amp; Benefits'!$C$77="E",SUMPRODUCT(($AZ58&gt;=INDEX('How This Works &amp; Sources'!$B$167:$J$179,0,4))*INDEX('How This Works &amp; Sources'!$B$167:$J$179,0,4+2)),SUMPRODUCT(($AZ58&gt;=INDEX('How This Works &amp; Sources'!$B$155:$J$162,0,1))*INDEX('How This Works &amp; Sources'!$B$155:$J$162,0,1+2)))))),IF($AN58="OR",IF(OR($AU58="Married",AND($AU58="Single",$AS58&gt;=3)),SUMPRODUCT((MAX(0,$AY58-MIN(($P58-'How This Works &amp; Sources'!$C$10*$D58)*'Your Pay &amp; Benefits'!$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Sources'!$B$211:$J$214,0,4))*INDEX('How This Works &amp; Sources'!$B$211:$J$214,0,4+2)),SUMPRODUCT((MAX(0,$AY58-MIN(($P58-'How This Works &amp; Sources'!$C$10*$D58)*'Your Pay &amp; Benefits'!$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Sources'!$B$211:$J$214,0,1))*INDEX('How This Works &amp; Sources'!$B$211:$J$214,0,1+2)))*IF(($P58-'How This Works &amp; Sources'!$C$10*$D58)*'Your Pay &amp; Benefits'!$C$8&gt;=IF(OR($AU58="Married",AND($AU58="Single",$AS58&gt;=3)),IF($AY58&lt;250000,8750,IF($AY58&lt;260000,7000,IF($AY58&lt;270000,5250,IF($AY58&lt;280000,3500,IF($AY58&lt;290000,1750,0))))),IF($AY58&lt;125000,8750,IF($AY58&lt;130000,7000,IF($AY58&lt;135000,5250,IF($AY58&lt;140000,3500,IF($AY58&lt;145000,1750,0)))))),1,1-IF('Your Pay &amp; Benefits'!$C$13,SUMPRODUCT(($AH58&gt;=INDEX('How This Works &amp; Sources'!$B$29:$J$36,0,IF('Your Pay &amp; Benefits'!$C$12="MFJ",1,IF('Your Pay &amp; Benefits'!$C$12="HoH",7,4))))*INDEX('How This Works &amp; Sources'!$B$29:$J$36,0,IF('Your Pay &amp; Benefits'!$C$12="MFJ",1,IF('Your Pay &amp; Benefits'!$C$12="HoH",7,4))+2)),SUMPRODUCT(($AH58&gt;=INDEX('How This Works &amp; Sources'!$B$19:$J$26,0,IF('Your Pay &amp; Benefits'!$C$12="MFJ",1,IF('Your Pay &amp; Benefits'!$C$12="HoH",7,4))))*INDEX('How This Works &amp; Sources'!$B$19:$J$26,0,IF('Your Pay &amp; Benefits'!$C$12="MFJ",1,IF('Your Pay &amp; Benefits'!$C$12="HoH",7,4))+2)))),IF($AN58="MI",IF($AY58&gt;5900*$AS58,0.0425,0),""))))</f>
      </c>
      <c r="CA58" s="24">
        <f>IF($B58="","",IF($AN58="AL",IF(OR($AU58="Married",$AU58="Head of household"),SUMPRODUCT(($AZ58&gt;=INDEX('How This Works &amp; Sources'!$B$82:$J$86,0,4))*INDEX('How This Works &amp; Sources'!$B$82:$J$86,0,4+2)),SUMPRODUCT(($AZ58&gt;=INDEX('How This Works &amp; Sources'!$B$82:$J$86,0,1))*INDEX('How This Works &amp; Sources'!$B$82:$J$86,0,1+2)))*(1-IF('Your Pay &amp; Benefits'!$C$13,SUMPRODUCT(($AH58&gt;=INDEX('How This Works &amp; Sources'!$B$29:$J$36,0,IF('Your Pay &amp; Benefits'!$C$12="MFJ",1,IF('Your Pay &amp; Benefits'!$C$12="HoH",7,4))))*INDEX('How This Works &amp; Sources'!$B$29:$J$36,0,IF('Your Pay &amp; Benefits'!$C$12="MFJ",1,IF('Your Pay &amp; Benefits'!$C$12="HoH",7,4))+2)),SUMPRODUCT(($AH58&gt;=INDEX('How This Works &amp; Sources'!$B$19:$J$26,0,IF('Your Pay &amp; Benefits'!$C$12="MFJ",1,IF('Your Pay &amp; Benefits'!$C$12="HoH",7,4))))*INDEX('How This Works &amp; Sources'!$B$19:$J$26,0,IF('Your Pay &amp; Benefits'!$C$12="MFJ",1,IF('Your Pay &amp; Benefits'!$C$12="HoH",7,4))+2)))),IF($AN58="KS",IF($AU58="Married",SUMPRODUCT(($AZ58&gt;=INDEX('How This Works &amp; Sources'!$B$103:$J$109,0,4))*INDEX('How This Works &amp; Sources'!$B$103:$J$109,0,4+2)),SUMPRODUCT(($AZ58&gt;=INDEX('How This Works &amp; Sources'!$B$103:$J$109,0,1))*INDEX('How This Works &amp; Sources'!$B$103:$J$109,0,1+2))),IF($AN58="MD",IF(OR($AU58="Married",$AU58="Head of household"),SUMPRODUCT(($AZ58&gt;=INDEX('How This Works &amp; Sources'!$B$114:$J$120,0,1))*INDEX('How This Works &amp; Sources'!$B$114:$J$120,0,1+2)),SUMPRODUCT(($AZ58&gt;=INDEX('How This Works &amp; Sources'!$B$103:$J$109,0,7))*INDEX('How This Works &amp; Sources'!$B$103:$J$109,0,7+2)))+'Your Pay &amp; Benefits'!$C$74,IF($AN58="MT",IF($AU58="Head of household",SUMPRODUCT(($AZ58&gt;=INDEX('How This Works &amp; Sources'!$B$137:$J$139,0,1))*INDEX('How This Works &amp; Sources'!$B$137:$J$139,0,1+2)),IF($AU58="Married",SUMPRODUCT(($AZ58&gt;=INDEX('How This Works &amp; Sources'!$B$125:$J$132,0,7))*INDEX('How This Works &amp; Sources'!$B$125:$J$132,0,7+2)),SUMPRODUCT(($AZ58&gt;=INDEX('How This Works &amp; Sources'!$B$125:$J$132,0,4))*INDEX('How This Works &amp; Sources'!$B$125:$J$132,0,4+2)))),IF($AN58="ND",IF($AU58="Head of household",SUMPRODUCT(($AZ58&gt;=INDEX('How This Works &amp; Sources'!$B$144:$J$150,0,1))*INDEX('How This Works &amp; Sources'!$B$144:$J$150,0,1+2)),IF($AU58="Married",SUMPRODUCT(($AZ58&gt;=INDEX('How This Works &amp; Sources'!$B$137:$J$139,0,7))*INDEX('How This Works &amp; Sources'!$B$137:$J$139,0,7+2)),SUMPRODUCT(($AZ58&gt;=INDEX('How This Works &amp; Sources'!$B$137:$J$139,0,4))*INDEX('How This Works &amp; Sources'!$B$137:$J$139,0,4+2)))),IF($AN58="NY",IF($AU58="Married",IF($AZ58&gt;=2155350,IF($AZ58&gt;25000000,0.117,IF($AZ58&gt;5000000,0.111,0.1045)),SUMPRODUCT(($AZ58&gt;=INDEX('How This Works &amp; Sources'!$B$184:$J$198,0,1))*INDEX('How This Works &amp; Sources'!$B$184:$J$198,0,1+2))),IF($AZ58&gt;=1077550,IF($AZ58&gt;25000000,0.117,IF($AZ58&gt;5000000,0.111,0.1045)),SUMPRODUCT(($AZ58&gt;=INDEX('How This Works &amp; Sources'!$B$167:$J$179,0,7))*INDEX('How This Works &amp; Sources'!$B$167:$J$179,0,7+2)))),"")))))))</f>
      </c>
      <c r="CB58" s="24">
        <f>IF($B58="","",IF($AN58="CA",SUMPRODUCT(($AJ58&gt;=INDEX('How This Works &amp; Sources'!$B$39:$J$48,0,IF($AU58="Married",4,IF($AU58="Head of household",7,1))))*INDEX('How This Works &amp; Sources'!$B$39:$J$48,0,IF($AU58="Married",4,IF($AU58="Head of household",7,1))+2)),IF($AN58="HI",IF($AU58="Married",SUMPRODUCT(($AZ58&gt;=INDEX('How This Works &amp; Sources'!$B$91:$J$98,0,7))*INDEX('How This Works &amp; Sources'!$B$91:$J$98,0,7+2)),SUMPRODUCT(($AZ58&gt;=INDEX('How This Works &amp; Sources'!$B$91:$J$98,0,4))*INDEX('How This Works &amp; Sources'!$B$91:$J$98,0,4+2))),IF($AN58="MN",IF($AU58="Married",SUMPRODUCT(($AZ58&gt;=INDEX('How This Works &amp; Sources'!$B$114:$J$120,0,7))*INDEX('How This Works &amp; Sources'!$B$114:$J$120,0,7+2)),SUMPRODUCT(($AZ58&gt;=INDEX('How This Works &amp; Sources'!$B$114:$J$120,0,4))*INDEX('How This Works &amp; Sources'!$B$114:$J$120,0,4+2))),IF($AN58="MO",SUMPRODUCT(($AZ58&gt;=INDEX('How This Works &amp; Sources'!$B$125:$J$132,0,1))*INDEX('How This Works &amp; Sources'!$B$125:$J$132,0,1+2)),IF($AN58="NE",MAX(IF($AU58="Married",SUMPRODUCT(($AZ58&gt;=INDEX('How This Works &amp; Sources'!$B$144:$J$150,0,7))*INDEX('How This Works &amp; Sources'!$B$144:$J$150,0,7+2)),SUMPRODUCT(($AZ58&gt;=INDEX('How This Works &amp; Sources'!$B$144:$J$150,0,4))*INDEX('How This Works &amp; Sources'!$B$144:$J$150,0,4+2))),0.015),IF($AN58="OH",IF($B58&gt;=DATE(2026,8,1),SUMPRODUCT(($AZ58&gt;=INDEX('How This Works &amp; Sources'!$B$203:$J$206,0,1))*INDEX('How This Works &amp; Sources'!$B$203:$J$206,0,1+2)),SUMPRODUCT(($AZ58&gt;=INDEX('How This Works &amp; Sources'!$B$184:$J$198,0,7))*INDEX('How This Works &amp; Sources'!$B$184:$J$198,0,7+2))),IF($AN58="OK",IF($AU58="Married",SUMPRODUCT(($AZ58&gt;=INDEX('How This Works &amp; Sources'!$B$203:$J$206,0,7))*INDEX('How This Works &amp; Sources'!$B$203:$J$206,0,7+2)),SUMPRODUCT(($AZ58&gt;=INDEX('How This Works &amp; Sources'!$B$203:$J$206,0,4))*INDEX('How This Works &amp; Sources'!$B$203:$J$206,0,4+2))),IF($AN58="RI",SUMPRODUCT(($AZ58&gt;=INDEX('How This Works &amp; Sources'!$B$211:$J$214,0,7))*INDEX('How This Works &amp; Sources'!$B$211:$J$214,0,7+2)),IF($AN58="SC",SUMPRODUCT(($AZ58&gt;=INDEX('How This Works &amp; Sources'!$B$219:$J$223,0,1))*INDEX('How This Works &amp; Sources'!$B$219:$J$223,0,1+2)),IF($AN58="VT",IF($AU58="Married",SUMPRODUCT(($AZ58&gt;=INDEX('How This Works &amp; Sources'!$B$228:$J$232,0,1))*INDEX('How This Works &amp; Sources'!$B$228:$J$232,0,1+2)),SUMPRODUCT(($AZ58&gt;=INDEX('How This Works &amp; Sources'!$B$219:$J$223,0,7))*INDEX('How This Works &amp; Sources'!$B$219:$J$223,0,7+2))),IF($AN58="WV",IF($AU58="Married",SUMPRODUCT(($AZ58&gt;=INDEX('How This Works &amp; Sources'!$B$237:$J$241,0,7))*INDEX('How This Works &amp; Sources'!$B$237:$J$241,0,7+2)),SUMPRODUCT(($AZ58&gt;=INDEX('How This Works &amp; Sources'!$B$228:$J$232,0,7))*INDEX('How This Works &amp; Sources'!$B$228:$J$232,0,7+2))),IF($AN58="IN",(0.0295+'Your Pay &amp; Benefits'!$C$76),"")))))))))))))</f>
      </c>
      <c r="CC58" s="24">
        <f>IF($B58="","",IF($AN58="AR",SUMPRODUCT(($AZ58&gt;=INDEX('How This Works &amp; Sources'!$B$82:$J$86,0,7))*INDEX('How This Works &amp; Sources'!$B$82:$J$86,0,7+2)),IF($AN58="DE",SUMPRODUCT(($AZ58&gt;=INDEX('How This Works &amp; Sources'!$B$91:$J$98,0,1))*INDEX('How This Works &amp; Sources'!$B$91:$J$98,0,1+2)),IF($AN58="VA",SUMPRODUCT(($AZ58&gt;=INDEX('How This Works &amp; Sources'!$B$219:$J$223,0,4))*INDEX('How This Works &amp; Sources'!$B$219:$J$223,0,4+2)),IF($AN58="WI",SUMPRODUCT(($AZ58&gt;=INDEX('How This Works &amp; Sources'!$B$228:$J$232,0,4))*INDEX('How This Works &amp; Sources'!$B$228:$J$232,0,4+2)),IF($AN58="AZ",'Your Pay &amp; Benefits'!$C$82,IF($AN58="CO",IF($AY58&gt;IF($AU58="Married",10000,5000),0.044,0),IF($AN58="IA",IF($AY58&gt;IF($AU58="Head of household",19500,IF($AU58="Married",26000,13000)),0.038,0),IF($AN58="ID",IF($AY58&gt;IF($AU58="Married",32000,16094),0.053,0),IF($AN58="IL",IF($AY58&gt;(2925*$AS58+1000*$AT58),0.0495,0),IF($AN58="KY",IF($AI58&gt;3360,0.035,0),IF($AN58="LA",0.0309,IF($AN58="MA",IF(MAX(0,$AY58-MIN(($BD57+$Q58+$R58+$S58),2000)-IF($AS58=0,0,IF($AS58=1,4400,1000*$AS58+3400)))&gt;=1107750,0.09,0.05),IF($AN58="MS",IF($AI58-IF($AU58="Head of household",3400,IF($AU58="Married",4600,2300))-'Your Pay &amp; Benefits'!$C$85&gt;10000,0.04,0),IF($AN58="PA",0.0307,"")))))))))))))))</f>
      </c>
      <c r="CD58" s="21">
        <f>IF(YEAR(IF('Your Pay &amp; Benefits'!$C$7="Weekly",'Your Pay &amp; Benefits'!$C$9+7*(($BE57+1)-1),IF('Your Pay &amp; Benefits'!$C$7="Biweekly",'Your Pay &amp; Benefits'!$C$9+14*(($BE57+1)-1),IF('Your Pay &amp; Benefits'!$C$7="Semimonthly",DATE(YEAR('Your Pay &amp; Benefits'!$C$9),MONTH('Your Pay &amp; Benefits'!$C$9)+INT((($BE57+1)-1)/2),MIN(DAY('Your Pay &amp; Benefits'!$C$9),DAY(EOMONTH(DATE(YEAR('Your Pay &amp; Benefits'!$C$9),MONTH('Your Pay &amp; Benefits'!$C$9)+INT((($BE57+1)-1)/2),1),0))))+IF(MOD(($BE57+1)-1,2)=1,15,0),EDATE('Your Pay &amp; Benefits'!$C$9,($BE57+1)-1)))))&lt;&gt;'Your Pay &amp; Benefits'!$C$10,"",IF('Your Pay &amp; Benefits'!$C$7="Weekly",'Your Pay &amp; Benefits'!$C$9+7*(($BE57+1)-1),IF('Your Pay &amp; Benefits'!$C$7="Biweekly",'Your Pay &amp; Benefits'!$C$9+14*(($BE57+1)-1),IF('Your Pay &amp; Benefits'!$C$7="Semimonthly",DATE(YEAR('Your Pay &amp; Benefits'!$C$9),MONTH('Your Pay &amp; Benefits'!$C$9)+INT((($BE57+1)-1)/2),MIN(DAY('Your Pay &amp; Benefits'!$C$9),DAY(EOMONTH(DATE(YEAR('Your Pay &amp; Benefits'!$C$9),MONTH('Your Pay &amp; Benefits'!$C$9)+INT((($BE57+1)-1)/2),1),0))))+IF(MOD(($BE57+1)-1,2)=1,15,0),EDATE('Your Pay &amp; Benefits'!$C$9,($BE57+1)-1)))))</f>
      </c>
      <c r="CE58" s="21">
        <f>IF(MIN(IF(AND('Your Pay &amp; Benefits'!$C$58&gt;MAX($B$6:$B57),'Your Pay &amp; Benefits'!$C$58&gt;=DATE('Your Pay &amp; Benefits'!$C$10,1,1),'Your Pay &amp; Benefits'!$C$58&lt;=DATE('Your Pay &amp; Benefits'!$C$10,12,31)),'Your Pay &amp; Benefits'!$C$58,999999),IF(AND('Your Pay &amp; Benefits'!$C$59&gt;MAX($B$6:$B57),'Your Pay &amp; Benefits'!$C$59&gt;=DATE('Your Pay &amp; Benefits'!$C$10,1,1),'Your Pay &amp; Benefits'!$C$59&lt;=DATE('Your Pay &amp; Benefits'!$C$10,12,31)),'Your Pay &amp; Benefits'!$C$59,999999),IF(AND('Your Pay &amp; Benefits'!$C$60&gt;MAX($B$6:$B57),'Your Pay &amp; Benefits'!$C$60&gt;=DATE('Your Pay &amp; Benefits'!$C$10,1,1),'Your Pay &amp; Benefits'!$C$60&lt;=DATE('Your Pay &amp; Benefits'!$C$10,12,31)),'Your Pay &amp; Benefits'!$C$60,999999),IF(AND('Your Pay &amp; Benefits'!$C$61&gt;MAX($B$6:$B57),'Your Pay &amp; Benefits'!$C$61&gt;=DATE('Your Pay &amp; Benefits'!$C$10,1,1),'Your Pay &amp; Benefits'!$C$61&lt;=DATE('Your Pay &amp; Benefits'!$C$10,12,31)),'Your Pay &amp; Benefits'!$C$61,999999),IF(AND('Your Pay &amp; Benefits'!$C$62&gt;MAX($B$6:$B57),'Your Pay &amp; Benefits'!$C$62&gt;=DATE('Your Pay &amp; Benefits'!$C$10,1,1),'Your Pay &amp; Benefits'!$C$62&lt;=DATE('Your Pay &amp; Benefits'!$C$10,12,31)),'Your Pay &amp; Benefits'!$C$62,999999),IF(AND('Your Pay &amp; Benefits'!$C$63&gt;MAX($B$6:$B57),'Your Pay &amp; Benefits'!$C$63&gt;=DATE('Your Pay &amp; Benefits'!$C$10,1,1),'Your Pay &amp; Benefits'!$C$63&lt;=DATE('Your Pay &amp; Benefits'!$C$10,12,31)),'Your Pay &amp; Benefits'!$C$63,999999),IF(AND('Your Pay &amp; Benefits'!$C$64&gt;MAX($B$6:$B57),'Your Pay &amp; Benefits'!$C$64&gt;=DATE('Your Pay &amp; Benefits'!$C$10,1,1),'Your Pay &amp; Benefits'!$C$64&lt;=DATE('Your Pay &amp; Benefits'!$C$10,12,31)),'Your Pay &amp; Benefits'!$C$64,999999),IF(AND('Your Pay &amp; Benefits'!$C$65&gt;MAX($B$6:$B57),'Your Pay &amp; Benefits'!$C$65&gt;=DATE('Your Pay &amp; Benefits'!$C$10,1,1),'Your Pay &amp; Benefits'!$C$65&lt;=DATE('Your Pay &amp; Benefits'!$C$10,12,31)),'Your Pay &amp; Benefits'!$C$65,999999),IF(AND('Your Pay &amp; Benefits'!$C$66&gt;MAX($B$6:$B57),'Your Pay &amp; Benefits'!$C$66&gt;=DATE('Your Pay &amp; Benefits'!$C$10,1,1),'Your Pay &amp; Benefits'!$C$66&lt;=DATE('Your Pay &amp; Benefits'!$C$10,12,31)),'Your Pay &amp; Benefits'!$C$66,999999),IF(AND('Your Pay &amp; Benefits'!$C$67&gt;MAX($B$6:$B57),'Your Pay &amp; Benefits'!$C$67&gt;=DATE('Your Pay &amp; Benefits'!$C$10,1,1),'Your Pay &amp; Benefits'!$C$67&lt;=DATE('Your Pay &amp; Benefits'!$C$10,12,31)),'Your Pay &amp; Benefits'!$C$67,999999))=999999,"",MIN(IF(AND('Your Pay &amp; Benefits'!$C$58&gt;MAX($B$6:$B57),'Your Pay &amp; Benefits'!$C$58&gt;=DATE('Your Pay &amp; Benefits'!$C$10,1,1),'Your Pay &amp; Benefits'!$C$58&lt;=DATE('Your Pay &amp; Benefits'!$C$10,12,31)),'Your Pay &amp; Benefits'!$C$58,999999),IF(AND('Your Pay &amp; Benefits'!$C$59&gt;MAX($B$6:$B57),'Your Pay &amp; Benefits'!$C$59&gt;=DATE('Your Pay &amp; Benefits'!$C$10,1,1),'Your Pay &amp; Benefits'!$C$59&lt;=DATE('Your Pay &amp; Benefits'!$C$10,12,31)),'Your Pay &amp; Benefits'!$C$59,999999),IF(AND('Your Pay &amp; Benefits'!$C$60&gt;MAX($B$6:$B57),'Your Pay &amp; Benefits'!$C$60&gt;=DATE('Your Pay &amp; Benefits'!$C$10,1,1),'Your Pay &amp; Benefits'!$C$60&lt;=DATE('Your Pay &amp; Benefits'!$C$10,12,31)),'Your Pay &amp; Benefits'!$C$60,999999),IF(AND('Your Pay &amp; Benefits'!$C$61&gt;MAX($B$6:$B57),'Your Pay &amp; Benefits'!$C$61&gt;=DATE('Your Pay &amp; Benefits'!$C$10,1,1),'Your Pay &amp; Benefits'!$C$61&lt;=DATE('Your Pay &amp; Benefits'!$C$10,12,31)),'Your Pay &amp; Benefits'!$C$61,999999),IF(AND('Your Pay &amp; Benefits'!$C$62&gt;MAX($B$6:$B57),'Your Pay &amp; Benefits'!$C$62&gt;=DATE('Your Pay &amp; Benefits'!$C$10,1,1),'Your Pay &amp; Benefits'!$C$62&lt;=DATE('Your Pay &amp; Benefits'!$C$10,12,31)),'Your Pay &amp; Benefits'!$C$62,999999),IF(AND('Your Pay &amp; Benefits'!$C$63&gt;MAX($B$6:$B57),'Your Pay &amp; Benefits'!$C$63&gt;=DATE('Your Pay &amp; Benefits'!$C$10,1,1),'Your Pay &amp; Benefits'!$C$63&lt;=DATE('Your Pay &amp; Benefits'!$C$10,12,31)),'Your Pay &amp; Benefits'!$C$63,999999),IF(AND('Your Pay &amp; Benefits'!$C$64&gt;MAX($B$6:$B57),'Your Pay &amp; Benefits'!$C$64&gt;=DATE('Your Pay &amp; Benefits'!$C$10,1,1),'Your Pay &amp; Benefits'!$C$64&lt;=DATE('Your Pay &amp; Benefits'!$C$10,12,31)),'Your Pay &amp; Benefits'!$C$64,999999),IF(AND('Your Pay &amp; Benefits'!$C$65&gt;MAX($B$6:$B57),'Your Pay &amp; Benefits'!$C$65&gt;=DATE('Your Pay &amp; Benefits'!$C$10,1,1),'Your Pay &amp; Benefits'!$C$65&lt;=DATE('Your Pay &amp; Benefits'!$C$10,12,31)),'Your Pay &amp; Benefits'!$C$65,999999),IF(AND('Your Pay &amp; Benefits'!$C$66&gt;MAX($B$6:$B57),'Your Pay &amp; Benefits'!$C$66&gt;=DATE('Your Pay &amp; Benefits'!$C$10,1,1),'Your Pay &amp; Benefits'!$C$66&lt;=DATE('Your Pay &amp; Benefits'!$C$10,12,31)),'Your Pay &amp; Benefits'!$C$66,999999),IF(AND('Your Pay &amp; Benefits'!$C$67&gt;MAX($B$6:$B57),'Your Pay &amp; Benefits'!$C$67&gt;=DATE('Your Pay &amp; Benefits'!$C$10,1,1),'Your Pay &amp; Benefits'!$C$67&lt;=DATE('Your Pay &amp; Benefits'!$C$10,12,31)),'Your Pay &amp; Benefits'!$C$67,999999)))</f>
      </c>
      <c r="CF58">
        <f>IF($B58="","",IF($D58=0,$Y58,""))</f>
      </c>
    </row>
    <row r="59">
      <c r="A59" t="n">
        <v>54</v>
      </c>
      <c r="B59" s="21">
        <f>IF(AND($CD59="",$CE59=""),"",IF($CE59="",$CD59,IF($CD59="",$CE59,MIN($CD59,$CE59))))</f>
      </c>
      <c r="C59" s="7">
        <f>IF($B59="","",IF($BF59=0,0,IF('Your Pay &amp; Benefits'!$C$4="Annual salary",ROUND($AK59/IF(AND('Your Pay &amp; Benefits'!$C$88="Actual paydays",MONTH('Your Pay &amp; Benefits'!$C$9)=1),MAX(1,MAX($BE$6:$BE$68)),'Your Pay &amp; Benefits'!$C$8),2),$AK59)))</f>
      </c>
      <c r="D59" s="7">
        <f>IF($B59="","",SUMIF('Your Pay &amp; Benefits'!$C$58:$C$67,$B59,'Your Pay &amp; Benefits'!$D$58:$D$67))</f>
      </c>
      <c r="E59" s="7">
        <f>IF($B59="","",ROUND(MAX(0,MIN(IF($AL59="Percent",$AM59*($C59+$D59),$AM59),MAX(0,'Your Pay &amp; Benefits'!$C$34-$AC58))),2))</f>
      </c>
      <c r="F59" s="7">
        <f>IF($B59="","",ROUND(MAX(0,MIN(IF('Your Pay &amp; Benefits'!$C$32="Percent",'Your Pay &amp; Benefits'!$D$32*($C59+$D59),'Your Pay &amp; Benefits'!$D$32),MAX(0,'Your Pay &amp; Benefits'!$C$34-$AC58-$E59))),2))</f>
      </c>
      <c r="G59" s="7">
        <f>IF($B59="","",IF($BF59=0,0,ROUND(MAX(0,MIN($BL59,'Your Pay &amp; Benefits'!$C$37-'Your Pay &amp; Benefits'!$C$54-$BI58)),2)))</f>
      </c>
      <c r="H59" s="7">
        <f>IF($B59="","",IF(OR($BF59=0,$BQ59=1),0,ROUND(MAX(0,MIN(IF($BS59=1,ROUND(MAX(0,MIN($BJ59,'How This Works &amp; Sources'!$C$13)-$BG58)/MAX(1,MAX($BE$6:$BE$68)-($BE58)),2),ROUND(MIN($BJ59,'How This Works &amp; Sources'!$C$13)/'Your Pay &amp; Benefits'!$C$8,2)),MIN($BJ59,'How This Works &amp; Sources'!$C$13)-$BG58)),2)))</f>
      </c>
      <c r="I59" s="7">
        <f>IF($B59="","",IF(OR($BF59=0,$BR59=1),0,ROUND(MAX(0,MIN(IF($BT59=1,ROUND(MAX(0,MIN($BK59,IF('Your Pay &amp; Benefits'!$C$12="MFJ",'How This Works &amp; Sources'!$C$14,'How This Works &amp; Sources'!$C$15))-$BH58)/MAX(1,MAX($BE$6:$BE$68)-($BE58)),2),ROUND(MIN($BK59,IF('Your Pay &amp; Benefits'!$C$12="MFJ",'How This Works &amp; Sources'!$C$14,'How This Works &amp; Sources'!$C$15))/'Your Pay &amp; Benefits'!$C$8,2)),MIN($BK59,IF('Your Pay &amp; Benefits'!$C$12="MFJ",'How This Works &amp; Sources'!$C$14,'How This Works &amp; Sources'!$C$15))-$BH58)),2)))</f>
      </c>
      <c r="J59" s="7">
        <f>IF($B59="","",IF($BF59=0,0,$BM59))</f>
      </c>
      <c r="K59" s="7">
        <f>IF($B59="","",IF($BF59=0,0,$BN59+$BO59))</f>
      </c>
      <c r="L59" s="7">
        <f>IF($B59="","",IF($BF59=0,0,'Your Pay &amp; Benefits'!$D$46))</f>
      </c>
      <c r="M59" s="7">
        <f>IF($B59="","",$C59+$D59+$L59-$E59-$G59-$H59-$I59-$J59-$K59)</f>
      </c>
      <c r="N59" s="7">
        <f>IF($B59="","",$C59+$D59+$L59-$G59-$H59-$I59-$J59-$K59)</f>
      </c>
      <c r="O59" s="7">
        <f>IF($B59="","",$C59+$D59+$L59-$E59-$H59-$I59-$J59-$K59-IF(OR($AN59="CA",$AN59="NJ"),0,$G59))</f>
      </c>
      <c r="P59" s="7">
        <f>IF($B59="","",IF('Your Pay &amp; Benefits'!$C$18,0,ROUND(MAX(0,IF('Your Pay &amp; Benefits'!$C$13,SUMPRODUCT(($AH59&gt;INDEX('How This Works &amp; Sources'!$B$29:$J$36,0,IF('Your Pay &amp; Benefits'!$C$12="MFJ",1,IF('Your Pay &amp; Benefits'!$C$12="HoH",7,4))))*($AH59-INDEX('How This Works &amp; Sources'!$B$29:$J$36,0,IF('Your Pay &amp; Benefits'!$C$12="MFJ",1,IF('Your Pay &amp; Benefits'!$C$12="HoH",7,4))))*INDEX('How This Works &amp; Sources'!$B$29:$J$36,0,IF('Your Pay &amp; Benefits'!$C$12="MFJ",1,IF('Your Pay &amp; Benefits'!$C$12="HoH",7,4))+2)),SUMPRODUCT(($AH59&gt;INDEX('How This Works &amp; Sources'!$B$19:$J$26,0,IF('Your Pay &amp; Benefits'!$C$12="MFJ",1,IF('Your Pay &amp; Benefits'!$C$12="HoH",7,4))))*($AH59-INDEX('How This Works &amp; Sources'!$B$19:$J$26,0,IF('Your Pay &amp; Benefits'!$C$12="MFJ",1,IF('Your Pay &amp; Benefits'!$C$12="HoH",7,4))))*INDEX('How This Works &amp; Sources'!$B$19:$J$26,0,IF('Your Pay &amp; Benefits'!$C$12="MFJ",1,IF('Your Pay &amp; Benefits'!$C$12="HoH",7,4))+2)))/'Your Pay &amp; Benefits'!$C$8-$AO59/'Your Pay &amp; Benefits'!$C$8)+$AR59+IF('Your Pay &amp; Benefits'!$C$89="Aggregate",MAX(0,IF('Your Pay &amp; Benefits'!$C$13,SUMPRODUCT((($AH59+$D59)&gt;INDEX('How This Works &amp; Sources'!$B$29:$J$36,0,IF('Your Pay &amp; Benefits'!$C$12="MFJ",1,IF('Your Pay &amp; Benefits'!$C$12="HoH",7,4))))*(($AH59+$D59)-INDEX('How This Works &amp; Sources'!$B$29:$J$36,0,IF('Your Pay &amp; Benefits'!$C$12="MFJ",1,IF('Your Pay &amp; Benefits'!$C$12="HoH",7,4))))*INDEX('How This Works &amp; Sources'!$B$29:$J$36,0,IF('Your Pay &amp; Benefits'!$C$12="MFJ",1,IF('Your Pay &amp; Benefits'!$C$12="HoH",7,4))+2)),SUMPRODUCT((($AH59+$D59)&gt;INDEX('How This Works &amp; Sources'!$B$19:$J$26,0,IF('Your Pay &amp; Benefits'!$C$12="MFJ",1,IF('Your Pay &amp; Benefits'!$C$12="HoH",7,4))))*(($AH59+$D59)-INDEX('How This Works &amp; Sources'!$B$19:$J$26,0,IF('Your Pay &amp; Benefits'!$C$12="MFJ",1,IF('Your Pay &amp; Benefits'!$C$12="HoH",7,4))))*INDEX('How This Works &amp; Sources'!$B$19:$J$26,0,IF('Your Pay &amp; Benefits'!$C$12="MFJ",1,IF('Your Pay &amp; Benefits'!$C$12="HoH",7,4))+2)))-IF('Your Pay &amp; Benefits'!$C$13,SUMPRODUCT(($AH59&gt;INDEX('How This Works &amp; Sources'!$B$29:$J$36,0,IF('Your Pay &amp; Benefits'!$C$12="MFJ",1,IF('Your Pay &amp; Benefits'!$C$12="HoH",7,4))))*($AH59-INDEX('How This Works &amp; Sources'!$B$29:$J$36,0,IF('Your Pay &amp; Benefits'!$C$12="MFJ",1,IF('Your Pay &amp; Benefits'!$C$12="HoH",7,4))))*INDEX('How This Works &amp; Sources'!$B$29:$J$36,0,IF('Your Pay &amp; Benefits'!$C$12="MFJ",1,IF('Your Pay &amp; Benefits'!$C$12="HoH",7,4))+2)),SUMPRODUCT(($AH59&gt;INDEX('How This Works &amp; Sources'!$B$19:$J$26,0,IF('Your Pay &amp; Benefits'!$C$12="MFJ",1,IF('Your Pay &amp; Benefits'!$C$12="HoH",7,4))))*($AH59-INDEX('How This Works &amp; Sources'!$B$19:$J$26,0,IF('Your Pay &amp; Benefits'!$C$12="MFJ",1,IF('Your Pay &amp; Benefits'!$C$12="HoH",7,4))))*INDEX('How This Works &amp; Sources'!$B$19:$J$26,0,IF('Your Pay &amp; Benefits'!$C$12="MFJ",1,IF('Your Pay &amp; Benefits'!$C$12="HoH",7,4))+2)))),'How This Works &amp; Sources'!$C$10*$D59),2)))</f>
      </c>
      <c r="Q59" s="7">
        <f>IF($B59="","",ROUND('How This Works &amp; Sources'!$C$4*MIN($N59,MAX(0,'How This Works &amp; Sources'!$C$3-($AX59+$AB58-$AW59))),2))</f>
      </c>
      <c r="R59" s="7">
        <f>IF($B59="","",ROUND('How This Works &amp; Sources'!$C$5*$N59,2))</f>
      </c>
      <c r="S59" s="7">
        <f>IF($B59="","",ROUND('How This Works &amp; Sources'!$C$6*MAX(0,MIN($N59,$AG58+$N59-'How This Works &amp; Sources'!$C$7)),2))</f>
      </c>
      <c r="T59" s="7">
        <f>IF($B59="","",IF('Your Pay &amp; Benefits'!$C$26,0,IF($AN59="CA",ROUND(IF($AI59&lt;=IF(($AS59+$AT59)&gt;=2,VLOOKUP($AN59,StateTables!$A$6:$AB$56,10,FALSE),VLOOKUP($AN59,StateTables!$A$6:$AB$56,9,FALSE)),0,MAX(0,SUMPRODUCT(($AJ59&gt;INDEX('How This Works &amp; Sources'!$B$39:$J$48,0,IF($AU59="Married",4,IF($AU59="Head of household",7,1))))*($AJ59-INDEX('How This Works &amp; Sources'!$B$39:$J$48,0,IF($AU59="Married",4,IF($AU59="Head of household",7,1))))*INDEX('How This Works &amp; Sources'!$B$39:$J$48,0,IF($AU59="Married",4,IF($AU59="Head of household",7,1))+2))-VLOOKUP($AN59,StateTables!$A$6:$AB$56,11,FALSE)*$AS59)/'Your Pay &amp; Benefits'!$C$8)+'Your Pay &amp; Benefits'!$C$25+VLOOKUP($AN59,StateTables!$A$6:$AB$56,13,FALSE)*$D59,2),IF(VLOOKUP($AN59,StateTables!$A$6:$AB$56,4,FALSE)="None",0,IF(ISNUMBER(SEARCH("MANUAL",VLOOKUP($AN59,StateTables!$A$6:$AB$56,5,FALSE))),'Your Pay &amp; Benefits'!$C$28,ROUND(MAX(0,$BA59+$BB59)/'Your Pay &amp; Benefits'!$C$8+'Your Pay &amp; Benefits'!$C$25+$BC59,2))))))</f>
      </c>
      <c r="U59" s="7">
        <f>IF($B59="","",IF(VLOOKUP($AN59,StateTables!$A$6:$AB$56,24,FALSE)="flatq",IF(OR(MONTH($B59)=1,MONTH($B59)=4,MONTH($B59)=7,MONTH($B59)=10),VLOOKUP($AN59,StateTables!$A$6:$AB$56,25,FALSE),0),IF(VLOOKUP($AN59,StateTables!$A$6:$AB$56,24,FALSE)="dbl",MIN(ROUND(0.005*$N59,2),ROUND(0.6*52/'Your Pay &amp; Benefits'!$C$8,2)),IF(OR(VLOOKUP($AN59,StateTables!$A$6:$AB$56,15,FALSE)="",VLOOKUP($AN59,StateTables!$A$6:$AB$56,15,FALSE)=0),0,ROUND(VLOOKUP($AN59,StateTables!$A$6:$AB$56,15,FALSE)*IF(OR(VLOOKUP($AN59,StateTables!$A$6:$AB$56,16,FALSE)="",VLOOKUP($AN59,StateTables!$A$6:$AB$56,16,FALSE)=0),$N59,MIN($N59,MAX(0,VLOOKUP($AN59,StateTables!$A$6:$AB$56,16,FALSE)-($AX59+$AB58-$AW59)))),2))))+IF(VLOOKUP($AN59,StateTables!$A$6:$AB$56,27,FALSE)="flatq",IF(OR(MONTH($B59)=1,MONTH($B59)=4,MONTH($B59)=7,MONTH($B59)=10),VLOOKUP($AN59,StateTables!$A$6:$AB$56,28,FALSE),0),IF(VLOOKUP($AN59,StateTables!$A$6:$AB$56,27,FALSE)="dbl",MIN(ROUND(0.005*$N59,2),ROUND(0.6*52/'Your Pay &amp; Benefits'!$C$8,2)),IF(OR(VLOOKUP($AN59,StateTables!$A$6:$AB$56,18,FALSE)="",VLOOKUP($AN59,StateTables!$A$6:$AB$56,18,FALSE)=0),0,ROUND(VLOOKUP($AN59,StateTables!$A$6:$AB$56,18,FALSE)*IF(OR(VLOOKUP($AN59,StateTables!$A$6:$AB$56,19,FALSE)="",VLOOKUP($AN59,StateTables!$A$6:$AB$56,19,FALSE)=0),$N59,MIN($N59,MAX(0,VLOOKUP($AN59,StateTables!$A$6:$AB$56,19,FALSE)-($AX59+$AB58-$AW59)))),2)))))</f>
      </c>
      <c r="V59" s="7">
        <f>IF($B59="","",IF($AN59="NY",IF('Your Pay &amp; Benefits'!$C$78,ROUND(SUMPRODUCT((MAX(0,($O59-$D59)*'Your Pay &amp; Benefits'!$C$8-(IF($AU59="Married",5500,5000)+1000*$AS59))&gt;INDEX('How This Works &amp; Sources'!$B$184:$J$198,0,4))*(MAX(0,($O59-$D59)*'Your Pay &amp; Benefits'!$C$8-(IF($AU59="Married",5500,5000)+1000*$AS59))-INDEX('How This Works &amp; Sources'!$B$184:$J$198,0,4))*INDEX('How This Works &amp; Sources'!$B$184:$J$198,0,4+2))/'Your Pay &amp; Benefits'!$C$8+0.0425*$D59,2),0)+IF('Your Pay &amp; Benefits'!$C$79="Resident",ROUND(0.1675*$T59,2),IF('Your Pay &amp; Benefits'!$C$79="Nonresident",ROUND(0.005*MAX(0,($O59-$D59)-(IF($AU59="Married",7950,7400)+1000*$AS59)/'Your Pay &amp; Benefits'!$C$8),2),0)),IF($AN59="PA",IF('Your Pay &amp; Benefits'!$C$80="None",'Your Pay &amp; Benefits'!$C$27+ROUND('Your Pay &amp; Benefits'!$C$81*($C59+$D59),2),ROUND(IF('Your Pay &amp; Benefits'!$C$80="Resident",IF($B59&lt;DATE(2026,7,1),0.0374,0.03735),IF($B59&lt;DATE(2026,7,1),0.0343,0.03425))*($C59+$D59),2)),IF($BF59=0,ROUND('Your Pay &amp; Benefits'!$C$81*($C59+$D59),2),'Your Pay &amp; Benefits'!$C$27+ROUND('Your Pay &amp; Benefits'!$C$81*($C59+$D59),2)))))</f>
      </c>
      <c r="W59" s="7">
        <f>IF($B59="","",IF($BF59=0,0,$BP59))</f>
      </c>
      <c r="X59" s="7">
        <f>IF($B59="","",SUM($E59:$K59)+$P59+$Q59+$R59+$S59+$T59+$U59+$V59+$W59)</f>
      </c>
      <c r="Y59" s="22">
        <f>IF($B59="","",$C59+$D59-$X59)</f>
      </c>
      <c r="Z59" s="7">
        <f>IF($B59="","",$Z58+$C59+$D59)</f>
      </c>
      <c r="AA59" s="7">
        <f>IF($B59="","",$AA58+$Y59)</f>
      </c>
      <c r="AB59" s="7">
        <f>IF($B59="","",$AB58+MIN($N59,MAX(0,'How This Works &amp; Sources'!$C$3-($AX59+$AB58-$AW59))))</f>
      </c>
      <c r="AC59" s="7">
        <f>IF($B59="","",$AC58+$E59+$F59)</f>
      </c>
      <c r="AD59" s="3">
        <f>IF($B59="","",IF(AND($AB58&lt;'How This Works &amp; Sources'!$C$3,$AB59&gt;='How This Works &amp; Sources'!$C$3),"★ Social Security maxed on this check — from the next check your net rises by about $"&amp;TEXT(ROUND('How This Works &amp; Sources'!$C$4*$N59,2),"#,##0.00")&amp;". ","")&amp;IF(AND($AC58&lt;'Your Pay &amp; Benefits'!$C$34,$AC59&gt;='Your Pay &amp; Benefits'!$C$34),"★ 401(k) reaches the $"&amp;TEXT('Your Pay &amp; Benefits'!$C$34,"#,##0")&amp;" cap on this check — deferrals stop and net pay rises. ","")&amp;IF(AND($AG58&lt;'How This Works &amp; Sources'!$C$7,$AG59&gt;='How This Works &amp; Sources'!$C$7),"★ Wages pass $200,000 — the 0.9% Additional Medicare Tax starts here. ","")&amp;IF(AND($BJ59&gt;0,$H59&gt;0,$BG58&lt;MIN($BJ59,'How This Works &amp; Sources'!$C$13),$BG58+$H59&gt;=MIN($BJ59,'How This Works &amp; Sources'!$C$13)),"★ Health FSA election is now fully deferred for the year. ",""))</f>
      </c>
      <c r="AE59" s="41" t="n"/>
      <c r="AF59" s="7">
        <f>IF(OR($B59="",$AE59=""),"",$AE59-$Y59)</f>
      </c>
      <c r="AG59" s="7">
        <f>IF($B59="","",$AG58+$N59)</f>
      </c>
      <c r="AH59" s="7">
        <f>IF($B59="","",MAX(0,($M59-$D59)*'Your Pay &amp; Benefits'!$C$8+$AP59-$AQ59-IF('Your Pay &amp; Benefits'!$C$13,0,IF('Your Pay &amp; Benefits'!$C$12="MFJ",'How This Works &amp; Sources'!$C$8,'How This Works &amp; Sources'!$C$9))))</f>
      </c>
      <c r="AI59" s="7">
        <f>IF($B59="","",$O59*'Your Pay &amp; Benefits'!$C$8)</f>
      </c>
      <c r="AJ59" s="7">
        <f>IF($B59="","",MAX(0,$AI59-VLOOKUP($AN59,StateTables!$A$6:$AB$56,12,FALSE)*$AT59-IF(($AS59+$AT59)&gt;=2,VLOOKUP($AN59,StateTables!$A$6:$AB$56,8,FALSE),VLOOKUP($AN59,StateTables!$A$6:$AB$56,7,FALSE))))</f>
      </c>
      <c r="AK59" s="7">
        <f>IF($B59="","",IFERROR(LOOKUP(2,1/(('Changes &amp; Events'!$C$6:$C$17="Salary change")*('Changes &amp; Events'!$B$6:$B$17&lt;=$B59)*('Changes &amp; Events'!$B$6:$B$17&lt;&gt;"")),'Changes &amp; Events'!$D$6:$D$17),IF('Your Pay &amp; Benefits'!$C$4="Annual salary",'Your Pay &amp; Benefits'!$C$5,'Your Pay &amp; Benefits'!$C$6)))</f>
      </c>
      <c r="AL59">
        <f>IF($B59="","",IFERROR(LOOKUP(2,1/(('Changes &amp; Events'!$C$6:$C$17="401(k) change")*('Changes &amp; Events'!$B$6:$B$17&lt;=$B59)*('Changes &amp; Events'!$B$6:$B$17&lt;&gt;"")),'Changes &amp; Events'!$D$6:$D$17),'Your Pay &amp; Benefits'!$C$30))</f>
      </c>
      <c r="AM59" s="7">
        <f>IF($B59="","",IFERROR(LOOKUP(2,1/(('Changes &amp; Events'!$C$6:$C$17="401(k) change")*('Changes &amp; Events'!$B$6:$B$17&lt;=$B59)*('Changes &amp; Events'!$B$6:$B$17&lt;&gt;"")),'Changes &amp; Events'!$E$6:$E$17),'Your Pay &amp; Benefits'!$D$31))</f>
      </c>
      <c r="AN59">
        <f>IF($B59="","",IFERROR(LOOKUP(2,1/(('Changes &amp; Events'!$C$6:$C$17="State move")*('Changes &amp; Events'!$B$6:$B$17&lt;=$B59)*('Changes &amp; Events'!$B$6:$B$17&lt;&gt;"")),'Changes &amp; Events'!$D$6:$D$17),'Your Pay &amp; Benefits'!$C$21))</f>
      </c>
      <c r="AO59" s="7">
        <f>IF($B59="","",IFERROR(LOOKUP(2,1/(('Changes &amp; Events'!$C$6:$C$17="W-4 change")*('Changes &amp; Events'!$B$6:$B$17&lt;=$B59)*('Changes &amp; Events'!$B$6:$B$17&lt;&gt;"")),'Changes &amp; Events'!$D$6:$D$17),'Your Pay &amp; Benefits'!$C$14))</f>
      </c>
      <c r="AP59" s="7">
        <f>IF($B59="","",IFERROR(LOOKUP(2,1/(('Changes &amp; Events'!$C$6:$C$17="W-4 change")*('Changes &amp; Events'!$B$6:$B$17&lt;=$B59)*('Changes &amp; Events'!$B$6:$B$17&lt;&gt;"")),'Changes &amp; Events'!$E$6:$E$17),'Your Pay &amp; Benefits'!$C$15))</f>
      </c>
      <c r="AQ59" s="7">
        <f>IF($B59="","",IFERROR(LOOKUP(2,1/(('Changes &amp; Events'!$C$6:$C$17="W-4 change")*('Changes &amp; Events'!$B$6:$B$17&lt;=$B59)*('Changes &amp; Events'!$B$6:$B$17&lt;&gt;"")),'Changes &amp; Events'!$F$6:$F$17),'Your Pay &amp; Benefits'!$C$16))</f>
      </c>
      <c r="AR59" s="7">
        <f>IF($B59="","",IFERROR(LOOKUP(2,1/(('Changes &amp; Events'!$C$6:$C$17="W-4 change")*('Changes &amp; Events'!$B$6:$B$17&lt;=$B59)*('Changes &amp; Events'!$B$6:$B$17&lt;&gt;"")),'Changes &amp; Events'!$G$6:$G$17),'Your Pay &amp; Benefits'!$C$17))</f>
      </c>
      <c r="AS59" s="6">
        <f>IF($B59="","",IFERROR(LOOKUP(2,1/((('Changes &amp; Events'!$C$6:$C$17="State move")+('Changes &amp; Events'!$C$6:$C$17="State cert change"))*('Changes &amp; Events'!$B$6:$B$17&lt;=$B59)*('Changes &amp; Events'!$B$6:$B$17&lt;&gt;"")),'Changes &amp; Events'!$F$6:$F$17),'Your Pay &amp; Benefits'!$C$23))</f>
      </c>
      <c r="AT59" s="6">
        <f>IF($B59="","",IFERROR(LOOKUP(2,1/((('Changes &amp; Events'!$C$6:$C$17="State move")+('Changes &amp; Events'!$C$6:$C$17="State cert change"))*('Changes &amp; Events'!$B$6:$B$17&lt;=$B59)*('Changes &amp; Events'!$B$6:$B$17&lt;&gt;"")),'Changes &amp; Events'!$G$6:$G$17),'Your Pay &amp; Benefits'!$C$24))</f>
      </c>
      <c r="AU59">
        <f>IF($B59="","",IFERROR(LOOKUP(2,1/(('Changes &amp; Events'!$C$6:$C$17="State move")*('Changes &amp; Events'!$B$6:$B$17&lt;=$B59)*('Changes &amp; Events'!$B$6:$B$17&lt;&gt;"")),'Changes &amp; Events'!$E$6:$E$17),'Your Pay &amp; Benefits'!$C$22))</f>
      </c>
      <c r="AV59" s="6">
        <f>IF($B59="","",1+COUNTIFS('Changes &amp; Events'!$C$6:$C$17,"Employer change",'Changes &amp; Events'!$B$6:$B$17,"&lt;="&amp;$B59,'Changes &amp; Events'!$B$6:$B$17,"&lt;&gt;"))</f>
      </c>
      <c r="AW59" s="7">
        <f>IF($B59="","",IF($AV59=1,'Your Pay &amp; Benefits'!$C$49,IF(IFERROR(MATCH(IFERROR(LOOKUP(2,1/(('Changes &amp; Events'!$C$6:$C$17="Employer change")*('Changes &amp; Events'!$B$6:$B$17&lt;=$B59)*('Changes &amp; Events'!$B$6:$B$17&lt;&gt;"")),'Changes &amp; Events'!$B$6:$B$17),""),$B$6:$B$68,1),1)&lt;=1,'Your Pay &amp; Benefits'!$C$49,INDEX($AB$6:$AB$68,MATCH(IFERROR(LOOKUP(2,1/(('Changes &amp; Events'!$C$6:$C$17="Employer change")*('Changes &amp; Events'!$B$6:$B$17&lt;=$B59)*('Changes &amp; Events'!$B$6:$B$17&lt;&gt;"")),'Changes &amp; Events'!$B$6:$B$17),""),$B$6:$B$68,1)-1))))</f>
      </c>
      <c r="AX59" s="7">
        <f>IF($B59="","",IF($AV59=1,'Your Pay &amp; Benefits'!$C$49,IFERROR(LOOKUP(2,1/(('Changes &amp; Events'!$C$6:$C$17="Employer change")*('Changes &amp; Events'!$B$6:$B$17&lt;=$B59)*('Changes &amp; Events'!$B$6:$B$17&lt;&gt;"")),'Changes &amp; Events'!$D$6:$D$17),0)))</f>
      </c>
      <c r="AY59" s="7">
        <f>IF($B59="","",($O59-$D59)*'Your Pay &amp; Benefits'!$C$8)</f>
      </c>
      <c r="AZ59" s="7">
        <f>IF($B59="","",IF($AN59="AL",MAX(0,$AY59-IF($AU59="Married",IF($AY59&lt;=25999,8500,MAX(5000,8500-175*CEILING(($AY59-25999)/500,1))),IF($AU59="Head of household",IF($AY59&lt;=25999,5200,MAX(2500,5200-135*CEILING(($AY59-25999)/500,1))),IF($AY59&lt;=25999,3000,MAX(2500,3000-25*CEILING(($AY59-25999)/500,1)))))-($P59-'How This Works &amp; Sources'!$C$10*$D59)*'Your Pay &amp; Benefits'!$C$8-IF(OR($AU59="Married",$AU59="Head of household"),3000,1500)-$AT59*IF($AY59&lt;=50000,1000,IF($AY59&lt;=100000,500,300))),IF($AN59="AR",IF(MAX(0,$AY59-2470)&lt;97701,INT(MAX(0,$AY59-2470)/100)*100+50,MAX(0,$AY59-2470)),IF($AN59="DE",MAX(0,$AI59-3250),IF($AN59="HI",MAX(0,$AI59-1144*$AS59-4350),IF($AN59="KS",MAX(0,$AI59-(9160*IF($AU59="Married",2,1)+2320*$AT59+IF($AU59="Head of household",2320,0))),IF($AN59="MD",MAX(0,$AI59-3400-3200*$AS59),IF($AN59="MN",MAX(0,$AY59-5300*$AS59),IF($AN59="MO",MAX(0,$AI59-IF($AU59="Head of household",24150,IF($AU59="Married",IF('Your Pay &amp; Benefits'!$C$83,16100,32200),16100))),IF($AN59="MT",$AY59,IF($AN59="ND",($C59+$L59)*'Your Pay &amp; Benefits'!$C$8,IF($AN59="NE",MAX(0,$AY59-2440*$AS59),IF($AN59="NJ",MAX(0,$AY59-1000*$AS59),IF($AN59="NY",MAX(0,$AY59-(IF($AU59="Married",7950,7400)+1000*$AS59)),IF($AN59="OH",MAX(0,$AY59-650*$AS59),IF($AN59="OK",MAX(0,$AY59-1000*$AS59),IF($AN59="RI",MAX(0,$AI59-1000*$AS59),IF($AN59="SC",MAX(0,$AI59-5000*$AS59-IF($AS59=0,0,MIN(0.1*$AI59,7500))),IF($AN59="VA",MAX(0,$AI59-IF($AU59="Married",17500,8750)-930*$AS59-800*$AT59),IF($AN59="VT",MAX(0,$AI59-5400*$AS59),IF($AN59="WI",MAX(0,$AI59-MAX(0,IF($AU59="Married",9461-0.2*MAX(0,$AI59-25727),6702-0.12*MAX(0,$AI59-17780)))-400*$AS59),IF($AN59="WV",MAX(0,$AI59-2000*$AS59),$AI59))))))))))))))))))))))</f>
      </c>
      <c r="BA59" s="7">
        <f>IF($B59="","",IF($BW59&lt;&gt;"",$BW59,IF($BX59&lt;&gt;"",$BX59,IF($BY59&lt;&gt;"",$BY59,0))))</f>
      </c>
      <c r="BB59" s="7">
        <f>IF($B59="","",IF($AN59="AR",-29*$AS59,IF($AN59="DE",-110*$AS59,IF($AN59="MD",$AZ59*'Your Pay &amp; Benefits'!$C$74,IF($AN59="AZ",'Your Pay &amp; Benefits'!$C$82*($M59-$D59)*'Your Pay &amp; Benefits'!$C$8,IF($AN59="CO",0.044*MAX(0,$AY59-IF($AU59="Married",10000,5000)),IF($AN59="IA",MAX(0,0.038*MAX(0,$AY59-IF($AU59="Head of household",19500,IF($AU59="Married",26000,13000)))-40*$AS59),IF($AN59="ID",0.053*MAX(0,$AY59-IF($AU59="Married",32000,16094)),IF($AN59="IL",0.0495*MAX(0,$AY59-(2925*$AS59+1000*$AT59)),IF($AN59="IN",(0.0295+'Your Pay &amp; Benefits'!$C$76)*MAX(0,$AY59-(1000*$AS59+1500*$AT59+3000*'Your Pay &amp; Benefits'!$C$86)),IF($AN59="KY",0.035*MAX(0,$AI59-3360),IF($AN59="LA",IF('Your Pay &amp; Benefits'!$C$84="0",0.0309*$AI59,0.0309*MAX(0,$AI59-IF('Your Pay &amp; Benefits'!$C$84="2",25750,12875))),IF($AN59="MA",0.05*MIN(MAX(0,$AY59-MIN(($BD58+$Q59+$R59+$S59),2000)-IF($AS59=0,0,IF($AS59=1,4400,1000*$AS59+3400))),1107750)+0.09*MAX(0,MAX(0,$AY59-MIN(($BD58+$Q59+$R59+$S59),2000)-IF($AS59=0,0,IF($AS59=1,4400,1000*$AS59+3400)))-1107750)-IF($AU59="Head of household",120,0)-110*'Your Pay &amp; Benefits'!$C$75,IF($AN59="MI",0.0425*MAX(0,$AY59-5900*$AS59),IF($AN59="MS",0.04*MAX(0,$AI59-IF($AU59="Head of household",3400,IF($AU59="Married",4600,2300))-'Your Pay &amp; Benefits'!$C$85-10000),IF($AN59="OR",IF(OR($AU59="Married",AND($AU59="Single",$AS59&gt;=3)),SUMPRODUCT((MAX(0,$AY59-MIN(($P59-'How This Works &amp; Sources'!$C$10*$D59)*'Your Pay &amp; Benefits'!$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Sources'!$B$211:$J$214,0,4))*(MAX(0,$AY59-MIN(($P59-'How This Works &amp; Sources'!$C$10*$D59)*'Your Pay &amp; Benefits'!$C$8,IF(OR($AU59="Married",AND($AU59="Single",$AS59&gt;=3)),IF($AY59&lt;250000,8750,IF($AY59&lt;260000,7000,IF($AY59&lt;270000,5250,IF($AY59&lt;280000,3500,IF($AY59&lt;290000,1750,0))))),IF($AY59&lt;125000,8750,IF($AY59&lt;130000,7000,IF($AY59&lt;135000,5250,IF($AY59&lt;140000,3500,IF($AY59&lt;145000,1750,0)))))))-IF(OR($AU59="Married",AND($AU59="Single",$AS59&gt;=3)),5820,2910))-INDEX('How This Works &amp; Sources'!$B$211:$J$214,0,4))*INDEX('How This Works &amp; Sources'!$B$211:$J$214,0,4+2)),SUMPRODUCT((MAX(0,$AY59-MIN(($P59-'How This Works &amp; Sources'!$C$10*$D59)*'Your Pay &amp; Benefits'!$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Sources'!$B$211:$J$214,0,1))*(MAX(0,$AY59-MIN(($P59-'How This Works &amp; Sources'!$C$10*$D59)*'Your Pay &amp; Benefits'!$C$8,IF(OR($AU59="Married",AND($AU59="Single",$AS59&gt;=3)),IF($AY59&lt;250000,8750,IF($AY59&lt;260000,7000,IF($AY59&lt;270000,5250,IF($AY59&lt;280000,3500,IF($AY59&lt;290000,1750,0))))),IF($AY59&lt;125000,8750,IF($AY59&lt;130000,7000,IF($AY59&lt;135000,5250,IF($AY59&lt;140000,3500,IF($AY59&lt;145000,1750,0)))))))-IF(OR($AU59="Married",AND($AU59="Single",$AS59&gt;=3)),5820,2910))-INDEX('How This Works &amp; Sources'!$B$211:$J$214,0,1))*INDEX('How This Works &amp; Sources'!$B$211:$J$214,0,1+2)))+263-263*IF(IF($AU59="Married",$AY59&gt;200000,$AY59&gt;100000),0,$AS59),IF($AN59="PA",0.0307*(($O59+$E59+$G59)*'Your Pay &amp; Benefits'!$C$8),IF($AN59="NY",IF($AU59="Married",IF($AZ59&gt;=2155350,0,IF($AZ59&gt;=1077550,0.48,IF($AZ59&gt;=373200,1.21,IF($AZ59&gt;=323200,0.21,IF($AZ59&gt;=211550,-0.19,IF($AZ59&gt;=157650,-2.8,IF($AZ59&gt;=107650,-0.8,IF($AZ59&gt;=96800,0.05,IF($AZ59&gt;=80650,-0.1,IF($AZ59&gt;=13900,0.4,IF($AZ59&gt;=11700,-0.3,IF($AZ59&gt;=8500,0.5,0)))))))))))),IF($AZ59&gt;=1077550,0,IF($AZ59&gt;=265400,4.29,IF($AZ59&gt;=215400,2.29,IF($AZ59&gt;=157650,2.29,IF($AZ59&gt;=107650,0.29,IF($AZ59&gt;=96800,0.05,IF($AZ59&gt;=80650,-0.1,IF($AZ59&gt;=13900,0.4,IF($AZ59&gt;=11700,-0.3,IF($AZ59&gt;=8500,0.5,0))))))))))),0))))))))))))))))))</f>
      </c>
      <c r="BC59" s="7">
        <f>IF($B59="","",IF($AN59="AL",0.05*$D59,IF($AN59="AR",0.039*$D59,IF($AN59="ID",0.053*$D59,IF($AN59="IN",(0.0295+'Your Pay &amp; Benefits'!$C$76)*$D59,IF($AN59="KS",0.05*$D59,IF($AN59="MA",0.09*MIN($D59,MAX(0,MAX(0,$AY59-MIN(($BD58+$Q59+$R59+$S59),2000)-IF($AS59=0,0,IF($AS59=1,4400,1000*$AS59+3400)))+$D59-1107750))+0.05*($D59-MIN($D59,MAX(0,MAX(0,$AY59-MIN(($BD58+$Q59+$R59+$S59),2000)-IF($AS59=0,0,IF($AS59=1,4400,1000*$AS59+3400)))+$D59-1107750))),IF($AN59="MD",(0.065+'Your Pay &amp; Benefits'!$C$74)*$D59,IF($AN59="MI",0.0425*$D59,IF($AN59="MN",0.0625*$D59,IF($AN59="MO",0.047*$D59,IF($AN59="MT",0.05*$D59,IF($AN59="ND",0.015*$D59,IF($AN59="NE",0.035*$D59,IF($AN59="NJ",IF('Your Pay &amp; Benefits'!$C$77="B",SUMPRODUCT(($D59*'Your Pay &amp; Benefits'!$C$8&gt;INDEX('How This Works &amp; Sources'!$B$155:$J$162,0,4))*($D59*'Your Pay &amp; Benefits'!$C$8-INDEX('How This Works &amp; Sources'!$B$155:$J$162,0,4))*INDEX('How This Works &amp; Sources'!$B$155:$J$162,0,4+2)),IF('Your Pay &amp; Benefits'!$C$77="C",SUMPRODUCT(($D59*'Your Pay &amp; Benefits'!$C$8&gt;INDEX('How This Works &amp; Sources'!$B$155:$J$162,0,7))*($D59*'Your Pay &amp; Benefits'!$C$8-INDEX('How This Works &amp; Sources'!$B$155:$J$162,0,7))*INDEX('How This Works &amp; Sources'!$B$155:$J$162,0,7+2)),IF('Your Pay &amp; Benefits'!$C$77="D",SUMPRODUCT(($D59*'Your Pay &amp; Benefits'!$C$8&gt;INDEX('How This Works &amp; Sources'!$B$167:$J$179,0,1))*($D59*'Your Pay &amp; Benefits'!$C$8-INDEX('How This Works &amp; Sources'!$B$167:$J$179,0,1))*INDEX('How This Works &amp; Sources'!$B$167:$J$179,0,1+2)),IF('Your Pay &amp; Benefits'!$C$77="E",SUMPRODUCT(($D59*'Your Pay &amp; Benefits'!$C$8&gt;INDEX('How This Works &amp; Sources'!$B$167:$J$179,0,4))*($D59*'Your Pay &amp; Benefits'!$C$8-INDEX('How This Works &amp; Sources'!$B$167:$J$179,0,4))*INDEX('How This Works &amp; Sources'!$B$167:$J$179,0,4+2)),SUMPRODUCT(($D59*'Your Pay &amp; Benefits'!$C$8&gt;INDEX('How This Works &amp; Sources'!$B$155:$J$162,0,1))*($D59*'Your Pay &amp; Benefits'!$C$8-INDEX('How This Works &amp; Sources'!$B$155:$J$162,0,1))*INDEX('How This Works &amp; Sources'!$B$155:$J$162,0,1+2))))))/'Your Pay &amp; Benefits'!$C$8,IF($AN59="NY",0.117*$D59,IF($AN59="OH",0.0275*$D59,IF($AN59="OK",0.045*$D59,IF($AN59="OR",0.08*$D59,IF($AN59="WI",IF($AY59&lt;12760,0.0354,IF($AY59&lt;25520,0.0465,IF($AY59&lt;280950,0.053,0.0765)))*$D59,0))))))))))))))))))))</f>
      </c>
      <c r="BD59" s="7">
        <f>IF($B59="","",$BD58+$Q59+$R59+$S59)</f>
      </c>
      <c r="BE59" s="6">
        <f>IF($B59="",$BE58,$BE58+$BF59)</f>
      </c>
      <c r="BF59" s="6">
        <f>IF($B59="","",IF(AND(IF(YEAR(IF('Your Pay &amp; Benefits'!$C$7="Weekly",'Your Pay &amp; Benefits'!$C$9+7*(($BE58+1)-1),IF('Your Pay &amp; Benefits'!$C$7="Biweekly",'Your Pay &amp; Benefits'!$C$9+14*(($BE58+1)-1),IF('Your Pay &amp; Benefits'!$C$7="Semimonthly",DATE(YEAR('Your Pay &amp; Benefits'!$C$9),MONTH('Your Pay &amp; Benefits'!$C$9)+INT((($BE58+1)-1)/2),MIN(DAY('Your Pay &amp; Benefits'!$C$9),DAY(EOMONTH(DATE(YEAR('Your Pay &amp; Benefits'!$C$9),MONTH('Your Pay &amp; Benefits'!$C$9)+INT((($BE58+1)-1)/2),1),0))))+IF(MOD(($BE58+1)-1,2)=1,15,0),EDATE('Your Pay &amp; Benefits'!$C$9,($BE58+1)-1)))))&lt;&gt;'Your Pay &amp; Benefits'!$C$10,"",IF('Your Pay &amp; Benefits'!$C$7="Weekly",'Your Pay &amp; Benefits'!$C$9+7*(($BE58+1)-1),IF('Your Pay &amp; Benefits'!$C$7="Biweekly",'Your Pay &amp; Benefits'!$C$9+14*(($BE58+1)-1),IF('Your Pay &amp; Benefits'!$C$7="Semimonthly",DATE(YEAR('Your Pay &amp; Benefits'!$C$9),MONTH('Your Pay &amp; Benefits'!$C$9)+INT((($BE58+1)-1)/2),MIN(DAY('Your Pay &amp; Benefits'!$C$9),DAY(EOMONTH(DATE(YEAR('Your Pay &amp; Benefits'!$C$9),MONTH('Your Pay &amp; Benefits'!$C$9)+INT((($BE58+1)-1)/2),1),0))))+IF(MOD(($BE58+1)-1,2)=1,15,0),EDATE('Your Pay &amp; Benefits'!$C$9,($BE58+1)-1)))))&lt;&gt;"",$B59=IF(YEAR(IF('Your Pay &amp; Benefits'!$C$7="Weekly",'Your Pay &amp; Benefits'!$C$9+7*(($BE58+1)-1),IF('Your Pay &amp; Benefits'!$C$7="Biweekly",'Your Pay &amp; Benefits'!$C$9+14*(($BE58+1)-1),IF('Your Pay &amp; Benefits'!$C$7="Semimonthly",DATE(YEAR('Your Pay &amp; Benefits'!$C$9),MONTH('Your Pay &amp; Benefits'!$C$9)+INT((($BE58+1)-1)/2),MIN(DAY('Your Pay &amp; Benefits'!$C$9),DAY(EOMONTH(DATE(YEAR('Your Pay &amp; Benefits'!$C$9),MONTH('Your Pay &amp; Benefits'!$C$9)+INT((($BE58+1)-1)/2),1),0))))+IF(MOD(($BE58+1)-1,2)=1,15,0),EDATE('Your Pay &amp; Benefits'!$C$9,($BE58+1)-1)))))&lt;&gt;'Your Pay &amp; Benefits'!$C$10,"",IF('Your Pay &amp; Benefits'!$C$7="Weekly",'Your Pay &amp; Benefits'!$C$9+7*(($BE58+1)-1),IF('Your Pay &amp; Benefits'!$C$7="Biweekly",'Your Pay &amp; Benefits'!$C$9+14*(($BE58+1)-1),IF('Your Pay &amp; Benefits'!$C$7="Semimonthly",DATE(YEAR('Your Pay &amp; Benefits'!$C$9),MONTH('Your Pay &amp; Benefits'!$C$9)+INT((($BE58+1)-1)/2),MIN(DAY('Your Pay &amp; Benefits'!$C$9),DAY(EOMONTH(DATE(YEAR('Your Pay &amp; Benefits'!$C$9),MONTH('Your Pay &amp; Benefits'!$C$9)+INT((($BE58+1)-1)/2),1),0))))+IF(MOD(($BE58+1)-1,2)=1,15,0),EDATE('Your Pay &amp; Benefits'!$C$9,($BE58+1)-1)))))),1,0))</f>
      </c>
      <c r="BG59" s="7">
        <f>IF($B59="","",$BG58+$H59)</f>
      </c>
      <c r="BH59" s="7">
        <f>IF($B59="","",$BH58+$I59)</f>
      </c>
      <c r="BI59" s="7">
        <f>IF($B59="","",$BI58+$G59)</f>
      </c>
      <c r="BJ59" s="7">
        <f>IF($B59="","",IFERROR(LOOKUP(2,1/(((('Changes &amp; Events'!$C$6:$C$17="Deduction start"))*('Changes &amp; Events'!$D$6:$D$17="Health FSA"))*('Changes &amp; Events'!$B$6:$B$17&lt;=$B59)*('Changes &amp; Events'!$B$6:$B$17&lt;&gt;"")),'Changes &amp; Events'!$E$6:$E$17),'Your Pay &amp; Benefits'!$D$38))</f>
      </c>
      <c r="BK59" s="7">
        <f>IF($B59="","",IFERROR(LOOKUP(2,1/(((('Changes &amp; Events'!$C$6:$C$17="Deduction start"))*('Changes &amp; Events'!$D$6:$D$17="Dependent-care FSA"))*('Changes &amp; Events'!$B$6:$B$17&lt;=$B59)*('Changes &amp; Events'!$B$6:$B$17&lt;&gt;"")),'Changes &amp; Events'!$E$6:$E$17),'Your Pay &amp; Benefits'!$D$39))</f>
      </c>
      <c r="BL59" s="7">
        <f>IF($B59="","",IFERROR(LOOKUP(2,1/(((('Changes &amp; Events'!$C$6:$C$17="Deduction start")+('Changes &amp; Events'!$C$6:$C$17="Deduction stop"))*('Changes &amp; Events'!$D$6:$D$17="HSA"))*('Changes &amp; Events'!$B$6:$B$17&lt;=$B59)*('Changes &amp; Events'!$B$6:$B$17&lt;&gt;"")),'Changes &amp; Events'!$I$6:$I$17),'Your Pay &amp; Benefits'!$D$35))</f>
      </c>
      <c r="BM59" s="7">
        <f>IF($B59="","",IFERROR(LOOKUP(2,1/(((('Changes &amp; Events'!$C$6:$C$17="Deduction start")+('Changes &amp; Events'!$C$6:$C$17="Deduction stop"))*('Changes &amp; Events'!$D$6:$D$17="Premiums"))*('Changes &amp; Events'!$B$6:$B$17&lt;=$B59)*('Changes &amp; Events'!$B$6:$B$17&lt;&gt;"")),'Changes &amp; Events'!$I$6:$I$17),'Your Pay &amp; Benefits'!$D$40+'Your Pay &amp; Benefits'!$D$41+'Your Pay &amp; Benefits'!$D$42))</f>
      </c>
      <c r="BN59" s="7">
        <f>IF($B59="","",IFERROR(LOOKUP(2,1/(((('Changes &amp; Events'!$C$6:$C$17="Deduction start")+('Changes &amp; Events'!$C$6:$C$17="Deduction stop"))*('Changes &amp; Events'!$D$6:$D$17="Commuter"))*('Changes &amp; Events'!$B$6:$B$17&lt;=$B59)*('Changes &amp; Events'!$B$6:$B$17&lt;&gt;"")),'Changes &amp; Events'!$I$6:$I$17),'Your Pay &amp; Benefits'!$D$43))</f>
      </c>
      <c r="BO59" s="7">
        <f>IF($B59="","",IFERROR(LOOKUP(2,1/(((('Changes &amp; Events'!$C$6:$C$17="Deduction start")+('Changes &amp; Events'!$C$6:$C$17="Deduction stop"))*('Changes &amp; Events'!$D$6:$D$17="Other pre-tax"))*('Changes &amp; Events'!$B$6:$B$17&lt;=$B59)*('Changes &amp; Events'!$B$6:$B$17&lt;&gt;"")),'Changes &amp; Events'!$I$6:$I$17),'Your Pay &amp; Benefits'!$D$44))</f>
      </c>
      <c r="BP59" s="7">
        <f>IF($B59="","",IFERROR(LOOKUP(2,1/(((('Changes &amp; Events'!$C$6:$C$17="Deduction start")+('Changes &amp; Events'!$C$6:$C$17="Deduction stop"))*('Changes &amp; Events'!$D$6:$D$17="Other post-tax"))*('Changes &amp; Events'!$B$6:$B$17&lt;=$B59)*('Changes &amp; Events'!$B$6:$B$17&lt;&gt;"")),'Changes &amp; Events'!$I$6:$I$17),'Your Pay &amp; Benefits'!$D$45))</f>
      </c>
      <c r="BQ59" s="6">
        <f>IF($B59="","",IFERROR(LOOKUP(2,1/(((('Changes &amp; Events'!$C$6:$C$17="Deduction start")+('Changes &amp; Events'!$C$6:$C$17="Deduction stop"))*('Changes &amp; Events'!$D$6:$D$17="Health FSA"))*('Changes &amp; Events'!$B$6:$B$17&lt;=$B59)*('Changes &amp; Events'!$B$6:$B$17&lt;&gt;"")),'Changes &amp; Events'!$J$6:$J$17),0))</f>
      </c>
      <c r="BR59" s="6">
        <f>IF($B59="","",IFERROR(LOOKUP(2,1/(((('Changes &amp; Events'!$C$6:$C$17="Deduction start")+('Changes &amp; Events'!$C$6:$C$17="Deduction stop"))*('Changes &amp; Events'!$D$6:$D$17="Dependent-care FSA"))*('Changes &amp; Events'!$B$6:$B$17&lt;=$B59)*('Changes &amp; Events'!$B$6:$B$17&lt;&gt;"")),'Changes &amp; Events'!$J$6:$J$17),0))</f>
      </c>
      <c r="BS59" s="6">
        <f>IF($B59="","",IF(SUMPRODUCT(('Changes &amp; Events'!$C$6:$C$17="Deduction start")*('Changes &amp; Events'!$B$6:$B$17&lt;=$B59)*('Changes &amp; Events'!$B$6:$B$17&lt;&gt;"")*('Changes &amp; Events'!$D$6:$D$17="Health FSA"))&gt;0,1,0))</f>
      </c>
      <c r="BT59" s="6">
        <f>IF($B59="","",IF(SUMPRODUCT(('Changes &amp; Events'!$C$6:$C$17="Deduction start")*('Changes &amp; Events'!$B$6:$B$17&lt;=$B59)*('Changes &amp; Events'!$B$6:$B$17&lt;&gt;"")*('Changes &amp; Events'!$D$6:$D$17="Dependent-care FSA"))&gt;0,1,0))</f>
      </c>
      <c r="BU59" s="24">
        <f>IF($B59="","",IF('Your Pay &amp; Benefits'!$C$13,SUMPRODUCT(($AH59&gt;=INDEX('How This Works &amp; Sources'!$B$29:$J$36,0,IF('Your Pay &amp; Benefits'!$C$12="MFJ",1,IF('Your Pay &amp; Benefits'!$C$12="HoH",7,4))))*INDEX('How This Works &amp; Sources'!$B$29:$J$36,0,IF('Your Pay &amp; Benefits'!$C$12="MFJ",1,IF('Your Pay &amp; Benefits'!$C$12="HoH",7,4))+2)),SUMPRODUCT(($AH59&gt;=INDEX('How This Works &amp; Sources'!$B$19:$J$26,0,IF('Your Pay &amp; Benefits'!$C$12="MFJ",1,IF('Your Pay &amp; Benefits'!$C$12="HoH",7,4))))*INDEX('How This Works &amp; Sources'!$B$19:$J$26,0,IF('Your Pay &amp; Benefits'!$C$12="MFJ",1,IF('Your Pay &amp; Benefits'!$C$12="HoH",7,4))+2))))</f>
      </c>
      <c r="BV59" s="24">
        <f>IF($B59="","",IF($BZ59&lt;&gt;"",$BZ59,IF($CA59&lt;&gt;"",$CA59,IF($CB59&lt;&gt;"",$CB59,IF($CC59&lt;&gt;"",$CC59,0)))))</f>
      </c>
      <c r="BW59" s="7">
        <f>IF($B59="","",IF($AN59="MD",IF(OR($AU59="Married",$AU59="Head of household"),SUMPRODUCT(($AZ59&gt;INDEX('How This Works &amp; Sources'!$B$114:$J$120,0,1))*($AZ59-INDEX('How This Works &amp; Sources'!$B$114:$J$120,0,1))*INDEX('How This Works &amp; Sources'!$B$114:$J$120,0,1+2)),SUMPRODUCT(($AZ59&gt;INDEX('How This Works &amp; Sources'!$B$103:$J$109,0,7))*($AZ59-INDEX('How This Works &amp; Sources'!$B$103:$J$109,0,7))*INDEX('How This Works &amp; Sources'!$B$103:$J$109,0,7+2))),IF($AN59="MO",SUMPRODUCT(($AZ59&gt;INDEX('How This Works &amp; Sources'!$B$125:$J$132,0,1))*($AZ59-INDEX('How This Works &amp; Sources'!$B$125:$J$132,0,1))*INDEX('How This Works &amp; Sources'!$B$125:$J$132,0,1+2)),IF($AN59="MT",IF($AU59="Head of household",SUMPRODUCT(($AZ59&gt;INDEX('How This Works &amp; Sources'!$B$137:$J$139,0,1))*($AZ59-INDEX('How This Works &amp; Sources'!$B$137:$J$139,0,1))*INDEX('How This Works &amp; Sources'!$B$137:$J$139,0,1+2)),IF($AU59="Married",SUMPRODUCT(($AZ59&gt;INDEX('How This Works &amp; Sources'!$B$125:$J$132,0,7))*($AZ59-INDEX('How This Works &amp; Sources'!$B$125:$J$132,0,7))*INDEX('How This Works &amp; Sources'!$B$125:$J$132,0,7+2)),SUMPRODUCT(($AZ59&gt;INDEX('How This Works &amp; Sources'!$B$125:$J$132,0,4))*($AZ59-INDEX('How This Works &amp; Sources'!$B$125:$J$132,0,4))*INDEX('How This Works &amp; Sources'!$B$125:$J$132,0,4+2)))),IF($AN59="ND",IF($AU59="Head of household",SUMPRODUCT(($AZ59&gt;INDEX('How This Works &amp; Sources'!$B$144:$J$150,0,1))*($AZ59-INDEX('How This Works &amp; Sources'!$B$144:$J$150,0,1))*INDEX('How This Works &amp; Sources'!$B$144:$J$150,0,1+2)),IF($AU59="Married",SUMPRODUCT(($AZ59&gt;INDEX('How This Works &amp; Sources'!$B$137:$J$139,0,7))*($AZ59-INDEX('How This Works &amp; Sources'!$B$137:$J$139,0,7))*INDEX('How This Works &amp; Sources'!$B$137:$J$139,0,7+2)),SUMPRODUCT(($AZ59&gt;INDEX('How This Works &amp; Sources'!$B$137:$J$139,0,4))*($AZ59-INDEX('How This Works &amp; Sources'!$B$137:$J$139,0,4))*INDEX('How This Works &amp; Sources'!$B$137:$J$139,0,4+2)))),IF($AN59="NJ",IF('Your Pay &amp; Benefits'!$C$77="B",SUMPRODUCT(($AZ59&gt;INDEX('How This Works &amp; Sources'!$B$155:$J$162,0,4))*($AZ59-INDEX('How This Works &amp; Sources'!$B$155:$J$162,0,4))*INDEX('How This Works &amp; Sources'!$B$155:$J$162,0,4+2)),IF('Your Pay &amp; Benefits'!$C$77="C",SUMPRODUCT(($AZ59&gt;INDEX('How This Works &amp; Sources'!$B$155:$J$162,0,7))*($AZ59-INDEX('How This Works &amp; Sources'!$B$155:$J$162,0,7))*INDEX('How This Works &amp; Sources'!$B$155:$J$162,0,7+2)),IF('Your Pay &amp; Benefits'!$C$77="D",SUMPRODUCT(($AZ59&gt;INDEX('How This Works &amp; Sources'!$B$167:$J$179,0,1))*($AZ59-INDEX('How This Works &amp; Sources'!$B$167:$J$179,0,1))*INDEX('How This Works &amp; Sources'!$B$167:$J$179,0,1+2)),IF('Your Pay &amp; Benefits'!$C$77="E",SUMPRODUCT(($AZ59&gt;INDEX('How This Works &amp; Sources'!$B$167:$J$179,0,4))*($AZ59-INDEX('How This Works &amp; Sources'!$B$167:$J$179,0,4))*INDEX('How This Works &amp; Sources'!$B$167:$J$179,0,4+2)),SUMPRODUCT(($AZ59&gt;INDEX('How This Works &amp; Sources'!$B$155:$J$162,0,1))*($AZ59-INDEX('How This Works &amp; Sources'!$B$155:$J$162,0,1))*INDEX('How This Works &amp; Sources'!$B$155:$J$162,0,1+2)))))),IF($AN59="NY",IF($AU59="Married",IF($AZ59&gt;=2155350,$AZ59*IF($AZ59&gt;25000000,0.117,IF($AZ59&gt;5000000,0.111,0.1045)),SUMPRODUCT(($AZ59&gt;INDEX('How This Works &amp; Sources'!$B$184:$J$198,0,1))*($AZ59-INDEX('How This Works &amp; Sources'!$B$184:$J$198,0,1))*INDEX('How This Works &amp; Sources'!$B$184:$J$198,0,1+2))),IF($AZ59&gt;=1077550,$AZ59*IF($AZ59&gt;25000000,0.117,IF($AZ59&gt;5000000,0.111,0.1045)),SUMPRODUCT(($AZ59&gt;INDEX('How This Works &amp; Sources'!$B$167:$J$179,0,7))*($AZ59-INDEX('How This Works &amp; Sources'!$B$167:$J$179,0,7))*INDEX('How This Works &amp; Sources'!$B$167:$J$179,0,7+2)))),"")))))))</f>
      </c>
      <c r="BX59" s="7">
        <f>IF($B59="","",IF($AN59="AL",IF(OR($AU59="Married",$AU59="Head of household"),SUMPRODUCT(($AZ59&gt;INDEX('How This Works &amp; Sources'!$B$82:$J$86,0,4))*($AZ59-INDEX('How This Works &amp; Sources'!$B$82:$J$86,0,4))*INDEX('How This Works &amp; Sources'!$B$82:$J$86,0,4+2)),SUMPRODUCT(($AZ59&gt;INDEX('How This Works &amp; Sources'!$B$82:$J$86,0,1))*($AZ59-INDEX('How This Works &amp; Sources'!$B$82:$J$86,0,1))*INDEX('How This Works &amp; Sources'!$B$82:$J$86,0,1+2))),IF($AN59="KS",IF($AU59="Married",SUMPRODUCT(($AZ59&gt;INDEX('How This Works &amp; Sources'!$B$103:$J$109,0,4))*($AZ59-INDEX('How This Works &amp; Sources'!$B$103:$J$109,0,4))*INDEX('How This Works &amp; Sources'!$B$103:$J$109,0,4+2)),SUMPRODUCT(($AZ59&gt;INDEX('How This Works &amp; Sources'!$B$103:$J$109,0,1))*($AZ59-INDEX('How This Works &amp; Sources'!$B$103:$J$109,0,1))*INDEX('How This Works &amp; Sources'!$B$103:$J$109,0,1+2))),IF($AN59="MN",IF($AU59="Married",SUMPRODUCT(($AZ59&gt;INDEX('How This Works &amp; Sources'!$B$114:$J$120,0,7))*($AZ59-INDEX('How This Works &amp; Sources'!$B$114:$J$120,0,7))*INDEX('How This Works &amp; Sources'!$B$114:$J$120,0,7+2)),SUMPRODUCT(($AZ59&gt;INDEX('How This Works &amp; Sources'!$B$114:$J$120,0,4))*($AZ59-INDEX('How This Works &amp; Sources'!$B$114:$J$120,0,4))*INDEX('How This Works &amp; Sources'!$B$114:$J$120,0,4+2))),IF($AN59="NE",MAX(IF($AU59="Married",SUMPRODUCT(($AZ59&gt;INDEX('How This Works &amp; Sources'!$B$144:$J$150,0,7))*($AZ59-INDEX('How This Works &amp; Sources'!$B$144:$J$150,0,7))*INDEX('How This Works &amp; Sources'!$B$144:$J$150,0,7+2)),SUMPRODUCT(($AZ59&gt;INDEX('How This Works &amp; Sources'!$B$144:$J$150,0,4))*($AZ59-INDEX('How This Works &amp; Sources'!$B$144:$J$150,0,4))*INDEX('How This Works &amp; Sources'!$B$144:$J$150,0,4+2))),0.015*$AZ59),IF($AN59="OH",IF($B59&gt;=DATE(2026,8,1),SUMPRODUCT(($AZ59&gt;INDEX('How This Works &amp; Sources'!$B$203:$J$206,0,1))*($AZ59-INDEX('How This Works &amp; Sources'!$B$203:$J$206,0,1))*INDEX('How This Works &amp; Sources'!$B$203:$J$206,0,1+2)),SUMPRODUCT(($AZ59&gt;INDEX('How This Works &amp; Sources'!$B$184:$J$198,0,7))*($AZ59-INDEX('How This Works &amp; Sources'!$B$184:$J$198,0,7))*INDEX('How This Works &amp; Sources'!$B$184:$J$198,0,7+2))),IF($AN59="OK",IF($AU59="Married",SUMPRODUCT(($AZ59&gt;INDEX('How This Works &amp; Sources'!$B$203:$J$206,0,7))*($AZ59-INDEX('How This Works &amp; Sources'!$B$203:$J$206,0,7))*INDEX('How This Works &amp; Sources'!$B$203:$J$206,0,7+2)),SUMPRODUCT(($AZ59&gt;INDEX('How This Works &amp; Sources'!$B$203:$J$206,0,4))*($AZ59-INDEX('How This Works &amp; Sources'!$B$203:$J$206,0,4))*INDEX('How This Works &amp; Sources'!$B$203:$J$206,0,4+2))),IF($AN59="RI",SUMPRODUCT(($AZ59&gt;INDEX('How This Works &amp; Sources'!$B$211:$J$214,0,7))*($AZ59-INDEX('How This Works &amp; Sources'!$B$211:$J$214,0,7))*INDEX('How This Works &amp; Sources'!$B$211:$J$214,0,7+2)),IF($AN59="VT",IF($AU59="Married",SUMPRODUCT(($AZ59&gt;INDEX('How This Works &amp; Sources'!$B$228:$J$232,0,1))*($AZ59-INDEX('How This Works &amp; Sources'!$B$228:$J$232,0,1))*INDEX('How This Works &amp; Sources'!$B$228:$J$232,0,1+2)),SUMPRODUCT(($AZ59&gt;INDEX('How This Works &amp; Sources'!$B$219:$J$223,0,7))*($AZ59-INDEX('How This Works &amp; Sources'!$B$219:$J$223,0,7))*INDEX('How This Works &amp; Sources'!$B$219:$J$223,0,7+2))),IF($AN59="WV",IF($AU59="Married",SUMPRODUCT(($AZ59&gt;INDEX('How This Works &amp; Sources'!$B$237:$J$241,0,7))*($AZ59-INDEX('How This Works &amp; Sources'!$B$237:$J$241,0,7))*INDEX('How This Works &amp; Sources'!$B$237:$J$241,0,7+2)),SUMPRODUCT(($AZ59&gt;INDEX('How This Works &amp; Sources'!$B$228:$J$232,0,7))*($AZ59-INDEX('How This Works &amp; Sources'!$B$228:$J$232,0,7))*INDEX('How This Works &amp; Sources'!$B$228:$J$232,0,7+2))),""))))))))))</f>
      </c>
      <c r="BY59" s="7">
        <f>IF($B59="","",IF($AN59="AR",SUMPRODUCT(($AZ59&gt;INDEX('How This Works &amp; Sources'!$B$82:$J$86,0,7))*($AZ59-INDEX('How This Works &amp; Sources'!$B$82:$J$86,0,7))*INDEX('How This Works &amp; Sources'!$B$82:$J$86,0,7+2)),IF($AN59="DE",SUMPRODUCT(($AZ59&gt;INDEX('How This Works &amp; Sources'!$B$91:$J$98,0,1))*($AZ59-INDEX('How This Works &amp; Sources'!$B$91:$J$98,0,1))*INDEX('How This Works &amp; Sources'!$B$91:$J$98,0,1+2)),IF($AN59="HI",IF($AU59="Married",SUMPRODUCT(($AZ59&gt;INDEX('How This Works &amp; Sources'!$B$91:$J$98,0,7))*($AZ59-INDEX('How This Works &amp; Sources'!$B$91:$J$98,0,7))*INDEX('How This Works &amp; Sources'!$B$91:$J$98,0,7+2)),SUMPRODUCT(($AZ59&gt;INDEX('How This Works &amp; Sources'!$B$91:$J$98,0,4))*($AZ59-INDEX('How This Works &amp; Sources'!$B$91:$J$98,0,4))*INDEX('How This Works &amp; Sources'!$B$91:$J$98,0,4+2))),IF($AN59="SC",SUMPRODUCT(($AZ59&gt;INDEX('How This Works &amp; Sources'!$B$219:$J$223,0,1))*($AZ59-INDEX('How This Works &amp; Sources'!$B$219:$J$223,0,1))*INDEX('How This Works &amp; Sources'!$B$219:$J$223,0,1+2)),IF($AN59="VA",SUMPRODUCT(($AZ59&gt;INDEX('How This Works &amp; Sources'!$B$219:$J$223,0,4))*($AZ59-INDEX('How This Works &amp; Sources'!$B$219:$J$223,0,4))*INDEX('How This Works &amp; Sources'!$B$219:$J$223,0,4+2)),IF($AN59="WI",SUMPRODUCT(($AZ59&gt;INDEX('How This Works &amp; Sources'!$B$228:$J$232,0,4))*($AZ59-INDEX('How This Works &amp; Sources'!$B$228:$J$232,0,4))*INDEX('How This Works &amp; Sources'!$B$228:$J$232,0,4+2)),"")))))))</f>
      </c>
      <c r="BZ59" s="24">
        <f>IF($B59="","",IF($AN59="NJ",IF('Your Pay &amp; Benefits'!$C$77="B",SUMPRODUCT(($AZ59&gt;=INDEX('How This Works &amp; Sources'!$B$155:$J$162,0,4))*INDEX('How This Works &amp; Sources'!$B$155:$J$162,0,4+2)),IF('Your Pay &amp; Benefits'!$C$77="C",SUMPRODUCT(($AZ59&gt;=INDEX('How This Works &amp; Sources'!$B$155:$J$162,0,7))*INDEX('How This Works &amp; Sources'!$B$155:$J$162,0,7+2)),IF('Your Pay &amp; Benefits'!$C$77="D",SUMPRODUCT(($AZ59&gt;=INDEX('How This Works &amp; Sources'!$B$167:$J$179,0,1))*INDEX('How This Works &amp; Sources'!$B$167:$J$179,0,1+2)),IF('Your Pay &amp; Benefits'!$C$77="E",SUMPRODUCT(($AZ59&gt;=INDEX('How This Works &amp; Sources'!$B$167:$J$179,0,4))*INDEX('How This Works &amp; Sources'!$B$167:$J$179,0,4+2)),SUMPRODUCT(($AZ59&gt;=INDEX('How This Works &amp; Sources'!$B$155:$J$162,0,1))*INDEX('How This Works &amp; Sources'!$B$155:$J$162,0,1+2)))))),IF($AN59="OR",IF(OR($AU59="Married",AND($AU59="Single",$AS59&gt;=3)),SUMPRODUCT((MAX(0,$AY59-MIN(($P59-'How This Works &amp; Sources'!$C$10*$D59)*'Your Pay &amp; Benefits'!$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Sources'!$B$211:$J$214,0,4))*INDEX('How This Works &amp; Sources'!$B$211:$J$214,0,4+2)),SUMPRODUCT((MAX(0,$AY59-MIN(($P59-'How This Works &amp; Sources'!$C$10*$D59)*'Your Pay &amp; Benefits'!$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Sources'!$B$211:$J$214,0,1))*INDEX('How This Works &amp; Sources'!$B$211:$J$214,0,1+2)))*IF(($P59-'How This Works &amp; Sources'!$C$10*$D59)*'Your Pay &amp; Benefits'!$C$8&gt;=IF(OR($AU59="Married",AND($AU59="Single",$AS59&gt;=3)),IF($AY59&lt;250000,8750,IF($AY59&lt;260000,7000,IF($AY59&lt;270000,5250,IF($AY59&lt;280000,3500,IF($AY59&lt;290000,1750,0))))),IF($AY59&lt;125000,8750,IF($AY59&lt;130000,7000,IF($AY59&lt;135000,5250,IF($AY59&lt;140000,3500,IF($AY59&lt;145000,1750,0)))))),1,1-IF('Your Pay &amp; Benefits'!$C$13,SUMPRODUCT(($AH59&gt;=INDEX('How This Works &amp; Sources'!$B$29:$J$36,0,IF('Your Pay &amp; Benefits'!$C$12="MFJ",1,IF('Your Pay &amp; Benefits'!$C$12="HoH",7,4))))*INDEX('How This Works &amp; Sources'!$B$29:$J$36,0,IF('Your Pay &amp; Benefits'!$C$12="MFJ",1,IF('Your Pay &amp; Benefits'!$C$12="HoH",7,4))+2)),SUMPRODUCT(($AH59&gt;=INDEX('How This Works &amp; Sources'!$B$19:$J$26,0,IF('Your Pay &amp; Benefits'!$C$12="MFJ",1,IF('Your Pay &amp; Benefits'!$C$12="HoH",7,4))))*INDEX('How This Works &amp; Sources'!$B$19:$J$26,0,IF('Your Pay &amp; Benefits'!$C$12="MFJ",1,IF('Your Pay &amp; Benefits'!$C$12="HoH",7,4))+2)))),IF($AN59="MI",IF($AY59&gt;5900*$AS59,0.0425,0),""))))</f>
      </c>
      <c r="CA59" s="24">
        <f>IF($B59="","",IF($AN59="AL",IF(OR($AU59="Married",$AU59="Head of household"),SUMPRODUCT(($AZ59&gt;=INDEX('How This Works &amp; Sources'!$B$82:$J$86,0,4))*INDEX('How This Works &amp; Sources'!$B$82:$J$86,0,4+2)),SUMPRODUCT(($AZ59&gt;=INDEX('How This Works &amp; Sources'!$B$82:$J$86,0,1))*INDEX('How This Works &amp; Sources'!$B$82:$J$86,0,1+2)))*(1-IF('Your Pay &amp; Benefits'!$C$13,SUMPRODUCT(($AH59&gt;=INDEX('How This Works &amp; Sources'!$B$29:$J$36,0,IF('Your Pay &amp; Benefits'!$C$12="MFJ",1,IF('Your Pay &amp; Benefits'!$C$12="HoH",7,4))))*INDEX('How This Works &amp; Sources'!$B$29:$J$36,0,IF('Your Pay &amp; Benefits'!$C$12="MFJ",1,IF('Your Pay &amp; Benefits'!$C$12="HoH",7,4))+2)),SUMPRODUCT(($AH59&gt;=INDEX('How This Works &amp; Sources'!$B$19:$J$26,0,IF('Your Pay &amp; Benefits'!$C$12="MFJ",1,IF('Your Pay &amp; Benefits'!$C$12="HoH",7,4))))*INDEX('How This Works &amp; Sources'!$B$19:$J$26,0,IF('Your Pay &amp; Benefits'!$C$12="MFJ",1,IF('Your Pay &amp; Benefits'!$C$12="HoH",7,4))+2)))),IF($AN59="KS",IF($AU59="Married",SUMPRODUCT(($AZ59&gt;=INDEX('How This Works &amp; Sources'!$B$103:$J$109,0,4))*INDEX('How This Works &amp; Sources'!$B$103:$J$109,0,4+2)),SUMPRODUCT(($AZ59&gt;=INDEX('How This Works &amp; Sources'!$B$103:$J$109,0,1))*INDEX('How This Works &amp; Sources'!$B$103:$J$109,0,1+2))),IF($AN59="MD",IF(OR($AU59="Married",$AU59="Head of household"),SUMPRODUCT(($AZ59&gt;=INDEX('How This Works &amp; Sources'!$B$114:$J$120,0,1))*INDEX('How This Works &amp; Sources'!$B$114:$J$120,0,1+2)),SUMPRODUCT(($AZ59&gt;=INDEX('How This Works &amp; Sources'!$B$103:$J$109,0,7))*INDEX('How This Works &amp; Sources'!$B$103:$J$109,0,7+2)))+'Your Pay &amp; Benefits'!$C$74,IF($AN59="MT",IF($AU59="Head of household",SUMPRODUCT(($AZ59&gt;=INDEX('How This Works &amp; Sources'!$B$137:$J$139,0,1))*INDEX('How This Works &amp; Sources'!$B$137:$J$139,0,1+2)),IF($AU59="Married",SUMPRODUCT(($AZ59&gt;=INDEX('How This Works &amp; Sources'!$B$125:$J$132,0,7))*INDEX('How This Works &amp; Sources'!$B$125:$J$132,0,7+2)),SUMPRODUCT(($AZ59&gt;=INDEX('How This Works &amp; Sources'!$B$125:$J$132,0,4))*INDEX('How This Works &amp; Sources'!$B$125:$J$132,0,4+2)))),IF($AN59="ND",IF($AU59="Head of household",SUMPRODUCT(($AZ59&gt;=INDEX('How This Works &amp; Sources'!$B$144:$J$150,0,1))*INDEX('How This Works &amp; Sources'!$B$144:$J$150,0,1+2)),IF($AU59="Married",SUMPRODUCT(($AZ59&gt;=INDEX('How This Works &amp; Sources'!$B$137:$J$139,0,7))*INDEX('How This Works &amp; Sources'!$B$137:$J$139,0,7+2)),SUMPRODUCT(($AZ59&gt;=INDEX('How This Works &amp; Sources'!$B$137:$J$139,0,4))*INDEX('How This Works &amp; Sources'!$B$137:$J$139,0,4+2)))),IF($AN59="NY",IF($AU59="Married",IF($AZ59&gt;=2155350,IF($AZ59&gt;25000000,0.117,IF($AZ59&gt;5000000,0.111,0.1045)),SUMPRODUCT(($AZ59&gt;=INDEX('How This Works &amp; Sources'!$B$184:$J$198,0,1))*INDEX('How This Works &amp; Sources'!$B$184:$J$198,0,1+2))),IF($AZ59&gt;=1077550,IF($AZ59&gt;25000000,0.117,IF($AZ59&gt;5000000,0.111,0.1045)),SUMPRODUCT(($AZ59&gt;=INDEX('How This Works &amp; Sources'!$B$167:$J$179,0,7))*INDEX('How This Works &amp; Sources'!$B$167:$J$179,0,7+2)))),"")))))))</f>
      </c>
      <c r="CB59" s="24">
        <f>IF($B59="","",IF($AN59="CA",SUMPRODUCT(($AJ59&gt;=INDEX('How This Works &amp; Sources'!$B$39:$J$48,0,IF($AU59="Married",4,IF($AU59="Head of household",7,1))))*INDEX('How This Works &amp; Sources'!$B$39:$J$48,0,IF($AU59="Married",4,IF($AU59="Head of household",7,1))+2)),IF($AN59="HI",IF($AU59="Married",SUMPRODUCT(($AZ59&gt;=INDEX('How This Works &amp; Sources'!$B$91:$J$98,0,7))*INDEX('How This Works &amp; Sources'!$B$91:$J$98,0,7+2)),SUMPRODUCT(($AZ59&gt;=INDEX('How This Works &amp; Sources'!$B$91:$J$98,0,4))*INDEX('How This Works &amp; Sources'!$B$91:$J$98,0,4+2))),IF($AN59="MN",IF($AU59="Married",SUMPRODUCT(($AZ59&gt;=INDEX('How This Works &amp; Sources'!$B$114:$J$120,0,7))*INDEX('How This Works &amp; Sources'!$B$114:$J$120,0,7+2)),SUMPRODUCT(($AZ59&gt;=INDEX('How This Works &amp; Sources'!$B$114:$J$120,0,4))*INDEX('How This Works &amp; Sources'!$B$114:$J$120,0,4+2))),IF($AN59="MO",SUMPRODUCT(($AZ59&gt;=INDEX('How This Works &amp; Sources'!$B$125:$J$132,0,1))*INDEX('How This Works &amp; Sources'!$B$125:$J$132,0,1+2)),IF($AN59="NE",MAX(IF($AU59="Married",SUMPRODUCT(($AZ59&gt;=INDEX('How This Works &amp; Sources'!$B$144:$J$150,0,7))*INDEX('How This Works &amp; Sources'!$B$144:$J$150,0,7+2)),SUMPRODUCT(($AZ59&gt;=INDEX('How This Works &amp; Sources'!$B$144:$J$150,0,4))*INDEX('How This Works &amp; Sources'!$B$144:$J$150,0,4+2))),0.015),IF($AN59="OH",IF($B59&gt;=DATE(2026,8,1),SUMPRODUCT(($AZ59&gt;=INDEX('How This Works &amp; Sources'!$B$203:$J$206,0,1))*INDEX('How This Works &amp; Sources'!$B$203:$J$206,0,1+2)),SUMPRODUCT(($AZ59&gt;=INDEX('How This Works &amp; Sources'!$B$184:$J$198,0,7))*INDEX('How This Works &amp; Sources'!$B$184:$J$198,0,7+2))),IF($AN59="OK",IF($AU59="Married",SUMPRODUCT(($AZ59&gt;=INDEX('How This Works &amp; Sources'!$B$203:$J$206,0,7))*INDEX('How This Works &amp; Sources'!$B$203:$J$206,0,7+2)),SUMPRODUCT(($AZ59&gt;=INDEX('How This Works &amp; Sources'!$B$203:$J$206,0,4))*INDEX('How This Works &amp; Sources'!$B$203:$J$206,0,4+2))),IF($AN59="RI",SUMPRODUCT(($AZ59&gt;=INDEX('How This Works &amp; Sources'!$B$211:$J$214,0,7))*INDEX('How This Works &amp; Sources'!$B$211:$J$214,0,7+2)),IF($AN59="SC",SUMPRODUCT(($AZ59&gt;=INDEX('How This Works &amp; Sources'!$B$219:$J$223,0,1))*INDEX('How This Works &amp; Sources'!$B$219:$J$223,0,1+2)),IF($AN59="VT",IF($AU59="Married",SUMPRODUCT(($AZ59&gt;=INDEX('How This Works &amp; Sources'!$B$228:$J$232,0,1))*INDEX('How This Works &amp; Sources'!$B$228:$J$232,0,1+2)),SUMPRODUCT(($AZ59&gt;=INDEX('How This Works &amp; Sources'!$B$219:$J$223,0,7))*INDEX('How This Works &amp; Sources'!$B$219:$J$223,0,7+2))),IF($AN59="WV",IF($AU59="Married",SUMPRODUCT(($AZ59&gt;=INDEX('How This Works &amp; Sources'!$B$237:$J$241,0,7))*INDEX('How This Works &amp; Sources'!$B$237:$J$241,0,7+2)),SUMPRODUCT(($AZ59&gt;=INDEX('How This Works &amp; Sources'!$B$228:$J$232,0,7))*INDEX('How This Works &amp; Sources'!$B$228:$J$232,0,7+2))),IF($AN59="IN",(0.0295+'Your Pay &amp; Benefits'!$C$76),"")))))))))))))</f>
      </c>
      <c r="CC59" s="24">
        <f>IF($B59="","",IF($AN59="AR",SUMPRODUCT(($AZ59&gt;=INDEX('How This Works &amp; Sources'!$B$82:$J$86,0,7))*INDEX('How This Works &amp; Sources'!$B$82:$J$86,0,7+2)),IF($AN59="DE",SUMPRODUCT(($AZ59&gt;=INDEX('How This Works &amp; Sources'!$B$91:$J$98,0,1))*INDEX('How This Works &amp; Sources'!$B$91:$J$98,0,1+2)),IF($AN59="VA",SUMPRODUCT(($AZ59&gt;=INDEX('How This Works &amp; Sources'!$B$219:$J$223,0,4))*INDEX('How This Works &amp; Sources'!$B$219:$J$223,0,4+2)),IF($AN59="WI",SUMPRODUCT(($AZ59&gt;=INDEX('How This Works &amp; Sources'!$B$228:$J$232,0,4))*INDEX('How This Works &amp; Sources'!$B$228:$J$232,0,4+2)),IF($AN59="AZ",'Your Pay &amp; Benefits'!$C$82,IF($AN59="CO",IF($AY59&gt;IF($AU59="Married",10000,5000),0.044,0),IF($AN59="IA",IF($AY59&gt;IF($AU59="Head of household",19500,IF($AU59="Married",26000,13000)),0.038,0),IF($AN59="ID",IF($AY59&gt;IF($AU59="Married",32000,16094),0.053,0),IF($AN59="IL",IF($AY59&gt;(2925*$AS59+1000*$AT59),0.0495,0),IF($AN59="KY",IF($AI59&gt;3360,0.035,0),IF($AN59="LA",0.0309,IF($AN59="MA",IF(MAX(0,$AY59-MIN(($BD58+$Q59+$R59+$S59),2000)-IF($AS59=0,0,IF($AS59=1,4400,1000*$AS59+3400)))&gt;=1107750,0.09,0.05),IF($AN59="MS",IF($AI59-IF($AU59="Head of household",3400,IF($AU59="Married",4600,2300))-'Your Pay &amp; Benefits'!$C$85&gt;10000,0.04,0),IF($AN59="PA",0.0307,"")))))))))))))))</f>
      </c>
      <c r="CD59" s="21">
        <f>IF(YEAR(IF('Your Pay &amp; Benefits'!$C$7="Weekly",'Your Pay &amp; Benefits'!$C$9+7*(($BE58+1)-1),IF('Your Pay &amp; Benefits'!$C$7="Biweekly",'Your Pay &amp; Benefits'!$C$9+14*(($BE58+1)-1),IF('Your Pay &amp; Benefits'!$C$7="Semimonthly",DATE(YEAR('Your Pay &amp; Benefits'!$C$9),MONTH('Your Pay &amp; Benefits'!$C$9)+INT((($BE58+1)-1)/2),MIN(DAY('Your Pay &amp; Benefits'!$C$9),DAY(EOMONTH(DATE(YEAR('Your Pay &amp; Benefits'!$C$9),MONTH('Your Pay &amp; Benefits'!$C$9)+INT((($BE58+1)-1)/2),1),0))))+IF(MOD(($BE58+1)-1,2)=1,15,0),EDATE('Your Pay &amp; Benefits'!$C$9,($BE58+1)-1)))))&lt;&gt;'Your Pay &amp; Benefits'!$C$10,"",IF('Your Pay &amp; Benefits'!$C$7="Weekly",'Your Pay &amp; Benefits'!$C$9+7*(($BE58+1)-1),IF('Your Pay &amp; Benefits'!$C$7="Biweekly",'Your Pay &amp; Benefits'!$C$9+14*(($BE58+1)-1),IF('Your Pay &amp; Benefits'!$C$7="Semimonthly",DATE(YEAR('Your Pay &amp; Benefits'!$C$9),MONTH('Your Pay &amp; Benefits'!$C$9)+INT((($BE58+1)-1)/2),MIN(DAY('Your Pay &amp; Benefits'!$C$9),DAY(EOMONTH(DATE(YEAR('Your Pay &amp; Benefits'!$C$9),MONTH('Your Pay &amp; Benefits'!$C$9)+INT((($BE58+1)-1)/2),1),0))))+IF(MOD(($BE58+1)-1,2)=1,15,0),EDATE('Your Pay &amp; Benefits'!$C$9,($BE58+1)-1)))))</f>
      </c>
      <c r="CE59" s="21">
        <f>IF(MIN(IF(AND('Your Pay &amp; Benefits'!$C$58&gt;MAX($B$6:$B58),'Your Pay &amp; Benefits'!$C$58&gt;=DATE('Your Pay &amp; Benefits'!$C$10,1,1),'Your Pay &amp; Benefits'!$C$58&lt;=DATE('Your Pay &amp; Benefits'!$C$10,12,31)),'Your Pay &amp; Benefits'!$C$58,999999),IF(AND('Your Pay &amp; Benefits'!$C$59&gt;MAX($B$6:$B58),'Your Pay &amp; Benefits'!$C$59&gt;=DATE('Your Pay &amp; Benefits'!$C$10,1,1),'Your Pay &amp; Benefits'!$C$59&lt;=DATE('Your Pay &amp; Benefits'!$C$10,12,31)),'Your Pay &amp; Benefits'!$C$59,999999),IF(AND('Your Pay &amp; Benefits'!$C$60&gt;MAX($B$6:$B58),'Your Pay &amp; Benefits'!$C$60&gt;=DATE('Your Pay &amp; Benefits'!$C$10,1,1),'Your Pay &amp; Benefits'!$C$60&lt;=DATE('Your Pay &amp; Benefits'!$C$10,12,31)),'Your Pay &amp; Benefits'!$C$60,999999),IF(AND('Your Pay &amp; Benefits'!$C$61&gt;MAX($B$6:$B58),'Your Pay &amp; Benefits'!$C$61&gt;=DATE('Your Pay &amp; Benefits'!$C$10,1,1),'Your Pay &amp; Benefits'!$C$61&lt;=DATE('Your Pay &amp; Benefits'!$C$10,12,31)),'Your Pay &amp; Benefits'!$C$61,999999),IF(AND('Your Pay &amp; Benefits'!$C$62&gt;MAX($B$6:$B58),'Your Pay &amp; Benefits'!$C$62&gt;=DATE('Your Pay &amp; Benefits'!$C$10,1,1),'Your Pay &amp; Benefits'!$C$62&lt;=DATE('Your Pay &amp; Benefits'!$C$10,12,31)),'Your Pay &amp; Benefits'!$C$62,999999),IF(AND('Your Pay &amp; Benefits'!$C$63&gt;MAX($B$6:$B58),'Your Pay &amp; Benefits'!$C$63&gt;=DATE('Your Pay &amp; Benefits'!$C$10,1,1),'Your Pay &amp; Benefits'!$C$63&lt;=DATE('Your Pay &amp; Benefits'!$C$10,12,31)),'Your Pay &amp; Benefits'!$C$63,999999),IF(AND('Your Pay &amp; Benefits'!$C$64&gt;MAX($B$6:$B58),'Your Pay &amp; Benefits'!$C$64&gt;=DATE('Your Pay &amp; Benefits'!$C$10,1,1),'Your Pay &amp; Benefits'!$C$64&lt;=DATE('Your Pay &amp; Benefits'!$C$10,12,31)),'Your Pay &amp; Benefits'!$C$64,999999),IF(AND('Your Pay &amp; Benefits'!$C$65&gt;MAX($B$6:$B58),'Your Pay &amp; Benefits'!$C$65&gt;=DATE('Your Pay &amp; Benefits'!$C$10,1,1),'Your Pay &amp; Benefits'!$C$65&lt;=DATE('Your Pay &amp; Benefits'!$C$10,12,31)),'Your Pay &amp; Benefits'!$C$65,999999),IF(AND('Your Pay &amp; Benefits'!$C$66&gt;MAX($B$6:$B58),'Your Pay &amp; Benefits'!$C$66&gt;=DATE('Your Pay &amp; Benefits'!$C$10,1,1),'Your Pay &amp; Benefits'!$C$66&lt;=DATE('Your Pay &amp; Benefits'!$C$10,12,31)),'Your Pay &amp; Benefits'!$C$66,999999),IF(AND('Your Pay &amp; Benefits'!$C$67&gt;MAX($B$6:$B58),'Your Pay &amp; Benefits'!$C$67&gt;=DATE('Your Pay &amp; Benefits'!$C$10,1,1),'Your Pay &amp; Benefits'!$C$67&lt;=DATE('Your Pay &amp; Benefits'!$C$10,12,31)),'Your Pay &amp; Benefits'!$C$67,999999))=999999,"",MIN(IF(AND('Your Pay &amp; Benefits'!$C$58&gt;MAX($B$6:$B58),'Your Pay &amp; Benefits'!$C$58&gt;=DATE('Your Pay &amp; Benefits'!$C$10,1,1),'Your Pay &amp; Benefits'!$C$58&lt;=DATE('Your Pay &amp; Benefits'!$C$10,12,31)),'Your Pay &amp; Benefits'!$C$58,999999),IF(AND('Your Pay &amp; Benefits'!$C$59&gt;MAX($B$6:$B58),'Your Pay &amp; Benefits'!$C$59&gt;=DATE('Your Pay &amp; Benefits'!$C$10,1,1),'Your Pay &amp; Benefits'!$C$59&lt;=DATE('Your Pay &amp; Benefits'!$C$10,12,31)),'Your Pay &amp; Benefits'!$C$59,999999),IF(AND('Your Pay &amp; Benefits'!$C$60&gt;MAX($B$6:$B58),'Your Pay &amp; Benefits'!$C$60&gt;=DATE('Your Pay &amp; Benefits'!$C$10,1,1),'Your Pay &amp; Benefits'!$C$60&lt;=DATE('Your Pay &amp; Benefits'!$C$10,12,31)),'Your Pay &amp; Benefits'!$C$60,999999),IF(AND('Your Pay &amp; Benefits'!$C$61&gt;MAX($B$6:$B58),'Your Pay &amp; Benefits'!$C$61&gt;=DATE('Your Pay &amp; Benefits'!$C$10,1,1),'Your Pay &amp; Benefits'!$C$61&lt;=DATE('Your Pay &amp; Benefits'!$C$10,12,31)),'Your Pay &amp; Benefits'!$C$61,999999),IF(AND('Your Pay &amp; Benefits'!$C$62&gt;MAX($B$6:$B58),'Your Pay &amp; Benefits'!$C$62&gt;=DATE('Your Pay &amp; Benefits'!$C$10,1,1),'Your Pay &amp; Benefits'!$C$62&lt;=DATE('Your Pay &amp; Benefits'!$C$10,12,31)),'Your Pay &amp; Benefits'!$C$62,999999),IF(AND('Your Pay &amp; Benefits'!$C$63&gt;MAX($B$6:$B58),'Your Pay &amp; Benefits'!$C$63&gt;=DATE('Your Pay &amp; Benefits'!$C$10,1,1),'Your Pay &amp; Benefits'!$C$63&lt;=DATE('Your Pay &amp; Benefits'!$C$10,12,31)),'Your Pay &amp; Benefits'!$C$63,999999),IF(AND('Your Pay &amp; Benefits'!$C$64&gt;MAX($B$6:$B58),'Your Pay &amp; Benefits'!$C$64&gt;=DATE('Your Pay &amp; Benefits'!$C$10,1,1),'Your Pay &amp; Benefits'!$C$64&lt;=DATE('Your Pay &amp; Benefits'!$C$10,12,31)),'Your Pay &amp; Benefits'!$C$64,999999),IF(AND('Your Pay &amp; Benefits'!$C$65&gt;MAX($B$6:$B58),'Your Pay &amp; Benefits'!$C$65&gt;=DATE('Your Pay &amp; Benefits'!$C$10,1,1),'Your Pay &amp; Benefits'!$C$65&lt;=DATE('Your Pay &amp; Benefits'!$C$10,12,31)),'Your Pay &amp; Benefits'!$C$65,999999),IF(AND('Your Pay &amp; Benefits'!$C$66&gt;MAX($B$6:$B58),'Your Pay &amp; Benefits'!$C$66&gt;=DATE('Your Pay &amp; Benefits'!$C$10,1,1),'Your Pay &amp; Benefits'!$C$66&lt;=DATE('Your Pay &amp; Benefits'!$C$10,12,31)),'Your Pay &amp; Benefits'!$C$66,999999),IF(AND('Your Pay &amp; Benefits'!$C$67&gt;MAX($B$6:$B58),'Your Pay &amp; Benefits'!$C$67&gt;=DATE('Your Pay &amp; Benefits'!$C$10,1,1),'Your Pay &amp; Benefits'!$C$67&lt;=DATE('Your Pay &amp; Benefits'!$C$10,12,31)),'Your Pay &amp; Benefits'!$C$67,999999)))</f>
      </c>
      <c r="CF59">
        <f>IF($B59="","",IF($D59=0,$Y59,""))</f>
      </c>
    </row>
    <row r="60">
      <c r="A60" t="n">
        <v>55</v>
      </c>
      <c r="B60" s="21">
        <f>IF(AND($CD60="",$CE60=""),"",IF($CE60="",$CD60,IF($CD60="",$CE60,MIN($CD60,$CE60))))</f>
      </c>
      <c r="C60" s="7">
        <f>IF($B60="","",IF($BF60=0,0,IF('Your Pay &amp; Benefits'!$C$4="Annual salary",ROUND($AK60/IF(AND('Your Pay &amp; Benefits'!$C$88="Actual paydays",MONTH('Your Pay &amp; Benefits'!$C$9)=1),MAX(1,MAX($BE$6:$BE$68)),'Your Pay &amp; Benefits'!$C$8),2),$AK60)))</f>
      </c>
      <c r="D60" s="7">
        <f>IF($B60="","",SUMIF('Your Pay &amp; Benefits'!$C$58:$C$67,$B60,'Your Pay &amp; Benefits'!$D$58:$D$67))</f>
      </c>
      <c r="E60" s="7">
        <f>IF($B60="","",ROUND(MAX(0,MIN(IF($AL60="Percent",$AM60*($C60+$D60),$AM60),MAX(0,'Your Pay &amp; Benefits'!$C$34-$AC59))),2))</f>
      </c>
      <c r="F60" s="7">
        <f>IF($B60="","",ROUND(MAX(0,MIN(IF('Your Pay &amp; Benefits'!$C$32="Percent",'Your Pay &amp; Benefits'!$D$32*($C60+$D60),'Your Pay &amp; Benefits'!$D$32),MAX(0,'Your Pay &amp; Benefits'!$C$34-$AC59-$E60))),2))</f>
      </c>
      <c r="G60" s="7">
        <f>IF($B60="","",IF($BF60=0,0,ROUND(MAX(0,MIN($BL60,'Your Pay &amp; Benefits'!$C$37-'Your Pay &amp; Benefits'!$C$54-$BI59)),2)))</f>
      </c>
      <c r="H60" s="7">
        <f>IF($B60="","",IF(OR($BF60=0,$BQ60=1),0,ROUND(MAX(0,MIN(IF($BS60=1,ROUND(MAX(0,MIN($BJ60,'How This Works &amp; Sources'!$C$13)-$BG59)/MAX(1,MAX($BE$6:$BE$68)-($BE59)),2),ROUND(MIN($BJ60,'How This Works &amp; Sources'!$C$13)/'Your Pay &amp; Benefits'!$C$8,2)),MIN($BJ60,'How This Works &amp; Sources'!$C$13)-$BG59)),2)))</f>
      </c>
      <c r="I60" s="7">
        <f>IF($B60="","",IF(OR($BF60=0,$BR60=1),0,ROUND(MAX(0,MIN(IF($BT60=1,ROUND(MAX(0,MIN($BK60,IF('Your Pay &amp; Benefits'!$C$12="MFJ",'How This Works &amp; Sources'!$C$14,'How This Works &amp; Sources'!$C$15))-$BH59)/MAX(1,MAX($BE$6:$BE$68)-($BE59)),2),ROUND(MIN($BK60,IF('Your Pay &amp; Benefits'!$C$12="MFJ",'How This Works &amp; Sources'!$C$14,'How This Works &amp; Sources'!$C$15))/'Your Pay &amp; Benefits'!$C$8,2)),MIN($BK60,IF('Your Pay &amp; Benefits'!$C$12="MFJ",'How This Works &amp; Sources'!$C$14,'How This Works &amp; Sources'!$C$15))-$BH59)),2)))</f>
      </c>
      <c r="J60" s="7">
        <f>IF($B60="","",IF($BF60=0,0,$BM60))</f>
      </c>
      <c r="K60" s="7">
        <f>IF($B60="","",IF($BF60=0,0,$BN60+$BO60))</f>
      </c>
      <c r="L60" s="7">
        <f>IF($B60="","",IF($BF60=0,0,'Your Pay &amp; Benefits'!$D$46))</f>
      </c>
      <c r="M60" s="7">
        <f>IF($B60="","",$C60+$D60+$L60-$E60-$G60-$H60-$I60-$J60-$K60)</f>
      </c>
      <c r="N60" s="7">
        <f>IF($B60="","",$C60+$D60+$L60-$G60-$H60-$I60-$J60-$K60)</f>
      </c>
      <c r="O60" s="7">
        <f>IF($B60="","",$C60+$D60+$L60-$E60-$H60-$I60-$J60-$K60-IF(OR($AN60="CA",$AN60="NJ"),0,$G60))</f>
      </c>
      <c r="P60" s="7">
        <f>IF($B60="","",IF('Your Pay &amp; Benefits'!$C$18,0,ROUND(MAX(0,IF('Your Pay &amp; Benefits'!$C$13,SUMPRODUCT(($AH60&gt;INDEX('How This Works &amp; Sources'!$B$29:$J$36,0,IF('Your Pay &amp; Benefits'!$C$12="MFJ",1,IF('Your Pay &amp; Benefits'!$C$12="HoH",7,4))))*($AH60-INDEX('How This Works &amp; Sources'!$B$29:$J$36,0,IF('Your Pay &amp; Benefits'!$C$12="MFJ",1,IF('Your Pay &amp; Benefits'!$C$12="HoH",7,4))))*INDEX('How This Works &amp; Sources'!$B$29:$J$36,0,IF('Your Pay &amp; Benefits'!$C$12="MFJ",1,IF('Your Pay &amp; Benefits'!$C$12="HoH",7,4))+2)),SUMPRODUCT(($AH60&gt;INDEX('How This Works &amp; Sources'!$B$19:$J$26,0,IF('Your Pay &amp; Benefits'!$C$12="MFJ",1,IF('Your Pay &amp; Benefits'!$C$12="HoH",7,4))))*($AH60-INDEX('How This Works &amp; Sources'!$B$19:$J$26,0,IF('Your Pay &amp; Benefits'!$C$12="MFJ",1,IF('Your Pay &amp; Benefits'!$C$12="HoH",7,4))))*INDEX('How This Works &amp; Sources'!$B$19:$J$26,0,IF('Your Pay &amp; Benefits'!$C$12="MFJ",1,IF('Your Pay &amp; Benefits'!$C$12="HoH",7,4))+2)))/'Your Pay &amp; Benefits'!$C$8-$AO60/'Your Pay &amp; Benefits'!$C$8)+$AR60+IF('Your Pay &amp; Benefits'!$C$89="Aggregate",MAX(0,IF('Your Pay &amp; Benefits'!$C$13,SUMPRODUCT((($AH60+$D60)&gt;INDEX('How This Works &amp; Sources'!$B$29:$J$36,0,IF('Your Pay &amp; Benefits'!$C$12="MFJ",1,IF('Your Pay &amp; Benefits'!$C$12="HoH",7,4))))*(($AH60+$D60)-INDEX('How This Works &amp; Sources'!$B$29:$J$36,0,IF('Your Pay &amp; Benefits'!$C$12="MFJ",1,IF('Your Pay &amp; Benefits'!$C$12="HoH",7,4))))*INDEX('How This Works &amp; Sources'!$B$29:$J$36,0,IF('Your Pay &amp; Benefits'!$C$12="MFJ",1,IF('Your Pay &amp; Benefits'!$C$12="HoH",7,4))+2)),SUMPRODUCT((($AH60+$D60)&gt;INDEX('How This Works &amp; Sources'!$B$19:$J$26,0,IF('Your Pay &amp; Benefits'!$C$12="MFJ",1,IF('Your Pay &amp; Benefits'!$C$12="HoH",7,4))))*(($AH60+$D60)-INDEX('How This Works &amp; Sources'!$B$19:$J$26,0,IF('Your Pay &amp; Benefits'!$C$12="MFJ",1,IF('Your Pay &amp; Benefits'!$C$12="HoH",7,4))))*INDEX('How This Works &amp; Sources'!$B$19:$J$26,0,IF('Your Pay &amp; Benefits'!$C$12="MFJ",1,IF('Your Pay &amp; Benefits'!$C$12="HoH",7,4))+2)))-IF('Your Pay &amp; Benefits'!$C$13,SUMPRODUCT(($AH60&gt;INDEX('How This Works &amp; Sources'!$B$29:$J$36,0,IF('Your Pay &amp; Benefits'!$C$12="MFJ",1,IF('Your Pay &amp; Benefits'!$C$12="HoH",7,4))))*($AH60-INDEX('How This Works &amp; Sources'!$B$29:$J$36,0,IF('Your Pay &amp; Benefits'!$C$12="MFJ",1,IF('Your Pay &amp; Benefits'!$C$12="HoH",7,4))))*INDEX('How This Works &amp; Sources'!$B$29:$J$36,0,IF('Your Pay &amp; Benefits'!$C$12="MFJ",1,IF('Your Pay &amp; Benefits'!$C$12="HoH",7,4))+2)),SUMPRODUCT(($AH60&gt;INDEX('How This Works &amp; Sources'!$B$19:$J$26,0,IF('Your Pay &amp; Benefits'!$C$12="MFJ",1,IF('Your Pay &amp; Benefits'!$C$12="HoH",7,4))))*($AH60-INDEX('How This Works &amp; Sources'!$B$19:$J$26,0,IF('Your Pay &amp; Benefits'!$C$12="MFJ",1,IF('Your Pay &amp; Benefits'!$C$12="HoH",7,4))))*INDEX('How This Works &amp; Sources'!$B$19:$J$26,0,IF('Your Pay &amp; Benefits'!$C$12="MFJ",1,IF('Your Pay &amp; Benefits'!$C$12="HoH",7,4))+2)))),'How This Works &amp; Sources'!$C$10*$D60),2)))</f>
      </c>
      <c r="Q60" s="7">
        <f>IF($B60="","",ROUND('How This Works &amp; Sources'!$C$4*MIN($N60,MAX(0,'How This Works &amp; Sources'!$C$3-($AX60+$AB59-$AW60))),2))</f>
      </c>
      <c r="R60" s="7">
        <f>IF($B60="","",ROUND('How This Works &amp; Sources'!$C$5*$N60,2))</f>
      </c>
      <c r="S60" s="7">
        <f>IF($B60="","",ROUND('How This Works &amp; Sources'!$C$6*MAX(0,MIN($N60,$AG59+$N60-'How This Works &amp; Sources'!$C$7)),2))</f>
      </c>
      <c r="T60" s="7">
        <f>IF($B60="","",IF('Your Pay &amp; Benefits'!$C$26,0,IF($AN60="CA",ROUND(IF($AI60&lt;=IF(($AS60+$AT60)&gt;=2,VLOOKUP($AN60,StateTables!$A$6:$AB$56,10,FALSE),VLOOKUP($AN60,StateTables!$A$6:$AB$56,9,FALSE)),0,MAX(0,SUMPRODUCT(($AJ60&gt;INDEX('How This Works &amp; Sources'!$B$39:$J$48,0,IF($AU60="Married",4,IF($AU60="Head of household",7,1))))*($AJ60-INDEX('How This Works &amp; Sources'!$B$39:$J$48,0,IF($AU60="Married",4,IF($AU60="Head of household",7,1))))*INDEX('How This Works &amp; Sources'!$B$39:$J$48,0,IF($AU60="Married",4,IF($AU60="Head of household",7,1))+2))-VLOOKUP($AN60,StateTables!$A$6:$AB$56,11,FALSE)*$AS60)/'Your Pay &amp; Benefits'!$C$8)+'Your Pay &amp; Benefits'!$C$25+VLOOKUP($AN60,StateTables!$A$6:$AB$56,13,FALSE)*$D60,2),IF(VLOOKUP($AN60,StateTables!$A$6:$AB$56,4,FALSE)="None",0,IF(ISNUMBER(SEARCH("MANUAL",VLOOKUP($AN60,StateTables!$A$6:$AB$56,5,FALSE))),'Your Pay &amp; Benefits'!$C$28,ROUND(MAX(0,$BA60+$BB60)/'Your Pay &amp; Benefits'!$C$8+'Your Pay &amp; Benefits'!$C$25+$BC60,2))))))</f>
      </c>
      <c r="U60" s="7">
        <f>IF($B60="","",IF(VLOOKUP($AN60,StateTables!$A$6:$AB$56,24,FALSE)="flatq",IF(OR(MONTH($B60)=1,MONTH($B60)=4,MONTH($B60)=7,MONTH($B60)=10),VLOOKUP($AN60,StateTables!$A$6:$AB$56,25,FALSE),0),IF(VLOOKUP($AN60,StateTables!$A$6:$AB$56,24,FALSE)="dbl",MIN(ROUND(0.005*$N60,2),ROUND(0.6*52/'Your Pay &amp; Benefits'!$C$8,2)),IF(OR(VLOOKUP($AN60,StateTables!$A$6:$AB$56,15,FALSE)="",VLOOKUP($AN60,StateTables!$A$6:$AB$56,15,FALSE)=0),0,ROUND(VLOOKUP($AN60,StateTables!$A$6:$AB$56,15,FALSE)*IF(OR(VLOOKUP($AN60,StateTables!$A$6:$AB$56,16,FALSE)="",VLOOKUP($AN60,StateTables!$A$6:$AB$56,16,FALSE)=0),$N60,MIN($N60,MAX(0,VLOOKUP($AN60,StateTables!$A$6:$AB$56,16,FALSE)-($AX60+$AB59-$AW60)))),2))))+IF(VLOOKUP($AN60,StateTables!$A$6:$AB$56,27,FALSE)="flatq",IF(OR(MONTH($B60)=1,MONTH($B60)=4,MONTH($B60)=7,MONTH($B60)=10),VLOOKUP($AN60,StateTables!$A$6:$AB$56,28,FALSE),0),IF(VLOOKUP($AN60,StateTables!$A$6:$AB$56,27,FALSE)="dbl",MIN(ROUND(0.005*$N60,2),ROUND(0.6*52/'Your Pay &amp; Benefits'!$C$8,2)),IF(OR(VLOOKUP($AN60,StateTables!$A$6:$AB$56,18,FALSE)="",VLOOKUP($AN60,StateTables!$A$6:$AB$56,18,FALSE)=0),0,ROUND(VLOOKUP($AN60,StateTables!$A$6:$AB$56,18,FALSE)*IF(OR(VLOOKUP($AN60,StateTables!$A$6:$AB$56,19,FALSE)="",VLOOKUP($AN60,StateTables!$A$6:$AB$56,19,FALSE)=0),$N60,MIN($N60,MAX(0,VLOOKUP($AN60,StateTables!$A$6:$AB$56,19,FALSE)-($AX60+$AB59-$AW60)))),2)))))</f>
      </c>
      <c r="V60" s="7">
        <f>IF($B60="","",IF($AN60="NY",IF('Your Pay &amp; Benefits'!$C$78,ROUND(SUMPRODUCT((MAX(0,($O60-$D60)*'Your Pay &amp; Benefits'!$C$8-(IF($AU60="Married",5500,5000)+1000*$AS60))&gt;INDEX('How This Works &amp; Sources'!$B$184:$J$198,0,4))*(MAX(0,($O60-$D60)*'Your Pay &amp; Benefits'!$C$8-(IF($AU60="Married",5500,5000)+1000*$AS60))-INDEX('How This Works &amp; Sources'!$B$184:$J$198,0,4))*INDEX('How This Works &amp; Sources'!$B$184:$J$198,0,4+2))/'Your Pay &amp; Benefits'!$C$8+0.0425*$D60,2),0)+IF('Your Pay &amp; Benefits'!$C$79="Resident",ROUND(0.1675*$T60,2),IF('Your Pay &amp; Benefits'!$C$79="Nonresident",ROUND(0.005*MAX(0,($O60-$D60)-(IF($AU60="Married",7950,7400)+1000*$AS60)/'Your Pay &amp; Benefits'!$C$8),2),0)),IF($AN60="PA",IF('Your Pay &amp; Benefits'!$C$80="None",'Your Pay &amp; Benefits'!$C$27+ROUND('Your Pay &amp; Benefits'!$C$81*($C60+$D60),2),ROUND(IF('Your Pay &amp; Benefits'!$C$80="Resident",IF($B60&lt;DATE(2026,7,1),0.0374,0.03735),IF($B60&lt;DATE(2026,7,1),0.0343,0.03425))*($C60+$D60),2)),IF($BF60=0,ROUND('Your Pay &amp; Benefits'!$C$81*($C60+$D60),2),'Your Pay &amp; Benefits'!$C$27+ROUND('Your Pay &amp; Benefits'!$C$81*($C60+$D60),2)))))</f>
      </c>
      <c r="W60" s="7">
        <f>IF($B60="","",IF($BF60=0,0,$BP60))</f>
      </c>
      <c r="X60" s="7">
        <f>IF($B60="","",SUM($E60:$K60)+$P60+$Q60+$R60+$S60+$T60+$U60+$V60+$W60)</f>
      </c>
      <c r="Y60" s="22">
        <f>IF($B60="","",$C60+$D60-$X60)</f>
      </c>
      <c r="Z60" s="7">
        <f>IF($B60="","",$Z59+$C60+$D60)</f>
      </c>
      <c r="AA60" s="7">
        <f>IF($B60="","",$AA59+$Y60)</f>
      </c>
      <c r="AB60" s="7">
        <f>IF($B60="","",$AB59+MIN($N60,MAX(0,'How This Works &amp; Sources'!$C$3-($AX60+$AB59-$AW60))))</f>
      </c>
      <c r="AC60" s="7">
        <f>IF($B60="","",$AC59+$E60+$F60)</f>
      </c>
      <c r="AD60" s="3">
        <f>IF($B60="","",IF(AND($AB59&lt;'How This Works &amp; Sources'!$C$3,$AB60&gt;='How This Works &amp; Sources'!$C$3),"★ Social Security maxed on this check — from the next check your net rises by about $"&amp;TEXT(ROUND('How This Works &amp; Sources'!$C$4*$N60,2),"#,##0.00")&amp;". ","")&amp;IF(AND($AC59&lt;'Your Pay &amp; Benefits'!$C$34,$AC60&gt;='Your Pay &amp; Benefits'!$C$34),"★ 401(k) reaches the $"&amp;TEXT('Your Pay &amp; Benefits'!$C$34,"#,##0")&amp;" cap on this check — deferrals stop and net pay rises. ","")&amp;IF(AND($AG59&lt;'How This Works &amp; Sources'!$C$7,$AG60&gt;='How This Works &amp; Sources'!$C$7),"★ Wages pass $200,000 — the 0.9% Additional Medicare Tax starts here. ","")&amp;IF(AND($BJ60&gt;0,$H60&gt;0,$BG59&lt;MIN($BJ60,'How This Works &amp; Sources'!$C$13),$BG59+$H60&gt;=MIN($BJ60,'How This Works &amp; Sources'!$C$13)),"★ Health FSA election is now fully deferred for the year. ",""))</f>
      </c>
      <c r="AE60" s="41" t="n"/>
      <c r="AF60" s="7">
        <f>IF(OR($B60="",$AE60=""),"",$AE60-$Y60)</f>
      </c>
      <c r="AG60" s="7">
        <f>IF($B60="","",$AG59+$N60)</f>
      </c>
      <c r="AH60" s="7">
        <f>IF($B60="","",MAX(0,($M60-$D60)*'Your Pay &amp; Benefits'!$C$8+$AP60-$AQ60-IF('Your Pay &amp; Benefits'!$C$13,0,IF('Your Pay &amp; Benefits'!$C$12="MFJ",'How This Works &amp; Sources'!$C$8,'How This Works &amp; Sources'!$C$9))))</f>
      </c>
      <c r="AI60" s="7">
        <f>IF($B60="","",$O60*'Your Pay &amp; Benefits'!$C$8)</f>
      </c>
      <c r="AJ60" s="7">
        <f>IF($B60="","",MAX(0,$AI60-VLOOKUP($AN60,StateTables!$A$6:$AB$56,12,FALSE)*$AT60-IF(($AS60+$AT60)&gt;=2,VLOOKUP($AN60,StateTables!$A$6:$AB$56,8,FALSE),VLOOKUP($AN60,StateTables!$A$6:$AB$56,7,FALSE))))</f>
      </c>
      <c r="AK60" s="7">
        <f>IF($B60="","",IFERROR(LOOKUP(2,1/(('Changes &amp; Events'!$C$6:$C$17="Salary change")*('Changes &amp; Events'!$B$6:$B$17&lt;=$B60)*('Changes &amp; Events'!$B$6:$B$17&lt;&gt;"")),'Changes &amp; Events'!$D$6:$D$17),IF('Your Pay &amp; Benefits'!$C$4="Annual salary",'Your Pay &amp; Benefits'!$C$5,'Your Pay &amp; Benefits'!$C$6)))</f>
      </c>
      <c r="AL60">
        <f>IF($B60="","",IFERROR(LOOKUP(2,1/(('Changes &amp; Events'!$C$6:$C$17="401(k) change")*('Changes &amp; Events'!$B$6:$B$17&lt;=$B60)*('Changes &amp; Events'!$B$6:$B$17&lt;&gt;"")),'Changes &amp; Events'!$D$6:$D$17),'Your Pay &amp; Benefits'!$C$30))</f>
      </c>
      <c r="AM60" s="7">
        <f>IF($B60="","",IFERROR(LOOKUP(2,1/(('Changes &amp; Events'!$C$6:$C$17="401(k) change")*('Changes &amp; Events'!$B$6:$B$17&lt;=$B60)*('Changes &amp; Events'!$B$6:$B$17&lt;&gt;"")),'Changes &amp; Events'!$E$6:$E$17),'Your Pay &amp; Benefits'!$D$31))</f>
      </c>
      <c r="AN60">
        <f>IF($B60="","",IFERROR(LOOKUP(2,1/(('Changes &amp; Events'!$C$6:$C$17="State move")*('Changes &amp; Events'!$B$6:$B$17&lt;=$B60)*('Changes &amp; Events'!$B$6:$B$17&lt;&gt;"")),'Changes &amp; Events'!$D$6:$D$17),'Your Pay &amp; Benefits'!$C$21))</f>
      </c>
      <c r="AO60" s="7">
        <f>IF($B60="","",IFERROR(LOOKUP(2,1/(('Changes &amp; Events'!$C$6:$C$17="W-4 change")*('Changes &amp; Events'!$B$6:$B$17&lt;=$B60)*('Changes &amp; Events'!$B$6:$B$17&lt;&gt;"")),'Changes &amp; Events'!$D$6:$D$17),'Your Pay &amp; Benefits'!$C$14))</f>
      </c>
      <c r="AP60" s="7">
        <f>IF($B60="","",IFERROR(LOOKUP(2,1/(('Changes &amp; Events'!$C$6:$C$17="W-4 change")*('Changes &amp; Events'!$B$6:$B$17&lt;=$B60)*('Changes &amp; Events'!$B$6:$B$17&lt;&gt;"")),'Changes &amp; Events'!$E$6:$E$17),'Your Pay &amp; Benefits'!$C$15))</f>
      </c>
      <c r="AQ60" s="7">
        <f>IF($B60="","",IFERROR(LOOKUP(2,1/(('Changes &amp; Events'!$C$6:$C$17="W-4 change")*('Changes &amp; Events'!$B$6:$B$17&lt;=$B60)*('Changes &amp; Events'!$B$6:$B$17&lt;&gt;"")),'Changes &amp; Events'!$F$6:$F$17),'Your Pay &amp; Benefits'!$C$16))</f>
      </c>
      <c r="AR60" s="7">
        <f>IF($B60="","",IFERROR(LOOKUP(2,1/(('Changes &amp; Events'!$C$6:$C$17="W-4 change")*('Changes &amp; Events'!$B$6:$B$17&lt;=$B60)*('Changes &amp; Events'!$B$6:$B$17&lt;&gt;"")),'Changes &amp; Events'!$G$6:$G$17),'Your Pay &amp; Benefits'!$C$17))</f>
      </c>
      <c r="AS60" s="6">
        <f>IF($B60="","",IFERROR(LOOKUP(2,1/((('Changes &amp; Events'!$C$6:$C$17="State move")+('Changes &amp; Events'!$C$6:$C$17="State cert change"))*('Changes &amp; Events'!$B$6:$B$17&lt;=$B60)*('Changes &amp; Events'!$B$6:$B$17&lt;&gt;"")),'Changes &amp; Events'!$F$6:$F$17),'Your Pay &amp; Benefits'!$C$23))</f>
      </c>
      <c r="AT60" s="6">
        <f>IF($B60="","",IFERROR(LOOKUP(2,1/((('Changes &amp; Events'!$C$6:$C$17="State move")+('Changes &amp; Events'!$C$6:$C$17="State cert change"))*('Changes &amp; Events'!$B$6:$B$17&lt;=$B60)*('Changes &amp; Events'!$B$6:$B$17&lt;&gt;"")),'Changes &amp; Events'!$G$6:$G$17),'Your Pay &amp; Benefits'!$C$24))</f>
      </c>
      <c r="AU60">
        <f>IF($B60="","",IFERROR(LOOKUP(2,1/(('Changes &amp; Events'!$C$6:$C$17="State move")*('Changes &amp; Events'!$B$6:$B$17&lt;=$B60)*('Changes &amp; Events'!$B$6:$B$17&lt;&gt;"")),'Changes &amp; Events'!$E$6:$E$17),'Your Pay &amp; Benefits'!$C$22))</f>
      </c>
      <c r="AV60" s="6">
        <f>IF($B60="","",1+COUNTIFS('Changes &amp; Events'!$C$6:$C$17,"Employer change",'Changes &amp; Events'!$B$6:$B$17,"&lt;="&amp;$B60,'Changes &amp; Events'!$B$6:$B$17,"&lt;&gt;"))</f>
      </c>
      <c r="AW60" s="7">
        <f>IF($B60="","",IF($AV60=1,'Your Pay &amp; Benefits'!$C$49,IF(IFERROR(MATCH(IFERROR(LOOKUP(2,1/(('Changes &amp; Events'!$C$6:$C$17="Employer change")*('Changes &amp; Events'!$B$6:$B$17&lt;=$B60)*('Changes &amp; Events'!$B$6:$B$17&lt;&gt;"")),'Changes &amp; Events'!$B$6:$B$17),""),$B$6:$B$68,1),1)&lt;=1,'Your Pay &amp; Benefits'!$C$49,INDEX($AB$6:$AB$68,MATCH(IFERROR(LOOKUP(2,1/(('Changes &amp; Events'!$C$6:$C$17="Employer change")*('Changes &amp; Events'!$B$6:$B$17&lt;=$B60)*('Changes &amp; Events'!$B$6:$B$17&lt;&gt;"")),'Changes &amp; Events'!$B$6:$B$17),""),$B$6:$B$68,1)-1))))</f>
      </c>
      <c r="AX60" s="7">
        <f>IF($B60="","",IF($AV60=1,'Your Pay &amp; Benefits'!$C$49,IFERROR(LOOKUP(2,1/(('Changes &amp; Events'!$C$6:$C$17="Employer change")*('Changes &amp; Events'!$B$6:$B$17&lt;=$B60)*('Changes &amp; Events'!$B$6:$B$17&lt;&gt;"")),'Changes &amp; Events'!$D$6:$D$17),0)))</f>
      </c>
      <c r="AY60" s="7">
        <f>IF($B60="","",($O60-$D60)*'Your Pay &amp; Benefits'!$C$8)</f>
      </c>
      <c r="AZ60" s="7">
        <f>IF($B60="","",IF($AN60="AL",MAX(0,$AY60-IF($AU60="Married",IF($AY60&lt;=25999,8500,MAX(5000,8500-175*CEILING(($AY60-25999)/500,1))),IF($AU60="Head of household",IF($AY60&lt;=25999,5200,MAX(2500,5200-135*CEILING(($AY60-25999)/500,1))),IF($AY60&lt;=25999,3000,MAX(2500,3000-25*CEILING(($AY60-25999)/500,1)))))-($P60-'How This Works &amp; Sources'!$C$10*$D60)*'Your Pay &amp; Benefits'!$C$8-IF(OR($AU60="Married",$AU60="Head of household"),3000,1500)-$AT60*IF($AY60&lt;=50000,1000,IF($AY60&lt;=100000,500,300))),IF($AN60="AR",IF(MAX(0,$AY60-2470)&lt;97701,INT(MAX(0,$AY60-2470)/100)*100+50,MAX(0,$AY60-2470)),IF($AN60="DE",MAX(0,$AI60-3250),IF($AN60="HI",MAX(0,$AI60-1144*$AS60-4350),IF($AN60="KS",MAX(0,$AI60-(9160*IF($AU60="Married",2,1)+2320*$AT60+IF($AU60="Head of household",2320,0))),IF($AN60="MD",MAX(0,$AI60-3400-3200*$AS60),IF($AN60="MN",MAX(0,$AY60-5300*$AS60),IF($AN60="MO",MAX(0,$AI60-IF($AU60="Head of household",24150,IF($AU60="Married",IF('Your Pay &amp; Benefits'!$C$83,16100,32200),16100))),IF($AN60="MT",$AY60,IF($AN60="ND",($C60+$L60)*'Your Pay &amp; Benefits'!$C$8,IF($AN60="NE",MAX(0,$AY60-2440*$AS60),IF($AN60="NJ",MAX(0,$AY60-1000*$AS60),IF($AN60="NY",MAX(0,$AY60-(IF($AU60="Married",7950,7400)+1000*$AS60)),IF($AN60="OH",MAX(0,$AY60-650*$AS60),IF($AN60="OK",MAX(0,$AY60-1000*$AS60),IF($AN60="RI",MAX(0,$AI60-1000*$AS60),IF($AN60="SC",MAX(0,$AI60-5000*$AS60-IF($AS60=0,0,MIN(0.1*$AI60,7500))),IF($AN60="VA",MAX(0,$AI60-IF($AU60="Married",17500,8750)-930*$AS60-800*$AT60),IF($AN60="VT",MAX(0,$AI60-5400*$AS60),IF($AN60="WI",MAX(0,$AI60-MAX(0,IF($AU60="Married",9461-0.2*MAX(0,$AI60-25727),6702-0.12*MAX(0,$AI60-17780)))-400*$AS60),IF($AN60="WV",MAX(0,$AI60-2000*$AS60),$AI60))))))))))))))))))))))</f>
      </c>
      <c r="BA60" s="7">
        <f>IF($B60="","",IF($BW60&lt;&gt;"",$BW60,IF($BX60&lt;&gt;"",$BX60,IF($BY60&lt;&gt;"",$BY60,0))))</f>
      </c>
      <c r="BB60" s="7">
        <f>IF($B60="","",IF($AN60="AR",-29*$AS60,IF($AN60="DE",-110*$AS60,IF($AN60="MD",$AZ60*'Your Pay &amp; Benefits'!$C$74,IF($AN60="AZ",'Your Pay &amp; Benefits'!$C$82*($M60-$D60)*'Your Pay &amp; Benefits'!$C$8,IF($AN60="CO",0.044*MAX(0,$AY60-IF($AU60="Married",10000,5000)),IF($AN60="IA",MAX(0,0.038*MAX(0,$AY60-IF($AU60="Head of household",19500,IF($AU60="Married",26000,13000)))-40*$AS60),IF($AN60="ID",0.053*MAX(0,$AY60-IF($AU60="Married",32000,16094)),IF($AN60="IL",0.0495*MAX(0,$AY60-(2925*$AS60+1000*$AT60)),IF($AN60="IN",(0.0295+'Your Pay &amp; Benefits'!$C$76)*MAX(0,$AY60-(1000*$AS60+1500*$AT60+3000*'Your Pay &amp; Benefits'!$C$86)),IF($AN60="KY",0.035*MAX(0,$AI60-3360),IF($AN60="LA",IF('Your Pay &amp; Benefits'!$C$84="0",0.0309*$AI60,0.0309*MAX(0,$AI60-IF('Your Pay &amp; Benefits'!$C$84="2",25750,12875))),IF($AN60="MA",0.05*MIN(MAX(0,$AY60-MIN(($BD59+$Q60+$R60+$S60),2000)-IF($AS60=0,0,IF($AS60=1,4400,1000*$AS60+3400))),1107750)+0.09*MAX(0,MAX(0,$AY60-MIN(($BD59+$Q60+$R60+$S60),2000)-IF($AS60=0,0,IF($AS60=1,4400,1000*$AS60+3400)))-1107750)-IF($AU60="Head of household",120,0)-110*'Your Pay &amp; Benefits'!$C$75,IF($AN60="MI",0.0425*MAX(0,$AY60-5900*$AS60),IF($AN60="MS",0.04*MAX(0,$AI60-IF($AU60="Head of household",3400,IF($AU60="Married",4600,2300))-'Your Pay &amp; Benefits'!$C$85-10000),IF($AN60="OR",IF(OR($AU60="Married",AND($AU60="Single",$AS60&gt;=3)),SUMPRODUCT((MAX(0,$AY60-MIN(($P60-'How This Works &amp; Sources'!$C$10*$D60)*'Your Pay &amp; Benefits'!$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Sources'!$B$211:$J$214,0,4))*(MAX(0,$AY60-MIN(($P60-'How This Works &amp; Sources'!$C$10*$D60)*'Your Pay &amp; Benefits'!$C$8,IF(OR($AU60="Married",AND($AU60="Single",$AS60&gt;=3)),IF($AY60&lt;250000,8750,IF($AY60&lt;260000,7000,IF($AY60&lt;270000,5250,IF($AY60&lt;280000,3500,IF($AY60&lt;290000,1750,0))))),IF($AY60&lt;125000,8750,IF($AY60&lt;130000,7000,IF($AY60&lt;135000,5250,IF($AY60&lt;140000,3500,IF($AY60&lt;145000,1750,0)))))))-IF(OR($AU60="Married",AND($AU60="Single",$AS60&gt;=3)),5820,2910))-INDEX('How This Works &amp; Sources'!$B$211:$J$214,0,4))*INDEX('How This Works &amp; Sources'!$B$211:$J$214,0,4+2)),SUMPRODUCT((MAX(0,$AY60-MIN(($P60-'How This Works &amp; Sources'!$C$10*$D60)*'Your Pay &amp; Benefits'!$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Sources'!$B$211:$J$214,0,1))*(MAX(0,$AY60-MIN(($P60-'How This Works &amp; Sources'!$C$10*$D60)*'Your Pay &amp; Benefits'!$C$8,IF(OR($AU60="Married",AND($AU60="Single",$AS60&gt;=3)),IF($AY60&lt;250000,8750,IF($AY60&lt;260000,7000,IF($AY60&lt;270000,5250,IF($AY60&lt;280000,3500,IF($AY60&lt;290000,1750,0))))),IF($AY60&lt;125000,8750,IF($AY60&lt;130000,7000,IF($AY60&lt;135000,5250,IF($AY60&lt;140000,3500,IF($AY60&lt;145000,1750,0)))))))-IF(OR($AU60="Married",AND($AU60="Single",$AS60&gt;=3)),5820,2910))-INDEX('How This Works &amp; Sources'!$B$211:$J$214,0,1))*INDEX('How This Works &amp; Sources'!$B$211:$J$214,0,1+2)))+263-263*IF(IF($AU60="Married",$AY60&gt;200000,$AY60&gt;100000),0,$AS60),IF($AN60="PA",0.0307*(($O60+$E60+$G60)*'Your Pay &amp; Benefits'!$C$8),IF($AN60="NY",IF($AU60="Married",IF($AZ60&gt;=2155350,0,IF($AZ60&gt;=1077550,0.48,IF($AZ60&gt;=373200,1.21,IF($AZ60&gt;=323200,0.21,IF($AZ60&gt;=211550,-0.19,IF($AZ60&gt;=157650,-2.8,IF($AZ60&gt;=107650,-0.8,IF($AZ60&gt;=96800,0.05,IF($AZ60&gt;=80650,-0.1,IF($AZ60&gt;=13900,0.4,IF($AZ60&gt;=11700,-0.3,IF($AZ60&gt;=8500,0.5,0)))))))))))),IF($AZ60&gt;=1077550,0,IF($AZ60&gt;=265400,4.29,IF($AZ60&gt;=215400,2.29,IF($AZ60&gt;=157650,2.29,IF($AZ60&gt;=107650,0.29,IF($AZ60&gt;=96800,0.05,IF($AZ60&gt;=80650,-0.1,IF($AZ60&gt;=13900,0.4,IF($AZ60&gt;=11700,-0.3,IF($AZ60&gt;=8500,0.5,0))))))))))),0))))))))))))))))))</f>
      </c>
      <c r="BC60" s="7">
        <f>IF($B60="","",IF($AN60="AL",0.05*$D60,IF($AN60="AR",0.039*$D60,IF($AN60="ID",0.053*$D60,IF($AN60="IN",(0.0295+'Your Pay &amp; Benefits'!$C$76)*$D60,IF($AN60="KS",0.05*$D60,IF($AN60="MA",0.09*MIN($D60,MAX(0,MAX(0,$AY60-MIN(($BD59+$Q60+$R60+$S60),2000)-IF($AS60=0,0,IF($AS60=1,4400,1000*$AS60+3400)))+$D60-1107750))+0.05*($D60-MIN($D60,MAX(0,MAX(0,$AY60-MIN(($BD59+$Q60+$R60+$S60),2000)-IF($AS60=0,0,IF($AS60=1,4400,1000*$AS60+3400)))+$D60-1107750))),IF($AN60="MD",(0.065+'Your Pay &amp; Benefits'!$C$74)*$D60,IF($AN60="MI",0.0425*$D60,IF($AN60="MN",0.0625*$D60,IF($AN60="MO",0.047*$D60,IF($AN60="MT",0.05*$D60,IF($AN60="ND",0.015*$D60,IF($AN60="NE",0.035*$D60,IF($AN60="NJ",IF('Your Pay &amp; Benefits'!$C$77="B",SUMPRODUCT(($D60*'Your Pay &amp; Benefits'!$C$8&gt;INDEX('How This Works &amp; Sources'!$B$155:$J$162,0,4))*($D60*'Your Pay &amp; Benefits'!$C$8-INDEX('How This Works &amp; Sources'!$B$155:$J$162,0,4))*INDEX('How This Works &amp; Sources'!$B$155:$J$162,0,4+2)),IF('Your Pay &amp; Benefits'!$C$77="C",SUMPRODUCT(($D60*'Your Pay &amp; Benefits'!$C$8&gt;INDEX('How This Works &amp; Sources'!$B$155:$J$162,0,7))*($D60*'Your Pay &amp; Benefits'!$C$8-INDEX('How This Works &amp; Sources'!$B$155:$J$162,0,7))*INDEX('How This Works &amp; Sources'!$B$155:$J$162,0,7+2)),IF('Your Pay &amp; Benefits'!$C$77="D",SUMPRODUCT(($D60*'Your Pay &amp; Benefits'!$C$8&gt;INDEX('How This Works &amp; Sources'!$B$167:$J$179,0,1))*($D60*'Your Pay &amp; Benefits'!$C$8-INDEX('How This Works &amp; Sources'!$B$167:$J$179,0,1))*INDEX('How This Works &amp; Sources'!$B$167:$J$179,0,1+2)),IF('Your Pay &amp; Benefits'!$C$77="E",SUMPRODUCT(($D60*'Your Pay &amp; Benefits'!$C$8&gt;INDEX('How This Works &amp; Sources'!$B$167:$J$179,0,4))*($D60*'Your Pay &amp; Benefits'!$C$8-INDEX('How This Works &amp; Sources'!$B$167:$J$179,0,4))*INDEX('How This Works &amp; Sources'!$B$167:$J$179,0,4+2)),SUMPRODUCT(($D60*'Your Pay &amp; Benefits'!$C$8&gt;INDEX('How This Works &amp; Sources'!$B$155:$J$162,0,1))*($D60*'Your Pay &amp; Benefits'!$C$8-INDEX('How This Works &amp; Sources'!$B$155:$J$162,0,1))*INDEX('How This Works &amp; Sources'!$B$155:$J$162,0,1+2))))))/'Your Pay &amp; Benefits'!$C$8,IF($AN60="NY",0.117*$D60,IF($AN60="OH",0.0275*$D60,IF($AN60="OK",0.045*$D60,IF($AN60="OR",0.08*$D60,IF($AN60="WI",IF($AY60&lt;12760,0.0354,IF($AY60&lt;25520,0.0465,IF($AY60&lt;280950,0.053,0.0765)))*$D60,0))))))))))))))))))))</f>
      </c>
      <c r="BD60" s="7">
        <f>IF($B60="","",$BD59+$Q60+$R60+$S60)</f>
      </c>
      <c r="BE60" s="6">
        <f>IF($B60="",$BE59,$BE59+$BF60)</f>
      </c>
      <c r="BF60" s="6">
        <f>IF($B60="","",IF(AND(IF(YEAR(IF('Your Pay &amp; Benefits'!$C$7="Weekly",'Your Pay &amp; Benefits'!$C$9+7*(($BE59+1)-1),IF('Your Pay &amp; Benefits'!$C$7="Biweekly",'Your Pay &amp; Benefits'!$C$9+14*(($BE59+1)-1),IF('Your Pay &amp; Benefits'!$C$7="Semimonthly",DATE(YEAR('Your Pay &amp; Benefits'!$C$9),MONTH('Your Pay &amp; Benefits'!$C$9)+INT((($BE59+1)-1)/2),MIN(DAY('Your Pay &amp; Benefits'!$C$9),DAY(EOMONTH(DATE(YEAR('Your Pay &amp; Benefits'!$C$9),MONTH('Your Pay &amp; Benefits'!$C$9)+INT((($BE59+1)-1)/2),1),0))))+IF(MOD(($BE59+1)-1,2)=1,15,0),EDATE('Your Pay &amp; Benefits'!$C$9,($BE59+1)-1)))))&lt;&gt;'Your Pay &amp; Benefits'!$C$10,"",IF('Your Pay &amp; Benefits'!$C$7="Weekly",'Your Pay &amp; Benefits'!$C$9+7*(($BE59+1)-1),IF('Your Pay &amp; Benefits'!$C$7="Biweekly",'Your Pay &amp; Benefits'!$C$9+14*(($BE59+1)-1),IF('Your Pay &amp; Benefits'!$C$7="Semimonthly",DATE(YEAR('Your Pay &amp; Benefits'!$C$9),MONTH('Your Pay &amp; Benefits'!$C$9)+INT((($BE59+1)-1)/2),MIN(DAY('Your Pay &amp; Benefits'!$C$9),DAY(EOMONTH(DATE(YEAR('Your Pay &amp; Benefits'!$C$9),MONTH('Your Pay &amp; Benefits'!$C$9)+INT((($BE59+1)-1)/2),1),0))))+IF(MOD(($BE59+1)-1,2)=1,15,0),EDATE('Your Pay &amp; Benefits'!$C$9,($BE59+1)-1)))))&lt;&gt;"",$B60=IF(YEAR(IF('Your Pay &amp; Benefits'!$C$7="Weekly",'Your Pay &amp; Benefits'!$C$9+7*(($BE59+1)-1),IF('Your Pay &amp; Benefits'!$C$7="Biweekly",'Your Pay &amp; Benefits'!$C$9+14*(($BE59+1)-1),IF('Your Pay &amp; Benefits'!$C$7="Semimonthly",DATE(YEAR('Your Pay &amp; Benefits'!$C$9),MONTH('Your Pay &amp; Benefits'!$C$9)+INT((($BE59+1)-1)/2),MIN(DAY('Your Pay &amp; Benefits'!$C$9),DAY(EOMONTH(DATE(YEAR('Your Pay &amp; Benefits'!$C$9),MONTH('Your Pay &amp; Benefits'!$C$9)+INT((($BE59+1)-1)/2),1),0))))+IF(MOD(($BE59+1)-1,2)=1,15,0),EDATE('Your Pay &amp; Benefits'!$C$9,($BE59+1)-1)))))&lt;&gt;'Your Pay &amp; Benefits'!$C$10,"",IF('Your Pay &amp; Benefits'!$C$7="Weekly",'Your Pay &amp; Benefits'!$C$9+7*(($BE59+1)-1),IF('Your Pay &amp; Benefits'!$C$7="Biweekly",'Your Pay &amp; Benefits'!$C$9+14*(($BE59+1)-1),IF('Your Pay &amp; Benefits'!$C$7="Semimonthly",DATE(YEAR('Your Pay &amp; Benefits'!$C$9),MONTH('Your Pay &amp; Benefits'!$C$9)+INT((($BE59+1)-1)/2),MIN(DAY('Your Pay &amp; Benefits'!$C$9),DAY(EOMONTH(DATE(YEAR('Your Pay &amp; Benefits'!$C$9),MONTH('Your Pay &amp; Benefits'!$C$9)+INT((($BE59+1)-1)/2),1),0))))+IF(MOD(($BE59+1)-1,2)=1,15,0),EDATE('Your Pay &amp; Benefits'!$C$9,($BE59+1)-1)))))),1,0))</f>
      </c>
      <c r="BG60" s="7">
        <f>IF($B60="","",$BG59+$H60)</f>
      </c>
      <c r="BH60" s="7">
        <f>IF($B60="","",$BH59+$I60)</f>
      </c>
      <c r="BI60" s="7">
        <f>IF($B60="","",$BI59+$G60)</f>
      </c>
      <c r="BJ60" s="7">
        <f>IF($B60="","",IFERROR(LOOKUP(2,1/(((('Changes &amp; Events'!$C$6:$C$17="Deduction start"))*('Changes &amp; Events'!$D$6:$D$17="Health FSA"))*('Changes &amp; Events'!$B$6:$B$17&lt;=$B60)*('Changes &amp; Events'!$B$6:$B$17&lt;&gt;"")),'Changes &amp; Events'!$E$6:$E$17),'Your Pay &amp; Benefits'!$D$38))</f>
      </c>
      <c r="BK60" s="7">
        <f>IF($B60="","",IFERROR(LOOKUP(2,1/(((('Changes &amp; Events'!$C$6:$C$17="Deduction start"))*('Changes &amp; Events'!$D$6:$D$17="Dependent-care FSA"))*('Changes &amp; Events'!$B$6:$B$17&lt;=$B60)*('Changes &amp; Events'!$B$6:$B$17&lt;&gt;"")),'Changes &amp; Events'!$E$6:$E$17),'Your Pay &amp; Benefits'!$D$39))</f>
      </c>
      <c r="BL60" s="7">
        <f>IF($B60="","",IFERROR(LOOKUP(2,1/(((('Changes &amp; Events'!$C$6:$C$17="Deduction start")+('Changes &amp; Events'!$C$6:$C$17="Deduction stop"))*('Changes &amp; Events'!$D$6:$D$17="HSA"))*('Changes &amp; Events'!$B$6:$B$17&lt;=$B60)*('Changes &amp; Events'!$B$6:$B$17&lt;&gt;"")),'Changes &amp; Events'!$I$6:$I$17),'Your Pay &amp; Benefits'!$D$35))</f>
      </c>
      <c r="BM60" s="7">
        <f>IF($B60="","",IFERROR(LOOKUP(2,1/(((('Changes &amp; Events'!$C$6:$C$17="Deduction start")+('Changes &amp; Events'!$C$6:$C$17="Deduction stop"))*('Changes &amp; Events'!$D$6:$D$17="Premiums"))*('Changes &amp; Events'!$B$6:$B$17&lt;=$B60)*('Changes &amp; Events'!$B$6:$B$17&lt;&gt;"")),'Changes &amp; Events'!$I$6:$I$17),'Your Pay &amp; Benefits'!$D$40+'Your Pay &amp; Benefits'!$D$41+'Your Pay &amp; Benefits'!$D$42))</f>
      </c>
      <c r="BN60" s="7">
        <f>IF($B60="","",IFERROR(LOOKUP(2,1/(((('Changes &amp; Events'!$C$6:$C$17="Deduction start")+('Changes &amp; Events'!$C$6:$C$17="Deduction stop"))*('Changes &amp; Events'!$D$6:$D$17="Commuter"))*('Changes &amp; Events'!$B$6:$B$17&lt;=$B60)*('Changes &amp; Events'!$B$6:$B$17&lt;&gt;"")),'Changes &amp; Events'!$I$6:$I$17),'Your Pay &amp; Benefits'!$D$43))</f>
      </c>
      <c r="BO60" s="7">
        <f>IF($B60="","",IFERROR(LOOKUP(2,1/(((('Changes &amp; Events'!$C$6:$C$17="Deduction start")+('Changes &amp; Events'!$C$6:$C$17="Deduction stop"))*('Changes &amp; Events'!$D$6:$D$17="Other pre-tax"))*('Changes &amp; Events'!$B$6:$B$17&lt;=$B60)*('Changes &amp; Events'!$B$6:$B$17&lt;&gt;"")),'Changes &amp; Events'!$I$6:$I$17),'Your Pay &amp; Benefits'!$D$44))</f>
      </c>
      <c r="BP60" s="7">
        <f>IF($B60="","",IFERROR(LOOKUP(2,1/(((('Changes &amp; Events'!$C$6:$C$17="Deduction start")+('Changes &amp; Events'!$C$6:$C$17="Deduction stop"))*('Changes &amp; Events'!$D$6:$D$17="Other post-tax"))*('Changes &amp; Events'!$B$6:$B$17&lt;=$B60)*('Changes &amp; Events'!$B$6:$B$17&lt;&gt;"")),'Changes &amp; Events'!$I$6:$I$17),'Your Pay &amp; Benefits'!$D$45))</f>
      </c>
      <c r="BQ60" s="6">
        <f>IF($B60="","",IFERROR(LOOKUP(2,1/(((('Changes &amp; Events'!$C$6:$C$17="Deduction start")+('Changes &amp; Events'!$C$6:$C$17="Deduction stop"))*('Changes &amp; Events'!$D$6:$D$17="Health FSA"))*('Changes &amp; Events'!$B$6:$B$17&lt;=$B60)*('Changes &amp; Events'!$B$6:$B$17&lt;&gt;"")),'Changes &amp; Events'!$J$6:$J$17),0))</f>
      </c>
      <c r="BR60" s="6">
        <f>IF($B60="","",IFERROR(LOOKUP(2,1/(((('Changes &amp; Events'!$C$6:$C$17="Deduction start")+('Changes &amp; Events'!$C$6:$C$17="Deduction stop"))*('Changes &amp; Events'!$D$6:$D$17="Dependent-care FSA"))*('Changes &amp; Events'!$B$6:$B$17&lt;=$B60)*('Changes &amp; Events'!$B$6:$B$17&lt;&gt;"")),'Changes &amp; Events'!$J$6:$J$17),0))</f>
      </c>
      <c r="BS60" s="6">
        <f>IF($B60="","",IF(SUMPRODUCT(('Changes &amp; Events'!$C$6:$C$17="Deduction start")*('Changes &amp; Events'!$B$6:$B$17&lt;=$B60)*('Changes &amp; Events'!$B$6:$B$17&lt;&gt;"")*('Changes &amp; Events'!$D$6:$D$17="Health FSA"))&gt;0,1,0))</f>
      </c>
      <c r="BT60" s="6">
        <f>IF($B60="","",IF(SUMPRODUCT(('Changes &amp; Events'!$C$6:$C$17="Deduction start")*('Changes &amp; Events'!$B$6:$B$17&lt;=$B60)*('Changes &amp; Events'!$B$6:$B$17&lt;&gt;"")*('Changes &amp; Events'!$D$6:$D$17="Dependent-care FSA"))&gt;0,1,0))</f>
      </c>
      <c r="BU60" s="24">
        <f>IF($B60="","",IF('Your Pay &amp; Benefits'!$C$13,SUMPRODUCT(($AH60&gt;=INDEX('How This Works &amp; Sources'!$B$29:$J$36,0,IF('Your Pay &amp; Benefits'!$C$12="MFJ",1,IF('Your Pay &amp; Benefits'!$C$12="HoH",7,4))))*INDEX('How This Works &amp; Sources'!$B$29:$J$36,0,IF('Your Pay &amp; Benefits'!$C$12="MFJ",1,IF('Your Pay &amp; Benefits'!$C$12="HoH",7,4))+2)),SUMPRODUCT(($AH60&gt;=INDEX('How This Works &amp; Sources'!$B$19:$J$26,0,IF('Your Pay &amp; Benefits'!$C$12="MFJ",1,IF('Your Pay &amp; Benefits'!$C$12="HoH",7,4))))*INDEX('How This Works &amp; Sources'!$B$19:$J$26,0,IF('Your Pay &amp; Benefits'!$C$12="MFJ",1,IF('Your Pay &amp; Benefits'!$C$12="HoH",7,4))+2))))</f>
      </c>
      <c r="BV60" s="24">
        <f>IF($B60="","",IF($BZ60&lt;&gt;"",$BZ60,IF($CA60&lt;&gt;"",$CA60,IF($CB60&lt;&gt;"",$CB60,IF($CC60&lt;&gt;"",$CC60,0)))))</f>
      </c>
      <c r="BW60" s="7">
        <f>IF($B60="","",IF($AN60="MD",IF(OR($AU60="Married",$AU60="Head of household"),SUMPRODUCT(($AZ60&gt;INDEX('How This Works &amp; Sources'!$B$114:$J$120,0,1))*($AZ60-INDEX('How This Works &amp; Sources'!$B$114:$J$120,0,1))*INDEX('How This Works &amp; Sources'!$B$114:$J$120,0,1+2)),SUMPRODUCT(($AZ60&gt;INDEX('How This Works &amp; Sources'!$B$103:$J$109,0,7))*($AZ60-INDEX('How This Works &amp; Sources'!$B$103:$J$109,0,7))*INDEX('How This Works &amp; Sources'!$B$103:$J$109,0,7+2))),IF($AN60="MO",SUMPRODUCT(($AZ60&gt;INDEX('How This Works &amp; Sources'!$B$125:$J$132,0,1))*($AZ60-INDEX('How This Works &amp; Sources'!$B$125:$J$132,0,1))*INDEX('How This Works &amp; Sources'!$B$125:$J$132,0,1+2)),IF($AN60="MT",IF($AU60="Head of household",SUMPRODUCT(($AZ60&gt;INDEX('How This Works &amp; Sources'!$B$137:$J$139,0,1))*($AZ60-INDEX('How This Works &amp; Sources'!$B$137:$J$139,0,1))*INDEX('How This Works &amp; Sources'!$B$137:$J$139,0,1+2)),IF($AU60="Married",SUMPRODUCT(($AZ60&gt;INDEX('How This Works &amp; Sources'!$B$125:$J$132,0,7))*($AZ60-INDEX('How This Works &amp; Sources'!$B$125:$J$132,0,7))*INDEX('How This Works &amp; Sources'!$B$125:$J$132,0,7+2)),SUMPRODUCT(($AZ60&gt;INDEX('How This Works &amp; Sources'!$B$125:$J$132,0,4))*($AZ60-INDEX('How This Works &amp; Sources'!$B$125:$J$132,0,4))*INDEX('How This Works &amp; Sources'!$B$125:$J$132,0,4+2)))),IF($AN60="ND",IF($AU60="Head of household",SUMPRODUCT(($AZ60&gt;INDEX('How This Works &amp; Sources'!$B$144:$J$150,0,1))*($AZ60-INDEX('How This Works &amp; Sources'!$B$144:$J$150,0,1))*INDEX('How This Works &amp; Sources'!$B$144:$J$150,0,1+2)),IF($AU60="Married",SUMPRODUCT(($AZ60&gt;INDEX('How This Works &amp; Sources'!$B$137:$J$139,0,7))*($AZ60-INDEX('How This Works &amp; Sources'!$B$137:$J$139,0,7))*INDEX('How This Works &amp; Sources'!$B$137:$J$139,0,7+2)),SUMPRODUCT(($AZ60&gt;INDEX('How This Works &amp; Sources'!$B$137:$J$139,0,4))*($AZ60-INDEX('How This Works &amp; Sources'!$B$137:$J$139,0,4))*INDEX('How This Works &amp; Sources'!$B$137:$J$139,0,4+2)))),IF($AN60="NJ",IF('Your Pay &amp; Benefits'!$C$77="B",SUMPRODUCT(($AZ60&gt;INDEX('How This Works &amp; Sources'!$B$155:$J$162,0,4))*($AZ60-INDEX('How This Works &amp; Sources'!$B$155:$J$162,0,4))*INDEX('How This Works &amp; Sources'!$B$155:$J$162,0,4+2)),IF('Your Pay &amp; Benefits'!$C$77="C",SUMPRODUCT(($AZ60&gt;INDEX('How This Works &amp; Sources'!$B$155:$J$162,0,7))*($AZ60-INDEX('How This Works &amp; Sources'!$B$155:$J$162,0,7))*INDEX('How This Works &amp; Sources'!$B$155:$J$162,0,7+2)),IF('Your Pay &amp; Benefits'!$C$77="D",SUMPRODUCT(($AZ60&gt;INDEX('How This Works &amp; Sources'!$B$167:$J$179,0,1))*($AZ60-INDEX('How This Works &amp; Sources'!$B$167:$J$179,0,1))*INDEX('How This Works &amp; Sources'!$B$167:$J$179,0,1+2)),IF('Your Pay &amp; Benefits'!$C$77="E",SUMPRODUCT(($AZ60&gt;INDEX('How This Works &amp; Sources'!$B$167:$J$179,0,4))*($AZ60-INDEX('How This Works &amp; Sources'!$B$167:$J$179,0,4))*INDEX('How This Works &amp; Sources'!$B$167:$J$179,0,4+2)),SUMPRODUCT(($AZ60&gt;INDEX('How This Works &amp; Sources'!$B$155:$J$162,0,1))*($AZ60-INDEX('How This Works &amp; Sources'!$B$155:$J$162,0,1))*INDEX('How This Works &amp; Sources'!$B$155:$J$162,0,1+2)))))),IF($AN60="NY",IF($AU60="Married",IF($AZ60&gt;=2155350,$AZ60*IF($AZ60&gt;25000000,0.117,IF($AZ60&gt;5000000,0.111,0.1045)),SUMPRODUCT(($AZ60&gt;INDEX('How This Works &amp; Sources'!$B$184:$J$198,0,1))*($AZ60-INDEX('How This Works &amp; Sources'!$B$184:$J$198,0,1))*INDEX('How This Works &amp; Sources'!$B$184:$J$198,0,1+2))),IF($AZ60&gt;=1077550,$AZ60*IF($AZ60&gt;25000000,0.117,IF($AZ60&gt;5000000,0.111,0.1045)),SUMPRODUCT(($AZ60&gt;INDEX('How This Works &amp; Sources'!$B$167:$J$179,0,7))*($AZ60-INDEX('How This Works &amp; Sources'!$B$167:$J$179,0,7))*INDEX('How This Works &amp; Sources'!$B$167:$J$179,0,7+2)))),"")))))))</f>
      </c>
      <c r="BX60" s="7">
        <f>IF($B60="","",IF($AN60="AL",IF(OR($AU60="Married",$AU60="Head of household"),SUMPRODUCT(($AZ60&gt;INDEX('How This Works &amp; Sources'!$B$82:$J$86,0,4))*($AZ60-INDEX('How This Works &amp; Sources'!$B$82:$J$86,0,4))*INDEX('How This Works &amp; Sources'!$B$82:$J$86,0,4+2)),SUMPRODUCT(($AZ60&gt;INDEX('How This Works &amp; Sources'!$B$82:$J$86,0,1))*($AZ60-INDEX('How This Works &amp; Sources'!$B$82:$J$86,0,1))*INDEX('How This Works &amp; Sources'!$B$82:$J$86,0,1+2))),IF($AN60="KS",IF($AU60="Married",SUMPRODUCT(($AZ60&gt;INDEX('How This Works &amp; Sources'!$B$103:$J$109,0,4))*($AZ60-INDEX('How This Works &amp; Sources'!$B$103:$J$109,0,4))*INDEX('How This Works &amp; Sources'!$B$103:$J$109,0,4+2)),SUMPRODUCT(($AZ60&gt;INDEX('How This Works &amp; Sources'!$B$103:$J$109,0,1))*($AZ60-INDEX('How This Works &amp; Sources'!$B$103:$J$109,0,1))*INDEX('How This Works &amp; Sources'!$B$103:$J$109,0,1+2))),IF($AN60="MN",IF($AU60="Married",SUMPRODUCT(($AZ60&gt;INDEX('How This Works &amp; Sources'!$B$114:$J$120,0,7))*($AZ60-INDEX('How This Works &amp; Sources'!$B$114:$J$120,0,7))*INDEX('How This Works &amp; Sources'!$B$114:$J$120,0,7+2)),SUMPRODUCT(($AZ60&gt;INDEX('How This Works &amp; Sources'!$B$114:$J$120,0,4))*($AZ60-INDEX('How This Works &amp; Sources'!$B$114:$J$120,0,4))*INDEX('How This Works &amp; Sources'!$B$114:$J$120,0,4+2))),IF($AN60="NE",MAX(IF($AU60="Married",SUMPRODUCT(($AZ60&gt;INDEX('How This Works &amp; Sources'!$B$144:$J$150,0,7))*($AZ60-INDEX('How This Works &amp; Sources'!$B$144:$J$150,0,7))*INDEX('How This Works &amp; Sources'!$B$144:$J$150,0,7+2)),SUMPRODUCT(($AZ60&gt;INDEX('How This Works &amp; Sources'!$B$144:$J$150,0,4))*($AZ60-INDEX('How This Works &amp; Sources'!$B$144:$J$150,0,4))*INDEX('How This Works &amp; Sources'!$B$144:$J$150,0,4+2))),0.015*$AZ60),IF($AN60="OH",IF($B60&gt;=DATE(2026,8,1),SUMPRODUCT(($AZ60&gt;INDEX('How This Works &amp; Sources'!$B$203:$J$206,0,1))*($AZ60-INDEX('How This Works &amp; Sources'!$B$203:$J$206,0,1))*INDEX('How This Works &amp; Sources'!$B$203:$J$206,0,1+2)),SUMPRODUCT(($AZ60&gt;INDEX('How This Works &amp; Sources'!$B$184:$J$198,0,7))*($AZ60-INDEX('How This Works &amp; Sources'!$B$184:$J$198,0,7))*INDEX('How This Works &amp; Sources'!$B$184:$J$198,0,7+2))),IF($AN60="OK",IF($AU60="Married",SUMPRODUCT(($AZ60&gt;INDEX('How This Works &amp; Sources'!$B$203:$J$206,0,7))*($AZ60-INDEX('How This Works &amp; Sources'!$B$203:$J$206,0,7))*INDEX('How This Works &amp; Sources'!$B$203:$J$206,0,7+2)),SUMPRODUCT(($AZ60&gt;INDEX('How This Works &amp; Sources'!$B$203:$J$206,0,4))*($AZ60-INDEX('How This Works &amp; Sources'!$B$203:$J$206,0,4))*INDEX('How This Works &amp; Sources'!$B$203:$J$206,0,4+2))),IF($AN60="RI",SUMPRODUCT(($AZ60&gt;INDEX('How This Works &amp; Sources'!$B$211:$J$214,0,7))*($AZ60-INDEX('How This Works &amp; Sources'!$B$211:$J$214,0,7))*INDEX('How This Works &amp; Sources'!$B$211:$J$214,0,7+2)),IF($AN60="VT",IF($AU60="Married",SUMPRODUCT(($AZ60&gt;INDEX('How This Works &amp; Sources'!$B$228:$J$232,0,1))*($AZ60-INDEX('How This Works &amp; Sources'!$B$228:$J$232,0,1))*INDEX('How This Works &amp; Sources'!$B$228:$J$232,0,1+2)),SUMPRODUCT(($AZ60&gt;INDEX('How This Works &amp; Sources'!$B$219:$J$223,0,7))*($AZ60-INDEX('How This Works &amp; Sources'!$B$219:$J$223,0,7))*INDEX('How This Works &amp; Sources'!$B$219:$J$223,0,7+2))),IF($AN60="WV",IF($AU60="Married",SUMPRODUCT(($AZ60&gt;INDEX('How This Works &amp; Sources'!$B$237:$J$241,0,7))*($AZ60-INDEX('How This Works &amp; Sources'!$B$237:$J$241,0,7))*INDEX('How This Works &amp; Sources'!$B$237:$J$241,0,7+2)),SUMPRODUCT(($AZ60&gt;INDEX('How This Works &amp; Sources'!$B$228:$J$232,0,7))*($AZ60-INDEX('How This Works &amp; Sources'!$B$228:$J$232,0,7))*INDEX('How This Works &amp; Sources'!$B$228:$J$232,0,7+2))),""))))))))))</f>
      </c>
      <c r="BY60" s="7">
        <f>IF($B60="","",IF($AN60="AR",SUMPRODUCT(($AZ60&gt;INDEX('How This Works &amp; Sources'!$B$82:$J$86,0,7))*($AZ60-INDEX('How This Works &amp; Sources'!$B$82:$J$86,0,7))*INDEX('How This Works &amp; Sources'!$B$82:$J$86,0,7+2)),IF($AN60="DE",SUMPRODUCT(($AZ60&gt;INDEX('How This Works &amp; Sources'!$B$91:$J$98,0,1))*($AZ60-INDEX('How This Works &amp; Sources'!$B$91:$J$98,0,1))*INDEX('How This Works &amp; Sources'!$B$91:$J$98,0,1+2)),IF($AN60="HI",IF($AU60="Married",SUMPRODUCT(($AZ60&gt;INDEX('How This Works &amp; Sources'!$B$91:$J$98,0,7))*($AZ60-INDEX('How This Works &amp; Sources'!$B$91:$J$98,0,7))*INDEX('How This Works &amp; Sources'!$B$91:$J$98,0,7+2)),SUMPRODUCT(($AZ60&gt;INDEX('How This Works &amp; Sources'!$B$91:$J$98,0,4))*($AZ60-INDEX('How This Works &amp; Sources'!$B$91:$J$98,0,4))*INDEX('How This Works &amp; Sources'!$B$91:$J$98,0,4+2))),IF($AN60="SC",SUMPRODUCT(($AZ60&gt;INDEX('How This Works &amp; Sources'!$B$219:$J$223,0,1))*($AZ60-INDEX('How This Works &amp; Sources'!$B$219:$J$223,0,1))*INDEX('How This Works &amp; Sources'!$B$219:$J$223,0,1+2)),IF($AN60="VA",SUMPRODUCT(($AZ60&gt;INDEX('How This Works &amp; Sources'!$B$219:$J$223,0,4))*($AZ60-INDEX('How This Works &amp; Sources'!$B$219:$J$223,0,4))*INDEX('How This Works &amp; Sources'!$B$219:$J$223,0,4+2)),IF($AN60="WI",SUMPRODUCT(($AZ60&gt;INDEX('How This Works &amp; Sources'!$B$228:$J$232,0,4))*($AZ60-INDEX('How This Works &amp; Sources'!$B$228:$J$232,0,4))*INDEX('How This Works &amp; Sources'!$B$228:$J$232,0,4+2)),"")))))))</f>
      </c>
      <c r="BZ60" s="24">
        <f>IF($B60="","",IF($AN60="NJ",IF('Your Pay &amp; Benefits'!$C$77="B",SUMPRODUCT(($AZ60&gt;=INDEX('How This Works &amp; Sources'!$B$155:$J$162,0,4))*INDEX('How This Works &amp; Sources'!$B$155:$J$162,0,4+2)),IF('Your Pay &amp; Benefits'!$C$77="C",SUMPRODUCT(($AZ60&gt;=INDEX('How This Works &amp; Sources'!$B$155:$J$162,0,7))*INDEX('How This Works &amp; Sources'!$B$155:$J$162,0,7+2)),IF('Your Pay &amp; Benefits'!$C$77="D",SUMPRODUCT(($AZ60&gt;=INDEX('How This Works &amp; Sources'!$B$167:$J$179,0,1))*INDEX('How This Works &amp; Sources'!$B$167:$J$179,0,1+2)),IF('Your Pay &amp; Benefits'!$C$77="E",SUMPRODUCT(($AZ60&gt;=INDEX('How This Works &amp; Sources'!$B$167:$J$179,0,4))*INDEX('How This Works &amp; Sources'!$B$167:$J$179,0,4+2)),SUMPRODUCT(($AZ60&gt;=INDEX('How This Works &amp; Sources'!$B$155:$J$162,0,1))*INDEX('How This Works &amp; Sources'!$B$155:$J$162,0,1+2)))))),IF($AN60="OR",IF(OR($AU60="Married",AND($AU60="Single",$AS60&gt;=3)),SUMPRODUCT((MAX(0,$AY60-MIN(($P60-'How This Works &amp; Sources'!$C$10*$D60)*'Your Pay &amp; Benefits'!$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Sources'!$B$211:$J$214,0,4))*INDEX('How This Works &amp; Sources'!$B$211:$J$214,0,4+2)),SUMPRODUCT((MAX(0,$AY60-MIN(($P60-'How This Works &amp; Sources'!$C$10*$D60)*'Your Pay &amp; Benefits'!$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Sources'!$B$211:$J$214,0,1))*INDEX('How This Works &amp; Sources'!$B$211:$J$214,0,1+2)))*IF(($P60-'How This Works &amp; Sources'!$C$10*$D60)*'Your Pay &amp; Benefits'!$C$8&gt;=IF(OR($AU60="Married",AND($AU60="Single",$AS60&gt;=3)),IF($AY60&lt;250000,8750,IF($AY60&lt;260000,7000,IF($AY60&lt;270000,5250,IF($AY60&lt;280000,3500,IF($AY60&lt;290000,1750,0))))),IF($AY60&lt;125000,8750,IF($AY60&lt;130000,7000,IF($AY60&lt;135000,5250,IF($AY60&lt;140000,3500,IF($AY60&lt;145000,1750,0)))))),1,1-IF('Your Pay &amp; Benefits'!$C$13,SUMPRODUCT(($AH60&gt;=INDEX('How This Works &amp; Sources'!$B$29:$J$36,0,IF('Your Pay &amp; Benefits'!$C$12="MFJ",1,IF('Your Pay &amp; Benefits'!$C$12="HoH",7,4))))*INDEX('How This Works &amp; Sources'!$B$29:$J$36,0,IF('Your Pay &amp; Benefits'!$C$12="MFJ",1,IF('Your Pay &amp; Benefits'!$C$12="HoH",7,4))+2)),SUMPRODUCT(($AH60&gt;=INDEX('How This Works &amp; Sources'!$B$19:$J$26,0,IF('Your Pay &amp; Benefits'!$C$12="MFJ",1,IF('Your Pay &amp; Benefits'!$C$12="HoH",7,4))))*INDEX('How This Works &amp; Sources'!$B$19:$J$26,0,IF('Your Pay &amp; Benefits'!$C$12="MFJ",1,IF('Your Pay &amp; Benefits'!$C$12="HoH",7,4))+2)))),IF($AN60="MI",IF($AY60&gt;5900*$AS60,0.0425,0),""))))</f>
      </c>
      <c r="CA60" s="24">
        <f>IF($B60="","",IF($AN60="AL",IF(OR($AU60="Married",$AU60="Head of household"),SUMPRODUCT(($AZ60&gt;=INDEX('How This Works &amp; Sources'!$B$82:$J$86,0,4))*INDEX('How This Works &amp; Sources'!$B$82:$J$86,0,4+2)),SUMPRODUCT(($AZ60&gt;=INDEX('How This Works &amp; Sources'!$B$82:$J$86,0,1))*INDEX('How This Works &amp; Sources'!$B$82:$J$86,0,1+2)))*(1-IF('Your Pay &amp; Benefits'!$C$13,SUMPRODUCT(($AH60&gt;=INDEX('How This Works &amp; Sources'!$B$29:$J$36,0,IF('Your Pay &amp; Benefits'!$C$12="MFJ",1,IF('Your Pay &amp; Benefits'!$C$12="HoH",7,4))))*INDEX('How This Works &amp; Sources'!$B$29:$J$36,0,IF('Your Pay &amp; Benefits'!$C$12="MFJ",1,IF('Your Pay &amp; Benefits'!$C$12="HoH",7,4))+2)),SUMPRODUCT(($AH60&gt;=INDEX('How This Works &amp; Sources'!$B$19:$J$26,0,IF('Your Pay &amp; Benefits'!$C$12="MFJ",1,IF('Your Pay &amp; Benefits'!$C$12="HoH",7,4))))*INDEX('How This Works &amp; Sources'!$B$19:$J$26,0,IF('Your Pay &amp; Benefits'!$C$12="MFJ",1,IF('Your Pay &amp; Benefits'!$C$12="HoH",7,4))+2)))),IF($AN60="KS",IF($AU60="Married",SUMPRODUCT(($AZ60&gt;=INDEX('How This Works &amp; Sources'!$B$103:$J$109,0,4))*INDEX('How This Works &amp; Sources'!$B$103:$J$109,0,4+2)),SUMPRODUCT(($AZ60&gt;=INDEX('How This Works &amp; Sources'!$B$103:$J$109,0,1))*INDEX('How This Works &amp; Sources'!$B$103:$J$109,0,1+2))),IF($AN60="MD",IF(OR($AU60="Married",$AU60="Head of household"),SUMPRODUCT(($AZ60&gt;=INDEX('How This Works &amp; Sources'!$B$114:$J$120,0,1))*INDEX('How This Works &amp; Sources'!$B$114:$J$120,0,1+2)),SUMPRODUCT(($AZ60&gt;=INDEX('How This Works &amp; Sources'!$B$103:$J$109,0,7))*INDEX('How This Works &amp; Sources'!$B$103:$J$109,0,7+2)))+'Your Pay &amp; Benefits'!$C$74,IF($AN60="MT",IF($AU60="Head of household",SUMPRODUCT(($AZ60&gt;=INDEX('How This Works &amp; Sources'!$B$137:$J$139,0,1))*INDEX('How This Works &amp; Sources'!$B$137:$J$139,0,1+2)),IF($AU60="Married",SUMPRODUCT(($AZ60&gt;=INDEX('How This Works &amp; Sources'!$B$125:$J$132,0,7))*INDEX('How This Works &amp; Sources'!$B$125:$J$132,0,7+2)),SUMPRODUCT(($AZ60&gt;=INDEX('How This Works &amp; Sources'!$B$125:$J$132,0,4))*INDEX('How This Works &amp; Sources'!$B$125:$J$132,0,4+2)))),IF($AN60="ND",IF($AU60="Head of household",SUMPRODUCT(($AZ60&gt;=INDEX('How This Works &amp; Sources'!$B$144:$J$150,0,1))*INDEX('How This Works &amp; Sources'!$B$144:$J$150,0,1+2)),IF($AU60="Married",SUMPRODUCT(($AZ60&gt;=INDEX('How This Works &amp; Sources'!$B$137:$J$139,0,7))*INDEX('How This Works &amp; Sources'!$B$137:$J$139,0,7+2)),SUMPRODUCT(($AZ60&gt;=INDEX('How This Works &amp; Sources'!$B$137:$J$139,0,4))*INDEX('How This Works &amp; Sources'!$B$137:$J$139,0,4+2)))),IF($AN60="NY",IF($AU60="Married",IF($AZ60&gt;=2155350,IF($AZ60&gt;25000000,0.117,IF($AZ60&gt;5000000,0.111,0.1045)),SUMPRODUCT(($AZ60&gt;=INDEX('How This Works &amp; Sources'!$B$184:$J$198,0,1))*INDEX('How This Works &amp; Sources'!$B$184:$J$198,0,1+2))),IF($AZ60&gt;=1077550,IF($AZ60&gt;25000000,0.117,IF($AZ60&gt;5000000,0.111,0.1045)),SUMPRODUCT(($AZ60&gt;=INDEX('How This Works &amp; Sources'!$B$167:$J$179,0,7))*INDEX('How This Works &amp; Sources'!$B$167:$J$179,0,7+2)))),"")))))))</f>
      </c>
      <c r="CB60" s="24">
        <f>IF($B60="","",IF($AN60="CA",SUMPRODUCT(($AJ60&gt;=INDEX('How This Works &amp; Sources'!$B$39:$J$48,0,IF($AU60="Married",4,IF($AU60="Head of household",7,1))))*INDEX('How This Works &amp; Sources'!$B$39:$J$48,0,IF($AU60="Married",4,IF($AU60="Head of household",7,1))+2)),IF($AN60="HI",IF($AU60="Married",SUMPRODUCT(($AZ60&gt;=INDEX('How This Works &amp; Sources'!$B$91:$J$98,0,7))*INDEX('How This Works &amp; Sources'!$B$91:$J$98,0,7+2)),SUMPRODUCT(($AZ60&gt;=INDEX('How This Works &amp; Sources'!$B$91:$J$98,0,4))*INDEX('How This Works &amp; Sources'!$B$91:$J$98,0,4+2))),IF($AN60="MN",IF($AU60="Married",SUMPRODUCT(($AZ60&gt;=INDEX('How This Works &amp; Sources'!$B$114:$J$120,0,7))*INDEX('How This Works &amp; Sources'!$B$114:$J$120,0,7+2)),SUMPRODUCT(($AZ60&gt;=INDEX('How This Works &amp; Sources'!$B$114:$J$120,0,4))*INDEX('How This Works &amp; Sources'!$B$114:$J$120,0,4+2))),IF($AN60="MO",SUMPRODUCT(($AZ60&gt;=INDEX('How This Works &amp; Sources'!$B$125:$J$132,0,1))*INDEX('How This Works &amp; Sources'!$B$125:$J$132,0,1+2)),IF($AN60="NE",MAX(IF($AU60="Married",SUMPRODUCT(($AZ60&gt;=INDEX('How This Works &amp; Sources'!$B$144:$J$150,0,7))*INDEX('How This Works &amp; Sources'!$B$144:$J$150,0,7+2)),SUMPRODUCT(($AZ60&gt;=INDEX('How This Works &amp; Sources'!$B$144:$J$150,0,4))*INDEX('How This Works &amp; Sources'!$B$144:$J$150,0,4+2))),0.015),IF($AN60="OH",IF($B60&gt;=DATE(2026,8,1),SUMPRODUCT(($AZ60&gt;=INDEX('How This Works &amp; Sources'!$B$203:$J$206,0,1))*INDEX('How This Works &amp; Sources'!$B$203:$J$206,0,1+2)),SUMPRODUCT(($AZ60&gt;=INDEX('How This Works &amp; Sources'!$B$184:$J$198,0,7))*INDEX('How This Works &amp; Sources'!$B$184:$J$198,0,7+2))),IF($AN60="OK",IF($AU60="Married",SUMPRODUCT(($AZ60&gt;=INDEX('How This Works &amp; Sources'!$B$203:$J$206,0,7))*INDEX('How This Works &amp; Sources'!$B$203:$J$206,0,7+2)),SUMPRODUCT(($AZ60&gt;=INDEX('How This Works &amp; Sources'!$B$203:$J$206,0,4))*INDEX('How This Works &amp; Sources'!$B$203:$J$206,0,4+2))),IF($AN60="RI",SUMPRODUCT(($AZ60&gt;=INDEX('How This Works &amp; Sources'!$B$211:$J$214,0,7))*INDEX('How This Works &amp; Sources'!$B$211:$J$214,0,7+2)),IF($AN60="SC",SUMPRODUCT(($AZ60&gt;=INDEX('How This Works &amp; Sources'!$B$219:$J$223,0,1))*INDEX('How This Works &amp; Sources'!$B$219:$J$223,0,1+2)),IF($AN60="VT",IF($AU60="Married",SUMPRODUCT(($AZ60&gt;=INDEX('How This Works &amp; Sources'!$B$228:$J$232,0,1))*INDEX('How This Works &amp; Sources'!$B$228:$J$232,0,1+2)),SUMPRODUCT(($AZ60&gt;=INDEX('How This Works &amp; Sources'!$B$219:$J$223,0,7))*INDEX('How This Works &amp; Sources'!$B$219:$J$223,0,7+2))),IF($AN60="WV",IF($AU60="Married",SUMPRODUCT(($AZ60&gt;=INDEX('How This Works &amp; Sources'!$B$237:$J$241,0,7))*INDEX('How This Works &amp; Sources'!$B$237:$J$241,0,7+2)),SUMPRODUCT(($AZ60&gt;=INDEX('How This Works &amp; Sources'!$B$228:$J$232,0,7))*INDEX('How This Works &amp; Sources'!$B$228:$J$232,0,7+2))),IF($AN60="IN",(0.0295+'Your Pay &amp; Benefits'!$C$76),"")))))))))))))</f>
      </c>
      <c r="CC60" s="24">
        <f>IF($B60="","",IF($AN60="AR",SUMPRODUCT(($AZ60&gt;=INDEX('How This Works &amp; Sources'!$B$82:$J$86,0,7))*INDEX('How This Works &amp; Sources'!$B$82:$J$86,0,7+2)),IF($AN60="DE",SUMPRODUCT(($AZ60&gt;=INDEX('How This Works &amp; Sources'!$B$91:$J$98,0,1))*INDEX('How This Works &amp; Sources'!$B$91:$J$98,0,1+2)),IF($AN60="VA",SUMPRODUCT(($AZ60&gt;=INDEX('How This Works &amp; Sources'!$B$219:$J$223,0,4))*INDEX('How This Works &amp; Sources'!$B$219:$J$223,0,4+2)),IF($AN60="WI",SUMPRODUCT(($AZ60&gt;=INDEX('How This Works &amp; Sources'!$B$228:$J$232,0,4))*INDEX('How This Works &amp; Sources'!$B$228:$J$232,0,4+2)),IF($AN60="AZ",'Your Pay &amp; Benefits'!$C$82,IF($AN60="CO",IF($AY60&gt;IF($AU60="Married",10000,5000),0.044,0),IF($AN60="IA",IF($AY60&gt;IF($AU60="Head of household",19500,IF($AU60="Married",26000,13000)),0.038,0),IF($AN60="ID",IF($AY60&gt;IF($AU60="Married",32000,16094),0.053,0),IF($AN60="IL",IF($AY60&gt;(2925*$AS60+1000*$AT60),0.0495,0),IF($AN60="KY",IF($AI60&gt;3360,0.035,0),IF($AN60="LA",0.0309,IF($AN60="MA",IF(MAX(0,$AY60-MIN(($BD59+$Q60+$R60+$S60),2000)-IF($AS60=0,0,IF($AS60=1,4400,1000*$AS60+3400)))&gt;=1107750,0.09,0.05),IF($AN60="MS",IF($AI60-IF($AU60="Head of household",3400,IF($AU60="Married",4600,2300))-'Your Pay &amp; Benefits'!$C$85&gt;10000,0.04,0),IF($AN60="PA",0.0307,"")))))))))))))))</f>
      </c>
      <c r="CD60" s="21">
        <f>IF(YEAR(IF('Your Pay &amp; Benefits'!$C$7="Weekly",'Your Pay &amp; Benefits'!$C$9+7*(($BE59+1)-1),IF('Your Pay &amp; Benefits'!$C$7="Biweekly",'Your Pay &amp; Benefits'!$C$9+14*(($BE59+1)-1),IF('Your Pay &amp; Benefits'!$C$7="Semimonthly",DATE(YEAR('Your Pay &amp; Benefits'!$C$9),MONTH('Your Pay &amp; Benefits'!$C$9)+INT((($BE59+1)-1)/2),MIN(DAY('Your Pay &amp; Benefits'!$C$9),DAY(EOMONTH(DATE(YEAR('Your Pay &amp; Benefits'!$C$9),MONTH('Your Pay &amp; Benefits'!$C$9)+INT((($BE59+1)-1)/2),1),0))))+IF(MOD(($BE59+1)-1,2)=1,15,0),EDATE('Your Pay &amp; Benefits'!$C$9,($BE59+1)-1)))))&lt;&gt;'Your Pay &amp; Benefits'!$C$10,"",IF('Your Pay &amp; Benefits'!$C$7="Weekly",'Your Pay &amp; Benefits'!$C$9+7*(($BE59+1)-1),IF('Your Pay &amp; Benefits'!$C$7="Biweekly",'Your Pay &amp; Benefits'!$C$9+14*(($BE59+1)-1),IF('Your Pay &amp; Benefits'!$C$7="Semimonthly",DATE(YEAR('Your Pay &amp; Benefits'!$C$9),MONTH('Your Pay &amp; Benefits'!$C$9)+INT((($BE59+1)-1)/2),MIN(DAY('Your Pay &amp; Benefits'!$C$9),DAY(EOMONTH(DATE(YEAR('Your Pay &amp; Benefits'!$C$9),MONTH('Your Pay &amp; Benefits'!$C$9)+INT((($BE59+1)-1)/2),1),0))))+IF(MOD(($BE59+1)-1,2)=1,15,0),EDATE('Your Pay &amp; Benefits'!$C$9,($BE59+1)-1)))))</f>
      </c>
      <c r="CE60" s="21">
        <f>IF(MIN(IF(AND('Your Pay &amp; Benefits'!$C$58&gt;MAX($B$6:$B59),'Your Pay &amp; Benefits'!$C$58&gt;=DATE('Your Pay &amp; Benefits'!$C$10,1,1),'Your Pay &amp; Benefits'!$C$58&lt;=DATE('Your Pay &amp; Benefits'!$C$10,12,31)),'Your Pay &amp; Benefits'!$C$58,999999),IF(AND('Your Pay &amp; Benefits'!$C$59&gt;MAX($B$6:$B59),'Your Pay &amp; Benefits'!$C$59&gt;=DATE('Your Pay &amp; Benefits'!$C$10,1,1),'Your Pay &amp; Benefits'!$C$59&lt;=DATE('Your Pay &amp; Benefits'!$C$10,12,31)),'Your Pay &amp; Benefits'!$C$59,999999),IF(AND('Your Pay &amp; Benefits'!$C$60&gt;MAX($B$6:$B59),'Your Pay &amp; Benefits'!$C$60&gt;=DATE('Your Pay &amp; Benefits'!$C$10,1,1),'Your Pay &amp; Benefits'!$C$60&lt;=DATE('Your Pay &amp; Benefits'!$C$10,12,31)),'Your Pay &amp; Benefits'!$C$60,999999),IF(AND('Your Pay &amp; Benefits'!$C$61&gt;MAX($B$6:$B59),'Your Pay &amp; Benefits'!$C$61&gt;=DATE('Your Pay &amp; Benefits'!$C$10,1,1),'Your Pay &amp; Benefits'!$C$61&lt;=DATE('Your Pay &amp; Benefits'!$C$10,12,31)),'Your Pay &amp; Benefits'!$C$61,999999),IF(AND('Your Pay &amp; Benefits'!$C$62&gt;MAX($B$6:$B59),'Your Pay &amp; Benefits'!$C$62&gt;=DATE('Your Pay &amp; Benefits'!$C$10,1,1),'Your Pay &amp; Benefits'!$C$62&lt;=DATE('Your Pay &amp; Benefits'!$C$10,12,31)),'Your Pay &amp; Benefits'!$C$62,999999),IF(AND('Your Pay &amp; Benefits'!$C$63&gt;MAX($B$6:$B59),'Your Pay &amp; Benefits'!$C$63&gt;=DATE('Your Pay &amp; Benefits'!$C$10,1,1),'Your Pay &amp; Benefits'!$C$63&lt;=DATE('Your Pay &amp; Benefits'!$C$10,12,31)),'Your Pay &amp; Benefits'!$C$63,999999),IF(AND('Your Pay &amp; Benefits'!$C$64&gt;MAX($B$6:$B59),'Your Pay &amp; Benefits'!$C$64&gt;=DATE('Your Pay &amp; Benefits'!$C$10,1,1),'Your Pay &amp; Benefits'!$C$64&lt;=DATE('Your Pay &amp; Benefits'!$C$10,12,31)),'Your Pay &amp; Benefits'!$C$64,999999),IF(AND('Your Pay &amp; Benefits'!$C$65&gt;MAX($B$6:$B59),'Your Pay &amp; Benefits'!$C$65&gt;=DATE('Your Pay &amp; Benefits'!$C$10,1,1),'Your Pay &amp; Benefits'!$C$65&lt;=DATE('Your Pay &amp; Benefits'!$C$10,12,31)),'Your Pay &amp; Benefits'!$C$65,999999),IF(AND('Your Pay &amp; Benefits'!$C$66&gt;MAX($B$6:$B59),'Your Pay &amp; Benefits'!$C$66&gt;=DATE('Your Pay &amp; Benefits'!$C$10,1,1),'Your Pay &amp; Benefits'!$C$66&lt;=DATE('Your Pay &amp; Benefits'!$C$10,12,31)),'Your Pay &amp; Benefits'!$C$66,999999),IF(AND('Your Pay &amp; Benefits'!$C$67&gt;MAX($B$6:$B59),'Your Pay &amp; Benefits'!$C$67&gt;=DATE('Your Pay &amp; Benefits'!$C$10,1,1),'Your Pay &amp; Benefits'!$C$67&lt;=DATE('Your Pay &amp; Benefits'!$C$10,12,31)),'Your Pay &amp; Benefits'!$C$67,999999))=999999,"",MIN(IF(AND('Your Pay &amp; Benefits'!$C$58&gt;MAX($B$6:$B59),'Your Pay &amp; Benefits'!$C$58&gt;=DATE('Your Pay &amp; Benefits'!$C$10,1,1),'Your Pay &amp; Benefits'!$C$58&lt;=DATE('Your Pay &amp; Benefits'!$C$10,12,31)),'Your Pay &amp; Benefits'!$C$58,999999),IF(AND('Your Pay &amp; Benefits'!$C$59&gt;MAX($B$6:$B59),'Your Pay &amp; Benefits'!$C$59&gt;=DATE('Your Pay &amp; Benefits'!$C$10,1,1),'Your Pay &amp; Benefits'!$C$59&lt;=DATE('Your Pay &amp; Benefits'!$C$10,12,31)),'Your Pay &amp; Benefits'!$C$59,999999),IF(AND('Your Pay &amp; Benefits'!$C$60&gt;MAX($B$6:$B59),'Your Pay &amp; Benefits'!$C$60&gt;=DATE('Your Pay &amp; Benefits'!$C$10,1,1),'Your Pay &amp; Benefits'!$C$60&lt;=DATE('Your Pay &amp; Benefits'!$C$10,12,31)),'Your Pay &amp; Benefits'!$C$60,999999),IF(AND('Your Pay &amp; Benefits'!$C$61&gt;MAX($B$6:$B59),'Your Pay &amp; Benefits'!$C$61&gt;=DATE('Your Pay &amp; Benefits'!$C$10,1,1),'Your Pay &amp; Benefits'!$C$61&lt;=DATE('Your Pay &amp; Benefits'!$C$10,12,31)),'Your Pay &amp; Benefits'!$C$61,999999),IF(AND('Your Pay &amp; Benefits'!$C$62&gt;MAX($B$6:$B59),'Your Pay &amp; Benefits'!$C$62&gt;=DATE('Your Pay &amp; Benefits'!$C$10,1,1),'Your Pay &amp; Benefits'!$C$62&lt;=DATE('Your Pay &amp; Benefits'!$C$10,12,31)),'Your Pay &amp; Benefits'!$C$62,999999),IF(AND('Your Pay &amp; Benefits'!$C$63&gt;MAX($B$6:$B59),'Your Pay &amp; Benefits'!$C$63&gt;=DATE('Your Pay &amp; Benefits'!$C$10,1,1),'Your Pay &amp; Benefits'!$C$63&lt;=DATE('Your Pay &amp; Benefits'!$C$10,12,31)),'Your Pay &amp; Benefits'!$C$63,999999),IF(AND('Your Pay &amp; Benefits'!$C$64&gt;MAX($B$6:$B59),'Your Pay &amp; Benefits'!$C$64&gt;=DATE('Your Pay &amp; Benefits'!$C$10,1,1),'Your Pay &amp; Benefits'!$C$64&lt;=DATE('Your Pay &amp; Benefits'!$C$10,12,31)),'Your Pay &amp; Benefits'!$C$64,999999),IF(AND('Your Pay &amp; Benefits'!$C$65&gt;MAX($B$6:$B59),'Your Pay &amp; Benefits'!$C$65&gt;=DATE('Your Pay &amp; Benefits'!$C$10,1,1),'Your Pay &amp; Benefits'!$C$65&lt;=DATE('Your Pay &amp; Benefits'!$C$10,12,31)),'Your Pay &amp; Benefits'!$C$65,999999),IF(AND('Your Pay &amp; Benefits'!$C$66&gt;MAX($B$6:$B59),'Your Pay &amp; Benefits'!$C$66&gt;=DATE('Your Pay &amp; Benefits'!$C$10,1,1),'Your Pay &amp; Benefits'!$C$66&lt;=DATE('Your Pay &amp; Benefits'!$C$10,12,31)),'Your Pay &amp; Benefits'!$C$66,999999),IF(AND('Your Pay &amp; Benefits'!$C$67&gt;MAX($B$6:$B59),'Your Pay &amp; Benefits'!$C$67&gt;=DATE('Your Pay &amp; Benefits'!$C$10,1,1),'Your Pay &amp; Benefits'!$C$67&lt;=DATE('Your Pay &amp; Benefits'!$C$10,12,31)),'Your Pay &amp; Benefits'!$C$67,999999)))</f>
      </c>
      <c r="CF60">
        <f>IF($B60="","",IF($D60=0,$Y60,""))</f>
      </c>
    </row>
    <row r="61">
      <c r="A61" t="n">
        <v>56</v>
      </c>
      <c r="B61" s="21">
        <f>IF(AND($CD61="",$CE61=""),"",IF($CE61="",$CD61,IF($CD61="",$CE61,MIN($CD61,$CE61))))</f>
      </c>
      <c r="C61" s="7">
        <f>IF($B61="","",IF($BF61=0,0,IF('Your Pay &amp; Benefits'!$C$4="Annual salary",ROUND($AK61/IF(AND('Your Pay &amp; Benefits'!$C$88="Actual paydays",MONTH('Your Pay &amp; Benefits'!$C$9)=1),MAX(1,MAX($BE$6:$BE$68)),'Your Pay &amp; Benefits'!$C$8),2),$AK61)))</f>
      </c>
      <c r="D61" s="7">
        <f>IF($B61="","",SUMIF('Your Pay &amp; Benefits'!$C$58:$C$67,$B61,'Your Pay &amp; Benefits'!$D$58:$D$67))</f>
      </c>
      <c r="E61" s="7">
        <f>IF($B61="","",ROUND(MAX(0,MIN(IF($AL61="Percent",$AM61*($C61+$D61),$AM61),MAX(0,'Your Pay &amp; Benefits'!$C$34-$AC60))),2))</f>
      </c>
      <c r="F61" s="7">
        <f>IF($B61="","",ROUND(MAX(0,MIN(IF('Your Pay &amp; Benefits'!$C$32="Percent",'Your Pay &amp; Benefits'!$D$32*($C61+$D61),'Your Pay &amp; Benefits'!$D$32),MAX(0,'Your Pay &amp; Benefits'!$C$34-$AC60-$E61))),2))</f>
      </c>
      <c r="G61" s="7">
        <f>IF($B61="","",IF($BF61=0,0,ROUND(MAX(0,MIN($BL61,'Your Pay &amp; Benefits'!$C$37-'Your Pay &amp; Benefits'!$C$54-$BI60)),2)))</f>
      </c>
      <c r="H61" s="7">
        <f>IF($B61="","",IF(OR($BF61=0,$BQ61=1),0,ROUND(MAX(0,MIN(IF($BS61=1,ROUND(MAX(0,MIN($BJ61,'How This Works &amp; Sources'!$C$13)-$BG60)/MAX(1,MAX($BE$6:$BE$68)-($BE60)),2),ROUND(MIN($BJ61,'How This Works &amp; Sources'!$C$13)/'Your Pay &amp; Benefits'!$C$8,2)),MIN($BJ61,'How This Works &amp; Sources'!$C$13)-$BG60)),2)))</f>
      </c>
      <c r="I61" s="7">
        <f>IF($B61="","",IF(OR($BF61=0,$BR61=1),0,ROUND(MAX(0,MIN(IF($BT61=1,ROUND(MAX(0,MIN($BK61,IF('Your Pay &amp; Benefits'!$C$12="MFJ",'How This Works &amp; Sources'!$C$14,'How This Works &amp; Sources'!$C$15))-$BH60)/MAX(1,MAX($BE$6:$BE$68)-($BE60)),2),ROUND(MIN($BK61,IF('Your Pay &amp; Benefits'!$C$12="MFJ",'How This Works &amp; Sources'!$C$14,'How This Works &amp; Sources'!$C$15))/'Your Pay &amp; Benefits'!$C$8,2)),MIN($BK61,IF('Your Pay &amp; Benefits'!$C$12="MFJ",'How This Works &amp; Sources'!$C$14,'How This Works &amp; Sources'!$C$15))-$BH60)),2)))</f>
      </c>
      <c r="J61" s="7">
        <f>IF($B61="","",IF($BF61=0,0,$BM61))</f>
      </c>
      <c r="K61" s="7">
        <f>IF($B61="","",IF($BF61=0,0,$BN61+$BO61))</f>
      </c>
      <c r="L61" s="7">
        <f>IF($B61="","",IF($BF61=0,0,'Your Pay &amp; Benefits'!$D$46))</f>
      </c>
      <c r="M61" s="7">
        <f>IF($B61="","",$C61+$D61+$L61-$E61-$G61-$H61-$I61-$J61-$K61)</f>
      </c>
      <c r="N61" s="7">
        <f>IF($B61="","",$C61+$D61+$L61-$G61-$H61-$I61-$J61-$K61)</f>
      </c>
      <c r="O61" s="7">
        <f>IF($B61="","",$C61+$D61+$L61-$E61-$H61-$I61-$J61-$K61-IF(OR($AN61="CA",$AN61="NJ"),0,$G61))</f>
      </c>
      <c r="P61" s="7">
        <f>IF($B61="","",IF('Your Pay &amp; Benefits'!$C$18,0,ROUND(MAX(0,IF('Your Pay &amp; Benefits'!$C$13,SUMPRODUCT(($AH61&gt;INDEX('How This Works &amp; Sources'!$B$29:$J$36,0,IF('Your Pay &amp; Benefits'!$C$12="MFJ",1,IF('Your Pay &amp; Benefits'!$C$12="HoH",7,4))))*($AH61-INDEX('How This Works &amp; Sources'!$B$29:$J$36,0,IF('Your Pay &amp; Benefits'!$C$12="MFJ",1,IF('Your Pay &amp; Benefits'!$C$12="HoH",7,4))))*INDEX('How This Works &amp; Sources'!$B$29:$J$36,0,IF('Your Pay &amp; Benefits'!$C$12="MFJ",1,IF('Your Pay &amp; Benefits'!$C$12="HoH",7,4))+2)),SUMPRODUCT(($AH61&gt;INDEX('How This Works &amp; Sources'!$B$19:$J$26,0,IF('Your Pay &amp; Benefits'!$C$12="MFJ",1,IF('Your Pay &amp; Benefits'!$C$12="HoH",7,4))))*($AH61-INDEX('How This Works &amp; Sources'!$B$19:$J$26,0,IF('Your Pay &amp; Benefits'!$C$12="MFJ",1,IF('Your Pay &amp; Benefits'!$C$12="HoH",7,4))))*INDEX('How This Works &amp; Sources'!$B$19:$J$26,0,IF('Your Pay &amp; Benefits'!$C$12="MFJ",1,IF('Your Pay &amp; Benefits'!$C$12="HoH",7,4))+2)))/'Your Pay &amp; Benefits'!$C$8-$AO61/'Your Pay &amp; Benefits'!$C$8)+$AR61+IF('Your Pay &amp; Benefits'!$C$89="Aggregate",MAX(0,IF('Your Pay &amp; Benefits'!$C$13,SUMPRODUCT((($AH61+$D61)&gt;INDEX('How This Works &amp; Sources'!$B$29:$J$36,0,IF('Your Pay &amp; Benefits'!$C$12="MFJ",1,IF('Your Pay &amp; Benefits'!$C$12="HoH",7,4))))*(($AH61+$D61)-INDEX('How This Works &amp; Sources'!$B$29:$J$36,0,IF('Your Pay &amp; Benefits'!$C$12="MFJ",1,IF('Your Pay &amp; Benefits'!$C$12="HoH",7,4))))*INDEX('How This Works &amp; Sources'!$B$29:$J$36,0,IF('Your Pay &amp; Benefits'!$C$12="MFJ",1,IF('Your Pay &amp; Benefits'!$C$12="HoH",7,4))+2)),SUMPRODUCT((($AH61+$D61)&gt;INDEX('How This Works &amp; Sources'!$B$19:$J$26,0,IF('Your Pay &amp; Benefits'!$C$12="MFJ",1,IF('Your Pay &amp; Benefits'!$C$12="HoH",7,4))))*(($AH61+$D61)-INDEX('How This Works &amp; Sources'!$B$19:$J$26,0,IF('Your Pay &amp; Benefits'!$C$12="MFJ",1,IF('Your Pay &amp; Benefits'!$C$12="HoH",7,4))))*INDEX('How This Works &amp; Sources'!$B$19:$J$26,0,IF('Your Pay &amp; Benefits'!$C$12="MFJ",1,IF('Your Pay &amp; Benefits'!$C$12="HoH",7,4))+2)))-IF('Your Pay &amp; Benefits'!$C$13,SUMPRODUCT(($AH61&gt;INDEX('How This Works &amp; Sources'!$B$29:$J$36,0,IF('Your Pay &amp; Benefits'!$C$12="MFJ",1,IF('Your Pay &amp; Benefits'!$C$12="HoH",7,4))))*($AH61-INDEX('How This Works &amp; Sources'!$B$29:$J$36,0,IF('Your Pay &amp; Benefits'!$C$12="MFJ",1,IF('Your Pay &amp; Benefits'!$C$12="HoH",7,4))))*INDEX('How This Works &amp; Sources'!$B$29:$J$36,0,IF('Your Pay &amp; Benefits'!$C$12="MFJ",1,IF('Your Pay &amp; Benefits'!$C$12="HoH",7,4))+2)),SUMPRODUCT(($AH61&gt;INDEX('How This Works &amp; Sources'!$B$19:$J$26,0,IF('Your Pay &amp; Benefits'!$C$12="MFJ",1,IF('Your Pay &amp; Benefits'!$C$12="HoH",7,4))))*($AH61-INDEX('How This Works &amp; Sources'!$B$19:$J$26,0,IF('Your Pay &amp; Benefits'!$C$12="MFJ",1,IF('Your Pay &amp; Benefits'!$C$12="HoH",7,4))))*INDEX('How This Works &amp; Sources'!$B$19:$J$26,0,IF('Your Pay &amp; Benefits'!$C$12="MFJ",1,IF('Your Pay &amp; Benefits'!$C$12="HoH",7,4))+2)))),'How This Works &amp; Sources'!$C$10*$D61),2)))</f>
      </c>
      <c r="Q61" s="7">
        <f>IF($B61="","",ROUND('How This Works &amp; Sources'!$C$4*MIN($N61,MAX(0,'How This Works &amp; Sources'!$C$3-($AX61+$AB60-$AW61))),2))</f>
      </c>
      <c r="R61" s="7">
        <f>IF($B61="","",ROUND('How This Works &amp; Sources'!$C$5*$N61,2))</f>
      </c>
      <c r="S61" s="7">
        <f>IF($B61="","",ROUND('How This Works &amp; Sources'!$C$6*MAX(0,MIN($N61,$AG60+$N61-'How This Works &amp; Sources'!$C$7)),2))</f>
      </c>
      <c r="T61" s="7">
        <f>IF($B61="","",IF('Your Pay &amp; Benefits'!$C$26,0,IF($AN61="CA",ROUND(IF($AI61&lt;=IF(($AS61+$AT61)&gt;=2,VLOOKUP($AN61,StateTables!$A$6:$AB$56,10,FALSE),VLOOKUP($AN61,StateTables!$A$6:$AB$56,9,FALSE)),0,MAX(0,SUMPRODUCT(($AJ61&gt;INDEX('How This Works &amp; Sources'!$B$39:$J$48,0,IF($AU61="Married",4,IF($AU61="Head of household",7,1))))*($AJ61-INDEX('How This Works &amp; Sources'!$B$39:$J$48,0,IF($AU61="Married",4,IF($AU61="Head of household",7,1))))*INDEX('How This Works &amp; Sources'!$B$39:$J$48,0,IF($AU61="Married",4,IF($AU61="Head of household",7,1))+2))-VLOOKUP($AN61,StateTables!$A$6:$AB$56,11,FALSE)*$AS61)/'Your Pay &amp; Benefits'!$C$8)+'Your Pay &amp; Benefits'!$C$25+VLOOKUP($AN61,StateTables!$A$6:$AB$56,13,FALSE)*$D61,2),IF(VLOOKUP($AN61,StateTables!$A$6:$AB$56,4,FALSE)="None",0,IF(ISNUMBER(SEARCH("MANUAL",VLOOKUP($AN61,StateTables!$A$6:$AB$56,5,FALSE))),'Your Pay &amp; Benefits'!$C$28,ROUND(MAX(0,$BA61+$BB61)/'Your Pay &amp; Benefits'!$C$8+'Your Pay &amp; Benefits'!$C$25+$BC61,2))))))</f>
      </c>
      <c r="U61" s="7">
        <f>IF($B61="","",IF(VLOOKUP($AN61,StateTables!$A$6:$AB$56,24,FALSE)="flatq",IF(OR(MONTH($B61)=1,MONTH($B61)=4,MONTH($B61)=7,MONTH($B61)=10),VLOOKUP($AN61,StateTables!$A$6:$AB$56,25,FALSE),0),IF(VLOOKUP($AN61,StateTables!$A$6:$AB$56,24,FALSE)="dbl",MIN(ROUND(0.005*$N61,2),ROUND(0.6*52/'Your Pay &amp; Benefits'!$C$8,2)),IF(OR(VLOOKUP($AN61,StateTables!$A$6:$AB$56,15,FALSE)="",VLOOKUP($AN61,StateTables!$A$6:$AB$56,15,FALSE)=0),0,ROUND(VLOOKUP($AN61,StateTables!$A$6:$AB$56,15,FALSE)*IF(OR(VLOOKUP($AN61,StateTables!$A$6:$AB$56,16,FALSE)="",VLOOKUP($AN61,StateTables!$A$6:$AB$56,16,FALSE)=0),$N61,MIN($N61,MAX(0,VLOOKUP($AN61,StateTables!$A$6:$AB$56,16,FALSE)-($AX61+$AB60-$AW61)))),2))))+IF(VLOOKUP($AN61,StateTables!$A$6:$AB$56,27,FALSE)="flatq",IF(OR(MONTH($B61)=1,MONTH($B61)=4,MONTH($B61)=7,MONTH($B61)=10),VLOOKUP($AN61,StateTables!$A$6:$AB$56,28,FALSE),0),IF(VLOOKUP($AN61,StateTables!$A$6:$AB$56,27,FALSE)="dbl",MIN(ROUND(0.005*$N61,2),ROUND(0.6*52/'Your Pay &amp; Benefits'!$C$8,2)),IF(OR(VLOOKUP($AN61,StateTables!$A$6:$AB$56,18,FALSE)="",VLOOKUP($AN61,StateTables!$A$6:$AB$56,18,FALSE)=0),0,ROUND(VLOOKUP($AN61,StateTables!$A$6:$AB$56,18,FALSE)*IF(OR(VLOOKUP($AN61,StateTables!$A$6:$AB$56,19,FALSE)="",VLOOKUP($AN61,StateTables!$A$6:$AB$56,19,FALSE)=0),$N61,MIN($N61,MAX(0,VLOOKUP($AN61,StateTables!$A$6:$AB$56,19,FALSE)-($AX61+$AB60-$AW61)))),2)))))</f>
      </c>
      <c r="V61" s="7">
        <f>IF($B61="","",IF($AN61="NY",IF('Your Pay &amp; Benefits'!$C$78,ROUND(SUMPRODUCT((MAX(0,($O61-$D61)*'Your Pay &amp; Benefits'!$C$8-(IF($AU61="Married",5500,5000)+1000*$AS61))&gt;INDEX('How This Works &amp; Sources'!$B$184:$J$198,0,4))*(MAX(0,($O61-$D61)*'Your Pay &amp; Benefits'!$C$8-(IF($AU61="Married",5500,5000)+1000*$AS61))-INDEX('How This Works &amp; Sources'!$B$184:$J$198,0,4))*INDEX('How This Works &amp; Sources'!$B$184:$J$198,0,4+2))/'Your Pay &amp; Benefits'!$C$8+0.0425*$D61,2),0)+IF('Your Pay &amp; Benefits'!$C$79="Resident",ROUND(0.1675*$T61,2),IF('Your Pay &amp; Benefits'!$C$79="Nonresident",ROUND(0.005*MAX(0,($O61-$D61)-(IF($AU61="Married",7950,7400)+1000*$AS61)/'Your Pay &amp; Benefits'!$C$8),2),0)),IF($AN61="PA",IF('Your Pay &amp; Benefits'!$C$80="None",'Your Pay &amp; Benefits'!$C$27+ROUND('Your Pay &amp; Benefits'!$C$81*($C61+$D61),2),ROUND(IF('Your Pay &amp; Benefits'!$C$80="Resident",IF($B61&lt;DATE(2026,7,1),0.0374,0.03735),IF($B61&lt;DATE(2026,7,1),0.0343,0.03425))*($C61+$D61),2)),IF($BF61=0,ROUND('Your Pay &amp; Benefits'!$C$81*($C61+$D61),2),'Your Pay &amp; Benefits'!$C$27+ROUND('Your Pay &amp; Benefits'!$C$81*($C61+$D61),2)))))</f>
      </c>
      <c r="W61" s="7">
        <f>IF($B61="","",IF($BF61=0,0,$BP61))</f>
      </c>
      <c r="X61" s="7">
        <f>IF($B61="","",SUM($E61:$K61)+$P61+$Q61+$R61+$S61+$T61+$U61+$V61+$W61)</f>
      </c>
      <c r="Y61" s="22">
        <f>IF($B61="","",$C61+$D61-$X61)</f>
      </c>
      <c r="Z61" s="7">
        <f>IF($B61="","",$Z60+$C61+$D61)</f>
      </c>
      <c r="AA61" s="7">
        <f>IF($B61="","",$AA60+$Y61)</f>
      </c>
      <c r="AB61" s="7">
        <f>IF($B61="","",$AB60+MIN($N61,MAX(0,'How This Works &amp; Sources'!$C$3-($AX61+$AB60-$AW61))))</f>
      </c>
      <c r="AC61" s="7">
        <f>IF($B61="","",$AC60+$E61+$F61)</f>
      </c>
      <c r="AD61" s="3">
        <f>IF($B61="","",IF(AND($AB60&lt;'How This Works &amp; Sources'!$C$3,$AB61&gt;='How This Works &amp; Sources'!$C$3),"★ Social Security maxed on this check — from the next check your net rises by about $"&amp;TEXT(ROUND('How This Works &amp; Sources'!$C$4*$N61,2),"#,##0.00")&amp;". ","")&amp;IF(AND($AC60&lt;'Your Pay &amp; Benefits'!$C$34,$AC61&gt;='Your Pay &amp; Benefits'!$C$34),"★ 401(k) reaches the $"&amp;TEXT('Your Pay &amp; Benefits'!$C$34,"#,##0")&amp;" cap on this check — deferrals stop and net pay rises. ","")&amp;IF(AND($AG60&lt;'How This Works &amp; Sources'!$C$7,$AG61&gt;='How This Works &amp; Sources'!$C$7),"★ Wages pass $200,000 — the 0.9% Additional Medicare Tax starts here. ","")&amp;IF(AND($BJ61&gt;0,$H61&gt;0,$BG60&lt;MIN($BJ61,'How This Works &amp; Sources'!$C$13),$BG60+$H61&gt;=MIN($BJ61,'How This Works &amp; Sources'!$C$13)),"★ Health FSA election is now fully deferred for the year. ",""))</f>
      </c>
      <c r="AE61" s="41" t="n"/>
      <c r="AF61" s="7">
        <f>IF(OR($B61="",$AE61=""),"",$AE61-$Y61)</f>
      </c>
      <c r="AG61" s="7">
        <f>IF($B61="","",$AG60+$N61)</f>
      </c>
      <c r="AH61" s="7">
        <f>IF($B61="","",MAX(0,($M61-$D61)*'Your Pay &amp; Benefits'!$C$8+$AP61-$AQ61-IF('Your Pay &amp; Benefits'!$C$13,0,IF('Your Pay &amp; Benefits'!$C$12="MFJ",'How This Works &amp; Sources'!$C$8,'How This Works &amp; Sources'!$C$9))))</f>
      </c>
      <c r="AI61" s="7">
        <f>IF($B61="","",$O61*'Your Pay &amp; Benefits'!$C$8)</f>
      </c>
      <c r="AJ61" s="7">
        <f>IF($B61="","",MAX(0,$AI61-VLOOKUP($AN61,StateTables!$A$6:$AB$56,12,FALSE)*$AT61-IF(($AS61+$AT61)&gt;=2,VLOOKUP($AN61,StateTables!$A$6:$AB$56,8,FALSE),VLOOKUP($AN61,StateTables!$A$6:$AB$56,7,FALSE))))</f>
      </c>
      <c r="AK61" s="7">
        <f>IF($B61="","",IFERROR(LOOKUP(2,1/(('Changes &amp; Events'!$C$6:$C$17="Salary change")*('Changes &amp; Events'!$B$6:$B$17&lt;=$B61)*('Changes &amp; Events'!$B$6:$B$17&lt;&gt;"")),'Changes &amp; Events'!$D$6:$D$17),IF('Your Pay &amp; Benefits'!$C$4="Annual salary",'Your Pay &amp; Benefits'!$C$5,'Your Pay &amp; Benefits'!$C$6)))</f>
      </c>
      <c r="AL61">
        <f>IF($B61="","",IFERROR(LOOKUP(2,1/(('Changes &amp; Events'!$C$6:$C$17="401(k) change")*('Changes &amp; Events'!$B$6:$B$17&lt;=$B61)*('Changes &amp; Events'!$B$6:$B$17&lt;&gt;"")),'Changes &amp; Events'!$D$6:$D$17),'Your Pay &amp; Benefits'!$C$30))</f>
      </c>
      <c r="AM61" s="7">
        <f>IF($B61="","",IFERROR(LOOKUP(2,1/(('Changes &amp; Events'!$C$6:$C$17="401(k) change")*('Changes &amp; Events'!$B$6:$B$17&lt;=$B61)*('Changes &amp; Events'!$B$6:$B$17&lt;&gt;"")),'Changes &amp; Events'!$E$6:$E$17),'Your Pay &amp; Benefits'!$D$31))</f>
      </c>
      <c r="AN61">
        <f>IF($B61="","",IFERROR(LOOKUP(2,1/(('Changes &amp; Events'!$C$6:$C$17="State move")*('Changes &amp; Events'!$B$6:$B$17&lt;=$B61)*('Changes &amp; Events'!$B$6:$B$17&lt;&gt;"")),'Changes &amp; Events'!$D$6:$D$17),'Your Pay &amp; Benefits'!$C$21))</f>
      </c>
      <c r="AO61" s="7">
        <f>IF($B61="","",IFERROR(LOOKUP(2,1/(('Changes &amp; Events'!$C$6:$C$17="W-4 change")*('Changes &amp; Events'!$B$6:$B$17&lt;=$B61)*('Changes &amp; Events'!$B$6:$B$17&lt;&gt;"")),'Changes &amp; Events'!$D$6:$D$17),'Your Pay &amp; Benefits'!$C$14))</f>
      </c>
      <c r="AP61" s="7">
        <f>IF($B61="","",IFERROR(LOOKUP(2,1/(('Changes &amp; Events'!$C$6:$C$17="W-4 change")*('Changes &amp; Events'!$B$6:$B$17&lt;=$B61)*('Changes &amp; Events'!$B$6:$B$17&lt;&gt;"")),'Changes &amp; Events'!$E$6:$E$17),'Your Pay &amp; Benefits'!$C$15))</f>
      </c>
      <c r="AQ61" s="7">
        <f>IF($B61="","",IFERROR(LOOKUP(2,1/(('Changes &amp; Events'!$C$6:$C$17="W-4 change")*('Changes &amp; Events'!$B$6:$B$17&lt;=$B61)*('Changes &amp; Events'!$B$6:$B$17&lt;&gt;"")),'Changes &amp; Events'!$F$6:$F$17),'Your Pay &amp; Benefits'!$C$16))</f>
      </c>
      <c r="AR61" s="7">
        <f>IF($B61="","",IFERROR(LOOKUP(2,1/(('Changes &amp; Events'!$C$6:$C$17="W-4 change")*('Changes &amp; Events'!$B$6:$B$17&lt;=$B61)*('Changes &amp; Events'!$B$6:$B$17&lt;&gt;"")),'Changes &amp; Events'!$G$6:$G$17),'Your Pay &amp; Benefits'!$C$17))</f>
      </c>
      <c r="AS61" s="6">
        <f>IF($B61="","",IFERROR(LOOKUP(2,1/((('Changes &amp; Events'!$C$6:$C$17="State move")+('Changes &amp; Events'!$C$6:$C$17="State cert change"))*('Changes &amp; Events'!$B$6:$B$17&lt;=$B61)*('Changes &amp; Events'!$B$6:$B$17&lt;&gt;"")),'Changes &amp; Events'!$F$6:$F$17),'Your Pay &amp; Benefits'!$C$23))</f>
      </c>
      <c r="AT61" s="6">
        <f>IF($B61="","",IFERROR(LOOKUP(2,1/((('Changes &amp; Events'!$C$6:$C$17="State move")+('Changes &amp; Events'!$C$6:$C$17="State cert change"))*('Changes &amp; Events'!$B$6:$B$17&lt;=$B61)*('Changes &amp; Events'!$B$6:$B$17&lt;&gt;"")),'Changes &amp; Events'!$G$6:$G$17),'Your Pay &amp; Benefits'!$C$24))</f>
      </c>
      <c r="AU61">
        <f>IF($B61="","",IFERROR(LOOKUP(2,1/(('Changes &amp; Events'!$C$6:$C$17="State move")*('Changes &amp; Events'!$B$6:$B$17&lt;=$B61)*('Changes &amp; Events'!$B$6:$B$17&lt;&gt;"")),'Changes &amp; Events'!$E$6:$E$17),'Your Pay &amp; Benefits'!$C$22))</f>
      </c>
      <c r="AV61" s="6">
        <f>IF($B61="","",1+COUNTIFS('Changes &amp; Events'!$C$6:$C$17,"Employer change",'Changes &amp; Events'!$B$6:$B$17,"&lt;="&amp;$B61,'Changes &amp; Events'!$B$6:$B$17,"&lt;&gt;"))</f>
      </c>
      <c r="AW61" s="7">
        <f>IF($B61="","",IF($AV61=1,'Your Pay &amp; Benefits'!$C$49,IF(IFERROR(MATCH(IFERROR(LOOKUP(2,1/(('Changes &amp; Events'!$C$6:$C$17="Employer change")*('Changes &amp; Events'!$B$6:$B$17&lt;=$B61)*('Changes &amp; Events'!$B$6:$B$17&lt;&gt;"")),'Changes &amp; Events'!$B$6:$B$17),""),$B$6:$B$68,1),1)&lt;=1,'Your Pay &amp; Benefits'!$C$49,INDEX($AB$6:$AB$68,MATCH(IFERROR(LOOKUP(2,1/(('Changes &amp; Events'!$C$6:$C$17="Employer change")*('Changes &amp; Events'!$B$6:$B$17&lt;=$B61)*('Changes &amp; Events'!$B$6:$B$17&lt;&gt;"")),'Changes &amp; Events'!$B$6:$B$17),""),$B$6:$B$68,1)-1))))</f>
      </c>
      <c r="AX61" s="7">
        <f>IF($B61="","",IF($AV61=1,'Your Pay &amp; Benefits'!$C$49,IFERROR(LOOKUP(2,1/(('Changes &amp; Events'!$C$6:$C$17="Employer change")*('Changes &amp; Events'!$B$6:$B$17&lt;=$B61)*('Changes &amp; Events'!$B$6:$B$17&lt;&gt;"")),'Changes &amp; Events'!$D$6:$D$17),0)))</f>
      </c>
      <c r="AY61" s="7">
        <f>IF($B61="","",($O61-$D61)*'Your Pay &amp; Benefits'!$C$8)</f>
      </c>
      <c r="AZ61" s="7">
        <f>IF($B61="","",IF($AN61="AL",MAX(0,$AY61-IF($AU61="Married",IF($AY61&lt;=25999,8500,MAX(5000,8500-175*CEILING(($AY61-25999)/500,1))),IF($AU61="Head of household",IF($AY61&lt;=25999,5200,MAX(2500,5200-135*CEILING(($AY61-25999)/500,1))),IF($AY61&lt;=25999,3000,MAX(2500,3000-25*CEILING(($AY61-25999)/500,1)))))-($P61-'How This Works &amp; Sources'!$C$10*$D61)*'Your Pay &amp; Benefits'!$C$8-IF(OR($AU61="Married",$AU61="Head of household"),3000,1500)-$AT61*IF($AY61&lt;=50000,1000,IF($AY61&lt;=100000,500,300))),IF($AN61="AR",IF(MAX(0,$AY61-2470)&lt;97701,INT(MAX(0,$AY61-2470)/100)*100+50,MAX(0,$AY61-2470)),IF($AN61="DE",MAX(0,$AI61-3250),IF($AN61="HI",MAX(0,$AI61-1144*$AS61-4350),IF($AN61="KS",MAX(0,$AI61-(9160*IF($AU61="Married",2,1)+2320*$AT61+IF($AU61="Head of household",2320,0))),IF($AN61="MD",MAX(0,$AI61-3400-3200*$AS61),IF($AN61="MN",MAX(0,$AY61-5300*$AS61),IF($AN61="MO",MAX(0,$AI61-IF($AU61="Head of household",24150,IF($AU61="Married",IF('Your Pay &amp; Benefits'!$C$83,16100,32200),16100))),IF($AN61="MT",$AY61,IF($AN61="ND",($C61+$L61)*'Your Pay &amp; Benefits'!$C$8,IF($AN61="NE",MAX(0,$AY61-2440*$AS61),IF($AN61="NJ",MAX(0,$AY61-1000*$AS61),IF($AN61="NY",MAX(0,$AY61-(IF($AU61="Married",7950,7400)+1000*$AS61)),IF($AN61="OH",MAX(0,$AY61-650*$AS61),IF($AN61="OK",MAX(0,$AY61-1000*$AS61),IF($AN61="RI",MAX(0,$AI61-1000*$AS61),IF($AN61="SC",MAX(0,$AI61-5000*$AS61-IF($AS61=0,0,MIN(0.1*$AI61,7500))),IF($AN61="VA",MAX(0,$AI61-IF($AU61="Married",17500,8750)-930*$AS61-800*$AT61),IF($AN61="VT",MAX(0,$AI61-5400*$AS61),IF($AN61="WI",MAX(0,$AI61-MAX(0,IF($AU61="Married",9461-0.2*MAX(0,$AI61-25727),6702-0.12*MAX(0,$AI61-17780)))-400*$AS61),IF($AN61="WV",MAX(0,$AI61-2000*$AS61),$AI61))))))))))))))))))))))</f>
      </c>
      <c r="BA61" s="7">
        <f>IF($B61="","",IF($BW61&lt;&gt;"",$BW61,IF($BX61&lt;&gt;"",$BX61,IF($BY61&lt;&gt;"",$BY61,0))))</f>
      </c>
      <c r="BB61" s="7">
        <f>IF($B61="","",IF($AN61="AR",-29*$AS61,IF($AN61="DE",-110*$AS61,IF($AN61="MD",$AZ61*'Your Pay &amp; Benefits'!$C$74,IF($AN61="AZ",'Your Pay &amp; Benefits'!$C$82*($M61-$D61)*'Your Pay &amp; Benefits'!$C$8,IF($AN61="CO",0.044*MAX(0,$AY61-IF($AU61="Married",10000,5000)),IF($AN61="IA",MAX(0,0.038*MAX(0,$AY61-IF($AU61="Head of household",19500,IF($AU61="Married",26000,13000)))-40*$AS61),IF($AN61="ID",0.053*MAX(0,$AY61-IF($AU61="Married",32000,16094)),IF($AN61="IL",0.0495*MAX(0,$AY61-(2925*$AS61+1000*$AT61)),IF($AN61="IN",(0.0295+'Your Pay &amp; Benefits'!$C$76)*MAX(0,$AY61-(1000*$AS61+1500*$AT61+3000*'Your Pay &amp; Benefits'!$C$86)),IF($AN61="KY",0.035*MAX(0,$AI61-3360),IF($AN61="LA",IF('Your Pay &amp; Benefits'!$C$84="0",0.0309*$AI61,0.0309*MAX(0,$AI61-IF('Your Pay &amp; Benefits'!$C$84="2",25750,12875))),IF($AN61="MA",0.05*MIN(MAX(0,$AY61-MIN(($BD60+$Q61+$R61+$S61),2000)-IF($AS61=0,0,IF($AS61=1,4400,1000*$AS61+3400))),1107750)+0.09*MAX(0,MAX(0,$AY61-MIN(($BD60+$Q61+$R61+$S61),2000)-IF($AS61=0,0,IF($AS61=1,4400,1000*$AS61+3400)))-1107750)-IF($AU61="Head of household",120,0)-110*'Your Pay &amp; Benefits'!$C$75,IF($AN61="MI",0.0425*MAX(0,$AY61-5900*$AS61),IF($AN61="MS",0.04*MAX(0,$AI61-IF($AU61="Head of household",3400,IF($AU61="Married",4600,2300))-'Your Pay &amp; Benefits'!$C$85-10000),IF($AN61="OR",IF(OR($AU61="Married",AND($AU61="Single",$AS61&gt;=3)),SUMPRODUCT((MAX(0,$AY61-MIN(($P61-'How This Works &amp; Sources'!$C$10*$D61)*'Your Pay &amp; Benefits'!$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Sources'!$B$211:$J$214,0,4))*(MAX(0,$AY61-MIN(($P61-'How This Works &amp; Sources'!$C$10*$D61)*'Your Pay &amp; Benefits'!$C$8,IF(OR($AU61="Married",AND($AU61="Single",$AS61&gt;=3)),IF($AY61&lt;250000,8750,IF($AY61&lt;260000,7000,IF($AY61&lt;270000,5250,IF($AY61&lt;280000,3500,IF($AY61&lt;290000,1750,0))))),IF($AY61&lt;125000,8750,IF($AY61&lt;130000,7000,IF($AY61&lt;135000,5250,IF($AY61&lt;140000,3500,IF($AY61&lt;145000,1750,0)))))))-IF(OR($AU61="Married",AND($AU61="Single",$AS61&gt;=3)),5820,2910))-INDEX('How This Works &amp; Sources'!$B$211:$J$214,0,4))*INDEX('How This Works &amp; Sources'!$B$211:$J$214,0,4+2)),SUMPRODUCT((MAX(0,$AY61-MIN(($P61-'How This Works &amp; Sources'!$C$10*$D61)*'Your Pay &amp; Benefits'!$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Sources'!$B$211:$J$214,0,1))*(MAX(0,$AY61-MIN(($P61-'How This Works &amp; Sources'!$C$10*$D61)*'Your Pay &amp; Benefits'!$C$8,IF(OR($AU61="Married",AND($AU61="Single",$AS61&gt;=3)),IF($AY61&lt;250000,8750,IF($AY61&lt;260000,7000,IF($AY61&lt;270000,5250,IF($AY61&lt;280000,3500,IF($AY61&lt;290000,1750,0))))),IF($AY61&lt;125000,8750,IF($AY61&lt;130000,7000,IF($AY61&lt;135000,5250,IF($AY61&lt;140000,3500,IF($AY61&lt;145000,1750,0)))))))-IF(OR($AU61="Married",AND($AU61="Single",$AS61&gt;=3)),5820,2910))-INDEX('How This Works &amp; Sources'!$B$211:$J$214,0,1))*INDEX('How This Works &amp; Sources'!$B$211:$J$214,0,1+2)))+263-263*IF(IF($AU61="Married",$AY61&gt;200000,$AY61&gt;100000),0,$AS61),IF($AN61="PA",0.0307*(($O61+$E61+$G61)*'Your Pay &amp; Benefits'!$C$8),IF($AN61="NY",IF($AU61="Married",IF($AZ61&gt;=2155350,0,IF($AZ61&gt;=1077550,0.48,IF($AZ61&gt;=373200,1.21,IF($AZ61&gt;=323200,0.21,IF($AZ61&gt;=211550,-0.19,IF($AZ61&gt;=157650,-2.8,IF($AZ61&gt;=107650,-0.8,IF($AZ61&gt;=96800,0.05,IF($AZ61&gt;=80650,-0.1,IF($AZ61&gt;=13900,0.4,IF($AZ61&gt;=11700,-0.3,IF($AZ61&gt;=8500,0.5,0)))))))))))),IF($AZ61&gt;=1077550,0,IF($AZ61&gt;=265400,4.29,IF($AZ61&gt;=215400,2.29,IF($AZ61&gt;=157650,2.29,IF($AZ61&gt;=107650,0.29,IF($AZ61&gt;=96800,0.05,IF($AZ61&gt;=80650,-0.1,IF($AZ61&gt;=13900,0.4,IF($AZ61&gt;=11700,-0.3,IF($AZ61&gt;=8500,0.5,0))))))))))),0))))))))))))))))))</f>
      </c>
      <c r="BC61" s="7">
        <f>IF($B61="","",IF($AN61="AL",0.05*$D61,IF($AN61="AR",0.039*$D61,IF($AN61="ID",0.053*$D61,IF($AN61="IN",(0.0295+'Your Pay &amp; Benefits'!$C$76)*$D61,IF($AN61="KS",0.05*$D61,IF($AN61="MA",0.09*MIN($D61,MAX(0,MAX(0,$AY61-MIN(($BD60+$Q61+$R61+$S61),2000)-IF($AS61=0,0,IF($AS61=1,4400,1000*$AS61+3400)))+$D61-1107750))+0.05*($D61-MIN($D61,MAX(0,MAX(0,$AY61-MIN(($BD60+$Q61+$R61+$S61),2000)-IF($AS61=0,0,IF($AS61=1,4400,1000*$AS61+3400)))+$D61-1107750))),IF($AN61="MD",(0.065+'Your Pay &amp; Benefits'!$C$74)*$D61,IF($AN61="MI",0.0425*$D61,IF($AN61="MN",0.0625*$D61,IF($AN61="MO",0.047*$D61,IF($AN61="MT",0.05*$D61,IF($AN61="ND",0.015*$D61,IF($AN61="NE",0.035*$D61,IF($AN61="NJ",IF('Your Pay &amp; Benefits'!$C$77="B",SUMPRODUCT(($D61*'Your Pay &amp; Benefits'!$C$8&gt;INDEX('How This Works &amp; Sources'!$B$155:$J$162,0,4))*($D61*'Your Pay &amp; Benefits'!$C$8-INDEX('How This Works &amp; Sources'!$B$155:$J$162,0,4))*INDEX('How This Works &amp; Sources'!$B$155:$J$162,0,4+2)),IF('Your Pay &amp; Benefits'!$C$77="C",SUMPRODUCT(($D61*'Your Pay &amp; Benefits'!$C$8&gt;INDEX('How This Works &amp; Sources'!$B$155:$J$162,0,7))*($D61*'Your Pay &amp; Benefits'!$C$8-INDEX('How This Works &amp; Sources'!$B$155:$J$162,0,7))*INDEX('How This Works &amp; Sources'!$B$155:$J$162,0,7+2)),IF('Your Pay &amp; Benefits'!$C$77="D",SUMPRODUCT(($D61*'Your Pay &amp; Benefits'!$C$8&gt;INDEX('How This Works &amp; Sources'!$B$167:$J$179,0,1))*($D61*'Your Pay &amp; Benefits'!$C$8-INDEX('How This Works &amp; Sources'!$B$167:$J$179,0,1))*INDEX('How This Works &amp; Sources'!$B$167:$J$179,0,1+2)),IF('Your Pay &amp; Benefits'!$C$77="E",SUMPRODUCT(($D61*'Your Pay &amp; Benefits'!$C$8&gt;INDEX('How This Works &amp; Sources'!$B$167:$J$179,0,4))*($D61*'Your Pay &amp; Benefits'!$C$8-INDEX('How This Works &amp; Sources'!$B$167:$J$179,0,4))*INDEX('How This Works &amp; Sources'!$B$167:$J$179,0,4+2)),SUMPRODUCT(($D61*'Your Pay &amp; Benefits'!$C$8&gt;INDEX('How This Works &amp; Sources'!$B$155:$J$162,0,1))*($D61*'Your Pay &amp; Benefits'!$C$8-INDEX('How This Works &amp; Sources'!$B$155:$J$162,0,1))*INDEX('How This Works &amp; Sources'!$B$155:$J$162,0,1+2))))))/'Your Pay &amp; Benefits'!$C$8,IF($AN61="NY",0.117*$D61,IF($AN61="OH",0.0275*$D61,IF($AN61="OK",0.045*$D61,IF($AN61="OR",0.08*$D61,IF($AN61="WI",IF($AY61&lt;12760,0.0354,IF($AY61&lt;25520,0.0465,IF($AY61&lt;280950,0.053,0.0765)))*$D61,0))))))))))))))))))))</f>
      </c>
      <c r="BD61" s="7">
        <f>IF($B61="","",$BD60+$Q61+$R61+$S61)</f>
      </c>
      <c r="BE61" s="6">
        <f>IF($B61="",$BE60,$BE60+$BF61)</f>
      </c>
      <c r="BF61" s="6">
        <f>IF($B61="","",IF(AND(IF(YEAR(IF('Your Pay &amp; Benefits'!$C$7="Weekly",'Your Pay &amp; Benefits'!$C$9+7*(($BE60+1)-1),IF('Your Pay &amp; Benefits'!$C$7="Biweekly",'Your Pay &amp; Benefits'!$C$9+14*(($BE60+1)-1),IF('Your Pay &amp; Benefits'!$C$7="Semimonthly",DATE(YEAR('Your Pay &amp; Benefits'!$C$9),MONTH('Your Pay &amp; Benefits'!$C$9)+INT((($BE60+1)-1)/2),MIN(DAY('Your Pay &amp; Benefits'!$C$9),DAY(EOMONTH(DATE(YEAR('Your Pay &amp; Benefits'!$C$9),MONTH('Your Pay &amp; Benefits'!$C$9)+INT((($BE60+1)-1)/2),1),0))))+IF(MOD(($BE60+1)-1,2)=1,15,0),EDATE('Your Pay &amp; Benefits'!$C$9,($BE60+1)-1)))))&lt;&gt;'Your Pay &amp; Benefits'!$C$10,"",IF('Your Pay &amp; Benefits'!$C$7="Weekly",'Your Pay &amp; Benefits'!$C$9+7*(($BE60+1)-1),IF('Your Pay &amp; Benefits'!$C$7="Biweekly",'Your Pay &amp; Benefits'!$C$9+14*(($BE60+1)-1),IF('Your Pay &amp; Benefits'!$C$7="Semimonthly",DATE(YEAR('Your Pay &amp; Benefits'!$C$9),MONTH('Your Pay &amp; Benefits'!$C$9)+INT((($BE60+1)-1)/2),MIN(DAY('Your Pay &amp; Benefits'!$C$9),DAY(EOMONTH(DATE(YEAR('Your Pay &amp; Benefits'!$C$9),MONTH('Your Pay &amp; Benefits'!$C$9)+INT((($BE60+1)-1)/2),1),0))))+IF(MOD(($BE60+1)-1,2)=1,15,0),EDATE('Your Pay &amp; Benefits'!$C$9,($BE60+1)-1)))))&lt;&gt;"",$B61=IF(YEAR(IF('Your Pay &amp; Benefits'!$C$7="Weekly",'Your Pay &amp; Benefits'!$C$9+7*(($BE60+1)-1),IF('Your Pay &amp; Benefits'!$C$7="Biweekly",'Your Pay &amp; Benefits'!$C$9+14*(($BE60+1)-1),IF('Your Pay &amp; Benefits'!$C$7="Semimonthly",DATE(YEAR('Your Pay &amp; Benefits'!$C$9),MONTH('Your Pay &amp; Benefits'!$C$9)+INT((($BE60+1)-1)/2),MIN(DAY('Your Pay &amp; Benefits'!$C$9),DAY(EOMONTH(DATE(YEAR('Your Pay &amp; Benefits'!$C$9),MONTH('Your Pay &amp; Benefits'!$C$9)+INT((($BE60+1)-1)/2),1),0))))+IF(MOD(($BE60+1)-1,2)=1,15,0),EDATE('Your Pay &amp; Benefits'!$C$9,($BE60+1)-1)))))&lt;&gt;'Your Pay &amp; Benefits'!$C$10,"",IF('Your Pay &amp; Benefits'!$C$7="Weekly",'Your Pay &amp; Benefits'!$C$9+7*(($BE60+1)-1),IF('Your Pay &amp; Benefits'!$C$7="Biweekly",'Your Pay &amp; Benefits'!$C$9+14*(($BE60+1)-1),IF('Your Pay &amp; Benefits'!$C$7="Semimonthly",DATE(YEAR('Your Pay &amp; Benefits'!$C$9),MONTH('Your Pay &amp; Benefits'!$C$9)+INT((($BE60+1)-1)/2),MIN(DAY('Your Pay &amp; Benefits'!$C$9),DAY(EOMONTH(DATE(YEAR('Your Pay &amp; Benefits'!$C$9),MONTH('Your Pay &amp; Benefits'!$C$9)+INT((($BE60+1)-1)/2),1),0))))+IF(MOD(($BE60+1)-1,2)=1,15,0),EDATE('Your Pay &amp; Benefits'!$C$9,($BE60+1)-1)))))),1,0))</f>
      </c>
      <c r="BG61" s="7">
        <f>IF($B61="","",$BG60+$H61)</f>
      </c>
      <c r="BH61" s="7">
        <f>IF($B61="","",$BH60+$I61)</f>
      </c>
      <c r="BI61" s="7">
        <f>IF($B61="","",$BI60+$G61)</f>
      </c>
      <c r="BJ61" s="7">
        <f>IF($B61="","",IFERROR(LOOKUP(2,1/(((('Changes &amp; Events'!$C$6:$C$17="Deduction start"))*('Changes &amp; Events'!$D$6:$D$17="Health FSA"))*('Changes &amp; Events'!$B$6:$B$17&lt;=$B61)*('Changes &amp; Events'!$B$6:$B$17&lt;&gt;"")),'Changes &amp; Events'!$E$6:$E$17),'Your Pay &amp; Benefits'!$D$38))</f>
      </c>
      <c r="BK61" s="7">
        <f>IF($B61="","",IFERROR(LOOKUP(2,1/(((('Changes &amp; Events'!$C$6:$C$17="Deduction start"))*('Changes &amp; Events'!$D$6:$D$17="Dependent-care FSA"))*('Changes &amp; Events'!$B$6:$B$17&lt;=$B61)*('Changes &amp; Events'!$B$6:$B$17&lt;&gt;"")),'Changes &amp; Events'!$E$6:$E$17),'Your Pay &amp; Benefits'!$D$39))</f>
      </c>
      <c r="BL61" s="7">
        <f>IF($B61="","",IFERROR(LOOKUP(2,1/(((('Changes &amp; Events'!$C$6:$C$17="Deduction start")+('Changes &amp; Events'!$C$6:$C$17="Deduction stop"))*('Changes &amp; Events'!$D$6:$D$17="HSA"))*('Changes &amp; Events'!$B$6:$B$17&lt;=$B61)*('Changes &amp; Events'!$B$6:$B$17&lt;&gt;"")),'Changes &amp; Events'!$I$6:$I$17),'Your Pay &amp; Benefits'!$D$35))</f>
      </c>
      <c r="BM61" s="7">
        <f>IF($B61="","",IFERROR(LOOKUP(2,1/(((('Changes &amp; Events'!$C$6:$C$17="Deduction start")+('Changes &amp; Events'!$C$6:$C$17="Deduction stop"))*('Changes &amp; Events'!$D$6:$D$17="Premiums"))*('Changes &amp; Events'!$B$6:$B$17&lt;=$B61)*('Changes &amp; Events'!$B$6:$B$17&lt;&gt;"")),'Changes &amp; Events'!$I$6:$I$17),'Your Pay &amp; Benefits'!$D$40+'Your Pay &amp; Benefits'!$D$41+'Your Pay &amp; Benefits'!$D$42))</f>
      </c>
      <c r="BN61" s="7">
        <f>IF($B61="","",IFERROR(LOOKUP(2,1/(((('Changes &amp; Events'!$C$6:$C$17="Deduction start")+('Changes &amp; Events'!$C$6:$C$17="Deduction stop"))*('Changes &amp; Events'!$D$6:$D$17="Commuter"))*('Changes &amp; Events'!$B$6:$B$17&lt;=$B61)*('Changes &amp; Events'!$B$6:$B$17&lt;&gt;"")),'Changes &amp; Events'!$I$6:$I$17),'Your Pay &amp; Benefits'!$D$43))</f>
      </c>
      <c r="BO61" s="7">
        <f>IF($B61="","",IFERROR(LOOKUP(2,1/(((('Changes &amp; Events'!$C$6:$C$17="Deduction start")+('Changes &amp; Events'!$C$6:$C$17="Deduction stop"))*('Changes &amp; Events'!$D$6:$D$17="Other pre-tax"))*('Changes &amp; Events'!$B$6:$B$17&lt;=$B61)*('Changes &amp; Events'!$B$6:$B$17&lt;&gt;"")),'Changes &amp; Events'!$I$6:$I$17),'Your Pay &amp; Benefits'!$D$44))</f>
      </c>
      <c r="BP61" s="7">
        <f>IF($B61="","",IFERROR(LOOKUP(2,1/(((('Changes &amp; Events'!$C$6:$C$17="Deduction start")+('Changes &amp; Events'!$C$6:$C$17="Deduction stop"))*('Changes &amp; Events'!$D$6:$D$17="Other post-tax"))*('Changes &amp; Events'!$B$6:$B$17&lt;=$B61)*('Changes &amp; Events'!$B$6:$B$17&lt;&gt;"")),'Changes &amp; Events'!$I$6:$I$17),'Your Pay &amp; Benefits'!$D$45))</f>
      </c>
      <c r="BQ61" s="6">
        <f>IF($B61="","",IFERROR(LOOKUP(2,1/(((('Changes &amp; Events'!$C$6:$C$17="Deduction start")+('Changes &amp; Events'!$C$6:$C$17="Deduction stop"))*('Changes &amp; Events'!$D$6:$D$17="Health FSA"))*('Changes &amp; Events'!$B$6:$B$17&lt;=$B61)*('Changes &amp; Events'!$B$6:$B$17&lt;&gt;"")),'Changes &amp; Events'!$J$6:$J$17),0))</f>
      </c>
      <c r="BR61" s="6">
        <f>IF($B61="","",IFERROR(LOOKUP(2,1/(((('Changes &amp; Events'!$C$6:$C$17="Deduction start")+('Changes &amp; Events'!$C$6:$C$17="Deduction stop"))*('Changes &amp; Events'!$D$6:$D$17="Dependent-care FSA"))*('Changes &amp; Events'!$B$6:$B$17&lt;=$B61)*('Changes &amp; Events'!$B$6:$B$17&lt;&gt;"")),'Changes &amp; Events'!$J$6:$J$17),0))</f>
      </c>
      <c r="BS61" s="6">
        <f>IF($B61="","",IF(SUMPRODUCT(('Changes &amp; Events'!$C$6:$C$17="Deduction start")*('Changes &amp; Events'!$B$6:$B$17&lt;=$B61)*('Changes &amp; Events'!$B$6:$B$17&lt;&gt;"")*('Changes &amp; Events'!$D$6:$D$17="Health FSA"))&gt;0,1,0))</f>
      </c>
      <c r="BT61" s="6">
        <f>IF($B61="","",IF(SUMPRODUCT(('Changes &amp; Events'!$C$6:$C$17="Deduction start")*('Changes &amp; Events'!$B$6:$B$17&lt;=$B61)*('Changes &amp; Events'!$B$6:$B$17&lt;&gt;"")*('Changes &amp; Events'!$D$6:$D$17="Dependent-care FSA"))&gt;0,1,0))</f>
      </c>
      <c r="BU61" s="24">
        <f>IF($B61="","",IF('Your Pay &amp; Benefits'!$C$13,SUMPRODUCT(($AH61&gt;=INDEX('How This Works &amp; Sources'!$B$29:$J$36,0,IF('Your Pay &amp; Benefits'!$C$12="MFJ",1,IF('Your Pay &amp; Benefits'!$C$12="HoH",7,4))))*INDEX('How This Works &amp; Sources'!$B$29:$J$36,0,IF('Your Pay &amp; Benefits'!$C$12="MFJ",1,IF('Your Pay &amp; Benefits'!$C$12="HoH",7,4))+2)),SUMPRODUCT(($AH61&gt;=INDEX('How This Works &amp; Sources'!$B$19:$J$26,0,IF('Your Pay &amp; Benefits'!$C$12="MFJ",1,IF('Your Pay &amp; Benefits'!$C$12="HoH",7,4))))*INDEX('How This Works &amp; Sources'!$B$19:$J$26,0,IF('Your Pay &amp; Benefits'!$C$12="MFJ",1,IF('Your Pay &amp; Benefits'!$C$12="HoH",7,4))+2))))</f>
      </c>
      <c r="BV61" s="24">
        <f>IF($B61="","",IF($BZ61&lt;&gt;"",$BZ61,IF($CA61&lt;&gt;"",$CA61,IF($CB61&lt;&gt;"",$CB61,IF($CC61&lt;&gt;"",$CC61,0)))))</f>
      </c>
      <c r="BW61" s="7">
        <f>IF($B61="","",IF($AN61="MD",IF(OR($AU61="Married",$AU61="Head of household"),SUMPRODUCT(($AZ61&gt;INDEX('How This Works &amp; Sources'!$B$114:$J$120,0,1))*($AZ61-INDEX('How This Works &amp; Sources'!$B$114:$J$120,0,1))*INDEX('How This Works &amp; Sources'!$B$114:$J$120,0,1+2)),SUMPRODUCT(($AZ61&gt;INDEX('How This Works &amp; Sources'!$B$103:$J$109,0,7))*($AZ61-INDEX('How This Works &amp; Sources'!$B$103:$J$109,0,7))*INDEX('How This Works &amp; Sources'!$B$103:$J$109,0,7+2))),IF($AN61="MO",SUMPRODUCT(($AZ61&gt;INDEX('How This Works &amp; Sources'!$B$125:$J$132,0,1))*($AZ61-INDEX('How This Works &amp; Sources'!$B$125:$J$132,0,1))*INDEX('How This Works &amp; Sources'!$B$125:$J$132,0,1+2)),IF($AN61="MT",IF($AU61="Head of household",SUMPRODUCT(($AZ61&gt;INDEX('How This Works &amp; Sources'!$B$137:$J$139,0,1))*($AZ61-INDEX('How This Works &amp; Sources'!$B$137:$J$139,0,1))*INDEX('How This Works &amp; Sources'!$B$137:$J$139,0,1+2)),IF($AU61="Married",SUMPRODUCT(($AZ61&gt;INDEX('How This Works &amp; Sources'!$B$125:$J$132,0,7))*($AZ61-INDEX('How This Works &amp; Sources'!$B$125:$J$132,0,7))*INDEX('How This Works &amp; Sources'!$B$125:$J$132,0,7+2)),SUMPRODUCT(($AZ61&gt;INDEX('How This Works &amp; Sources'!$B$125:$J$132,0,4))*($AZ61-INDEX('How This Works &amp; Sources'!$B$125:$J$132,0,4))*INDEX('How This Works &amp; Sources'!$B$125:$J$132,0,4+2)))),IF($AN61="ND",IF($AU61="Head of household",SUMPRODUCT(($AZ61&gt;INDEX('How This Works &amp; Sources'!$B$144:$J$150,0,1))*($AZ61-INDEX('How This Works &amp; Sources'!$B$144:$J$150,0,1))*INDEX('How This Works &amp; Sources'!$B$144:$J$150,0,1+2)),IF($AU61="Married",SUMPRODUCT(($AZ61&gt;INDEX('How This Works &amp; Sources'!$B$137:$J$139,0,7))*($AZ61-INDEX('How This Works &amp; Sources'!$B$137:$J$139,0,7))*INDEX('How This Works &amp; Sources'!$B$137:$J$139,0,7+2)),SUMPRODUCT(($AZ61&gt;INDEX('How This Works &amp; Sources'!$B$137:$J$139,0,4))*($AZ61-INDEX('How This Works &amp; Sources'!$B$137:$J$139,0,4))*INDEX('How This Works &amp; Sources'!$B$137:$J$139,0,4+2)))),IF($AN61="NJ",IF('Your Pay &amp; Benefits'!$C$77="B",SUMPRODUCT(($AZ61&gt;INDEX('How This Works &amp; Sources'!$B$155:$J$162,0,4))*($AZ61-INDEX('How This Works &amp; Sources'!$B$155:$J$162,0,4))*INDEX('How This Works &amp; Sources'!$B$155:$J$162,0,4+2)),IF('Your Pay &amp; Benefits'!$C$77="C",SUMPRODUCT(($AZ61&gt;INDEX('How This Works &amp; Sources'!$B$155:$J$162,0,7))*($AZ61-INDEX('How This Works &amp; Sources'!$B$155:$J$162,0,7))*INDEX('How This Works &amp; Sources'!$B$155:$J$162,0,7+2)),IF('Your Pay &amp; Benefits'!$C$77="D",SUMPRODUCT(($AZ61&gt;INDEX('How This Works &amp; Sources'!$B$167:$J$179,0,1))*($AZ61-INDEX('How This Works &amp; Sources'!$B$167:$J$179,0,1))*INDEX('How This Works &amp; Sources'!$B$167:$J$179,0,1+2)),IF('Your Pay &amp; Benefits'!$C$77="E",SUMPRODUCT(($AZ61&gt;INDEX('How This Works &amp; Sources'!$B$167:$J$179,0,4))*($AZ61-INDEX('How This Works &amp; Sources'!$B$167:$J$179,0,4))*INDEX('How This Works &amp; Sources'!$B$167:$J$179,0,4+2)),SUMPRODUCT(($AZ61&gt;INDEX('How This Works &amp; Sources'!$B$155:$J$162,0,1))*($AZ61-INDEX('How This Works &amp; Sources'!$B$155:$J$162,0,1))*INDEX('How This Works &amp; Sources'!$B$155:$J$162,0,1+2)))))),IF($AN61="NY",IF($AU61="Married",IF($AZ61&gt;=2155350,$AZ61*IF($AZ61&gt;25000000,0.117,IF($AZ61&gt;5000000,0.111,0.1045)),SUMPRODUCT(($AZ61&gt;INDEX('How This Works &amp; Sources'!$B$184:$J$198,0,1))*($AZ61-INDEX('How This Works &amp; Sources'!$B$184:$J$198,0,1))*INDEX('How This Works &amp; Sources'!$B$184:$J$198,0,1+2))),IF($AZ61&gt;=1077550,$AZ61*IF($AZ61&gt;25000000,0.117,IF($AZ61&gt;5000000,0.111,0.1045)),SUMPRODUCT(($AZ61&gt;INDEX('How This Works &amp; Sources'!$B$167:$J$179,0,7))*($AZ61-INDEX('How This Works &amp; Sources'!$B$167:$J$179,0,7))*INDEX('How This Works &amp; Sources'!$B$167:$J$179,0,7+2)))),"")))))))</f>
      </c>
      <c r="BX61" s="7">
        <f>IF($B61="","",IF($AN61="AL",IF(OR($AU61="Married",$AU61="Head of household"),SUMPRODUCT(($AZ61&gt;INDEX('How This Works &amp; Sources'!$B$82:$J$86,0,4))*($AZ61-INDEX('How This Works &amp; Sources'!$B$82:$J$86,0,4))*INDEX('How This Works &amp; Sources'!$B$82:$J$86,0,4+2)),SUMPRODUCT(($AZ61&gt;INDEX('How This Works &amp; Sources'!$B$82:$J$86,0,1))*($AZ61-INDEX('How This Works &amp; Sources'!$B$82:$J$86,0,1))*INDEX('How This Works &amp; Sources'!$B$82:$J$86,0,1+2))),IF($AN61="KS",IF($AU61="Married",SUMPRODUCT(($AZ61&gt;INDEX('How This Works &amp; Sources'!$B$103:$J$109,0,4))*($AZ61-INDEX('How This Works &amp; Sources'!$B$103:$J$109,0,4))*INDEX('How This Works &amp; Sources'!$B$103:$J$109,0,4+2)),SUMPRODUCT(($AZ61&gt;INDEX('How This Works &amp; Sources'!$B$103:$J$109,0,1))*($AZ61-INDEX('How This Works &amp; Sources'!$B$103:$J$109,0,1))*INDEX('How This Works &amp; Sources'!$B$103:$J$109,0,1+2))),IF($AN61="MN",IF($AU61="Married",SUMPRODUCT(($AZ61&gt;INDEX('How This Works &amp; Sources'!$B$114:$J$120,0,7))*($AZ61-INDEX('How This Works &amp; Sources'!$B$114:$J$120,0,7))*INDEX('How This Works &amp; Sources'!$B$114:$J$120,0,7+2)),SUMPRODUCT(($AZ61&gt;INDEX('How This Works &amp; Sources'!$B$114:$J$120,0,4))*($AZ61-INDEX('How This Works &amp; Sources'!$B$114:$J$120,0,4))*INDEX('How This Works &amp; Sources'!$B$114:$J$120,0,4+2))),IF($AN61="NE",MAX(IF($AU61="Married",SUMPRODUCT(($AZ61&gt;INDEX('How This Works &amp; Sources'!$B$144:$J$150,0,7))*($AZ61-INDEX('How This Works &amp; Sources'!$B$144:$J$150,0,7))*INDEX('How This Works &amp; Sources'!$B$144:$J$150,0,7+2)),SUMPRODUCT(($AZ61&gt;INDEX('How This Works &amp; Sources'!$B$144:$J$150,0,4))*($AZ61-INDEX('How This Works &amp; Sources'!$B$144:$J$150,0,4))*INDEX('How This Works &amp; Sources'!$B$144:$J$150,0,4+2))),0.015*$AZ61),IF($AN61="OH",IF($B61&gt;=DATE(2026,8,1),SUMPRODUCT(($AZ61&gt;INDEX('How This Works &amp; Sources'!$B$203:$J$206,0,1))*($AZ61-INDEX('How This Works &amp; Sources'!$B$203:$J$206,0,1))*INDEX('How This Works &amp; Sources'!$B$203:$J$206,0,1+2)),SUMPRODUCT(($AZ61&gt;INDEX('How This Works &amp; Sources'!$B$184:$J$198,0,7))*($AZ61-INDEX('How This Works &amp; Sources'!$B$184:$J$198,0,7))*INDEX('How This Works &amp; Sources'!$B$184:$J$198,0,7+2))),IF($AN61="OK",IF($AU61="Married",SUMPRODUCT(($AZ61&gt;INDEX('How This Works &amp; Sources'!$B$203:$J$206,0,7))*($AZ61-INDEX('How This Works &amp; Sources'!$B$203:$J$206,0,7))*INDEX('How This Works &amp; Sources'!$B$203:$J$206,0,7+2)),SUMPRODUCT(($AZ61&gt;INDEX('How This Works &amp; Sources'!$B$203:$J$206,0,4))*($AZ61-INDEX('How This Works &amp; Sources'!$B$203:$J$206,0,4))*INDEX('How This Works &amp; Sources'!$B$203:$J$206,0,4+2))),IF($AN61="RI",SUMPRODUCT(($AZ61&gt;INDEX('How This Works &amp; Sources'!$B$211:$J$214,0,7))*($AZ61-INDEX('How This Works &amp; Sources'!$B$211:$J$214,0,7))*INDEX('How This Works &amp; Sources'!$B$211:$J$214,0,7+2)),IF($AN61="VT",IF($AU61="Married",SUMPRODUCT(($AZ61&gt;INDEX('How This Works &amp; Sources'!$B$228:$J$232,0,1))*($AZ61-INDEX('How This Works &amp; Sources'!$B$228:$J$232,0,1))*INDEX('How This Works &amp; Sources'!$B$228:$J$232,0,1+2)),SUMPRODUCT(($AZ61&gt;INDEX('How This Works &amp; Sources'!$B$219:$J$223,0,7))*($AZ61-INDEX('How This Works &amp; Sources'!$B$219:$J$223,0,7))*INDEX('How This Works &amp; Sources'!$B$219:$J$223,0,7+2))),IF($AN61="WV",IF($AU61="Married",SUMPRODUCT(($AZ61&gt;INDEX('How This Works &amp; Sources'!$B$237:$J$241,0,7))*($AZ61-INDEX('How This Works &amp; Sources'!$B$237:$J$241,0,7))*INDEX('How This Works &amp; Sources'!$B$237:$J$241,0,7+2)),SUMPRODUCT(($AZ61&gt;INDEX('How This Works &amp; Sources'!$B$228:$J$232,0,7))*($AZ61-INDEX('How This Works &amp; Sources'!$B$228:$J$232,0,7))*INDEX('How This Works &amp; Sources'!$B$228:$J$232,0,7+2))),""))))))))))</f>
      </c>
      <c r="BY61" s="7">
        <f>IF($B61="","",IF($AN61="AR",SUMPRODUCT(($AZ61&gt;INDEX('How This Works &amp; Sources'!$B$82:$J$86,0,7))*($AZ61-INDEX('How This Works &amp; Sources'!$B$82:$J$86,0,7))*INDEX('How This Works &amp; Sources'!$B$82:$J$86,0,7+2)),IF($AN61="DE",SUMPRODUCT(($AZ61&gt;INDEX('How This Works &amp; Sources'!$B$91:$J$98,0,1))*($AZ61-INDEX('How This Works &amp; Sources'!$B$91:$J$98,0,1))*INDEX('How This Works &amp; Sources'!$B$91:$J$98,0,1+2)),IF($AN61="HI",IF($AU61="Married",SUMPRODUCT(($AZ61&gt;INDEX('How This Works &amp; Sources'!$B$91:$J$98,0,7))*($AZ61-INDEX('How This Works &amp; Sources'!$B$91:$J$98,0,7))*INDEX('How This Works &amp; Sources'!$B$91:$J$98,0,7+2)),SUMPRODUCT(($AZ61&gt;INDEX('How This Works &amp; Sources'!$B$91:$J$98,0,4))*($AZ61-INDEX('How This Works &amp; Sources'!$B$91:$J$98,0,4))*INDEX('How This Works &amp; Sources'!$B$91:$J$98,0,4+2))),IF($AN61="SC",SUMPRODUCT(($AZ61&gt;INDEX('How This Works &amp; Sources'!$B$219:$J$223,0,1))*($AZ61-INDEX('How This Works &amp; Sources'!$B$219:$J$223,0,1))*INDEX('How This Works &amp; Sources'!$B$219:$J$223,0,1+2)),IF($AN61="VA",SUMPRODUCT(($AZ61&gt;INDEX('How This Works &amp; Sources'!$B$219:$J$223,0,4))*($AZ61-INDEX('How This Works &amp; Sources'!$B$219:$J$223,0,4))*INDEX('How This Works &amp; Sources'!$B$219:$J$223,0,4+2)),IF($AN61="WI",SUMPRODUCT(($AZ61&gt;INDEX('How This Works &amp; Sources'!$B$228:$J$232,0,4))*($AZ61-INDEX('How This Works &amp; Sources'!$B$228:$J$232,0,4))*INDEX('How This Works &amp; Sources'!$B$228:$J$232,0,4+2)),"")))))))</f>
      </c>
      <c r="BZ61" s="24">
        <f>IF($B61="","",IF($AN61="NJ",IF('Your Pay &amp; Benefits'!$C$77="B",SUMPRODUCT(($AZ61&gt;=INDEX('How This Works &amp; Sources'!$B$155:$J$162,0,4))*INDEX('How This Works &amp; Sources'!$B$155:$J$162,0,4+2)),IF('Your Pay &amp; Benefits'!$C$77="C",SUMPRODUCT(($AZ61&gt;=INDEX('How This Works &amp; Sources'!$B$155:$J$162,0,7))*INDEX('How This Works &amp; Sources'!$B$155:$J$162,0,7+2)),IF('Your Pay &amp; Benefits'!$C$77="D",SUMPRODUCT(($AZ61&gt;=INDEX('How This Works &amp; Sources'!$B$167:$J$179,0,1))*INDEX('How This Works &amp; Sources'!$B$167:$J$179,0,1+2)),IF('Your Pay &amp; Benefits'!$C$77="E",SUMPRODUCT(($AZ61&gt;=INDEX('How This Works &amp; Sources'!$B$167:$J$179,0,4))*INDEX('How This Works &amp; Sources'!$B$167:$J$179,0,4+2)),SUMPRODUCT(($AZ61&gt;=INDEX('How This Works &amp; Sources'!$B$155:$J$162,0,1))*INDEX('How This Works &amp; Sources'!$B$155:$J$162,0,1+2)))))),IF($AN61="OR",IF(OR($AU61="Married",AND($AU61="Single",$AS61&gt;=3)),SUMPRODUCT((MAX(0,$AY61-MIN(($P61-'How This Works &amp; Sources'!$C$10*$D61)*'Your Pay &amp; Benefits'!$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Sources'!$B$211:$J$214,0,4))*INDEX('How This Works &amp; Sources'!$B$211:$J$214,0,4+2)),SUMPRODUCT((MAX(0,$AY61-MIN(($P61-'How This Works &amp; Sources'!$C$10*$D61)*'Your Pay &amp; Benefits'!$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Sources'!$B$211:$J$214,0,1))*INDEX('How This Works &amp; Sources'!$B$211:$J$214,0,1+2)))*IF(($P61-'How This Works &amp; Sources'!$C$10*$D61)*'Your Pay &amp; Benefits'!$C$8&gt;=IF(OR($AU61="Married",AND($AU61="Single",$AS61&gt;=3)),IF($AY61&lt;250000,8750,IF($AY61&lt;260000,7000,IF($AY61&lt;270000,5250,IF($AY61&lt;280000,3500,IF($AY61&lt;290000,1750,0))))),IF($AY61&lt;125000,8750,IF($AY61&lt;130000,7000,IF($AY61&lt;135000,5250,IF($AY61&lt;140000,3500,IF($AY61&lt;145000,1750,0)))))),1,1-IF('Your Pay &amp; Benefits'!$C$13,SUMPRODUCT(($AH61&gt;=INDEX('How This Works &amp; Sources'!$B$29:$J$36,0,IF('Your Pay &amp; Benefits'!$C$12="MFJ",1,IF('Your Pay &amp; Benefits'!$C$12="HoH",7,4))))*INDEX('How This Works &amp; Sources'!$B$29:$J$36,0,IF('Your Pay &amp; Benefits'!$C$12="MFJ",1,IF('Your Pay &amp; Benefits'!$C$12="HoH",7,4))+2)),SUMPRODUCT(($AH61&gt;=INDEX('How This Works &amp; Sources'!$B$19:$J$26,0,IF('Your Pay &amp; Benefits'!$C$12="MFJ",1,IF('Your Pay &amp; Benefits'!$C$12="HoH",7,4))))*INDEX('How This Works &amp; Sources'!$B$19:$J$26,0,IF('Your Pay &amp; Benefits'!$C$12="MFJ",1,IF('Your Pay &amp; Benefits'!$C$12="HoH",7,4))+2)))),IF($AN61="MI",IF($AY61&gt;5900*$AS61,0.0425,0),""))))</f>
      </c>
      <c r="CA61" s="24">
        <f>IF($B61="","",IF($AN61="AL",IF(OR($AU61="Married",$AU61="Head of household"),SUMPRODUCT(($AZ61&gt;=INDEX('How This Works &amp; Sources'!$B$82:$J$86,0,4))*INDEX('How This Works &amp; Sources'!$B$82:$J$86,0,4+2)),SUMPRODUCT(($AZ61&gt;=INDEX('How This Works &amp; Sources'!$B$82:$J$86,0,1))*INDEX('How This Works &amp; Sources'!$B$82:$J$86,0,1+2)))*(1-IF('Your Pay &amp; Benefits'!$C$13,SUMPRODUCT(($AH61&gt;=INDEX('How This Works &amp; Sources'!$B$29:$J$36,0,IF('Your Pay &amp; Benefits'!$C$12="MFJ",1,IF('Your Pay &amp; Benefits'!$C$12="HoH",7,4))))*INDEX('How This Works &amp; Sources'!$B$29:$J$36,0,IF('Your Pay &amp; Benefits'!$C$12="MFJ",1,IF('Your Pay &amp; Benefits'!$C$12="HoH",7,4))+2)),SUMPRODUCT(($AH61&gt;=INDEX('How This Works &amp; Sources'!$B$19:$J$26,0,IF('Your Pay &amp; Benefits'!$C$12="MFJ",1,IF('Your Pay &amp; Benefits'!$C$12="HoH",7,4))))*INDEX('How This Works &amp; Sources'!$B$19:$J$26,0,IF('Your Pay &amp; Benefits'!$C$12="MFJ",1,IF('Your Pay &amp; Benefits'!$C$12="HoH",7,4))+2)))),IF($AN61="KS",IF($AU61="Married",SUMPRODUCT(($AZ61&gt;=INDEX('How This Works &amp; Sources'!$B$103:$J$109,0,4))*INDEX('How This Works &amp; Sources'!$B$103:$J$109,0,4+2)),SUMPRODUCT(($AZ61&gt;=INDEX('How This Works &amp; Sources'!$B$103:$J$109,0,1))*INDEX('How This Works &amp; Sources'!$B$103:$J$109,0,1+2))),IF($AN61="MD",IF(OR($AU61="Married",$AU61="Head of household"),SUMPRODUCT(($AZ61&gt;=INDEX('How This Works &amp; Sources'!$B$114:$J$120,0,1))*INDEX('How This Works &amp; Sources'!$B$114:$J$120,0,1+2)),SUMPRODUCT(($AZ61&gt;=INDEX('How This Works &amp; Sources'!$B$103:$J$109,0,7))*INDEX('How This Works &amp; Sources'!$B$103:$J$109,0,7+2)))+'Your Pay &amp; Benefits'!$C$74,IF($AN61="MT",IF($AU61="Head of household",SUMPRODUCT(($AZ61&gt;=INDEX('How This Works &amp; Sources'!$B$137:$J$139,0,1))*INDEX('How This Works &amp; Sources'!$B$137:$J$139,0,1+2)),IF($AU61="Married",SUMPRODUCT(($AZ61&gt;=INDEX('How This Works &amp; Sources'!$B$125:$J$132,0,7))*INDEX('How This Works &amp; Sources'!$B$125:$J$132,0,7+2)),SUMPRODUCT(($AZ61&gt;=INDEX('How This Works &amp; Sources'!$B$125:$J$132,0,4))*INDEX('How This Works &amp; Sources'!$B$125:$J$132,0,4+2)))),IF($AN61="ND",IF($AU61="Head of household",SUMPRODUCT(($AZ61&gt;=INDEX('How This Works &amp; Sources'!$B$144:$J$150,0,1))*INDEX('How This Works &amp; Sources'!$B$144:$J$150,0,1+2)),IF($AU61="Married",SUMPRODUCT(($AZ61&gt;=INDEX('How This Works &amp; Sources'!$B$137:$J$139,0,7))*INDEX('How This Works &amp; Sources'!$B$137:$J$139,0,7+2)),SUMPRODUCT(($AZ61&gt;=INDEX('How This Works &amp; Sources'!$B$137:$J$139,0,4))*INDEX('How This Works &amp; Sources'!$B$137:$J$139,0,4+2)))),IF($AN61="NY",IF($AU61="Married",IF($AZ61&gt;=2155350,IF($AZ61&gt;25000000,0.117,IF($AZ61&gt;5000000,0.111,0.1045)),SUMPRODUCT(($AZ61&gt;=INDEX('How This Works &amp; Sources'!$B$184:$J$198,0,1))*INDEX('How This Works &amp; Sources'!$B$184:$J$198,0,1+2))),IF($AZ61&gt;=1077550,IF($AZ61&gt;25000000,0.117,IF($AZ61&gt;5000000,0.111,0.1045)),SUMPRODUCT(($AZ61&gt;=INDEX('How This Works &amp; Sources'!$B$167:$J$179,0,7))*INDEX('How This Works &amp; Sources'!$B$167:$J$179,0,7+2)))),"")))))))</f>
      </c>
      <c r="CB61" s="24">
        <f>IF($B61="","",IF($AN61="CA",SUMPRODUCT(($AJ61&gt;=INDEX('How This Works &amp; Sources'!$B$39:$J$48,0,IF($AU61="Married",4,IF($AU61="Head of household",7,1))))*INDEX('How This Works &amp; Sources'!$B$39:$J$48,0,IF($AU61="Married",4,IF($AU61="Head of household",7,1))+2)),IF($AN61="HI",IF($AU61="Married",SUMPRODUCT(($AZ61&gt;=INDEX('How This Works &amp; Sources'!$B$91:$J$98,0,7))*INDEX('How This Works &amp; Sources'!$B$91:$J$98,0,7+2)),SUMPRODUCT(($AZ61&gt;=INDEX('How This Works &amp; Sources'!$B$91:$J$98,0,4))*INDEX('How This Works &amp; Sources'!$B$91:$J$98,0,4+2))),IF($AN61="MN",IF($AU61="Married",SUMPRODUCT(($AZ61&gt;=INDEX('How This Works &amp; Sources'!$B$114:$J$120,0,7))*INDEX('How This Works &amp; Sources'!$B$114:$J$120,0,7+2)),SUMPRODUCT(($AZ61&gt;=INDEX('How This Works &amp; Sources'!$B$114:$J$120,0,4))*INDEX('How This Works &amp; Sources'!$B$114:$J$120,0,4+2))),IF($AN61="MO",SUMPRODUCT(($AZ61&gt;=INDEX('How This Works &amp; Sources'!$B$125:$J$132,0,1))*INDEX('How This Works &amp; Sources'!$B$125:$J$132,0,1+2)),IF($AN61="NE",MAX(IF($AU61="Married",SUMPRODUCT(($AZ61&gt;=INDEX('How This Works &amp; Sources'!$B$144:$J$150,0,7))*INDEX('How This Works &amp; Sources'!$B$144:$J$150,0,7+2)),SUMPRODUCT(($AZ61&gt;=INDEX('How This Works &amp; Sources'!$B$144:$J$150,0,4))*INDEX('How This Works &amp; Sources'!$B$144:$J$150,0,4+2))),0.015),IF($AN61="OH",IF($B61&gt;=DATE(2026,8,1),SUMPRODUCT(($AZ61&gt;=INDEX('How This Works &amp; Sources'!$B$203:$J$206,0,1))*INDEX('How This Works &amp; Sources'!$B$203:$J$206,0,1+2)),SUMPRODUCT(($AZ61&gt;=INDEX('How This Works &amp; Sources'!$B$184:$J$198,0,7))*INDEX('How This Works &amp; Sources'!$B$184:$J$198,0,7+2))),IF($AN61="OK",IF($AU61="Married",SUMPRODUCT(($AZ61&gt;=INDEX('How This Works &amp; Sources'!$B$203:$J$206,0,7))*INDEX('How This Works &amp; Sources'!$B$203:$J$206,0,7+2)),SUMPRODUCT(($AZ61&gt;=INDEX('How This Works &amp; Sources'!$B$203:$J$206,0,4))*INDEX('How This Works &amp; Sources'!$B$203:$J$206,0,4+2))),IF($AN61="RI",SUMPRODUCT(($AZ61&gt;=INDEX('How This Works &amp; Sources'!$B$211:$J$214,0,7))*INDEX('How This Works &amp; Sources'!$B$211:$J$214,0,7+2)),IF($AN61="SC",SUMPRODUCT(($AZ61&gt;=INDEX('How This Works &amp; Sources'!$B$219:$J$223,0,1))*INDEX('How This Works &amp; Sources'!$B$219:$J$223,0,1+2)),IF($AN61="VT",IF($AU61="Married",SUMPRODUCT(($AZ61&gt;=INDEX('How This Works &amp; Sources'!$B$228:$J$232,0,1))*INDEX('How This Works &amp; Sources'!$B$228:$J$232,0,1+2)),SUMPRODUCT(($AZ61&gt;=INDEX('How This Works &amp; Sources'!$B$219:$J$223,0,7))*INDEX('How This Works &amp; Sources'!$B$219:$J$223,0,7+2))),IF($AN61="WV",IF($AU61="Married",SUMPRODUCT(($AZ61&gt;=INDEX('How This Works &amp; Sources'!$B$237:$J$241,0,7))*INDEX('How This Works &amp; Sources'!$B$237:$J$241,0,7+2)),SUMPRODUCT(($AZ61&gt;=INDEX('How This Works &amp; Sources'!$B$228:$J$232,0,7))*INDEX('How This Works &amp; Sources'!$B$228:$J$232,0,7+2))),IF($AN61="IN",(0.0295+'Your Pay &amp; Benefits'!$C$76),"")))))))))))))</f>
      </c>
      <c r="CC61" s="24">
        <f>IF($B61="","",IF($AN61="AR",SUMPRODUCT(($AZ61&gt;=INDEX('How This Works &amp; Sources'!$B$82:$J$86,0,7))*INDEX('How This Works &amp; Sources'!$B$82:$J$86,0,7+2)),IF($AN61="DE",SUMPRODUCT(($AZ61&gt;=INDEX('How This Works &amp; Sources'!$B$91:$J$98,0,1))*INDEX('How This Works &amp; Sources'!$B$91:$J$98,0,1+2)),IF($AN61="VA",SUMPRODUCT(($AZ61&gt;=INDEX('How This Works &amp; Sources'!$B$219:$J$223,0,4))*INDEX('How This Works &amp; Sources'!$B$219:$J$223,0,4+2)),IF($AN61="WI",SUMPRODUCT(($AZ61&gt;=INDEX('How This Works &amp; Sources'!$B$228:$J$232,0,4))*INDEX('How This Works &amp; Sources'!$B$228:$J$232,0,4+2)),IF($AN61="AZ",'Your Pay &amp; Benefits'!$C$82,IF($AN61="CO",IF($AY61&gt;IF($AU61="Married",10000,5000),0.044,0),IF($AN61="IA",IF($AY61&gt;IF($AU61="Head of household",19500,IF($AU61="Married",26000,13000)),0.038,0),IF($AN61="ID",IF($AY61&gt;IF($AU61="Married",32000,16094),0.053,0),IF($AN61="IL",IF($AY61&gt;(2925*$AS61+1000*$AT61),0.0495,0),IF($AN61="KY",IF($AI61&gt;3360,0.035,0),IF($AN61="LA",0.0309,IF($AN61="MA",IF(MAX(0,$AY61-MIN(($BD60+$Q61+$R61+$S61),2000)-IF($AS61=0,0,IF($AS61=1,4400,1000*$AS61+3400)))&gt;=1107750,0.09,0.05),IF($AN61="MS",IF($AI61-IF($AU61="Head of household",3400,IF($AU61="Married",4600,2300))-'Your Pay &amp; Benefits'!$C$85&gt;10000,0.04,0),IF($AN61="PA",0.0307,"")))))))))))))))</f>
      </c>
      <c r="CD61" s="21">
        <f>IF(YEAR(IF('Your Pay &amp; Benefits'!$C$7="Weekly",'Your Pay &amp; Benefits'!$C$9+7*(($BE60+1)-1),IF('Your Pay &amp; Benefits'!$C$7="Biweekly",'Your Pay &amp; Benefits'!$C$9+14*(($BE60+1)-1),IF('Your Pay &amp; Benefits'!$C$7="Semimonthly",DATE(YEAR('Your Pay &amp; Benefits'!$C$9),MONTH('Your Pay &amp; Benefits'!$C$9)+INT((($BE60+1)-1)/2),MIN(DAY('Your Pay &amp; Benefits'!$C$9),DAY(EOMONTH(DATE(YEAR('Your Pay &amp; Benefits'!$C$9),MONTH('Your Pay &amp; Benefits'!$C$9)+INT((($BE60+1)-1)/2),1),0))))+IF(MOD(($BE60+1)-1,2)=1,15,0),EDATE('Your Pay &amp; Benefits'!$C$9,($BE60+1)-1)))))&lt;&gt;'Your Pay &amp; Benefits'!$C$10,"",IF('Your Pay &amp; Benefits'!$C$7="Weekly",'Your Pay &amp; Benefits'!$C$9+7*(($BE60+1)-1),IF('Your Pay &amp; Benefits'!$C$7="Biweekly",'Your Pay &amp; Benefits'!$C$9+14*(($BE60+1)-1),IF('Your Pay &amp; Benefits'!$C$7="Semimonthly",DATE(YEAR('Your Pay &amp; Benefits'!$C$9),MONTH('Your Pay &amp; Benefits'!$C$9)+INT((($BE60+1)-1)/2),MIN(DAY('Your Pay &amp; Benefits'!$C$9),DAY(EOMONTH(DATE(YEAR('Your Pay &amp; Benefits'!$C$9),MONTH('Your Pay &amp; Benefits'!$C$9)+INT((($BE60+1)-1)/2),1),0))))+IF(MOD(($BE60+1)-1,2)=1,15,0),EDATE('Your Pay &amp; Benefits'!$C$9,($BE60+1)-1)))))</f>
      </c>
      <c r="CE61" s="21">
        <f>IF(MIN(IF(AND('Your Pay &amp; Benefits'!$C$58&gt;MAX($B$6:$B60),'Your Pay &amp; Benefits'!$C$58&gt;=DATE('Your Pay &amp; Benefits'!$C$10,1,1),'Your Pay &amp; Benefits'!$C$58&lt;=DATE('Your Pay &amp; Benefits'!$C$10,12,31)),'Your Pay &amp; Benefits'!$C$58,999999),IF(AND('Your Pay &amp; Benefits'!$C$59&gt;MAX($B$6:$B60),'Your Pay &amp; Benefits'!$C$59&gt;=DATE('Your Pay &amp; Benefits'!$C$10,1,1),'Your Pay &amp; Benefits'!$C$59&lt;=DATE('Your Pay &amp; Benefits'!$C$10,12,31)),'Your Pay &amp; Benefits'!$C$59,999999),IF(AND('Your Pay &amp; Benefits'!$C$60&gt;MAX($B$6:$B60),'Your Pay &amp; Benefits'!$C$60&gt;=DATE('Your Pay &amp; Benefits'!$C$10,1,1),'Your Pay &amp; Benefits'!$C$60&lt;=DATE('Your Pay &amp; Benefits'!$C$10,12,31)),'Your Pay &amp; Benefits'!$C$60,999999),IF(AND('Your Pay &amp; Benefits'!$C$61&gt;MAX($B$6:$B60),'Your Pay &amp; Benefits'!$C$61&gt;=DATE('Your Pay &amp; Benefits'!$C$10,1,1),'Your Pay &amp; Benefits'!$C$61&lt;=DATE('Your Pay &amp; Benefits'!$C$10,12,31)),'Your Pay &amp; Benefits'!$C$61,999999),IF(AND('Your Pay &amp; Benefits'!$C$62&gt;MAX($B$6:$B60),'Your Pay &amp; Benefits'!$C$62&gt;=DATE('Your Pay &amp; Benefits'!$C$10,1,1),'Your Pay &amp; Benefits'!$C$62&lt;=DATE('Your Pay &amp; Benefits'!$C$10,12,31)),'Your Pay &amp; Benefits'!$C$62,999999),IF(AND('Your Pay &amp; Benefits'!$C$63&gt;MAX($B$6:$B60),'Your Pay &amp; Benefits'!$C$63&gt;=DATE('Your Pay &amp; Benefits'!$C$10,1,1),'Your Pay &amp; Benefits'!$C$63&lt;=DATE('Your Pay &amp; Benefits'!$C$10,12,31)),'Your Pay &amp; Benefits'!$C$63,999999),IF(AND('Your Pay &amp; Benefits'!$C$64&gt;MAX($B$6:$B60),'Your Pay &amp; Benefits'!$C$64&gt;=DATE('Your Pay &amp; Benefits'!$C$10,1,1),'Your Pay &amp; Benefits'!$C$64&lt;=DATE('Your Pay &amp; Benefits'!$C$10,12,31)),'Your Pay &amp; Benefits'!$C$64,999999),IF(AND('Your Pay &amp; Benefits'!$C$65&gt;MAX($B$6:$B60),'Your Pay &amp; Benefits'!$C$65&gt;=DATE('Your Pay &amp; Benefits'!$C$10,1,1),'Your Pay &amp; Benefits'!$C$65&lt;=DATE('Your Pay &amp; Benefits'!$C$10,12,31)),'Your Pay &amp; Benefits'!$C$65,999999),IF(AND('Your Pay &amp; Benefits'!$C$66&gt;MAX($B$6:$B60),'Your Pay &amp; Benefits'!$C$66&gt;=DATE('Your Pay &amp; Benefits'!$C$10,1,1),'Your Pay &amp; Benefits'!$C$66&lt;=DATE('Your Pay &amp; Benefits'!$C$10,12,31)),'Your Pay &amp; Benefits'!$C$66,999999),IF(AND('Your Pay &amp; Benefits'!$C$67&gt;MAX($B$6:$B60),'Your Pay &amp; Benefits'!$C$67&gt;=DATE('Your Pay &amp; Benefits'!$C$10,1,1),'Your Pay &amp; Benefits'!$C$67&lt;=DATE('Your Pay &amp; Benefits'!$C$10,12,31)),'Your Pay &amp; Benefits'!$C$67,999999))=999999,"",MIN(IF(AND('Your Pay &amp; Benefits'!$C$58&gt;MAX($B$6:$B60),'Your Pay &amp; Benefits'!$C$58&gt;=DATE('Your Pay &amp; Benefits'!$C$10,1,1),'Your Pay &amp; Benefits'!$C$58&lt;=DATE('Your Pay &amp; Benefits'!$C$10,12,31)),'Your Pay &amp; Benefits'!$C$58,999999),IF(AND('Your Pay &amp; Benefits'!$C$59&gt;MAX($B$6:$B60),'Your Pay &amp; Benefits'!$C$59&gt;=DATE('Your Pay &amp; Benefits'!$C$10,1,1),'Your Pay &amp; Benefits'!$C$59&lt;=DATE('Your Pay &amp; Benefits'!$C$10,12,31)),'Your Pay &amp; Benefits'!$C$59,999999),IF(AND('Your Pay &amp; Benefits'!$C$60&gt;MAX($B$6:$B60),'Your Pay &amp; Benefits'!$C$60&gt;=DATE('Your Pay &amp; Benefits'!$C$10,1,1),'Your Pay &amp; Benefits'!$C$60&lt;=DATE('Your Pay &amp; Benefits'!$C$10,12,31)),'Your Pay &amp; Benefits'!$C$60,999999),IF(AND('Your Pay &amp; Benefits'!$C$61&gt;MAX($B$6:$B60),'Your Pay &amp; Benefits'!$C$61&gt;=DATE('Your Pay &amp; Benefits'!$C$10,1,1),'Your Pay &amp; Benefits'!$C$61&lt;=DATE('Your Pay &amp; Benefits'!$C$10,12,31)),'Your Pay &amp; Benefits'!$C$61,999999),IF(AND('Your Pay &amp; Benefits'!$C$62&gt;MAX($B$6:$B60),'Your Pay &amp; Benefits'!$C$62&gt;=DATE('Your Pay &amp; Benefits'!$C$10,1,1),'Your Pay &amp; Benefits'!$C$62&lt;=DATE('Your Pay &amp; Benefits'!$C$10,12,31)),'Your Pay &amp; Benefits'!$C$62,999999),IF(AND('Your Pay &amp; Benefits'!$C$63&gt;MAX($B$6:$B60),'Your Pay &amp; Benefits'!$C$63&gt;=DATE('Your Pay &amp; Benefits'!$C$10,1,1),'Your Pay &amp; Benefits'!$C$63&lt;=DATE('Your Pay &amp; Benefits'!$C$10,12,31)),'Your Pay &amp; Benefits'!$C$63,999999),IF(AND('Your Pay &amp; Benefits'!$C$64&gt;MAX($B$6:$B60),'Your Pay &amp; Benefits'!$C$64&gt;=DATE('Your Pay &amp; Benefits'!$C$10,1,1),'Your Pay &amp; Benefits'!$C$64&lt;=DATE('Your Pay &amp; Benefits'!$C$10,12,31)),'Your Pay &amp; Benefits'!$C$64,999999),IF(AND('Your Pay &amp; Benefits'!$C$65&gt;MAX($B$6:$B60),'Your Pay &amp; Benefits'!$C$65&gt;=DATE('Your Pay &amp; Benefits'!$C$10,1,1),'Your Pay &amp; Benefits'!$C$65&lt;=DATE('Your Pay &amp; Benefits'!$C$10,12,31)),'Your Pay &amp; Benefits'!$C$65,999999),IF(AND('Your Pay &amp; Benefits'!$C$66&gt;MAX($B$6:$B60),'Your Pay &amp; Benefits'!$C$66&gt;=DATE('Your Pay &amp; Benefits'!$C$10,1,1),'Your Pay &amp; Benefits'!$C$66&lt;=DATE('Your Pay &amp; Benefits'!$C$10,12,31)),'Your Pay &amp; Benefits'!$C$66,999999),IF(AND('Your Pay &amp; Benefits'!$C$67&gt;MAX($B$6:$B60),'Your Pay &amp; Benefits'!$C$67&gt;=DATE('Your Pay &amp; Benefits'!$C$10,1,1),'Your Pay &amp; Benefits'!$C$67&lt;=DATE('Your Pay &amp; Benefits'!$C$10,12,31)),'Your Pay &amp; Benefits'!$C$67,999999)))</f>
      </c>
      <c r="CF61">
        <f>IF($B61="","",IF($D61=0,$Y61,""))</f>
      </c>
    </row>
    <row r="62">
      <c r="A62" t="n">
        <v>57</v>
      </c>
      <c r="B62" s="21">
        <f>IF(AND($CD62="",$CE62=""),"",IF($CE62="",$CD62,IF($CD62="",$CE62,MIN($CD62,$CE62))))</f>
      </c>
      <c r="C62" s="7">
        <f>IF($B62="","",IF($BF62=0,0,IF('Your Pay &amp; Benefits'!$C$4="Annual salary",ROUND($AK62/IF(AND('Your Pay &amp; Benefits'!$C$88="Actual paydays",MONTH('Your Pay &amp; Benefits'!$C$9)=1),MAX(1,MAX($BE$6:$BE$68)),'Your Pay &amp; Benefits'!$C$8),2),$AK62)))</f>
      </c>
      <c r="D62" s="7">
        <f>IF($B62="","",SUMIF('Your Pay &amp; Benefits'!$C$58:$C$67,$B62,'Your Pay &amp; Benefits'!$D$58:$D$67))</f>
      </c>
      <c r="E62" s="7">
        <f>IF($B62="","",ROUND(MAX(0,MIN(IF($AL62="Percent",$AM62*($C62+$D62),$AM62),MAX(0,'Your Pay &amp; Benefits'!$C$34-$AC61))),2))</f>
      </c>
      <c r="F62" s="7">
        <f>IF($B62="","",ROUND(MAX(0,MIN(IF('Your Pay &amp; Benefits'!$C$32="Percent",'Your Pay &amp; Benefits'!$D$32*($C62+$D62),'Your Pay &amp; Benefits'!$D$32),MAX(0,'Your Pay &amp; Benefits'!$C$34-$AC61-$E62))),2))</f>
      </c>
      <c r="G62" s="7">
        <f>IF($B62="","",IF($BF62=0,0,ROUND(MAX(0,MIN($BL62,'Your Pay &amp; Benefits'!$C$37-'Your Pay &amp; Benefits'!$C$54-$BI61)),2)))</f>
      </c>
      <c r="H62" s="7">
        <f>IF($B62="","",IF(OR($BF62=0,$BQ62=1),0,ROUND(MAX(0,MIN(IF($BS62=1,ROUND(MAX(0,MIN($BJ62,'How This Works &amp; Sources'!$C$13)-$BG61)/MAX(1,MAX($BE$6:$BE$68)-($BE61)),2),ROUND(MIN($BJ62,'How This Works &amp; Sources'!$C$13)/'Your Pay &amp; Benefits'!$C$8,2)),MIN($BJ62,'How This Works &amp; Sources'!$C$13)-$BG61)),2)))</f>
      </c>
      <c r="I62" s="7">
        <f>IF($B62="","",IF(OR($BF62=0,$BR62=1),0,ROUND(MAX(0,MIN(IF($BT62=1,ROUND(MAX(0,MIN($BK62,IF('Your Pay &amp; Benefits'!$C$12="MFJ",'How This Works &amp; Sources'!$C$14,'How This Works &amp; Sources'!$C$15))-$BH61)/MAX(1,MAX($BE$6:$BE$68)-($BE61)),2),ROUND(MIN($BK62,IF('Your Pay &amp; Benefits'!$C$12="MFJ",'How This Works &amp; Sources'!$C$14,'How This Works &amp; Sources'!$C$15))/'Your Pay &amp; Benefits'!$C$8,2)),MIN($BK62,IF('Your Pay &amp; Benefits'!$C$12="MFJ",'How This Works &amp; Sources'!$C$14,'How This Works &amp; Sources'!$C$15))-$BH61)),2)))</f>
      </c>
      <c r="J62" s="7">
        <f>IF($B62="","",IF($BF62=0,0,$BM62))</f>
      </c>
      <c r="K62" s="7">
        <f>IF($B62="","",IF($BF62=0,0,$BN62+$BO62))</f>
      </c>
      <c r="L62" s="7">
        <f>IF($B62="","",IF($BF62=0,0,'Your Pay &amp; Benefits'!$D$46))</f>
      </c>
      <c r="M62" s="7">
        <f>IF($B62="","",$C62+$D62+$L62-$E62-$G62-$H62-$I62-$J62-$K62)</f>
      </c>
      <c r="N62" s="7">
        <f>IF($B62="","",$C62+$D62+$L62-$G62-$H62-$I62-$J62-$K62)</f>
      </c>
      <c r="O62" s="7">
        <f>IF($B62="","",$C62+$D62+$L62-$E62-$H62-$I62-$J62-$K62-IF(OR($AN62="CA",$AN62="NJ"),0,$G62))</f>
      </c>
      <c r="P62" s="7">
        <f>IF($B62="","",IF('Your Pay &amp; Benefits'!$C$18,0,ROUND(MAX(0,IF('Your Pay &amp; Benefits'!$C$13,SUMPRODUCT(($AH62&gt;INDEX('How This Works &amp; Sources'!$B$29:$J$36,0,IF('Your Pay &amp; Benefits'!$C$12="MFJ",1,IF('Your Pay &amp; Benefits'!$C$12="HoH",7,4))))*($AH62-INDEX('How This Works &amp; Sources'!$B$29:$J$36,0,IF('Your Pay &amp; Benefits'!$C$12="MFJ",1,IF('Your Pay &amp; Benefits'!$C$12="HoH",7,4))))*INDEX('How This Works &amp; Sources'!$B$29:$J$36,0,IF('Your Pay &amp; Benefits'!$C$12="MFJ",1,IF('Your Pay &amp; Benefits'!$C$12="HoH",7,4))+2)),SUMPRODUCT(($AH62&gt;INDEX('How This Works &amp; Sources'!$B$19:$J$26,0,IF('Your Pay &amp; Benefits'!$C$12="MFJ",1,IF('Your Pay &amp; Benefits'!$C$12="HoH",7,4))))*($AH62-INDEX('How This Works &amp; Sources'!$B$19:$J$26,0,IF('Your Pay &amp; Benefits'!$C$12="MFJ",1,IF('Your Pay &amp; Benefits'!$C$12="HoH",7,4))))*INDEX('How This Works &amp; Sources'!$B$19:$J$26,0,IF('Your Pay &amp; Benefits'!$C$12="MFJ",1,IF('Your Pay &amp; Benefits'!$C$12="HoH",7,4))+2)))/'Your Pay &amp; Benefits'!$C$8-$AO62/'Your Pay &amp; Benefits'!$C$8)+$AR62+IF('Your Pay &amp; Benefits'!$C$89="Aggregate",MAX(0,IF('Your Pay &amp; Benefits'!$C$13,SUMPRODUCT((($AH62+$D62)&gt;INDEX('How This Works &amp; Sources'!$B$29:$J$36,0,IF('Your Pay &amp; Benefits'!$C$12="MFJ",1,IF('Your Pay &amp; Benefits'!$C$12="HoH",7,4))))*(($AH62+$D62)-INDEX('How This Works &amp; Sources'!$B$29:$J$36,0,IF('Your Pay &amp; Benefits'!$C$12="MFJ",1,IF('Your Pay &amp; Benefits'!$C$12="HoH",7,4))))*INDEX('How This Works &amp; Sources'!$B$29:$J$36,0,IF('Your Pay &amp; Benefits'!$C$12="MFJ",1,IF('Your Pay &amp; Benefits'!$C$12="HoH",7,4))+2)),SUMPRODUCT((($AH62+$D62)&gt;INDEX('How This Works &amp; Sources'!$B$19:$J$26,0,IF('Your Pay &amp; Benefits'!$C$12="MFJ",1,IF('Your Pay &amp; Benefits'!$C$12="HoH",7,4))))*(($AH62+$D62)-INDEX('How This Works &amp; Sources'!$B$19:$J$26,0,IF('Your Pay &amp; Benefits'!$C$12="MFJ",1,IF('Your Pay &amp; Benefits'!$C$12="HoH",7,4))))*INDEX('How This Works &amp; Sources'!$B$19:$J$26,0,IF('Your Pay &amp; Benefits'!$C$12="MFJ",1,IF('Your Pay &amp; Benefits'!$C$12="HoH",7,4))+2)))-IF('Your Pay &amp; Benefits'!$C$13,SUMPRODUCT(($AH62&gt;INDEX('How This Works &amp; Sources'!$B$29:$J$36,0,IF('Your Pay &amp; Benefits'!$C$12="MFJ",1,IF('Your Pay &amp; Benefits'!$C$12="HoH",7,4))))*($AH62-INDEX('How This Works &amp; Sources'!$B$29:$J$36,0,IF('Your Pay &amp; Benefits'!$C$12="MFJ",1,IF('Your Pay &amp; Benefits'!$C$12="HoH",7,4))))*INDEX('How This Works &amp; Sources'!$B$29:$J$36,0,IF('Your Pay &amp; Benefits'!$C$12="MFJ",1,IF('Your Pay &amp; Benefits'!$C$12="HoH",7,4))+2)),SUMPRODUCT(($AH62&gt;INDEX('How This Works &amp; Sources'!$B$19:$J$26,0,IF('Your Pay &amp; Benefits'!$C$12="MFJ",1,IF('Your Pay &amp; Benefits'!$C$12="HoH",7,4))))*($AH62-INDEX('How This Works &amp; Sources'!$B$19:$J$26,0,IF('Your Pay &amp; Benefits'!$C$12="MFJ",1,IF('Your Pay &amp; Benefits'!$C$12="HoH",7,4))))*INDEX('How This Works &amp; Sources'!$B$19:$J$26,0,IF('Your Pay &amp; Benefits'!$C$12="MFJ",1,IF('Your Pay &amp; Benefits'!$C$12="HoH",7,4))+2)))),'How This Works &amp; Sources'!$C$10*$D62),2)))</f>
      </c>
      <c r="Q62" s="7">
        <f>IF($B62="","",ROUND('How This Works &amp; Sources'!$C$4*MIN($N62,MAX(0,'How This Works &amp; Sources'!$C$3-($AX62+$AB61-$AW62))),2))</f>
      </c>
      <c r="R62" s="7">
        <f>IF($B62="","",ROUND('How This Works &amp; Sources'!$C$5*$N62,2))</f>
      </c>
      <c r="S62" s="7">
        <f>IF($B62="","",ROUND('How This Works &amp; Sources'!$C$6*MAX(0,MIN($N62,$AG61+$N62-'How This Works &amp; Sources'!$C$7)),2))</f>
      </c>
      <c r="T62" s="7">
        <f>IF($B62="","",IF('Your Pay &amp; Benefits'!$C$26,0,IF($AN62="CA",ROUND(IF($AI62&lt;=IF(($AS62+$AT62)&gt;=2,VLOOKUP($AN62,StateTables!$A$6:$AB$56,10,FALSE),VLOOKUP($AN62,StateTables!$A$6:$AB$56,9,FALSE)),0,MAX(0,SUMPRODUCT(($AJ62&gt;INDEX('How This Works &amp; Sources'!$B$39:$J$48,0,IF($AU62="Married",4,IF($AU62="Head of household",7,1))))*($AJ62-INDEX('How This Works &amp; Sources'!$B$39:$J$48,0,IF($AU62="Married",4,IF($AU62="Head of household",7,1))))*INDEX('How This Works &amp; Sources'!$B$39:$J$48,0,IF($AU62="Married",4,IF($AU62="Head of household",7,1))+2))-VLOOKUP($AN62,StateTables!$A$6:$AB$56,11,FALSE)*$AS62)/'Your Pay &amp; Benefits'!$C$8)+'Your Pay &amp; Benefits'!$C$25+VLOOKUP($AN62,StateTables!$A$6:$AB$56,13,FALSE)*$D62,2),IF(VLOOKUP($AN62,StateTables!$A$6:$AB$56,4,FALSE)="None",0,IF(ISNUMBER(SEARCH("MANUAL",VLOOKUP($AN62,StateTables!$A$6:$AB$56,5,FALSE))),'Your Pay &amp; Benefits'!$C$28,ROUND(MAX(0,$BA62+$BB62)/'Your Pay &amp; Benefits'!$C$8+'Your Pay &amp; Benefits'!$C$25+$BC62,2))))))</f>
      </c>
      <c r="U62" s="7">
        <f>IF($B62="","",IF(VLOOKUP($AN62,StateTables!$A$6:$AB$56,24,FALSE)="flatq",IF(OR(MONTH($B62)=1,MONTH($B62)=4,MONTH($B62)=7,MONTH($B62)=10),VLOOKUP($AN62,StateTables!$A$6:$AB$56,25,FALSE),0),IF(VLOOKUP($AN62,StateTables!$A$6:$AB$56,24,FALSE)="dbl",MIN(ROUND(0.005*$N62,2),ROUND(0.6*52/'Your Pay &amp; Benefits'!$C$8,2)),IF(OR(VLOOKUP($AN62,StateTables!$A$6:$AB$56,15,FALSE)="",VLOOKUP($AN62,StateTables!$A$6:$AB$56,15,FALSE)=0),0,ROUND(VLOOKUP($AN62,StateTables!$A$6:$AB$56,15,FALSE)*IF(OR(VLOOKUP($AN62,StateTables!$A$6:$AB$56,16,FALSE)="",VLOOKUP($AN62,StateTables!$A$6:$AB$56,16,FALSE)=0),$N62,MIN($N62,MAX(0,VLOOKUP($AN62,StateTables!$A$6:$AB$56,16,FALSE)-($AX62+$AB61-$AW62)))),2))))+IF(VLOOKUP($AN62,StateTables!$A$6:$AB$56,27,FALSE)="flatq",IF(OR(MONTH($B62)=1,MONTH($B62)=4,MONTH($B62)=7,MONTH($B62)=10),VLOOKUP($AN62,StateTables!$A$6:$AB$56,28,FALSE),0),IF(VLOOKUP($AN62,StateTables!$A$6:$AB$56,27,FALSE)="dbl",MIN(ROUND(0.005*$N62,2),ROUND(0.6*52/'Your Pay &amp; Benefits'!$C$8,2)),IF(OR(VLOOKUP($AN62,StateTables!$A$6:$AB$56,18,FALSE)="",VLOOKUP($AN62,StateTables!$A$6:$AB$56,18,FALSE)=0),0,ROUND(VLOOKUP($AN62,StateTables!$A$6:$AB$56,18,FALSE)*IF(OR(VLOOKUP($AN62,StateTables!$A$6:$AB$56,19,FALSE)="",VLOOKUP($AN62,StateTables!$A$6:$AB$56,19,FALSE)=0),$N62,MIN($N62,MAX(0,VLOOKUP($AN62,StateTables!$A$6:$AB$56,19,FALSE)-($AX62+$AB61-$AW62)))),2)))))</f>
      </c>
      <c r="V62" s="7">
        <f>IF($B62="","",IF($AN62="NY",IF('Your Pay &amp; Benefits'!$C$78,ROUND(SUMPRODUCT((MAX(0,($O62-$D62)*'Your Pay &amp; Benefits'!$C$8-(IF($AU62="Married",5500,5000)+1000*$AS62))&gt;INDEX('How This Works &amp; Sources'!$B$184:$J$198,0,4))*(MAX(0,($O62-$D62)*'Your Pay &amp; Benefits'!$C$8-(IF($AU62="Married",5500,5000)+1000*$AS62))-INDEX('How This Works &amp; Sources'!$B$184:$J$198,0,4))*INDEX('How This Works &amp; Sources'!$B$184:$J$198,0,4+2))/'Your Pay &amp; Benefits'!$C$8+0.0425*$D62,2),0)+IF('Your Pay &amp; Benefits'!$C$79="Resident",ROUND(0.1675*$T62,2),IF('Your Pay &amp; Benefits'!$C$79="Nonresident",ROUND(0.005*MAX(0,($O62-$D62)-(IF($AU62="Married",7950,7400)+1000*$AS62)/'Your Pay &amp; Benefits'!$C$8),2),0)),IF($AN62="PA",IF('Your Pay &amp; Benefits'!$C$80="None",'Your Pay &amp; Benefits'!$C$27+ROUND('Your Pay &amp; Benefits'!$C$81*($C62+$D62),2),ROUND(IF('Your Pay &amp; Benefits'!$C$80="Resident",IF($B62&lt;DATE(2026,7,1),0.0374,0.03735),IF($B62&lt;DATE(2026,7,1),0.0343,0.03425))*($C62+$D62),2)),IF($BF62=0,ROUND('Your Pay &amp; Benefits'!$C$81*($C62+$D62),2),'Your Pay &amp; Benefits'!$C$27+ROUND('Your Pay &amp; Benefits'!$C$81*($C62+$D62),2)))))</f>
      </c>
      <c r="W62" s="7">
        <f>IF($B62="","",IF($BF62=0,0,$BP62))</f>
      </c>
      <c r="X62" s="7">
        <f>IF($B62="","",SUM($E62:$K62)+$P62+$Q62+$R62+$S62+$T62+$U62+$V62+$W62)</f>
      </c>
      <c r="Y62" s="22">
        <f>IF($B62="","",$C62+$D62-$X62)</f>
      </c>
      <c r="Z62" s="7">
        <f>IF($B62="","",$Z61+$C62+$D62)</f>
      </c>
      <c r="AA62" s="7">
        <f>IF($B62="","",$AA61+$Y62)</f>
      </c>
      <c r="AB62" s="7">
        <f>IF($B62="","",$AB61+MIN($N62,MAX(0,'How This Works &amp; Sources'!$C$3-($AX62+$AB61-$AW62))))</f>
      </c>
      <c r="AC62" s="7">
        <f>IF($B62="","",$AC61+$E62+$F62)</f>
      </c>
      <c r="AD62" s="3">
        <f>IF($B62="","",IF(AND($AB61&lt;'How This Works &amp; Sources'!$C$3,$AB62&gt;='How This Works &amp; Sources'!$C$3),"★ Social Security maxed on this check — from the next check your net rises by about $"&amp;TEXT(ROUND('How This Works &amp; Sources'!$C$4*$N62,2),"#,##0.00")&amp;". ","")&amp;IF(AND($AC61&lt;'Your Pay &amp; Benefits'!$C$34,$AC62&gt;='Your Pay &amp; Benefits'!$C$34),"★ 401(k) reaches the $"&amp;TEXT('Your Pay &amp; Benefits'!$C$34,"#,##0")&amp;" cap on this check — deferrals stop and net pay rises. ","")&amp;IF(AND($AG61&lt;'How This Works &amp; Sources'!$C$7,$AG62&gt;='How This Works &amp; Sources'!$C$7),"★ Wages pass $200,000 — the 0.9% Additional Medicare Tax starts here. ","")&amp;IF(AND($BJ62&gt;0,$H62&gt;0,$BG61&lt;MIN($BJ62,'How This Works &amp; Sources'!$C$13),$BG61+$H62&gt;=MIN($BJ62,'How This Works &amp; Sources'!$C$13)),"★ Health FSA election is now fully deferred for the year. ",""))</f>
      </c>
      <c r="AE62" s="41" t="n"/>
      <c r="AF62" s="7">
        <f>IF(OR($B62="",$AE62=""),"",$AE62-$Y62)</f>
      </c>
      <c r="AG62" s="7">
        <f>IF($B62="","",$AG61+$N62)</f>
      </c>
      <c r="AH62" s="7">
        <f>IF($B62="","",MAX(0,($M62-$D62)*'Your Pay &amp; Benefits'!$C$8+$AP62-$AQ62-IF('Your Pay &amp; Benefits'!$C$13,0,IF('Your Pay &amp; Benefits'!$C$12="MFJ",'How This Works &amp; Sources'!$C$8,'How This Works &amp; Sources'!$C$9))))</f>
      </c>
      <c r="AI62" s="7">
        <f>IF($B62="","",$O62*'Your Pay &amp; Benefits'!$C$8)</f>
      </c>
      <c r="AJ62" s="7">
        <f>IF($B62="","",MAX(0,$AI62-VLOOKUP($AN62,StateTables!$A$6:$AB$56,12,FALSE)*$AT62-IF(($AS62+$AT62)&gt;=2,VLOOKUP($AN62,StateTables!$A$6:$AB$56,8,FALSE),VLOOKUP($AN62,StateTables!$A$6:$AB$56,7,FALSE))))</f>
      </c>
      <c r="AK62" s="7">
        <f>IF($B62="","",IFERROR(LOOKUP(2,1/(('Changes &amp; Events'!$C$6:$C$17="Salary change")*('Changes &amp; Events'!$B$6:$B$17&lt;=$B62)*('Changes &amp; Events'!$B$6:$B$17&lt;&gt;"")),'Changes &amp; Events'!$D$6:$D$17),IF('Your Pay &amp; Benefits'!$C$4="Annual salary",'Your Pay &amp; Benefits'!$C$5,'Your Pay &amp; Benefits'!$C$6)))</f>
      </c>
      <c r="AL62">
        <f>IF($B62="","",IFERROR(LOOKUP(2,1/(('Changes &amp; Events'!$C$6:$C$17="401(k) change")*('Changes &amp; Events'!$B$6:$B$17&lt;=$B62)*('Changes &amp; Events'!$B$6:$B$17&lt;&gt;"")),'Changes &amp; Events'!$D$6:$D$17),'Your Pay &amp; Benefits'!$C$30))</f>
      </c>
      <c r="AM62" s="7">
        <f>IF($B62="","",IFERROR(LOOKUP(2,1/(('Changes &amp; Events'!$C$6:$C$17="401(k) change")*('Changes &amp; Events'!$B$6:$B$17&lt;=$B62)*('Changes &amp; Events'!$B$6:$B$17&lt;&gt;"")),'Changes &amp; Events'!$E$6:$E$17),'Your Pay &amp; Benefits'!$D$31))</f>
      </c>
      <c r="AN62">
        <f>IF($B62="","",IFERROR(LOOKUP(2,1/(('Changes &amp; Events'!$C$6:$C$17="State move")*('Changes &amp; Events'!$B$6:$B$17&lt;=$B62)*('Changes &amp; Events'!$B$6:$B$17&lt;&gt;"")),'Changes &amp; Events'!$D$6:$D$17),'Your Pay &amp; Benefits'!$C$21))</f>
      </c>
      <c r="AO62" s="7">
        <f>IF($B62="","",IFERROR(LOOKUP(2,1/(('Changes &amp; Events'!$C$6:$C$17="W-4 change")*('Changes &amp; Events'!$B$6:$B$17&lt;=$B62)*('Changes &amp; Events'!$B$6:$B$17&lt;&gt;"")),'Changes &amp; Events'!$D$6:$D$17),'Your Pay &amp; Benefits'!$C$14))</f>
      </c>
      <c r="AP62" s="7">
        <f>IF($B62="","",IFERROR(LOOKUP(2,1/(('Changes &amp; Events'!$C$6:$C$17="W-4 change")*('Changes &amp; Events'!$B$6:$B$17&lt;=$B62)*('Changes &amp; Events'!$B$6:$B$17&lt;&gt;"")),'Changes &amp; Events'!$E$6:$E$17),'Your Pay &amp; Benefits'!$C$15))</f>
      </c>
      <c r="AQ62" s="7">
        <f>IF($B62="","",IFERROR(LOOKUP(2,1/(('Changes &amp; Events'!$C$6:$C$17="W-4 change")*('Changes &amp; Events'!$B$6:$B$17&lt;=$B62)*('Changes &amp; Events'!$B$6:$B$17&lt;&gt;"")),'Changes &amp; Events'!$F$6:$F$17),'Your Pay &amp; Benefits'!$C$16))</f>
      </c>
      <c r="AR62" s="7">
        <f>IF($B62="","",IFERROR(LOOKUP(2,1/(('Changes &amp; Events'!$C$6:$C$17="W-4 change")*('Changes &amp; Events'!$B$6:$B$17&lt;=$B62)*('Changes &amp; Events'!$B$6:$B$17&lt;&gt;"")),'Changes &amp; Events'!$G$6:$G$17),'Your Pay &amp; Benefits'!$C$17))</f>
      </c>
      <c r="AS62" s="6">
        <f>IF($B62="","",IFERROR(LOOKUP(2,1/((('Changes &amp; Events'!$C$6:$C$17="State move")+('Changes &amp; Events'!$C$6:$C$17="State cert change"))*('Changes &amp; Events'!$B$6:$B$17&lt;=$B62)*('Changes &amp; Events'!$B$6:$B$17&lt;&gt;"")),'Changes &amp; Events'!$F$6:$F$17),'Your Pay &amp; Benefits'!$C$23))</f>
      </c>
      <c r="AT62" s="6">
        <f>IF($B62="","",IFERROR(LOOKUP(2,1/((('Changes &amp; Events'!$C$6:$C$17="State move")+('Changes &amp; Events'!$C$6:$C$17="State cert change"))*('Changes &amp; Events'!$B$6:$B$17&lt;=$B62)*('Changes &amp; Events'!$B$6:$B$17&lt;&gt;"")),'Changes &amp; Events'!$G$6:$G$17),'Your Pay &amp; Benefits'!$C$24))</f>
      </c>
      <c r="AU62">
        <f>IF($B62="","",IFERROR(LOOKUP(2,1/(('Changes &amp; Events'!$C$6:$C$17="State move")*('Changes &amp; Events'!$B$6:$B$17&lt;=$B62)*('Changes &amp; Events'!$B$6:$B$17&lt;&gt;"")),'Changes &amp; Events'!$E$6:$E$17),'Your Pay &amp; Benefits'!$C$22))</f>
      </c>
      <c r="AV62" s="6">
        <f>IF($B62="","",1+COUNTIFS('Changes &amp; Events'!$C$6:$C$17,"Employer change",'Changes &amp; Events'!$B$6:$B$17,"&lt;="&amp;$B62,'Changes &amp; Events'!$B$6:$B$17,"&lt;&gt;"))</f>
      </c>
      <c r="AW62" s="7">
        <f>IF($B62="","",IF($AV62=1,'Your Pay &amp; Benefits'!$C$49,IF(IFERROR(MATCH(IFERROR(LOOKUP(2,1/(('Changes &amp; Events'!$C$6:$C$17="Employer change")*('Changes &amp; Events'!$B$6:$B$17&lt;=$B62)*('Changes &amp; Events'!$B$6:$B$17&lt;&gt;"")),'Changes &amp; Events'!$B$6:$B$17),""),$B$6:$B$68,1),1)&lt;=1,'Your Pay &amp; Benefits'!$C$49,INDEX($AB$6:$AB$68,MATCH(IFERROR(LOOKUP(2,1/(('Changes &amp; Events'!$C$6:$C$17="Employer change")*('Changes &amp; Events'!$B$6:$B$17&lt;=$B62)*('Changes &amp; Events'!$B$6:$B$17&lt;&gt;"")),'Changes &amp; Events'!$B$6:$B$17),""),$B$6:$B$68,1)-1))))</f>
      </c>
      <c r="AX62" s="7">
        <f>IF($B62="","",IF($AV62=1,'Your Pay &amp; Benefits'!$C$49,IFERROR(LOOKUP(2,1/(('Changes &amp; Events'!$C$6:$C$17="Employer change")*('Changes &amp; Events'!$B$6:$B$17&lt;=$B62)*('Changes &amp; Events'!$B$6:$B$17&lt;&gt;"")),'Changes &amp; Events'!$D$6:$D$17),0)))</f>
      </c>
      <c r="AY62" s="7">
        <f>IF($B62="","",($O62-$D62)*'Your Pay &amp; Benefits'!$C$8)</f>
      </c>
      <c r="AZ62" s="7">
        <f>IF($B62="","",IF($AN62="AL",MAX(0,$AY62-IF($AU62="Married",IF($AY62&lt;=25999,8500,MAX(5000,8500-175*CEILING(($AY62-25999)/500,1))),IF($AU62="Head of household",IF($AY62&lt;=25999,5200,MAX(2500,5200-135*CEILING(($AY62-25999)/500,1))),IF($AY62&lt;=25999,3000,MAX(2500,3000-25*CEILING(($AY62-25999)/500,1)))))-($P62-'How This Works &amp; Sources'!$C$10*$D62)*'Your Pay &amp; Benefits'!$C$8-IF(OR($AU62="Married",$AU62="Head of household"),3000,1500)-$AT62*IF($AY62&lt;=50000,1000,IF($AY62&lt;=100000,500,300))),IF($AN62="AR",IF(MAX(0,$AY62-2470)&lt;97701,INT(MAX(0,$AY62-2470)/100)*100+50,MAX(0,$AY62-2470)),IF($AN62="DE",MAX(0,$AI62-3250),IF($AN62="HI",MAX(0,$AI62-1144*$AS62-4350),IF($AN62="KS",MAX(0,$AI62-(9160*IF($AU62="Married",2,1)+2320*$AT62+IF($AU62="Head of household",2320,0))),IF($AN62="MD",MAX(0,$AI62-3400-3200*$AS62),IF($AN62="MN",MAX(0,$AY62-5300*$AS62),IF($AN62="MO",MAX(0,$AI62-IF($AU62="Head of household",24150,IF($AU62="Married",IF('Your Pay &amp; Benefits'!$C$83,16100,32200),16100))),IF($AN62="MT",$AY62,IF($AN62="ND",($C62+$L62)*'Your Pay &amp; Benefits'!$C$8,IF($AN62="NE",MAX(0,$AY62-2440*$AS62),IF($AN62="NJ",MAX(0,$AY62-1000*$AS62),IF($AN62="NY",MAX(0,$AY62-(IF($AU62="Married",7950,7400)+1000*$AS62)),IF($AN62="OH",MAX(0,$AY62-650*$AS62),IF($AN62="OK",MAX(0,$AY62-1000*$AS62),IF($AN62="RI",MAX(0,$AI62-1000*$AS62),IF($AN62="SC",MAX(0,$AI62-5000*$AS62-IF($AS62=0,0,MIN(0.1*$AI62,7500))),IF($AN62="VA",MAX(0,$AI62-IF($AU62="Married",17500,8750)-930*$AS62-800*$AT62),IF($AN62="VT",MAX(0,$AI62-5400*$AS62),IF($AN62="WI",MAX(0,$AI62-MAX(0,IF($AU62="Married",9461-0.2*MAX(0,$AI62-25727),6702-0.12*MAX(0,$AI62-17780)))-400*$AS62),IF($AN62="WV",MAX(0,$AI62-2000*$AS62),$AI62))))))))))))))))))))))</f>
      </c>
      <c r="BA62" s="7">
        <f>IF($B62="","",IF($BW62&lt;&gt;"",$BW62,IF($BX62&lt;&gt;"",$BX62,IF($BY62&lt;&gt;"",$BY62,0))))</f>
      </c>
      <c r="BB62" s="7">
        <f>IF($B62="","",IF($AN62="AR",-29*$AS62,IF($AN62="DE",-110*$AS62,IF($AN62="MD",$AZ62*'Your Pay &amp; Benefits'!$C$74,IF($AN62="AZ",'Your Pay &amp; Benefits'!$C$82*($M62-$D62)*'Your Pay &amp; Benefits'!$C$8,IF($AN62="CO",0.044*MAX(0,$AY62-IF($AU62="Married",10000,5000)),IF($AN62="IA",MAX(0,0.038*MAX(0,$AY62-IF($AU62="Head of household",19500,IF($AU62="Married",26000,13000)))-40*$AS62),IF($AN62="ID",0.053*MAX(0,$AY62-IF($AU62="Married",32000,16094)),IF($AN62="IL",0.0495*MAX(0,$AY62-(2925*$AS62+1000*$AT62)),IF($AN62="IN",(0.0295+'Your Pay &amp; Benefits'!$C$76)*MAX(0,$AY62-(1000*$AS62+1500*$AT62+3000*'Your Pay &amp; Benefits'!$C$86)),IF($AN62="KY",0.035*MAX(0,$AI62-3360),IF($AN62="LA",IF('Your Pay &amp; Benefits'!$C$84="0",0.0309*$AI62,0.0309*MAX(0,$AI62-IF('Your Pay &amp; Benefits'!$C$84="2",25750,12875))),IF($AN62="MA",0.05*MIN(MAX(0,$AY62-MIN(($BD61+$Q62+$R62+$S62),2000)-IF($AS62=0,0,IF($AS62=1,4400,1000*$AS62+3400))),1107750)+0.09*MAX(0,MAX(0,$AY62-MIN(($BD61+$Q62+$R62+$S62),2000)-IF($AS62=0,0,IF($AS62=1,4400,1000*$AS62+3400)))-1107750)-IF($AU62="Head of household",120,0)-110*'Your Pay &amp; Benefits'!$C$75,IF($AN62="MI",0.0425*MAX(0,$AY62-5900*$AS62),IF($AN62="MS",0.04*MAX(0,$AI62-IF($AU62="Head of household",3400,IF($AU62="Married",4600,2300))-'Your Pay &amp; Benefits'!$C$85-10000),IF($AN62="OR",IF(OR($AU62="Married",AND($AU62="Single",$AS62&gt;=3)),SUMPRODUCT((MAX(0,$AY62-MIN(($P62-'How This Works &amp; Sources'!$C$10*$D62)*'Your Pay &amp; Benefits'!$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Sources'!$B$211:$J$214,0,4))*(MAX(0,$AY62-MIN(($P62-'How This Works &amp; Sources'!$C$10*$D62)*'Your Pay &amp; Benefits'!$C$8,IF(OR($AU62="Married",AND($AU62="Single",$AS62&gt;=3)),IF($AY62&lt;250000,8750,IF($AY62&lt;260000,7000,IF($AY62&lt;270000,5250,IF($AY62&lt;280000,3500,IF($AY62&lt;290000,1750,0))))),IF($AY62&lt;125000,8750,IF($AY62&lt;130000,7000,IF($AY62&lt;135000,5250,IF($AY62&lt;140000,3500,IF($AY62&lt;145000,1750,0)))))))-IF(OR($AU62="Married",AND($AU62="Single",$AS62&gt;=3)),5820,2910))-INDEX('How This Works &amp; Sources'!$B$211:$J$214,0,4))*INDEX('How This Works &amp; Sources'!$B$211:$J$214,0,4+2)),SUMPRODUCT((MAX(0,$AY62-MIN(($P62-'How This Works &amp; Sources'!$C$10*$D62)*'Your Pay &amp; Benefits'!$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Sources'!$B$211:$J$214,0,1))*(MAX(0,$AY62-MIN(($P62-'How This Works &amp; Sources'!$C$10*$D62)*'Your Pay &amp; Benefits'!$C$8,IF(OR($AU62="Married",AND($AU62="Single",$AS62&gt;=3)),IF($AY62&lt;250000,8750,IF($AY62&lt;260000,7000,IF($AY62&lt;270000,5250,IF($AY62&lt;280000,3500,IF($AY62&lt;290000,1750,0))))),IF($AY62&lt;125000,8750,IF($AY62&lt;130000,7000,IF($AY62&lt;135000,5250,IF($AY62&lt;140000,3500,IF($AY62&lt;145000,1750,0)))))))-IF(OR($AU62="Married",AND($AU62="Single",$AS62&gt;=3)),5820,2910))-INDEX('How This Works &amp; Sources'!$B$211:$J$214,0,1))*INDEX('How This Works &amp; Sources'!$B$211:$J$214,0,1+2)))+263-263*IF(IF($AU62="Married",$AY62&gt;200000,$AY62&gt;100000),0,$AS62),IF($AN62="PA",0.0307*(($O62+$E62+$G62)*'Your Pay &amp; Benefits'!$C$8),IF($AN62="NY",IF($AU62="Married",IF($AZ62&gt;=2155350,0,IF($AZ62&gt;=1077550,0.48,IF($AZ62&gt;=373200,1.21,IF($AZ62&gt;=323200,0.21,IF($AZ62&gt;=211550,-0.19,IF($AZ62&gt;=157650,-2.8,IF($AZ62&gt;=107650,-0.8,IF($AZ62&gt;=96800,0.05,IF($AZ62&gt;=80650,-0.1,IF($AZ62&gt;=13900,0.4,IF($AZ62&gt;=11700,-0.3,IF($AZ62&gt;=8500,0.5,0)))))))))))),IF($AZ62&gt;=1077550,0,IF($AZ62&gt;=265400,4.29,IF($AZ62&gt;=215400,2.29,IF($AZ62&gt;=157650,2.29,IF($AZ62&gt;=107650,0.29,IF($AZ62&gt;=96800,0.05,IF($AZ62&gt;=80650,-0.1,IF($AZ62&gt;=13900,0.4,IF($AZ62&gt;=11700,-0.3,IF($AZ62&gt;=8500,0.5,0))))))))))),0))))))))))))))))))</f>
      </c>
      <c r="BC62" s="7">
        <f>IF($B62="","",IF($AN62="AL",0.05*$D62,IF($AN62="AR",0.039*$D62,IF($AN62="ID",0.053*$D62,IF($AN62="IN",(0.0295+'Your Pay &amp; Benefits'!$C$76)*$D62,IF($AN62="KS",0.05*$D62,IF($AN62="MA",0.09*MIN($D62,MAX(0,MAX(0,$AY62-MIN(($BD61+$Q62+$R62+$S62),2000)-IF($AS62=0,0,IF($AS62=1,4400,1000*$AS62+3400)))+$D62-1107750))+0.05*($D62-MIN($D62,MAX(0,MAX(0,$AY62-MIN(($BD61+$Q62+$R62+$S62),2000)-IF($AS62=0,0,IF($AS62=1,4400,1000*$AS62+3400)))+$D62-1107750))),IF($AN62="MD",(0.065+'Your Pay &amp; Benefits'!$C$74)*$D62,IF($AN62="MI",0.0425*$D62,IF($AN62="MN",0.0625*$D62,IF($AN62="MO",0.047*$D62,IF($AN62="MT",0.05*$D62,IF($AN62="ND",0.015*$D62,IF($AN62="NE",0.035*$D62,IF($AN62="NJ",IF('Your Pay &amp; Benefits'!$C$77="B",SUMPRODUCT(($D62*'Your Pay &amp; Benefits'!$C$8&gt;INDEX('How This Works &amp; Sources'!$B$155:$J$162,0,4))*($D62*'Your Pay &amp; Benefits'!$C$8-INDEX('How This Works &amp; Sources'!$B$155:$J$162,0,4))*INDEX('How This Works &amp; Sources'!$B$155:$J$162,0,4+2)),IF('Your Pay &amp; Benefits'!$C$77="C",SUMPRODUCT(($D62*'Your Pay &amp; Benefits'!$C$8&gt;INDEX('How This Works &amp; Sources'!$B$155:$J$162,0,7))*($D62*'Your Pay &amp; Benefits'!$C$8-INDEX('How This Works &amp; Sources'!$B$155:$J$162,0,7))*INDEX('How This Works &amp; Sources'!$B$155:$J$162,0,7+2)),IF('Your Pay &amp; Benefits'!$C$77="D",SUMPRODUCT(($D62*'Your Pay &amp; Benefits'!$C$8&gt;INDEX('How This Works &amp; Sources'!$B$167:$J$179,0,1))*($D62*'Your Pay &amp; Benefits'!$C$8-INDEX('How This Works &amp; Sources'!$B$167:$J$179,0,1))*INDEX('How This Works &amp; Sources'!$B$167:$J$179,0,1+2)),IF('Your Pay &amp; Benefits'!$C$77="E",SUMPRODUCT(($D62*'Your Pay &amp; Benefits'!$C$8&gt;INDEX('How This Works &amp; Sources'!$B$167:$J$179,0,4))*($D62*'Your Pay &amp; Benefits'!$C$8-INDEX('How This Works &amp; Sources'!$B$167:$J$179,0,4))*INDEX('How This Works &amp; Sources'!$B$167:$J$179,0,4+2)),SUMPRODUCT(($D62*'Your Pay &amp; Benefits'!$C$8&gt;INDEX('How This Works &amp; Sources'!$B$155:$J$162,0,1))*($D62*'Your Pay &amp; Benefits'!$C$8-INDEX('How This Works &amp; Sources'!$B$155:$J$162,0,1))*INDEX('How This Works &amp; Sources'!$B$155:$J$162,0,1+2))))))/'Your Pay &amp; Benefits'!$C$8,IF($AN62="NY",0.117*$D62,IF($AN62="OH",0.0275*$D62,IF($AN62="OK",0.045*$D62,IF($AN62="OR",0.08*$D62,IF($AN62="WI",IF($AY62&lt;12760,0.0354,IF($AY62&lt;25520,0.0465,IF($AY62&lt;280950,0.053,0.0765)))*$D62,0))))))))))))))))))))</f>
      </c>
      <c r="BD62" s="7">
        <f>IF($B62="","",$BD61+$Q62+$R62+$S62)</f>
      </c>
      <c r="BE62" s="6">
        <f>IF($B62="",$BE61,$BE61+$BF62)</f>
      </c>
      <c r="BF62" s="6">
        <f>IF($B62="","",IF(AND(IF(YEAR(IF('Your Pay &amp; Benefits'!$C$7="Weekly",'Your Pay &amp; Benefits'!$C$9+7*(($BE61+1)-1),IF('Your Pay &amp; Benefits'!$C$7="Biweekly",'Your Pay &amp; Benefits'!$C$9+14*(($BE61+1)-1),IF('Your Pay &amp; Benefits'!$C$7="Semimonthly",DATE(YEAR('Your Pay &amp; Benefits'!$C$9),MONTH('Your Pay &amp; Benefits'!$C$9)+INT((($BE61+1)-1)/2),MIN(DAY('Your Pay &amp; Benefits'!$C$9),DAY(EOMONTH(DATE(YEAR('Your Pay &amp; Benefits'!$C$9),MONTH('Your Pay &amp; Benefits'!$C$9)+INT((($BE61+1)-1)/2),1),0))))+IF(MOD(($BE61+1)-1,2)=1,15,0),EDATE('Your Pay &amp; Benefits'!$C$9,($BE61+1)-1)))))&lt;&gt;'Your Pay &amp; Benefits'!$C$10,"",IF('Your Pay &amp; Benefits'!$C$7="Weekly",'Your Pay &amp; Benefits'!$C$9+7*(($BE61+1)-1),IF('Your Pay &amp; Benefits'!$C$7="Biweekly",'Your Pay &amp; Benefits'!$C$9+14*(($BE61+1)-1),IF('Your Pay &amp; Benefits'!$C$7="Semimonthly",DATE(YEAR('Your Pay &amp; Benefits'!$C$9),MONTH('Your Pay &amp; Benefits'!$C$9)+INT((($BE61+1)-1)/2),MIN(DAY('Your Pay &amp; Benefits'!$C$9),DAY(EOMONTH(DATE(YEAR('Your Pay &amp; Benefits'!$C$9),MONTH('Your Pay &amp; Benefits'!$C$9)+INT((($BE61+1)-1)/2),1),0))))+IF(MOD(($BE61+1)-1,2)=1,15,0),EDATE('Your Pay &amp; Benefits'!$C$9,($BE61+1)-1)))))&lt;&gt;"",$B62=IF(YEAR(IF('Your Pay &amp; Benefits'!$C$7="Weekly",'Your Pay &amp; Benefits'!$C$9+7*(($BE61+1)-1),IF('Your Pay &amp; Benefits'!$C$7="Biweekly",'Your Pay &amp; Benefits'!$C$9+14*(($BE61+1)-1),IF('Your Pay &amp; Benefits'!$C$7="Semimonthly",DATE(YEAR('Your Pay &amp; Benefits'!$C$9),MONTH('Your Pay &amp; Benefits'!$C$9)+INT((($BE61+1)-1)/2),MIN(DAY('Your Pay &amp; Benefits'!$C$9),DAY(EOMONTH(DATE(YEAR('Your Pay &amp; Benefits'!$C$9),MONTH('Your Pay &amp; Benefits'!$C$9)+INT((($BE61+1)-1)/2),1),0))))+IF(MOD(($BE61+1)-1,2)=1,15,0),EDATE('Your Pay &amp; Benefits'!$C$9,($BE61+1)-1)))))&lt;&gt;'Your Pay &amp; Benefits'!$C$10,"",IF('Your Pay &amp; Benefits'!$C$7="Weekly",'Your Pay &amp; Benefits'!$C$9+7*(($BE61+1)-1),IF('Your Pay &amp; Benefits'!$C$7="Biweekly",'Your Pay &amp; Benefits'!$C$9+14*(($BE61+1)-1),IF('Your Pay &amp; Benefits'!$C$7="Semimonthly",DATE(YEAR('Your Pay &amp; Benefits'!$C$9),MONTH('Your Pay &amp; Benefits'!$C$9)+INT((($BE61+1)-1)/2),MIN(DAY('Your Pay &amp; Benefits'!$C$9),DAY(EOMONTH(DATE(YEAR('Your Pay &amp; Benefits'!$C$9),MONTH('Your Pay &amp; Benefits'!$C$9)+INT((($BE61+1)-1)/2),1),0))))+IF(MOD(($BE61+1)-1,2)=1,15,0),EDATE('Your Pay &amp; Benefits'!$C$9,($BE61+1)-1)))))),1,0))</f>
      </c>
      <c r="BG62" s="7">
        <f>IF($B62="","",$BG61+$H62)</f>
      </c>
      <c r="BH62" s="7">
        <f>IF($B62="","",$BH61+$I62)</f>
      </c>
      <c r="BI62" s="7">
        <f>IF($B62="","",$BI61+$G62)</f>
      </c>
      <c r="BJ62" s="7">
        <f>IF($B62="","",IFERROR(LOOKUP(2,1/(((('Changes &amp; Events'!$C$6:$C$17="Deduction start"))*('Changes &amp; Events'!$D$6:$D$17="Health FSA"))*('Changes &amp; Events'!$B$6:$B$17&lt;=$B62)*('Changes &amp; Events'!$B$6:$B$17&lt;&gt;"")),'Changes &amp; Events'!$E$6:$E$17),'Your Pay &amp; Benefits'!$D$38))</f>
      </c>
      <c r="BK62" s="7">
        <f>IF($B62="","",IFERROR(LOOKUP(2,1/(((('Changes &amp; Events'!$C$6:$C$17="Deduction start"))*('Changes &amp; Events'!$D$6:$D$17="Dependent-care FSA"))*('Changes &amp; Events'!$B$6:$B$17&lt;=$B62)*('Changes &amp; Events'!$B$6:$B$17&lt;&gt;"")),'Changes &amp; Events'!$E$6:$E$17),'Your Pay &amp; Benefits'!$D$39))</f>
      </c>
      <c r="BL62" s="7">
        <f>IF($B62="","",IFERROR(LOOKUP(2,1/(((('Changes &amp; Events'!$C$6:$C$17="Deduction start")+('Changes &amp; Events'!$C$6:$C$17="Deduction stop"))*('Changes &amp; Events'!$D$6:$D$17="HSA"))*('Changes &amp; Events'!$B$6:$B$17&lt;=$B62)*('Changes &amp; Events'!$B$6:$B$17&lt;&gt;"")),'Changes &amp; Events'!$I$6:$I$17),'Your Pay &amp; Benefits'!$D$35))</f>
      </c>
      <c r="BM62" s="7">
        <f>IF($B62="","",IFERROR(LOOKUP(2,1/(((('Changes &amp; Events'!$C$6:$C$17="Deduction start")+('Changes &amp; Events'!$C$6:$C$17="Deduction stop"))*('Changes &amp; Events'!$D$6:$D$17="Premiums"))*('Changes &amp; Events'!$B$6:$B$17&lt;=$B62)*('Changes &amp; Events'!$B$6:$B$17&lt;&gt;"")),'Changes &amp; Events'!$I$6:$I$17),'Your Pay &amp; Benefits'!$D$40+'Your Pay &amp; Benefits'!$D$41+'Your Pay &amp; Benefits'!$D$42))</f>
      </c>
      <c r="BN62" s="7">
        <f>IF($B62="","",IFERROR(LOOKUP(2,1/(((('Changes &amp; Events'!$C$6:$C$17="Deduction start")+('Changes &amp; Events'!$C$6:$C$17="Deduction stop"))*('Changes &amp; Events'!$D$6:$D$17="Commuter"))*('Changes &amp; Events'!$B$6:$B$17&lt;=$B62)*('Changes &amp; Events'!$B$6:$B$17&lt;&gt;"")),'Changes &amp; Events'!$I$6:$I$17),'Your Pay &amp; Benefits'!$D$43))</f>
      </c>
      <c r="BO62" s="7">
        <f>IF($B62="","",IFERROR(LOOKUP(2,1/(((('Changes &amp; Events'!$C$6:$C$17="Deduction start")+('Changes &amp; Events'!$C$6:$C$17="Deduction stop"))*('Changes &amp; Events'!$D$6:$D$17="Other pre-tax"))*('Changes &amp; Events'!$B$6:$B$17&lt;=$B62)*('Changes &amp; Events'!$B$6:$B$17&lt;&gt;"")),'Changes &amp; Events'!$I$6:$I$17),'Your Pay &amp; Benefits'!$D$44))</f>
      </c>
      <c r="BP62" s="7">
        <f>IF($B62="","",IFERROR(LOOKUP(2,1/(((('Changes &amp; Events'!$C$6:$C$17="Deduction start")+('Changes &amp; Events'!$C$6:$C$17="Deduction stop"))*('Changes &amp; Events'!$D$6:$D$17="Other post-tax"))*('Changes &amp; Events'!$B$6:$B$17&lt;=$B62)*('Changes &amp; Events'!$B$6:$B$17&lt;&gt;"")),'Changes &amp; Events'!$I$6:$I$17),'Your Pay &amp; Benefits'!$D$45))</f>
      </c>
      <c r="BQ62" s="6">
        <f>IF($B62="","",IFERROR(LOOKUP(2,1/(((('Changes &amp; Events'!$C$6:$C$17="Deduction start")+('Changes &amp; Events'!$C$6:$C$17="Deduction stop"))*('Changes &amp; Events'!$D$6:$D$17="Health FSA"))*('Changes &amp; Events'!$B$6:$B$17&lt;=$B62)*('Changes &amp; Events'!$B$6:$B$17&lt;&gt;"")),'Changes &amp; Events'!$J$6:$J$17),0))</f>
      </c>
      <c r="BR62" s="6">
        <f>IF($B62="","",IFERROR(LOOKUP(2,1/(((('Changes &amp; Events'!$C$6:$C$17="Deduction start")+('Changes &amp; Events'!$C$6:$C$17="Deduction stop"))*('Changes &amp; Events'!$D$6:$D$17="Dependent-care FSA"))*('Changes &amp; Events'!$B$6:$B$17&lt;=$B62)*('Changes &amp; Events'!$B$6:$B$17&lt;&gt;"")),'Changes &amp; Events'!$J$6:$J$17),0))</f>
      </c>
      <c r="BS62" s="6">
        <f>IF($B62="","",IF(SUMPRODUCT(('Changes &amp; Events'!$C$6:$C$17="Deduction start")*('Changes &amp; Events'!$B$6:$B$17&lt;=$B62)*('Changes &amp; Events'!$B$6:$B$17&lt;&gt;"")*('Changes &amp; Events'!$D$6:$D$17="Health FSA"))&gt;0,1,0))</f>
      </c>
      <c r="BT62" s="6">
        <f>IF($B62="","",IF(SUMPRODUCT(('Changes &amp; Events'!$C$6:$C$17="Deduction start")*('Changes &amp; Events'!$B$6:$B$17&lt;=$B62)*('Changes &amp; Events'!$B$6:$B$17&lt;&gt;"")*('Changes &amp; Events'!$D$6:$D$17="Dependent-care FSA"))&gt;0,1,0))</f>
      </c>
      <c r="BU62" s="24">
        <f>IF($B62="","",IF('Your Pay &amp; Benefits'!$C$13,SUMPRODUCT(($AH62&gt;=INDEX('How This Works &amp; Sources'!$B$29:$J$36,0,IF('Your Pay &amp; Benefits'!$C$12="MFJ",1,IF('Your Pay &amp; Benefits'!$C$12="HoH",7,4))))*INDEX('How This Works &amp; Sources'!$B$29:$J$36,0,IF('Your Pay &amp; Benefits'!$C$12="MFJ",1,IF('Your Pay &amp; Benefits'!$C$12="HoH",7,4))+2)),SUMPRODUCT(($AH62&gt;=INDEX('How This Works &amp; Sources'!$B$19:$J$26,0,IF('Your Pay &amp; Benefits'!$C$12="MFJ",1,IF('Your Pay &amp; Benefits'!$C$12="HoH",7,4))))*INDEX('How This Works &amp; Sources'!$B$19:$J$26,0,IF('Your Pay &amp; Benefits'!$C$12="MFJ",1,IF('Your Pay &amp; Benefits'!$C$12="HoH",7,4))+2))))</f>
      </c>
      <c r="BV62" s="24">
        <f>IF($B62="","",IF($BZ62&lt;&gt;"",$BZ62,IF($CA62&lt;&gt;"",$CA62,IF($CB62&lt;&gt;"",$CB62,IF($CC62&lt;&gt;"",$CC62,0)))))</f>
      </c>
      <c r="BW62" s="7">
        <f>IF($B62="","",IF($AN62="MD",IF(OR($AU62="Married",$AU62="Head of household"),SUMPRODUCT(($AZ62&gt;INDEX('How This Works &amp; Sources'!$B$114:$J$120,0,1))*($AZ62-INDEX('How This Works &amp; Sources'!$B$114:$J$120,0,1))*INDEX('How This Works &amp; Sources'!$B$114:$J$120,0,1+2)),SUMPRODUCT(($AZ62&gt;INDEX('How This Works &amp; Sources'!$B$103:$J$109,0,7))*($AZ62-INDEX('How This Works &amp; Sources'!$B$103:$J$109,0,7))*INDEX('How This Works &amp; Sources'!$B$103:$J$109,0,7+2))),IF($AN62="MO",SUMPRODUCT(($AZ62&gt;INDEX('How This Works &amp; Sources'!$B$125:$J$132,0,1))*($AZ62-INDEX('How This Works &amp; Sources'!$B$125:$J$132,0,1))*INDEX('How This Works &amp; Sources'!$B$125:$J$132,0,1+2)),IF($AN62="MT",IF($AU62="Head of household",SUMPRODUCT(($AZ62&gt;INDEX('How This Works &amp; Sources'!$B$137:$J$139,0,1))*($AZ62-INDEX('How This Works &amp; Sources'!$B$137:$J$139,0,1))*INDEX('How This Works &amp; Sources'!$B$137:$J$139,0,1+2)),IF($AU62="Married",SUMPRODUCT(($AZ62&gt;INDEX('How This Works &amp; Sources'!$B$125:$J$132,0,7))*($AZ62-INDEX('How This Works &amp; Sources'!$B$125:$J$132,0,7))*INDEX('How This Works &amp; Sources'!$B$125:$J$132,0,7+2)),SUMPRODUCT(($AZ62&gt;INDEX('How This Works &amp; Sources'!$B$125:$J$132,0,4))*($AZ62-INDEX('How This Works &amp; Sources'!$B$125:$J$132,0,4))*INDEX('How This Works &amp; Sources'!$B$125:$J$132,0,4+2)))),IF($AN62="ND",IF($AU62="Head of household",SUMPRODUCT(($AZ62&gt;INDEX('How This Works &amp; Sources'!$B$144:$J$150,0,1))*($AZ62-INDEX('How This Works &amp; Sources'!$B$144:$J$150,0,1))*INDEX('How This Works &amp; Sources'!$B$144:$J$150,0,1+2)),IF($AU62="Married",SUMPRODUCT(($AZ62&gt;INDEX('How This Works &amp; Sources'!$B$137:$J$139,0,7))*($AZ62-INDEX('How This Works &amp; Sources'!$B$137:$J$139,0,7))*INDEX('How This Works &amp; Sources'!$B$137:$J$139,0,7+2)),SUMPRODUCT(($AZ62&gt;INDEX('How This Works &amp; Sources'!$B$137:$J$139,0,4))*($AZ62-INDEX('How This Works &amp; Sources'!$B$137:$J$139,0,4))*INDEX('How This Works &amp; Sources'!$B$137:$J$139,0,4+2)))),IF($AN62="NJ",IF('Your Pay &amp; Benefits'!$C$77="B",SUMPRODUCT(($AZ62&gt;INDEX('How This Works &amp; Sources'!$B$155:$J$162,0,4))*($AZ62-INDEX('How This Works &amp; Sources'!$B$155:$J$162,0,4))*INDEX('How This Works &amp; Sources'!$B$155:$J$162,0,4+2)),IF('Your Pay &amp; Benefits'!$C$77="C",SUMPRODUCT(($AZ62&gt;INDEX('How This Works &amp; Sources'!$B$155:$J$162,0,7))*($AZ62-INDEX('How This Works &amp; Sources'!$B$155:$J$162,0,7))*INDEX('How This Works &amp; Sources'!$B$155:$J$162,0,7+2)),IF('Your Pay &amp; Benefits'!$C$77="D",SUMPRODUCT(($AZ62&gt;INDEX('How This Works &amp; Sources'!$B$167:$J$179,0,1))*($AZ62-INDEX('How This Works &amp; Sources'!$B$167:$J$179,0,1))*INDEX('How This Works &amp; Sources'!$B$167:$J$179,0,1+2)),IF('Your Pay &amp; Benefits'!$C$77="E",SUMPRODUCT(($AZ62&gt;INDEX('How This Works &amp; Sources'!$B$167:$J$179,0,4))*($AZ62-INDEX('How This Works &amp; Sources'!$B$167:$J$179,0,4))*INDEX('How This Works &amp; Sources'!$B$167:$J$179,0,4+2)),SUMPRODUCT(($AZ62&gt;INDEX('How This Works &amp; Sources'!$B$155:$J$162,0,1))*($AZ62-INDEX('How This Works &amp; Sources'!$B$155:$J$162,0,1))*INDEX('How This Works &amp; Sources'!$B$155:$J$162,0,1+2)))))),IF($AN62="NY",IF($AU62="Married",IF($AZ62&gt;=2155350,$AZ62*IF($AZ62&gt;25000000,0.117,IF($AZ62&gt;5000000,0.111,0.1045)),SUMPRODUCT(($AZ62&gt;INDEX('How This Works &amp; Sources'!$B$184:$J$198,0,1))*($AZ62-INDEX('How This Works &amp; Sources'!$B$184:$J$198,0,1))*INDEX('How This Works &amp; Sources'!$B$184:$J$198,0,1+2))),IF($AZ62&gt;=1077550,$AZ62*IF($AZ62&gt;25000000,0.117,IF($AZ62&gt;5000000,0.111,0.1045)),SUMPRODUCT(($AZ62&gt;INDEX('How This Works &amp; Sources'!$B$167:$J$179,0,7))*($AZ62-INDEX('How This Works &amp; Sources'!$B$167:$J$179,0,7))*INDEX('How This Works &amp; Sources'!$B$167:$J$179,0,7+2)))),"")))))))</f>
      </c>
      <c r="BX62" s="7">
        <f>IF($B62="","",IF($AN62="AL",IF(OR($AU62="Married",$AU62="Head of household"),SUMPRODUCT(($AZ62&gt;INDEX('How This Works &amp; Sources'!$B$82:$J$86,0,4))*($AZ62-INDEX('How This Works &amp; Sources'!$B$82:$J$86,0,4))*INDEX('How This Works &amp; Sources'!$B$82:$J$86,0,4+2)),SUMPRODUCT(($AZ62&gt;INDEX('How This Works &amp; Sources'!$B$82:$J$86,0,1))*($AZ62-INDEX('How This Works &amp; Sources'!$B$82:$J$86,0,1))*INDEX('How This Works &amp; Sources'!$B$82:$J$86,0,1+2))),IF($AN62="KS",IF($AU62="Married",SUMPRODUCT(($AZ62&gt;INDEX('How This Works &amp; Sources'!$B$103:$J$109,0,4))*($AZ62-INDEX('How This Works &amp; Sources'!$B$103:$J$109,0,4))*INDEX('How This Works &amp; Sources'!$B$103:$J$109,0,4+2)),SUMPRODUCT(($AZ62&gt;INDEX('How This Works &amp; Sources'!$B$103:$J$109,0,1))*($AZ62-INDEX('How This Works &amp; Sources'!$B$103:$J$109,0,1))*INDEX('How This Works &amp; Sources'!$B$103:$J$109,0,1+2))),IF($AN62="MN",IF($AU62="Married",SUMPRODUCT(($AZ62&gt;INDEX('How This Works &amp; Sources'!$B$114:$J$120,0,7))*($AZ62-INDEX('How This Works &amp; Sources'!$B$114:$J$120,0,7))*INDEX('How This Works &amp; Sources'!$B$114:$J$120,0,7+2)),SUMPRODUCT(($AZ62&gt;INDEX('How This Works &amp; Sources'!$B$114:$J$120,0,4))*($AZ62-INDEX('How This Works &amp; Sources'!$B$114:$J$120,0,4))*INDEX('How This Works &amp; Sources'!$B$114:$J$120,0,4+2))),IF($AN62="NE",MAX(IF($AU62="Married",SUMPRODUCT(($AZ62&gt;INDEX('How This Works &amp; Sources'!$B$144:$J$150,0,7))*($AZ62-INDEX('How This Works &amp; Sources'!$B$144:$J$150,0,7))*INDEX('How This Works &amp; Sources'!$B$144:$J$150,0,7+2)),SUMPRODUCT(($AZ62&gt;INDEX('How This Works &amp; Sources'!$B$144:$J$150,0,4))*($AZ62-INDEX('How This Works &amp; Sources'!$B$144:$J$150,0,4))*INDEX('How This Works &amp; Sources'!$B$144:$J$150,0,4+2))),0.015*$AZ62),IF($AN62="OH",IF($B62&gt;=DATE(2026,8,1),SUMPRODUCT(($AZ62&gt;INDEX('How This Works &amp; Sources'!$B$203:$J$206,0,1))*($AZ62-INDEX('How This Works &amp; Sources'!$B$203:$J$206,0,1))*INDEX('How This Works &amp; Sources'!$B$203:$J$206,0,1+2)),SUMPRODUCT(($AZ62&gt;INDEX('How This Works &amp; Sources'!$B$184:$J$198,0,7))*($AZ62-INDEX('How This Works &amp; Sources'!$B$184:$J$198,0,7))*INDEX('How This Works &amp; Sources'!$B$184:$J$198,0,7+2))),IF($AN62="OK",IF($AU62="Married",SUMPRODUCT(($AZ62&gt;INDEX('How This Works &amp; Sources'!$B$203:$J$206,0,7))*($AZ62-INDEX('How This Works &amp; Sources'!$B$203:$J$206,0,7))*INDEX('How This Works &amp; Sources'!$B$203:$J$206,0,7+2)),SUMPRODUCT(($AZ62&gt;INDEX('How This Works &amp; Sources'!$B$203:$J$206,0,4))*($AZ62-INDEX('How This Works &amp; Sources'!$B$203:$J$206,0,4))*INDEX('How This Works &amp; Sources'!$B$203:$J$206,0,4+2))),IF($AN62="RI",SUMPRODUCT(($AZ62&gt;INDEX('How This Works &amp; Sources'!$B$211:$J$214,0,7))*($AZ62-INDEX('How This Works &amp; Sources'!$B$211:$J$214,0,7))*INDEX('How This Works &amp; Sources'!$B$211:$J$214,0,7+2)),IF($AN62="VT",IF($AU62="Married",SUMPRODUCT(($AZ62&gt;INDEX('How This Works &amp; Sources'!$B$228:$J$232,0,1))*($AZ62-INDEX('How This Works &amp; Sources'!$B$228:$J$232,0,1))*INDEX('How This Works &amp; Sources'!$B$228:$J$232,0,1+2)),SUMPRODUCT(($AZ62&gt;INDEX('How This Works &amp; Sources'!$B$219:$J$223,0,7))*($AZ62-INDEX('How This Works &amp; Sources'!$B$219:$J$223,0,7))*INDEX('How This Works &amp; Sources'!$B$219:$J$223,0,7+2))),IF($AN62="WV",IF($AU62="Married",SUMPRODUCT(($AZ62&gt;INDEX('How This Works &amp; Sources'!$B$237:$J$241,0,7))*($AZ62-INDEX('How This Works &amp; Sources'!$B$237:$J$241,0,7))*INDEX('How This Works &amp; Sources'!$B$237:$J$241,0,7+2)),SUMPRODUCT(($AZ62&gt;INDEX('How This Works &amp; Sources'!$B$228:$J$232,0,7))*($AZ62-INDEX('How This Works &amp; Sources'!$B$228:$J$232,0,7))*INDEX('How This Works &amp; Sources'!$B$228:$J$232,0,7+2))),""))))))))))</f>
      </c>
      <c r="BY62" s="7">
        <f>IF($B62="","",IF($AN62="AR",SUMPRODUCT(($AZ62&gt;INDEX('How This Works &amp; Sources'!$B$82:$J$86,0,7))*($AZ62-INDEX('How This Works &amp; Sources'!$B$82:$J$86,0,7))*INDEX('How This Works &amp; Sources'!$B$82:$J$86,0,7+2)),IF($AN62="DE",SUMPRODUCT(($AZ62&gt;INDEX('How This Works &amp; Sources'!$B$91:$J$98,0,1))*($AZ62-INDEX('How This Works &amp; Sources'!$B$91:$J$98,0,1))*INDEX('How This Works &amp; Sources'!$B$91:$J$98,0,1+2)),IF($AN62="HI",IF($AU62="Married",SUMPRODUCT(($AZ62&gt;INDEX('How This Works &amp; Sources'!$B$91:$J$98,0,7))*($AZ62-INDEX('How This Works &amp; Sources'!$B$91:$J$98,0,7))*INDEX('How This Works &amp; Sources'!$B$91:$J$98,0,7+2)),SUMPRODUCT(($AZ62&gt;INDEX('How This Works &amp; Sources'!$B$91:$J$98,0,4))*($AZ62-INDEX('How This Works &amp; Sources'!$B$91:$J$98,0,4))*INDEX('How This Works &amp; Sources'!$B$91:$J$98,0,4+2))),IF($AN62="SC",SUMPRODUCT(($AZ62&gt;INDEX('How This Works &amp; Sources'!$B$219:$J$223,0,1))*($AZ62-INDEX('How This Works &amp; Sources'!$B$219:$J$223,0,1))*INDEX('How This Works &amp; Sources'!$B$219:$J$223,0,1+2)),IF($AN62="VA",SUMPRODUCT(($AZ62&gt;INDEX('How This Works &amp; Sources'!$B$219:$J$223,0,4))*($AZ62-INDEX('How This Works &amp; Sources'!$B$219:$J$223,0,4))*INDEX('How This Works &amp; Sources'!$B$219:$J$223,0,4+2)),IF($AN62="WI",SUMPRODUCT(($AZ62&gt;INDEX('How This Works &amp; Sources'!$B$228:$J$232,0,4))*($AZ62-INDEX('How This Works &amp; Sources'!$B$228:$J$232,0,4))*INDEX('How This Works &amp; Sources'!$B$228:$J$232,0,4+2)),"")))))))</f>
      </c>
      <c r="BZ62" s="24">
        <f>IF($B62="","",IF($AN62="NJ",IF('Your Pay &amp; Benefits'!$C$77="B",SUMPRODUCT(($AZ62&gt;=INDEX('How This Works &amp; Sources'!$B$155:$J$162,0,4))*INDEX('How This Works &amp; Sources'!$B$155:$J$162,0,4+2)),IF('Your Pay &amp; Benefits'!$C$77="C",SUMPRODUCT(($AZ62&gt;=INDEX('How This Works &amp; Sources'!$B$155:$J$162,0,7))*INDEX('How This Works &amp; Sources'!$B$155:$J$162,0,7+2)),IF('Your Pay &amp; Benefits'!$C$77="D",SUMPRODUCT(($AZ62&gt;=INDEX('How This Works &amp; Sources'!$B$167:$J$179,0,1))*INDEX('How This Works &amp; Sources'!$B$167:$J$179,0,1+2)),IF('Your Pay &amp; Benefits'!$C$77="E",SUMPRODUCT(($AZ62&gt;=INDEX('How This Works &amp; Sources'!$B$167:$J$179,0,4))*INDEX('How This Works &amp; Sources'!$B$167:$J$179,0,4+2)),SUMPRODUCT(($AZ62&gt;=INDEX('How This Works &amp; Sources'!$B$155:$J$162,0,1))*INDEX('How This Works &amp; Sources'!$B$155:$J$162,0,1+2)))))),IF($AN62="OR",IF(OR($AU62="Married",AND($AU62="Single",$AS62&gt;=3)),SUMPRODUCT((MAX(0,$AY62-MIN(($P62-'How This Works &amp; Sources'!$C$10*$D62)*'Your Pay &amp; Benefits'!$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Sources'!$B$211:$J$214,0,4))*INDEX('How This Works &amp; Sources'!$B$211:$J$214,0,4+2)),SUMPRODUCT((MAX(0,$AY62-MIN(($P62-'How This Works &amp; Sources'!$C$10*$D62)*'Your Pay &amp; Benefits'!$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Sources'!$B$211:$J$214,0,1))*INDEX('How This Works &amp; Sources'!$B$211:$J$214,0,1+2)))*IF(($P62-'How This Works &amp; Sources'!$C$10*$D62)*'Your Pay &amp; Benefits'!$C$8&gt;=IF(OR($AU62="Married",AND($AU62="Single",$AS62&gt;=3)),IF($AY62&lt;250000,8750,IF($AY62&lt;260000,7000,IF($AY62&lt;270000,5250,IF($AY62&lt;280000,3500,IF($AY62&lt;290000,1750,0))))),IF($AY62&lt;125000,8750,IF($AY62&lt;130000,7000,IF($AY62&lt;135000,5250,IF($AY62&lt;140000,3500,IF($AY62&lt;145000,1750,0)))))),1,1-IF('Your Pay &amp; Benefits'!$C$13,SUMPRODUCT(($AH62&gt;=INDEX('How This Works &amp; Sources'!$B$29:$J$36,0,IF('Your Pay &amp; Benefits'!$C$12="MFJ",1,IF('Your Pay &amp; Benefits'!$C$12="HoH",7,4))))*INDEX('How This Works &amp; Sources'!$B$29:$J$36,0,IF('Your Pay &amp; Benefits'!$C$12="MFJ",1,IF('Your Pay &amp; Benefits'!$C$12="HoH",7,4))+2)),SUMPRODUCT(($AH62&gt;=INDEX('How This Works &amp; Sources'!$B$19:$J$26,0,IF('Your Pay &amp; Benefits'!$C$12="MFJ",1,IF('Your Pay &amp; Benefits'!$C$12="HoH",7,4))))*INDEX('How This Works &amp; Sources'!$B$19:$J$26,0,IF('Your Pay &amp; Benefits'!$C$12="MFJ",1,IF('Your Pay &amp; Benefits'!$C$12="HoH",7,4))+2)))),IF($AN62="MI",IF($AY62&gt;5900*$AS62,0.0425,0),""))))</f>
      </c>
      <c r="CA62" s="24">
        <f>IF($B62="","",IF($AN62="AL",IF(OR($AU62="Married",$AU62="Head of household"),SUMPRODUCT(($AZ62&gt;=INDEX('How This Works &amp; Sources'!$B$82:$J$86,0,4))*INDEX('How This Works &amp; Sources'!$B$82:$J$86,0,4+2)),SUMPRODUCT(($AZ62&gt;=INDEX('How This Works &amp; Sources'!$B$82:$J$86,0,1))*INDEX('How This Works &amp; Sources'!$B$82:$J$86,0,1+2)))*(1-IF('Your Pay &amp; Benefits'!$C$13,SUMPRODUCT(($AH62&gt;=INDEX('How This Works &amp; Sources'!$B$29:$J$36,0,IF('Your Pay &amp; Benefits'!$C$12="MFJ",1,IF('Your Pay &amp; Benefits'!$C$12="HoH",7,4))))*INDEX('How This Works &amp; Sources'!$B$29:$J$36,0,IF('Your Pay &amp; Benefits'!$C$12="MFJ",1,IF('Your Pay &amp; Benefits'!$C$12="HoH",7,4))+2)),SUMPRODUCT(($AH62&gt;=INDEX('How This Works &amp; Sources'!$B$19:$J$26,0,IF('Your Pay &amp; Benefits'!$C$12="MFJ",1,IF('Your Pay &amp; Benefits'!$C$12="HoH",7,4))))*INDEX('How This Works &amp; Sources'!$B$19:$J$26,0,IF('Your Pay &amp; Benefits'!$C$12="MFJ",1,IF('Your Pay &amp; Benefits'!$C$12="HoH",7,4))+2)))),IF($AN62="KS",IF($AU62="Married",SUMPRODUCT(($AZ62&gt;=INDEX('How This Works &amp; Sources'!$B$103:$J$109,0,4))*INDEX('How This Works &amp; Sources'!$B$103:$J$109,0,4+2)),SUMPRODUCT(($AZ62&gt;=INDEX('How This Works &amp; Sources'!$B$103:$J$109,0,1))*INDEX('How This Works &amp; Sources'!$B$103:$J$109,0,1+2))),IF($AN62="MD",IF(OR($AU62="Married",$AU62="Head of household"),SUMPRODUCT(($AZ62&gt;=INDEX('How This Works &amp; Sources'!$B$114:$J$120,0,1))*INDEX('How This Works &amp; Sources'!$B$114:$J$120,0,1+2)),SUMPRODUCT(($AZ62&gt;=INDEX('How This Works &amp; Sources'!$B$103:$J$109,0,7))*INDEX('How This Works &amp; Sources'!$B$103:$J$109,0,7+2)))+'Your Pay &amp; Benefits'!$C$74,IF($AN62="MT",IF($AU62="Head of household",SUMPRODUCT(($AZ62&gt;=INDEX('How This Works &amp; Sources'!$B$137:$J$139,0,1))*INDEX('How This Works &amp; Sources'!$B$137:$J$139,0,1+2)),IF($AU62="Married",SUMPRODUCT(($AZ62&gt;=INDEX('How This Works &amp; Sources'!$B$125:$J$132,0,7))*INDEX('How This Works &amp; Sources'!$B$125:$J$132,0,7+2)),SUMPRODUCT(($AZ62&gt;=INDEX('How This Works &amp; Sources'!$B$125:$J$132,0,4))*INDEX('How This Works &amp; Sources'!$B$125:$J$132,0,4+2)))),IF($AN62="ND",IF($AU62="Head of household",SUMPRODUCT(($AZ62&gt;=INDEX('How This Works &amp; Sources'!$B$144:$J$150,0,1))*INDEX('How This Works &amp; Sources'!$B$144:$J$150,0,1+2)),IF($AU62="Married",SUMPRODUCT(($AZ62&gt;=INDEX('How This Works &amp; Sources'!$B$137:$J$139,0,7))*INDEX('How This Works &amp; Sources'!$B$137:$J$139,0,7+2)),SUMPRODUCT(($AZ62&gt;=INDEX('How This Works &amp; Sources'!$B$137:$J$139,0,4))*INDEX('How This Works &amp; Sources'!$B$137:$J$139,0,4+2)))),IF($AN62="NY",IF($AU62="Married",IF($AZ62&gt;=2155350,IF($AZ62&gt;25000000,0.117,IF($AZ62&gt;5000000,0.111,0.1045)),SUMPRODUCT(($AZ62&gt;=INDEX('How This Works &amp; Sources'!$B$184:$J$198,0,1))*INDEX('How This Works &amp; Sources'!$B$184:$J$198,0,1+2))),IF($AZ62&gt;=1077550,IF($AZ62&gt;25000000,0.117,IF($AZ62&gt;5000000,0.111,0.1045)),SUMPRODUCT(($AZ62&gt;=INDEX('How This Works &amp; Sources'!$B$167:$J$179,0,7))*INDEX('How This Works &amp; Sources'!$B$167:$J$179,0,7+2)))),"")))))))</f>
      </c>
      <c r="CB62" s="24">
        <f>IF($B62="","",IF($AN62="CA",SUMPRODUCT(($AJ62&gt;=INDEX('How This Works &amp; Sources'!$B$39:$J$48,0,IF($AU62="Married",4,IF($AU62="Head of household",7,1))))*INDEX('How This Works &amp; Sources'!$B$39:$J$48,0,IF($AU62="Married",4,IF($AU62="Head of household",7,1))+2)),IF($AN62="HI",IF($AU62="Married",SUMPRODUCT(($AZ62&gt;=INDEX('How This Works &amp; Sources'!$B$91:$J$98,0,7))*INDEX('How This Works &amp; Sources'!$B$91:$J$98,0,7+2)),SUMPRODUCT(($AZ62&gt;=INDEX('How This Works &amp; Sources'!$B$91:$J$98,0,4))*INDEX('How This Works &amp; Sources'!$B$91:$J$98,0,4+2))),IF($AN62="MN",IF($AU62="Married",SUMPRODUCT(($AZ62&gt;=INDEX('How This Works &amp; Sources'!$B$114:$J$120,0,7))*INDEX('How This Works &amp; Sources'!$B$114:$J$120,0,7+2)),SUMPRODUCT(($AZ62&gt;=INDEX('How This Works &amp; Sources'!$B$114:$J$120,0,4))*INDEX('How This Works &amp; Sources'!$B$114:$J$120,0,4+2))),IF($AN62="MO",SUMPRODUCT(($AZ62&gt;=INDEX('How This Works &amp; Sources'!$B$125:$J$132,0,1))*INDEX('How This Works &amp; Sources'!$B$125:$J$132,0,1+2)),IF($AN62="NE",MAX(IF($AU62="Married",SUMPRODUCT(($AZ62&gt;=INDEX('How This Works &amp; Sources'!$B$144:$J$150,0,7))*INDEX('How This Works &amp; Sources'!$B$144:$J$150,0,7+2)),SUMPRODUCT(($AZ62&gt;=INDEX('How This Works &amp; Sources'!$B$144:$J$150,0,4))*INDEX('How This Works &amp; Sources'!$B$144:$J$150,0,4+2))),0.015),IF($AN62="OH",IF($B62&gt;=DATE(2026,8,1),SUMPRODUCT(($AZ62&gt;=INDEX('How This Works &amp; Sources'!$B$203:$J$206,0,1))*INDEX('How This Works &amp; Sources'!$B$203:$J$206,0,1+2)),SUMPRODUCT(($AZ62&gt;=INDEX('How This Works &amp; Sources'!$B$184:$J$198,0,7))*INDEX('How This Works &amp; Sources'!$B$184:$J$198,0,7+2))),IF($AN62="OK",IF($AU62="Married",SUMPRODUCT(($AZ62&gt;=INDEX('How This Works &amp; Sources'!$B$203:$J$206,0,7))*INDEX('How This Works &amp; Sources'!$B$203:$J$206,0,7+2)),SUMPRODUCT(($AZ62&gt;=INDEX('How This Works &amp; Sources'!$B$203:$J$206,0,4))*INDEX('How This Works &amp; Sources'!$B$203:$J$206,0,4+2))),IF($AN62="RI",SUMPRODUCT(($AZ62&gt;=INDEX('How This Works &amp; Sources'!$B$211:$J$214,0,7))*INDEX('How This Works &amp; Sources'!$B$211:$J$214,0,7+2)),IF($AN62="SC",SUMPRODUCT(($AZ62&gt;=INDEX('How This Works &amp; Sources'!$B$219:$J$223,0,1))*INDEX('How This Works &amp; Sources'!$B$219:$J$223,0,1+2)),IF($AN62="VT",IF($AU62="Married",SUMPRODUCT(($AZ62&gt;=INDEX('How This Works &amp; Sources'!$B$228:$J$232,0,1))*INDEX('How This Works &amp; Sources'!$B$228:$J$232,0,1+2)),SUMPRODUCT(($AZ62&gt;=INDEX('How This Works &amp; Sources'!$B$219:$J$223,0,7))*INDEX('How This Works &amp; Sources'!$B$219:$J$223,0,7+2))),IF($AN62="WV",IF($AU62="Married",SUMPRODUCT(($AZ62&gt;=INDEX('How This Works &amp; Sources'!$B$237:$J$241,0,7))*INDEX('How This Works &amp; Sources'!$B$237:$J$241,0,7+2)),SUMPRODUCT(($AZ62&gt;=INDEX('How This Works &amp; Sources'!$B$228:$J$232,0,7))*INDEX('How This Works &amp; Sources'!$B$228:$J$232,0,7+2))),IF($AN62="IN",(0.0295+'Your Pay &amp; Benefits'!$C$76),"")))))))))))))</f>
      </c>
      <c r="CC62" s="24">
        <f>IF($B62="","",IF($AN62="AR",SUMPRODUCT(($AZ62&gt;=INDEX('How This Works &amp; Sources'!$B$82:$J$86,0,7))*INDEX('How This Works &amp; Sources'!$B$82:$J$86,0,7+2)),IF($AN62="DE",SUMPRODUCT(($AZ62&gt;=INDEX('How This Works &amp; Sources'!$B$91:$J$98,0,1))*INDEX('How This Works &amp; Sources'!$B$91:$J$98,0,1+2)),IF($AN62="VA",SUMPRODUCT(($AZ62&gt;=INDEX('How This Works &amp; Sources'!$B$219:$J$223,0,4))*INDEX('How This Works &amp; Sources'!$B$219:$J$223,0,4+2)),IF($AN62="WI",SUMPRODUCT(($AZ62&gt;=INDEX('How This Works &amp; Sources'!$B$228:$J$232,0,4))*INDEX('How This Works &amp; Sources'!$B$228:$J$232,0,4+2)),IF($AN62="AZ",'Your Pay &amp; Benefits'!$C$82,IF($AN62="CO",IF($AY62&gt;IF($AU62="Married",10000,5000),0.044,0),IF($AN62="IA",IF($AY62&gt;IF($AU62="Head of household",19500,IF($AU62="Married",26000,13000)),0.038,0),IF($AN62="ID",IF($AY62&gt;IF($AU62="Married",32000,16094),0.053,0),IF($AN62="IL",IF($AY62&gt;(2925*$AS62+1000*$AT62),0.0495,0),IF($AN62="KY",IF($AI62&gt;3360,0.035,0),IF($AN62="LA",0.0309,IF($AN62="MA",IF(MAX(0,$AY62-MIN(($BD61+$Q62+$R62+$S62),2000)-IF($AS62=0,0,IF($AS62=1,4400,1000*$AS62+3400)))&gt;=1107750,0.09,0.05),IF($AN62="MS",IF($AI62-IF($AU62="Head of household",3400,IF($AU62="Married",4600,2300))-'Your Pay &amp; Benefits'!$C$85&gt;10000,0.04,0),IF($AN62="PA",0.0307,"")))))))))))))))</f>
      </c>
      <c r="CD62" s="21">
        <f>IF(YEAR(IF('Your Pay &amp; Benefits'!$C$7="Weekly",'Your Pay &amp; Benefits'!$C$9+7*(($BE61+1)-1),IF('Your Pay &amp; Benefits'!$C$7="Biweekly",'Your Pay &amp; Benefits'!$C$9+14*(($BE61+1)-1),IF('Your Pay &amp; Benefits'!$C$7="Semimonthly",DATE(YEAR('Your Pay &amp; Benefits'!$C$9),MONTH('Your Pay &amp; Benefits'!$C$9)+INT((($BE61+1)-1)/2),MIN(DAY('Your Pay &amp; Benefits'!$C$9),DAY(EOMONTH(DATE(YEAR('Your Pay &amp; Benefits'!$C$9),MONTH('Your Pay &amp; Benefits'!$C$9)+INT((($BE61+1)-1)/2),1),0))))+IF(MOD(($BE61+1)-1,2)=1,15,0),EDATE('Your Pay &amp; Benefits'!$C$9,($BE61+1)-1)))))&lt;&gt;'Your Pay &amp; Benefits'!$C$10,"",IF('Your Pay &amp; Benefits'!$C$7="Weekly",'Your Pay &amp; Benefits'!$C$9+7*(($BE61+1)-1),IF('Your Pay &amp; Benefits'!$C$7="Biweekly",'Your Pay &amp; Benefits'!$C$9+14*(($BE61+1)-1),IF('Your Pay &amp; Benefits'!$C$7="Semimonthly",DATE(YEAR('Your Pay &amp; Benefits'!$C$9),MONTH('Your Pay &amp; Benefits'!$C$9)+INT((($BE61+1)-1)/2),MIN(DAY('Your Pay &amp; Benefits'!$C$9),DAY(EOMONTH(DATE(YEAR('Your Pay &amp; Benefits'!$C$9),MONTH('Your Pay &amp; Benefits'!$C$9)+INT((($BE61+1)-1)/2),1),0))))+IF(MOD(($BE61+1)-1,2)=1,15,0),EDATE('Your Pay &amp; Benefits'!$C$9,($BE61+1)-1)))))</f>
      </c>
      <c r="CE62" s="21">
        <f>IF(MIN(IF(AND('Your Pay &amp; Benefits'!$C$58&gt;MAX($B$6:$B61),'Your Pay &amp; Benefits'!$C$58&gt;=DATE('Your Pay &amp; Benefits'!$C$10,1,1),'Your Pay &amp; Benefits'!$C$58&lt;=DATE('Your Pay &amp; Benefits'!$C$10,12,31)),'Your Pay &amp; Benefits'!$C$58,999999),IF(AND('Your Pay &amp; Benefits'!$C$59&gt;MAX($B$6:$B61),'Your Pay &amp; Benefits'!$C$59&gt;=DATE('Your Pay &amp; Benefits'!$C$10,1,1),'Your Pay &amp; Benefits'!$C$59&lt;=DATE('Your Pay &amp; Benefits'!$C$10,12,31)),'Your Pay &amp; Benefits'!$C$59,999999),IF(AND('Your Pay &amp; Benefits'!$C$60&gt;MAX($B$6:$B61),'Your Pay &amp; Benefits'!$C$60&gt;=DATE('Your Pay &amp; Benefits'!$C$10,1,1),'Your Pay &amp; Benefits'!$C$60&lt;=DATE('Your Pay &amp; Benefits'!$C$10,12,31)),'Your Pay &amp; Benefits'!$C$60,999999),IF(AND('Your Pay &amp; Benefits'!$C$61&gt;MAX($B$6:$B61),'Your Pay &amp; Benefits'!$C$61&gt;=DATE('Your Pay &amp; Benefits'!$C$10,1,1),'Your Pay &amp; Benefits'!$C$61&lt;=DATE('Your Pay &amp; Benefits'!$C$10,12,31)),'Your Pay &amp; Benefits'!$C$61,999999),IF(AND('Your Pay &amp; Benefits'!$C$62&gt;MAX($B$6:$B61),'Your Pay &amp; Benefits'!$C$62&gt;=DATE('Your Pay &amp; Benefits'!$C$10,1,1),'Your Pay &amp; Benefits'!$C$62&lt;=DATE('Your Pay &amp; Benefits'!$C$10,12,31)),'Your Pay &amp; Benefits'!$C$62,999999),IF(AND('Your Pay &amp; Benefits'!$C$63&gt;MAX($B$6:$B61),'Your Pay &amp; Benefits'!$C$63&gt;=DATE('Your Pay &amp; Benefits'!$C$10,1,1),'Your Pay &amp; Benefits'!$C$63&lt;=DATE('Your Pay &amp; Benefits'!$C$10,12,31)),'Your Pay &amp; Benefits'!$C$63,999999),IF(AND('Your Pay &amp; Benefits'!$C$64&gt;MAX($B$6:$B61),'Your Pay &amp; Benefits'!$C$64&gt;=DATE('Your Pay &amp; Benefits'!$C$10,1,1),'Your Pay &amp; Benefits'!$C$64&lt;=DATE('Your Pay &amp; Benefits'!$C$10,12,31)),'Your Pay &amp; Benefits'!$C$64,999999),IF(AND('Your Pay &amp; Benefits'!$C$65&gt;MAX($B$6:$B61),'Your Pay &amp; Benefits'!$C$65&gt;=DATE('Your Pay &amp; Benefits'!$C$10,1,1),'Your Pay &amp; Benefits'!$C$65&lt;=DATE('Your Pay &amp; Benefits'!$C$10,12,31)),'Your Pay &amp; Benefits'!$C$65,999999),IF(AND('Your Pay &amp; Benefits'!$C$66&gt;MAX($B$6:$B61),'Your Pay &amp; Benefits'!$C$66&gt;=DATE('Your Pay &amp; Benefits'!$C$10,1,1),'Your Pay &amp; Benefits'!$C$66&lt;=DATE('Your Pay &amp; Benefits'!$C$10,12,31)),'Your Pay &amp; Benefits'!$C$66,999999),IF(AND('Your Pay &amp; Benefits'!$C$67&gt;MAX($B$6:$B61),'Your Pay &amp; Benefits'!$C$67&gt;=DATE('Your Pay &amp; Benefits'!$C$10,1,1),'Your Pay &amp; Benefits'!$C$67&lt;=DATE('Your Pay &amp; Benefits'!$C$10,12,31)),'Your Pay &amp; Benefits'!$C$67,999999))=999999,"",MIN(IF(AND('Your Pay &amp; Benefits'!$C$58&gt;MAX($B$6:$B61),'Your Pay &amp; Benefits'!$C$58&gt;=DATE('Your Pay &amp; Benefits'!$C$10,1,1),'Your Pay &amp; Benefits'!$C$58&lt;=DATE('Your Pay &amp; Benefits'!$C$10,12,31)),'Your Pay &amp; Benefits'!$C$58,999999),IF(AND('Your Pay &amp; Benefits'!$C$59&gt;MAX($B$6:$B61),'Your Pay &amp; Benefits'!$C$59&gt;=DATE('Your Pay &amp; Benefits'!$C$10,1,1),'Your Pay &amp; Benefits'!$C$59&lt;=DATE('Your Pay &amp; Benefits'!$C$10,12,31)),'Your Pay &amp; Benefits'!$C$59,999999),IF(AND('Your Pay &amp; Benefits'!$C$60&gt;MAX($B$6:$B61),'Your Pay &amp; Benefits'!$C$60&gt;=DATE('Your Pay &amp; Benefits'!$C$10,1,1),'Your Pay &amp; Benefits'!$C$60&lt;=DATE('Your Pay &amp; Benefits'!$C$10,12,31)),'Your Pay &amp; Benefits'!$C$60,999999),IF(AND('Your Pay &amp; Benefits'!$C$61&gt;MAX($B$6:$B61),'Your Pay &amp; Benefits'!$C$61&gt;=DATE('Your Pay &amp; Benefits'!$C$10,1,1),'Your Pay &amp; Benefits'!$C$61&lt;=DATE('Your Pay &amp; Benefits'!$C$10,12,31)),'Your Pay &amp; Benefits'!$C$61,999999),IF(AND('Your Pay &amp; Benefits'!$C$62&gt;MAX($B$6:$B61),'Your Pay &amp; Benefits'!$C$62&gt;=DATE('Your Pay &amp; Benefits'!$C$10,1,1),'Your Pay &amp; Benefits'!$C$62&lt;=DATE('Your Pay &amp; Benefits'!$C$10,12,31)),'Your Pay &amp; Benefits'!$C$62,999999),IF(AND('Your Pay &amp; Benefits'!$C$63&gt;MAX($B$6:$B61),'Your Pay &amp; Benefits'!$C$63&gt;=DATE('Your Pay &amp; Benefits'!$C$10,1,1),'Your Pay &amp; Benefits'!$C$63&lt;=DATE('Your Pay &amp; Benefits'!$C$10,12,31)),'Your Pay &amp; Benefits'!$C$63,999999),IF(AND('Your Pay &amp; Benefits'!$C$64&gt;MAX($B$6:$B61),'Your Pay &amp; Benefits'!$C$64&gt;=DATE('Your Pay &amp; Benefits'!$C$10,1,1),'Your Pay &amp; Benefits'!$C$64&lt;=DATE('Your Pay &amp; Benefits'!$C$10,12,31)),'Your Pay &amp; Benefits'!$C$64,999999),IF(AND('Your Pay &amp; Benefits'!$C$65&gt;MAX($B$6:$B61),'Your Pay &amp; Benefits'!$C$65&gt;=DATE('Your Pay &amp; Benefits'!$C$10,1,1),'Your Pay &amp; Benefits'!$C$65&lt;=DATE('Your Pay &amp; Benefits'!$C$10,12,31)),'Your Pay &amp; Benefits'!$C$65,999999),IF(AND('Your Pay &amp; Benefits'!$C$66&gt;MAX($B$6:$B61),'Your Pay &amp; Benefits'!$C$66&gt;=DATE('Your Pay &amp; Benefits'!$C$10,1,1),'Your Pay &amp; Benefits'!$C$66&lt;=DATE('Your Pay &amp; Benefits'!$C$10,12,31)),'Your Pay &amp; Benefits'!$C$66,999999),IF(AND('Your Pay &amp; Benefits'!$C$67&gt;MAX($B$6:$B61),'Your Pay &amp; Benefits'!$C$67&gt;=DATE('Your Pay &amp; Benefits'!$C$10,1,1),'Your Pay &amp; Benefits'!$C$67&lt;=DATE('Your Pay &amp; Benefits'!$C$10,12,31)),'Your Pay &amp; Benefits'!$C$67,999999)))</f>
      </c>
      <c r="CF62">
        <f>IF($B62="","",IF($D62=0,$Y62,""))</f>
      </c>
    </row>
    <row r="63">
      <c r="A63" t="n">
        <v>58</v>
      </c>
      <c r="B63" s="21">
        <f>IF(AND($CD63="",$CE63=""),"",IF($CE63="",$CD63,IF($CD63="",$CE63,MIN($CD63,$CE63))))</f>
      </c>
      <c r="C63" s="7">
        <f>IF($B63="","",IF($BF63=0,0,IF('Your Pay &amp; Benefits'!$C$4="Annual salary",ROUND($AK63/IF(AND('Your Pay &amp; Benefits'!$C$88="Actual paydays",MONTH('Your Pay &amp; Benefits'!$C$9)=1),MAX(1,MAX($BE$6:$BE$68)),'Your Pay &amp; Benefits'!$C$8),2),$AK63)))</f>
      </c>
      <c r="D63" s="7">
        <f>IF($B63="","",SUMIF('Your Pay &amp; Benefits'!$C$58:$C$67,$B63,'Your Pay &amp; Benefits'!$D$58:$D$67))</f>
      </c>
      <c r="E63" s="7">
        <f>IF($B63="","",ROUND(MAX(0,MIN(IF($AL63="Percent",$AM63*($C63+$D63),$AM63),MAX(0,'Your Pay &amp; Benefits'!$C$34-$AC62))),2))</f>
      </c>
      <c r="F63" s="7">
        <f>IF($B63="","",ROUND(MAX(0,MIN(IF('Your Pay &amp; Benefits'!$C$32="Percent",'Your Pay &amp; Benefits'!$D$32*($C63+$D63),'Your Pay &amp; Benefits'!$D$32),MAX(0,'Your Pay &amp; Benefits'!$C$34-$AC62-$E63))),2))</f>
      </c>
      <c r="G63" s="7">
        <f>IF($B63="","",IF($BF63=0,0,ROUND(MAX(0,MIN($BL63,'Your Pay &amp; Benefits'!$C$37-'Your Pay &amp; Benefits'!$C$54-$BI62)),2)))</f>
      </c>
      <c r="H63" s="7">
        <f>IF($B63="","",IF(OR($BF63=0,$BQ63=1),0,ROUND(MAX(0,MIN(IF($BS63=1,ROUND(MAX(0,MIN($BJ63,'How This Works &amp; Sources'!$C$13)-$BG62)/MAX(1,MAX($BE$6:$BE$68)-($BE62)),2),ROUND(MIN($BJ63,'How This Works &amp; Sources'!$C$13)/'Your Pay &amp; Benefits'!$C$8,2)),MIN($BJ63,'How This Works &amp; Sources'!$C$13)-$BG62)),2)))</f>
      </c>
      <c r="I63" s="7">
        <f>IF($B63="","",IF(OR($BF63=0,$BR63=1),0,ROUND(MAX(0,MIN(IF($BT63=1,ROUND(MAX(0,MIN($BK63,IF('Your Pay &amp; Benefits'!$C$12="MFJ",'How This Works &amp; Sources'!$C$14,'How This Works &amp; Sources'!$C$15))-$BH62)/MAX(1,MAX($BE$6:$BE$68)-($BE62)),2),ROUND(MIN($BK63,IF('Your Pay &amp; Benefits'!$C$12="MFJ",'How This Works &amp; Sources'!$C$14,'How This Works &amp; Sources'!$C$15))/'Your Pay &amp; Benefits'!$C$8,2)),MIN($BK63,IF('Your Pay &amp; Benefits'!$C$12="MFJ",'How This Works &amp; Sources'!$C$14,'How This Works &amp; Sources'!$C$15))-$BH62)),2)))</f>
      </c>
      <c r="J63" s="7">
        <f>IF($B63="","",IF($BF63=0,0,$BM63))</f>
      </c>
      <c r="K63" s="7">
        <f>IF($B63="","",IF($BF63=0,0,$BN63+$BO63))</f>
      </c>
      <c r="L63" s="7">
        <f>IF($B63="","",IF($BF63=0,0,'Your Pay &amp; Benefits'!$D$46))</f>
      </c>
      <c r="M63" s="7">
        <f>IF($B63="","",$C63+$D63+$L63-$E63-$G63-$H63-$I63-$J63-$K63)</f>
      </c>
      <c r="N63" s="7">
        <f>IF($B63="","",$C63+$D63+$L63-$G63-$H63-$I63-$J63-$K63)</f>
      </c>
      <c r="O63" s="7">
        <f>IF($B63="","",$C63+$D63+$L63-$E63-$H63-$I63-$J63-$K63-IF(OR($AN63="CA",$AN63="NJ"),0,$G63))</f>
      </c>
      <c r="P63" s="7">
        <f>IF($B63="","",IF('Your Pay &amp; Benefits'!$C$18,0,ROUND(MAX(0,IF('Your Pay &amp; Benefits'!$C$13,SUMPRODUCT(($AH63&gt;INDEX('How This Works &amp; Sources'!$B$29:$J$36,0,IF('Your Pay &amp; Benefits'!$C$12="MFJ",1,IF('Your Pay &amp; Benefits'!$C$12="HoH",7,4))))*($AH63-INDEX('How This Works &amp; Sources'!$B$29:$J$36,0,IF('Your Pay &amp; Benefits'!$C$12="MFJ",1,IF('Your Pay &amp; Benefits'!$C$12="HoH",7,4))))*INDEX('How This Works &amp; Sources'!$B$29:$J$36,0,IF('Your Pay &amp; Benefits'!$C$12="MFJ",1,IF('Your Pay &amp; Benefits'!$C$12="HoH",7,4))+2)),SUMPRODUCT(($AH63&gt;INDEX('How This Works &amp; Sources'!$B$19:$J$26,0,IF('Your Pay &amp; Benefits'!$C$12="MFJ",1,IF('Your Pay &amp; Benefits'!$C$12="HoH",7,4))))*($AH63-INDEX('How This Works &amp; Sources'!$B$19:$J$26,0,IF('Your Pay &amp; Benefits'!$C$12="MFJ",1,IF('Your Pay &amp; Benefits'!$C$12="HoH",7,4))))*INDEX('How This Works &amp; Sources'!$B$19:$J$26,0,IF('Your Pay &amp; Benefits'!$C$12="MFJ",1,IF('Your Pay &amp; Benefits'!$C$12="HoH",7,4))+2)))/'Your Pay &amp; Benefits'!$C$8-$AO63/'Your Pay &amp; Benefits'!$C$8)+$AR63+IF('Your Pay &amp; Benefits'!$C$89="Aggregate",MAX(0,IF('Your Pay &amp; Benefits'!$C$13,SUMPRODUCT((($AH63+$D63)&gt;INDEX('How This Works &amp; Sources'!$B$29:$J$36,0,IF('Your Pay &amp; Benefits'!$C$12="MFJ",1,IF('Your Pay &amp; Benefits'!$C$12="HoH",7,4))))*(($AH63+$D63)-INDEX('How This Works &amp; Sources'!$B$29:$J$36,0,IF('Your Pay &amp; Benefits'!$C$12="MFJ",1,IF('Your Pay &amp; Benefits'!$C$12="HoH",7,4))))*INDEX('How This Works &amp; Sources'!$B$29:$J$36,0,IF('Your Pay &amp; Benefits'!$C$12="MFJ",1,IF('Your Pay &amp; Benefits'!$C$12="HoH",7,4))+2)),SUMPRODUCT((($AH63+$D63)&gt;INDEX('How This Works &amp; Sources'!$B$19:$J$26,0,IF('Your Pay &amp; Benefits'!$C$12="MFJ",1,IF('Your Pay &amp; Benefits'!$C$12="HoH",7,4))))*(($AH63+$D63)-INDEX('How This Works &amp; Sources'!$B$19:$J$26,0,IF('Your Pay &amp; Benefits'!$C$12="MFJ",1,IF('Your Pay &amp; Benefits'!$C$12="HoH",7,4))))*INDEX('How This Works &amp; Sources'!$B$19:$J$26,0,IF('Your Pay &amp; Benefits'!$C$12="MFJ",1,IF('Your Pay &amp; Benefits'!$C$12="HoH",7,4))+2)))-IF('Your Pay &amp; Benefits'!$C$13,SUMPRODUCT(($AH63&gt;INDEX('How This Works &amp; Sources'!$B$29:$J$36,0,IF('Your Pay &amp; Benefits'!$C$12="MFJ",1,IF('Your Pay &amp; Benefits'!$C$12="HoH",7,4))))*($AH63-INDEX('How This Works &amp; Sources'!$B$29:$J$36,0,IF('Your Pay &amp; Benefits'!$C$12="MFJ",1,IF('Your Pay &amp; Benefits'!$C$12="HoH",7,4))))*INDEX('How This Works &amp; Sources'!$B$29:$J$36,0,IF('Your Pay &amp; Benefits'!$C$12="MFJ",1,IF('Your Pay &amp; Benefits'!$C$12="HoH",7,4))+2)),SUMPRODUCT(($AH63&gt;INDEX('How This Works &amp; Sources'!$B$19:$J$26,0,IF('Your Pay &amp; Benefits'!$C$12="MFJ",1,IF('Your Pay &amp; Benefits'!$C$12="HoH",7,4))))*($AH63-INDEX('How This Works &amp; Sources'!$B$19:$J$26,0,IF('Your Pay &amp; Benefits'!$C$12="MFJ",1,IF('Your Pay &amp; Benefits'!$C$12="HoH",7,4))))*INDEX('How This Works &amp; Sources'!$B$19:$J$26,0,IF('Your Pay &amp; Benefits'!$C$12="MFJ",1,IF('Your Pay &amp; Benefits'!$C$12="HoH",7,4))+2)))),'How This Works &amp; Sources'!$C$10*$D63),2)))</f>
      </c>
      <c r="Q63" s="7">
        <f>IF($B63="","",ROUND('How This Works &amp; Sources'!$C$4*MIN($N63,MAX(0,'How This Works &amp; Sources'!$C$3-($AX63+$AB62-$AW63))),2))</f>
      </c>
      <c r="R63" s="7">
        <f>IF($B63="","",ROUND('How This Works &amp; Sources'!$C$5*$N63,2))</f>
      </c>
      <c r="S63" s="7">
        <f>IF($B63="","",ROUND('How This Works &amp; Sources'!$C$6*MAX(0,MIN($N63,$AG62+$N63-'How This Works &amp; Sources'!$C$7)),2))</f>
      </c>
      <c r="T63" s="7">
        <f>IF($B63="","",IF('Your Pay &amp; Benefits'!$C$26,0,IF($AN63="CA",ROUND(IF($AI63&lt;=IF(($AS63+$AT63)&gt;=2,VLOOKUP($AN63,StateTables!$A$6:$AB$56,10,FALSE),VLOOKUP($AN63,StateTables!$A$6:$AB$56,9,FALSE)),0,MAX(0,SUMPRODUCT(($AJ63&gt;INDEX('How This Works &amp; Sources'!$B$39:$J$48,0,IF($AU63="Married",4,IF($AU63="Head of household",7,1))))*($AJ63-INDEX('How This Works &amp; Sources'!$B$39:$J$48,0,IF($AU63="Married",4,IF($AU63="Head of household",7,1))))*INDEX('How This Works &amp; Sources'!$B$39:$J$48,0,IF($AU63="Married",4,IF($AU63="Head of household",7,1))+2))-VLOOKUP($AN63,StateTables!$A$6:$AB$56,11,FALSE)*$AS63)/'Your Pay &amp; Benefits'!$C$8)+'Your Pay &amp; Benefits'!$C$25+VLOOKUP($AN63,StateTables!$A$6:$AB$56,13,FALSE)*$D63,2),IF(VLOOKUP($AN63,StateTables!$A$6:$AB$56,4,FALSE)="None",0,IF(ISNUMBER(SEARCH("MANUAL",VLOOKUP($AN63,StateTables!$A$6:$AB$56,5,FALSE))),'Your Pay &amp; Benefits'!$C$28,ROUND(MAX(0,$BA63+$BB63)/'Your Pay &amp; Benefits'!$C$8+'Your Pay &amp; Benefits'!$C$25+$BC63,2))))))</f>
      </c>
      <c r="U63" s="7">
        <f>IF($B63="","",IF(VLOOKUP($AN63,StateTables!$A$6:$AB$56,24,FALSE)="flatq",IF(OR(MONTH($B63)=1,MONTH($B63)=4,MONTH($B63)=7,MONTH($B63)=10),VLOOKUP($AN63,StateTables!$A$6:$AB$56,25,FALSE),0),IF(VLOOKUP($AN63,StateTables!$A$6:$AB$56,24,FALSE)="dbl",MIN(ROUND(0.005*$N63,2),ROUND(0.6*52/'Your Pay &amp; Benefits'!$C$8,2)),IF(OR(VLOOKUP($AN63,StateTables!$A$6:$AB$56,15,FALSE)="",VLOOKUP($AN63,StateTables!$A$6:$AB$56,15,FALSE)=0),0,ROUND(VLOOKUP($AN63,StateTables!$A$6:$AB$56,15,FALSE)*IF(OR(VLOOKUP($AN63,StateTables!$A$6:$AB$56,16,FALSE)="",VLOOKUP($AN63,StateTables!$A$6:$AB$56,16,FALSE)=0),$N63,MIN($N63,MAX(0,VLOOKUP($AN63,StateTables!$A$6:$AB$56,16,FALSE)-($AX63+$AB62-$AW63)))),2))))+IF(VLOOKUP($AN63,StateTables!$A$6:$AB$56,27,FALSE)="flatq",IF(OR(MONTH($B63)=1,MONTH($B63)=4,MONTH($B63)=7,MONTH($B63)=10),VLOOKUP($AN63,StateTables!$A$6:$AB$56,28,FALSE),0),IF(VLOOKUP($AN63,StateTables!$A$6:$AB$56,27,FALSE)="dbl",MIN(ROUND(0.005*$N63,2),ROUND(0.6*52/'Your Pay &amp; Benefits'!$C$8,2)),IF(OR(VLOOKUP($AN63,StateTables!$A$6:$AB$56,18,FALSE)="",VLOOKUP($AN63,StateTables!$A$6:$AB$56,18,FALSE)=0),0,ROUND(VLOOKUP($AN63,StateTables!$A$6:$AB$56,18,FALSE)*IF(OR(VLOOKUP($AN63,StateTables!$A$6:$AB$56,19,FALSE)="",VLOOKUP($AN63,StateTables!$A$6:$AB$56,19,FALSE)=0),$N63,MIN($N63,MAX(0,VLOOKUP($AN63,StateTables!$A$6:$AB$56,19,FALSE)-($AX63+$AB62-$AW63)))),2)))))</f>
      </c>
      <c r="V63" s="7">
        <f>IF($B63="","",IF($AN63="NY",IF('Your Pay &amp; Benefits'!$C$78,ROUND(SUMPRODUCT((MAX(0,($O63-$D63)*'Your Pay &amp; Benefits'!$C$8-(IF($AU63="Married",5500,5000)+1000*$AS63))&gt;INDEX('How This Works &amp; Sources'!$B$184:$J$198,0,4))*(MAX(0,($O63-$D63)*'Your Pay &amp; Benefits'!$C$8-(IF($AU63="Married",5500,5000)+1000*$AS63))-INDEX('How This Works &amp; Sources'!$B$184:$J$198,0,4))*INDEX('How This Works &amp; Sources'!$B$184:$J$198,0,4+2))/'Your Pay &amp; Benefits'!$C$8+0.0425*$D63,2),0)+IF('Your Pay &amp; Benefits'!$C$79="Resident",ROUND(0.1675*$T63,2),IF('Your Pay &amp; Benefits'!$C$79="Nonresident",ROUND(0.005*MAX(0,($O63-$D63)-(IF($AU63="Married",7950,7400)+1000*$AS63)/'Your Pay &amp; Benefits'!$C$8),2),0)),IF($AN63="PA",IF('Your Pay &amp; Benefits'!$C$80="None",'Your Pay &amp; Benefits'!$C$27+ROUND('Your Pay &amp; Benefits'!$C$81*($C63+$D63),2),ROUND(IF('Your Pay &amp; Benefits'!$C$80="Resident",IF($B63&lt;DATE(2026,7,1),0.0374,0.03735),IF($B63&lt;DATE(2026,7,1),0.0343,0.03425))*($C63+$D63),2)),IF($BF63=0,ROUND('Your Pay &amp; Benefits'!$C$81*($C63+$D63),2),'Your Pay &amp; Benefits'!$C$27+ROUND('Your Pay &amp; Benefits'!$C$81*($C63+$D63),2)))))</f>
      </c>
      <c r="W63" s="7">
        <f>IF($B63="","",IF($BF63=0,0,$BP63))</f>
      </c>
      <c r="X63" s="7">
        <f>IF($B63="","",SUM($E63:$K63)+$P63+$Q63+$R63+$S63+$T63+$U63+$V63+$W63)</f>
      </c>
      <c r="Y63" s="22">
        <f>IF($B63="","",$C63+$D63-$X63)</f>
      </c>
      <c r="Z63" s="7">
        <f>IF($B63="","",$Z62+$C63+$D63)</f>
      </c>
      <c r="AA63" s="7">
        <f>IF($B63="","",$AA62+$Y63)</f>
      </c>
      <c r="AB63" s="7">
        <f>IF($B63="","",$AB62+MIN($N63,MAX(0,'How This Works &amp; Sources'!$C$3-($AX63+$AB62-$AW63))))</f>
      </c>
      <c r="AC63" s="7">
        <f>IF($B63="","",$AC62+$E63+$F63)</f>
      </c>
      <c r="AD63" s="3">
        <f>IF($B63="","",IF(AND($AB62&lt;'How This Works &amp; Sources'!$C$3,$AB63&gt;='How This Works &amp; Sources'!$C$3),"★ Social Security maxed on this check — from the next check your net rises by about $"&amp;TEXT(ROUND('How This Works &amp; Sources'!$C$4*$N63,2),"#,##0.00")&amp;". ","")&amp;IF(AND($AC62&lt;'Your Pay &amp; Benefits'!$C$34,$AC63&gt;='Your Pay &amp; Benefits'!$C$34),"★ 401(k) reaches the $"&amp;TEXT('Your Pay &amp; Benefits'!$C$34,"#,##0")&amp;" cap on this check — deferrals stop and net pay rises. ","")&amp;IF(AND($AG62&lt;'How This Works &amp; Sources'!$C$7,$AG63&gt;='How This Works &amp; Sources'!$C$7),"★ Wages pass $200,000 — the 0.9% Additional Medicare Tax starts here. ","")&amp;IF(AND($BJ63&gt;0,$H63&gt;0,$BG62&lt;MIN($BJ63,'How This Works &amp; Sources'!$C$13),$BG62+$H63&gt;=MIN($BJ63,'How This Works &amp; Sources'!$C$13)),"★ Health FSA election is now fully deferred for the year. ",""))</f>
      </c>
      <c r="AE63" s="41" t="n"/>
      <c r="AF63" s="7">
        <f>IF(OR($B63="",$AE63=""),"",$AE63-$Y63)</f>
      </c>
      <c r="AG63" s="7">
        <f>IF($B63="","",$AG62+$N63)</f>
      </c>
      <c r="AH63" s="7">
        <f>IF($B63="","",MAX(0,($M63-$D63)*'Your Pay &amp; Benefits'!$C$8+$AP63-$AQ63-IF('Your Pay &amp; Benefits'!$C$13,0,IF('Your Pay &amp; Benefits'!$C$12="MFJ",'How This Works &amp; Sources'!$C$8,'How This Works &amp; Sources'!$C$9))))</f>
      </c>
      <c r="AI63" s="7">
        <f>IF($B63="","",$O63*'Your Pay &amp; Benefits'!$C$8)</f>
      </c>
      <c r="AJ63" s="7">
        <f>IF($B63="","",MAX(0,$AI63-VLOOKUP($AN63,StateTables!$A$6:$AB$56,12,FALSE)*$AT63-IF(($AS63+$AT63)&gt;=2,VLOOKUP($AN63,StateTables!$A$6:$AB$56,8,FALSE),VLOOKUP($AN63,StateTables!$A$6:$AB$56,7,FALSE))))</f>
      </c>
      <c r="AK63" s="7">
        <f>IF($B63="","",IFERROR(LOOKUP(2,1/(('Changes &amp; Events'!$C$6:$C$17="Salary change")*('Changes &amp; Events'!$B$6:$B$17&lt;=$B63)*('Changes &amp; Events'!$B$6:$B$17&lt;&gt;"")),'Changes &amp; Events'!$D$6:$D$17),IF('Your Pay &amp; Benefits'!$C$4="Annual salary",'Your Pay &amp; Benefits'!$C$5,'Your Pay &amp; Benefits'!$C$6)))</f>
      </c>
      <c r="AL63">
        <f>IF($B63="","",IFERROR(LOOKUP(2,1/(('Changes &amp; Events'!$C$6:$C$17="401(k) change")*('Changes &amp; Events'!$B$6:$B$17&lt;=$B63)*('Changes &amp; Events'!$B$6:$B$17&lt;&gt;"")),'Changes &amp; Events'!$D$6:$D$17),'Your Pay &amp; Benefits'!$C$30))</f>
      </c>
      <c r="AM63" s="7">
        <f>IF($B63="","",IFERROR(LOOKUP(2,1/(('Changes &amp; Events'!$C$6:$C$17="401(k) change")*('Changes &amp; Events'!$B$6:$B$17&lt;=$B63)*('Changes &amp; Events'!$B$6:$B$17&lt;&gt;"")),'Changes &amp; Events'!$E$6:$E$17),'Your Pay &amp; Benefits'!$D$31))</f>
      </c>
      <c r="AN63">
        <f>IF($B63="","",IFERROR(LOOKUP(2,1/(('Changes &amp; Events'!$C$6:$C$17="State move")*('Changes &amp; Events'!$B$6:$B$17&lt;=$B63)*('Changes &amp; Events'!$B$6:$B$17&lt;&gt;"")),'Changes &amp; Events'!$D$6:$D$17),'Your Pay &amp; Benefits'!$C$21))</f>
      </c>
      <c r="AO63" s="7">
        <f>IF($B63="","",IFERROR(LOOKUP(2,1/(('Changes &amp; Events'!$C$6:$C$17="W-4 change")*('Changes &amp; Events'!$B$6:$B$17&lt;=$B63)*('Changes &amp; Events'!$B$6:$B$17&lt;&gt;"")),'Changes &amp; Events'!$D$6:$D$17),'Your Pay &amp; Benefits'!$C$14))</f>
      </c>
      <c r="AP63" s="7">
        <f>IF($B63="","",IFERROR(LOOKUP(2,1/(('Changes &amp; Events'!$C$6:$C$17="W-4 change")*('Changes &amp; Events'!$B$6:$B$17&lt;=$B63)*('Changes &amp; Events'!$B$6:$B$17&lt;&gt;"")),'Changes &amp; Events'!$E$6:$E$17),'Your Pay &amp; Benefits'!$C$15))</f>
      </c>
      <c r="AQ63" s="7">
        <f>IF($B63="","",IFERROR(LOOKUP(2,1/(('Changes &amp; Events'!$C$6:$C$17="W-4 change")*('Changes &amp; Events'!$B$6:$B$17&lt;=$B63)*('Changes &amp; Events'!$B$6:$B$17&lt;&gt;"")),'Changes &amp; Events'!$F$6:$F$17),'Your Pay &amp; Benefits'!$C$16))</f>
      </c>
      <c r="AR63" s="7">
        <f>IF($B63="","",IFERROR(LOOKUP(2,1/(('Changes &amp; Events'!$C$6:$C$17="W-4 change")*('Changes &amp; Events'!$B$6:$B$17&lt;=$B63)*('Changes &amp; Events'!$B$6:$B$17&lt;&gt;"")),'Changes &amp; Events'!$G$6:$G$17),'Your Pay &amp; Benefits'!$C$17))</f>
      </c>
      <c r="AS63" s="6">
        <f>IF($B63="","",IFERROR(LOOKUP(2,1/((('Changes &amp; Events'!$C$6:$C$17="State move")+('Changes &amp; Events'!$C$6:$C$17="State cert change"))*('Changes &amp; Events'!$B$6:$B$17&lt;=$B63)*('Changes &amp; Events'!$B$6:$B$17&lt;&gt;"")),'Changes &amp; Events'!$F$6:$F$17),'Your Pay &amp; Benefits'!$C$23))</f>
      </c>
      <c r="AT63" s="6">
        <f>IF($B63="","",IFERROR(LOOKUP(2,1/((('Changes &amp; Events'!$C$6:$C$17="State move")+('Changes &amp; Events'!$C$6:$C$17="State cert change"))*('Changes &amp; Events'!$B$6:$B$17&lt;=$B63)*('Changes &amp; Events'!$B$6:$B$17&lt;&gt;"")),'Changes &amp; Events'!$G$6:$G$17),'Your Pay &amp; Benefits'!$C$24))</f>
      </c>
      <c r="AU63">
        <f>IF($B63="","",IFERROR(LOOKUP(2,1/(('Changes &amp; Events'!$C$6:$C$17="State move")*('Changes &amp; Events'!$B$6:$B$17&lt;=$B63)*('Changes &amp; Events'!$B$6:$B$17&lt;&gt;"")),'Changes &amp; Events'!$E$6:$E$17),'Your Pay &amp; Benefits'!$C$22))</f>
      </c>
      <c r="AV63" s="6">
        <f>IF($B63="","",1+COUNTIFS('Changes &amp; Events'!$C$6:$C$17,"Employer change",'Changes &amp; Events'!$B$6:$B$17,"&lt;="&amp;$B63,'Changes &amp; Events'!$B$6:$B$17,"&lt;&gt;"))</f>
      </c>
      <c r="AW63" s="7">
        <f>IF($B63="","",IF($AV63=1,'Your Pay &amp; Benefits'!$C$49,IF(IFERROR(MATCH(IFERROR(LOOKUP(2,1/(('Changes &amp; Events'!$C$6:$C$17="Employer change")*('Changes &amp; Events'!$B$6:$B$17&lt;=$B63)*('Changes &amp; Events'!$B$6:$B$17&lt;&gt;"")),'Changes &amp; Events'!$B$6:$B$17),""),$B$6:$B$68,1),1)&lt;=1,'Your Pay &amp; Benefits'!$C$49,INDEX($AB$6:$AB$68,MATCH(IFERROR(LOOKUP(2,1/(('Changes &amp; Events'!$C$6:$C$17="Employer change")*('Changes &amp; Events'!$B$6:$B$17&lt;=$B63)*('Changes &amp; Events'!$B$6:$B$17&lt;&gt;"")),'Changes &amp; Events'!$B$6:$B$17),""),$B$6:$B$68,1)-1))))</f>
      </c>
      <c r="AX63" s="7">
        <f>IF($B63="","",IF($AV63=1,'Your Pay &amp; Benefits'!$C$49,IFERROR(LOOKUP(2,1/(('Changes &amp; Events'!$C$6:$C$17="Employer change")*('Changes &amp; Events'!$B$6:$B$17&lt;=$B63)*('Changes &amp; Events'!$B$6:$B$17&lt;&gt;"")),'Changes &amp; Events'!$D$6:$D$17),0)))</f>
      </c>
      <c r="AY63" s="7">
        <f>IF($B63="","",($O63-$D63)*'Your Pay &amp; Benefits'!$C$8)</f>
      </c>
      <c r="AZ63" s="7">
        <f>IF($B63="","",IF($AN63="AL",MAX(0,$AY63-IF($AU63="Married",IF($AY63&lt;=25999,8500,MAX(5000,8500-175*CEILING(($AY63-25999)/500,1))),IF($AU63="Head of household",IF($AY63&lt;=25999,5200,MAX(2500,5200-135*CEILING(($AY63-25999)/500,1))),IF($AY63&lt;=25999,3000,MAX(2500,3000-25*CEILING(($AY63-25999)/500,1)))))-($P63-'How This Works &amp; Sources'!$C$10*$D63)*'Your Pay &amp; Benefits'!$C$8-IF(OR($AU63="Married",$AU63="Head of household"),3000,1500)-$AT63*IF($AY63&lt;=50000,1000,IF($AY63&lt;=100000,500,300))),IF($AN63="AR",IF(MAX(0,$AY63-2470)&lt;97701,INT(MAX(0,$AY63-2470)/100)*100+50,MAX(0,$AY63-2470)),IF($AN63="DE",MAX(0,$AI63-3250),IF($AN63="HI",MAX(0,$AI63-1144*$AS63-4350),IF($AN63="KS",MAX(0,$AI63-(9160*IF($AU63="Married",2,1)+2320*$AT63+IF($AU63="Head of household",2320,0))),IF($AN63="MD",MAX(0,$AI63-3400-3200*$AS63),IF($AN63="MN",MAX(0,$AY63-5300*$AS63),IF($AN63="MO",MAX(0,$AI63-IF($AU63="Head of household",24150,IF($AU63="Married",IF('Your Pay &amp; Benefits'!$C$83,16100,32200),16100))),IF($AN63="MT",$AY63,IF($AN63="ND",($C63+$L63)*'Your Pay &amp; Benefits'!$C$8,IF($AN63="NE",MAX(0,$AY63-2440*$AS63),IF($AN63="NJ",MAX(0,$AY63-1000*$AS63),IF($AN63="NY",MAX(0,$AY63-(IF($AU63="Married",7950,7400)+1000*$AS63)),IF($AN63="OH",MAX(0,$AY63-650*$AS63),IF($AN63="OK",MAX(0,$AY63-1000*$AS63),IF($AN63="RI",MAX(0,$AI63-1000*$AS63),IF($AN63="SC",MAX(0,$AI63-5000*$AS63-IF($AS63=0,0,MIN(0.1*$AI63,7500))),IF($AN63="VA",MAX(0,$AI63-IF($AU63="Married",17500,8750)-930*$AS63-800*$AT63),IF($AN63="VT",MAX(0,$AI63-5400*$AS63),IF($AN63="WI",MAX(0,$AI63-MAX(0,IF($AU63="Married",9461-0.2*MAX(0,$AI63-25727),6702-0.12*MAX(0,$AI63-17780)))-400*$AS63),IF($AN63="WV",MAX(0,$AI63-2000*$AS63),$AI63))))))))))))))))))))))</f>
      </c>
      <c r="BA63" s="7">
        <f>IF($B63="","",IF($BW63&lt;&gt;"",$BW63,IF($BX63&lt;&gt;"",$BX63,IF($BY63&lt;&gt;"",$BY63,0))))</f>
      </c>
      <c r="BB63" s="7">
        <f>IF($B63="","",IF($AN63="AR",-29*$AS63,IF($AN63="DE",-110*$AS63,IF($AN63="MD",$AZ63*'Your Pay &amp; Benefits'!$C$74,IF($AN63="AZ",'Your Pay &amp; Benefits'!$C$82*($M63-$D63)*'Your Pay &amp; Benefits'!$C$8,IF($AN63="CO",0.044*MAX(0,$AY63-IF($AU63="Married",10000,5000)),IF($AN63="IA",MAX(0,0.038*MAX(0,$AY63-IF($AU63="Head of household",19500,IF($AU63="Married",26000,13000)))-40*$AS63),IF($AN63="ID",0.053*MAX(0,$AY63-IF($AU63="Married",32000,16094)),IF($AN63="IL",0.0495*MAX(0,$AY63-(2925*$AS63+1000*$AT63)),IF($AN63="IN",(0.0295+'Your Pay &amp; Benefits'!$C$76)*MAX(0,$AY63-(1000*$AS63+1500*$AT63+3000*'Your Pay &amp; Benefits'!$C$86)),IF($AN63="KY",0.035*MAX(0,$AI63-3360),IF($AN63="LA",IF('Your Pay &amp; Benefits'!$C$84="0",0.0309*$AI63,0.0309*MAX(0,$AI63-IF('Your Pay &amp; Benefits'!$C$84="2",25750,12875))),IF($AN63="MA",0.05*MIN(MAX(0,$AY63-MIN(($BD62+$Q63+$R63+$S63),2000)-IF($AS63=0,0,IF($AS63=1,4400,1000*$AS63+3400))),1107750)+0.09*MAX(0,MAX(0,$AY63-MIN(($BD62+$Q63+$R63+$S63),2000)-IF($AS63=0,0,IF($AS63=1,4400,1000*$AS63+3400)))-1107750)-IF($AU63="Head of household",120,0)-110*'Your Pay &amp; Benefits'!$C$75,IF($AN63="MI",0.0425*MAX(0,$AY63-5900*$AS63),IF($AN63="MS",0.04*MAX(0,$AI63-IF($AU63="Head of household",3400,IF($AU63="Married",4600,2300))-'Your Pay &amp; Benefits'!$C$85-10000),IF($AN63="OR",IF(OR($AU63="Married",AND($AU63="Single",$AS63&gt;=3)),SUMPRODUCT((MAX(0,$AY63-MIN(($P63-'How This Works &amp; Sources'!$C$10*$D63)*'Your Pay &amp; Benefits'!$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Sources'!$B$211:$J$214,0,4))*(MAX(0,$AY63-MIN(($P63-'How This Works &amp; Sources'!$C$10*$D63)*'Your Pay &amp; Benefits'!$C$8,IF(OR($AU63="Married",AND($AU63="Single",$AS63&gt;=3)),IF($AY63&lt;250000,8750,IF($AY63&lt;260000,7000,IF($AY63&lt;270000,5250,IF($AY63&lt;280000,3500,IF($AY63&lt;290000,1750,0))))),IF($AY63&lt;125000,8750,IF($AY63&lt;130000,7000,IF($AY63&lt;135000,5250,IF($AY63&lt;140000,3500,IF($AY63&lt;145000,1750,0)))))))-IF(OR($AU63="Married",AND($AU63="Single",$AS63&gt;=3)),5820,2910))-INDEX('How This Works &amp; Sources'!$B$211:$J$214,0,4))*INDEX('How This Works &amp; Sources'!$B$211:$J$214,0,4+2)),SUMPRODUCT((MAX(0,$AY63-MIN(($P63-'How This Works &amp; Sources'!$C$10*$D63)*'Your Pay &amp; Benefits'!$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Sources'!$B$211:$J$214,0,1))*(MAX(0,$AY63-MIN(($P63-'How This Works &amp; Sources'!$C$10*$D63)*'Your Pay &amp; Benefits'!$C$8,IF(OR($AU63="Married",AND($AU63="Single",$AS63&gt;=3)),IF($AY63&lt;250000,8750,IF($AY63&lt;260000,7000,IF($AY63&lt;270000,5250,IF($AY63&lt;280000,3500,IF($AY63&lt;290000,1750,0))))),IF($AY63&lt;125000,8750,IF($AY63&lt;130000,7000,IF($AY63&lt;135000,5250,IF($AY63&lt;140000,3500,IF($AY63&lt;145000,1750,0)))))))-IF(OR($AU63="Married",AND($AU63="Single",$AS63&gt;=3)),5820,2910))-INDEX('How This Works &amp; Sources'!$B$211:$J$214,0,1))*INDEX('How This Works &amp; Sources'!$B$211:$J$214,0,1+2)))+263-263*IF(IF($AU63="Married",$AY63&gt;200000,$AY63&gt;100000),0,$AS63),IF($AN63="PA",0.0307*(($O63+$E63+$G63)*'Your Pay &amp; Benefits'!$C$8),IF($AN63="NY",IF($AU63="Married",IF($AZ63&gt;=2155350,0,IF($AZ63&gt;=1077550,0.48,IF($AZ63&gt;=373200,1.21,IF($AZ63&gt;=323200,0.21,IF($AZ63&gt;=211550,-0.19,IF($AZ63&gt;=157650,-2.8,IF($AZ63&gt;=107650,-0.8,IF($AZ63&gt;=96800,0.05,IF($AZ63&gt;=80650,-0.1,IF($AZ63&gt;=13900,0.4,IF($AZ63&gt;=11700,-0.3,IF($AZ63&gt;=8500,0.5,0)))))))))))),IF($AZ63&gt;=1077550,0,IF($AZ63&gt;=265400,4.29,IF($AZ63&gt;=215400,2.29,IF($AZ63&gt;=157650,2.29,IF($AZ63&gt;=107650,0.29,IF($AZ63&gt;=96800,0.05,IF($AZ63&gt;=80650,-0.1,IF($AZ63&gt;=13900,0.4,IF($AZ63&gt;=11700,-0.3,IF($AZ63&gt;=8500,0.5,0))))))))))),0))))))))))))))))))</f>
      </c>
      <c r="BC63" s="7">
        <f>IF($B63="","",IF($AN63="AL",0.05*$D63,IF($AN63="AR",0.039*$D63,IF($AN63="ID",0.053*$D63,IF($AN63="IN",(0.0295+'Your Pay &amp; Benefits'!$C$76)*$D63,IF($AN63="KS",0.05*$D63,IF($AN63="MA",0.09*MIN($D63,MAX(0,MAX(0,$AY63-MIN(($BD62+$Q63+$R63+$S63),2000)-IF($AS63=0,0,IF($AS63=1,4400,1000*$AS63+3400)))+$D63-1107750))+0.05*($D63-MIN($D63,MAX(0,MAX(0,$AY63-MIN(($BD62+$Q63+$R63+$S63),2000)-IF($AS63=0,0,IF($AS63=1,4400,1000*$AS63+3400)))+$D63-1107750))),IF($AN63="MD",(0.065+'Your Pay &amp; Benefits'!$C$74)*$D63,IF($AN63="MI",0.0425*$D63,IF($AN63="MN",0.0625*$D63,IF($AN63="MO",0.047*$D63,IF($AN63="MT",0.05*$D63,IF($AN63="ND",0.015*$D63,IF($AN63="NE",0.035*$D63,IF($AN63="NJ",IF('Your Pay &amp; Benefits'!$C$77="B",SUMPRODUCT(($D63*'Your Pay &amp; Benefits'!$C$8&gt;INDEX('How This Works &amp; Sources'!$B$155:$J$162,0,4))*($D63*'Your Pay &amp; Benefits'!$C$8-INDEX('How This Works &amp; Sources'!$B$155:$J$162,0,4))*INDEX('How This Works &amp; Sources'!$B$155:$J$162,0,4+2)),IF('Your Pay &amp; Benefits'!$C$77="C",SUMPRODUCT(($D63*'Your Pay &amp; Benefits'!$C$8&gt;INDEX('How This Works &amp; Sources'!$B$155:$J$162,0,7))*($D63*'Your Pay &amp; Benefits'!$C$8-INDEX('How This Works &amp; Sources'!$B$155:$J$162,0,7))*INDEX('How This Works &amp; Sources'!$B$155:$J$162,0,7+2)),IF('Your Pay &amp; Benefits'!$C$77="D",SUMPRODUCT(($D63*'Your Pay &amp; Benefits'!$C$8&gt;INDEX('How This Works &amp; Sources'!$B$167:$J$179,0,1))*($D63*'Your Pay &amp; Benefits'!$C$8-INDEX('How This Works &amp; Sources'!$B$167:$J$179,0,1))*INDEX('How This Works &amp; Sources'!$B$167:$J$179,0,1+2)),IF('Your Pay &amp; Benefits'!$C$77="E",SUMPRODUCT(($D63*'Your Pay &amp; Benefits'!$C$8&gt;INDEX('How This Works &amp; Sources'!$B$167:$J$179,0,4))*($D63*'Your Pay &amp; Benefits'!$C$8-INDEX('How This Works &amp; Sources'!$B$167:$J$179,0,4))*INDEX('How This Works &amp; Sources'!$B$167:$J$179,0,4+2)),SUMPRODUCT(($D63*'Your Pay &amp; Benefits'!$C$8&gt;INDEX('How This Works &amp; Sources'!$B$155:$J$162,0,1))*($D63*'Your Pay &amp; Benefits'!$C$8-INDEX('How This Works &amp; Sources'!$B$155:$J$162,0,1))*INDEX('How This Works &amp; Sources'!$B$155:$J$162,0,1+2))))))/'Your Pay &amp; Benefits'!$C$8,IF($AN63="NY",0.117*$D63,IF($AN63="OH",0.0275*$D63,IF($AN63="OK",0.045*$D63,IF($AN63="OR",0.08*$D63,IF($AN63="WI",IF($AY63&lt;12760,0.0354,IF($AY63&lt;25520,0.0465,IF($AY63&lt;280950,0.053,0.0765)))*$D63,0))))))))))))))))))))</f>
      </c>
      <c r="BD63" s="7">
        <f>IF($B63="","",$BD62+$Q63+$R63+$S63)</f>
      </c>
      <c r="BE63" s="6">
        <f>IF($B63="",$BE62,$BE62+$BF63)</f>
      </c>
      <c r="BF63" s="6">
        <f>IF($B63="","",IF(AND(IF(YEAR(IF('Your Pay &amp; Benefits'!$C$7="Weekly",'Your Pay &amp; Benefits'!$C$9+7*(($BE62+1)-1),IF('Your Pay &amp; Benefits'!$C$7="Biweekly",'Your Pay &amp; Benefits'!$C$9+14*(($BE62+1)-1),IF('Your Pay &amp; Benefits'!$C$7="Semimonthly",DATE(YEAR('Your Pay &amp; Benefits'!$C$9),MONTH('Your Pay &amp; Benefits'!$C$9)+INT((($BE62+1)-1)/2),MIN(DAY('Your Pay &amp; Benefits'!$C$9),DAY(EOMONTH(DATE(YEAR('Your Pay &amp; Benefits'!$C$9),MONTH('Your Pay &amp; Benefits'!$C$9)+INT((($BE62+1)-1)/2),1),0))))+IF(MOD(($BE62+1)-1,2)=1,15,0),EDATE('Your Pay &amp; Benefits'!$C$9,($BE62+1)-1)))))&lt;&gt;'Your Pay &amp; Benefits'!$C$10,"",IF('Your Pay &amp; Benefits'!$C$7="Weekly",'Your Pay &amp; Benefits'!$C$9+7*(($BE62+1)-1),IF('Your Pay &amp; Benefits'!$C$7="Biweekly",'Your Pay &amp; Benefits'!$C$9+14*(($BE62+1)-1),IF('Your Pay &amp; Benefits'!$C$7="Semimonthly",DATE(YEAR('Your Pay &amp; Benefits'!$C$9),MONTH('Your Pay &amp; Benefits'!$C$9)+INT((($BE62+1)-1)/2),MIN(DAY('Your Pay &amp; Benefits'!$C$9),DAY(EOMONTH(DATE(YEAR('Your Pay &amp; Benefits'!$C$9),MONTH('Your Pay &amp; Benefits'!$C$9)+INT((($BE62+1)-1)/2),1),0))))+IF(MOD(($BE62+1)-1,2)=1,15,0),EDATE('Your Pay &amp; Benefits'!$C$9,($BE62+1)-1)))))&lt;&gt;"",$B63=IF(YEAR(IF('Your Pay &amp; Benefits'!$C$7="Weekly",'Your Pay &amp; Benefits'!$C$9+7*(($BE62+1)-1),IF('Your Pay &amp; Benefits'!$C$7="Biweekly",'Your Pay &amp; Benefits'!$C$9+14*(($BE62+1)-1),IF('Your Pay &amp; Benefits'!$C$7="Semimonthly",DATE(YEAR('Your Pay &amp; Benefits'!$C$9),MONTH('Your Pay &amp; Benefits'!$C$9)+INT((($BE62+1)-1)/2),MIN(DAY('Your Pay &amp; Benefits'!$C$9),DAY(EOMONTH(DATE(YEAR('Your Pay &amp; Benefits'!$C$9),MONTH('Your Pay &amp; Benefits'!$C$9)+INT((($BE62+1)-1)/2),1),0))))+IF(MOD(($BE62+1)-1,2)=1,15,0),EDATE('Your Pay &amp; Benefits'!$C$9,($BE62+1)-1)))))&lt;&gt;'Your Pay &amp; Benefits'!$C$10,"",IF('Your Pay &amp; Benefits'!$C$7="Weekly",'Your Pay &amp; Benefits'!$C$9+7*(($BE62+1)-1),IF('Your Pay &amp; Benefits'!$C$7="Biweekly",'Your Pay &amp; Benefits'!$C$9+14*(($BE62+1)-1),IF('Your Pay &amp; Benefits'!$C$7="Semimonthly",DATE(YEAR('Your Pay &amp; Benefits'!$C$9),MONTH('Your Pay &amp; Benefits'!$C$9)+INT((($BE62+1)-1)/2),MIN(DAY('Your Pay &amp; Benefits'!$C$9),DAY(EOMONTH(DATE(YEAR('Your Pay &amp; Benefits'!$C$9),MONTH('Your Pay &amp; Benefits'!$C$9)+INT((($BE62+1)-1)/2),1),0))))+IF(MOD(($BE62+1)-1,2)=1,15,0),EDATE('Your Pay &amp; Benefits'!$C$9,($BE62+1)-1)))))),1,0))</f>
      </c>
      <c r="BG63" s="7">
        <f>IF($B63="","",$BG62+$H63)</f>
      </c>
      <c r="BH63" s="7">
        <f>IF($B63="","",$BH62+$I63)</f>
      </c>
      <c r="BI63" s="7">
        <f>IF($B63="","",$BI62+$G63)</f>
      </c>
      <c r="BJ63" s="7">
        <f>IF($B63="","",IFERROR(LOOKUP(2,1/(((('Changes &amp; Events'!$C$6:$C$17="Deduction start"))*('Changes &amp; Events'!$D$6:$D$17="Health FSA"))*('Changes &amp; Events'!$B$6:$B$17&lt;=$B63)*('Changes &amp; Events'!$B$6:$B$17&lt;&gt;"")),'Changes &amp; Events'!$E$6:$E$17),'Your Pay &amp; Benefits'!$D$38))</f>
      </c>
      <c r="BK63" s="7">
        <f>IF($B63="","",IFERROR(LOOKUP(2,1/(((('Changes &amp; Events'!$C$6:$C$17="Deduction start"))*('Changes &amp; Events'!$D$6:$D$17="Dependent-care FSA"))*('Changes &amp; Events'!$B$6:$B$17&lt;=$B63)*('Changes &amp; Events'!$B$6:$B$17&lt;&gt;"")),'Changes &amp; Events'!$E$6:$E$17),'Your Pay &amp; Benefits'!$D$39))</f>
      </c>
      <c r="BL63" s="7">
        <f>IF($B63="","",IFERROR(LOOKUP(2,1/(((('Changes &amp; Events'!$C$6:$C$17="Deduction start")+('Changes &amp; Events'!$C$6:$C$17="Deduction stop"))*('Changes &amp; Events'!$D$6:$D$17="HSA"))*('Changes &amp; Events'!$B$6:$B$17&lt;=$B63)*('Changes &amp; Events'!$B$6:$B$17&lt;&gt;"")),'Changes &amp; Events'!$I$6:$I$17),'Your Pay &amp; Benefits'!$D$35))</f>
      </c>
      <c r="BM63" s="7">
        <f>IF($B63="","",IFERROR(LOOKUP(2,1/(((('Changes &amp; Events'!$C$6:$C$17="Deduction start")+('Changes &amp; Events'!$C$6:$C$17="Deduction stop"))*('Changes &amp; Events'!$D$6:$D$17="Premiums"))*('Changes &amp; Events'!$B$6:$B$17&lt;=$B63)*('Changes &amp; Events'!$B$6:$B$17&lt;&gt;"")),'Changes &amp; Events'!$I$6:$I$17),'Your Pay &amp; Benefits'!$D$40+'Your Pay &amp; Benefits'!$D$41+'Your Pay &amp; Benefits'!$D$42))</f>
      </c>
      <c r="BN63" s="7">
        <f>IF($B63="","",IFERROR(LOOKUP(2,1/(((('Changes &amp; Events'!$C$6:$C$17="Deduction start")+('Changes &amp; Events'!$C$6:$C$17="Deduction stop"))*('Changes &amp; Events'!$D$6:$D$17="Commuter"))*('Changes &amp; Events'!$B$6:$B$17&lt;=$B63)*('Changes &amp; Events'!$B$6:$B$17&lt;&gt;"")),'Changes &amp; Events'!$I$6:$I$17),'Your Pay &amp; Benefits'!$D$43))</f>
      </c>
      <c r="BO63" s="7">
        <f>IF($B63="","",IFERROR(LOOKUP(2,1/(((('Changes &amp; Events'!$C$6:$C$17="Deduction start")+('Changes &amp; Events'!$C$6:$C$17="Deduction stop"))*('Changes &amp; Events'!$D$6:$D$17="Other pre-tax"))*('Changes &amp; Events'!$B$6:$B$17&lt;=$B63)*('Changes &amp; Events'!$B$6:$B$17&lt;&gt;"")),'Changes &amp; Events'!$I$6:$I$17),'Your Pay &amp; Benefits'!$D$44))</f>
      </c>
      <c r="BP63" s="7">
        <f>IF($B63="","",IFERROR(LOOKUP(2,1/(((('Changes &amp; Events'!$C$6:$C$17="Deduction start")+('Changes &amp; Events'!$C$6:$C$17="Deduction stop"))*('Changes &amp; Events'!$D$6:$D$17="Other post-tax"))*('Changes &amp; Events'!$B$6:$B$17&lt;=$B63)*('Changes &amp; Events'!$B$6:$B$17&lt;&gt;"")),'Changes &amp; Events'!$I$6:$I$17),'Your Pay &amp; Benefits'!$D$45))</f>
      </c>
      <c r="BQ63" s="6">
        <f>IF($B63="","",IFERROR(LOOKUP(2,1/(((('Changes &amp; Events'!$C$6:$C$17="Deduction start")+('Changes &amp; Events'!$C$6:$C$17="Deduction stop"))*('Changes &amp; Events'!$D$6:$D$17="Health FSA"))*('Changes &amp; Events'!$B$6:$B$17&lt;=$B63)*('Changes &amp; Events'!$B$6:$B$17&lt;&gt;"")),'Changes &amp; Events'!$J$6:$J$17),0))</f>
      </c>
      <c r="BR63" s="6">
        <f>IF($B63="","",IFERROR(LOOKUP(2,1/(((('Changes &amp; Events'!$C$6:$C$17="Deduction start")+('Changes &amp; Events'!$C$6:$C$17="Deduction stop"))*('Changes &amp; Events'!$D$6:$D$17="Dependent-care FSA"))*('Changes &amp; Events'!$B$6:$B$17&lt;=$B63)*('Changes &amp; Events'!$B$6:$B$17&lt;&gt;"")),'Changes &amp; Events'!$J$6:$J$17),0))</f>
      </c>
      <c r="BS63" s="6">
        <f>IF($B63="","",IF(SUMPRODUCT(('Changes &amp; Events'!$C$6:$C$17="Deduction start")*('Changes &amp; Events'!$B$6:$B$17&lt;=$B63)*('Changes &amp; Events'!$B$6:$B$17&lt;&gt;"")*('Changes &amp; Events'!$D$6:$D$17="Health FSA"))&gt;0,1,0))</f>
      </c>
      <c r="BT63" s="6">
        <f>IF($B63="","",IF(SUMPRODUCT(('Changes &amp; Events'!$C$6:$C$17="Deduction start")*('Changes &amp; Events'!$B$6:$B$17&lt;=$B63)*('Changes &amp; Events'!$B$6:$B$17&lt;&gt;"")*('Changes &amp; Events'!$D$6:$D$17="Dependent-care FSA"))&gt;0,1,0))</f>
      </c>
      <c r="BU63" s="24">
        <f>IF($B63="","",IF('Your Pay &amp; Benefits'!$C$13,SUMPRODUCT(($AH63&gt;=INDEX('How This Works &amp; Sources'!$B$29:$J$36,0,IF('Your Pay &amp; Benefits'!$C$12="MFJ",1,IF('Your Pay &amp; Benefits'!$C$12="HoH",7,4))))*INDEX('How This Works &amp; Sources'!$B$29:$J$36,0,IF('Your Pay &amp; Benefits'!$C$12="MFJ",1,IF('Your Pay &amp; Benefits'!$C$12="HoH",7,4))+2)),SUMPRODUCT(($AH63&gt;=INDEX('How This Works &amp; Sources'!$B$19:$J$26,0,IF('Your Pay &amp; Benefits'!$C$12="MFJ",1,IF('Your Pay &amp; Benefits'!$C$12="HoH",7,4))))*INDEX('How This Works &amp; Sources'!$B$19:$J$26,0,IF('Your Pay &amp; Benefits'!$C$12="MFJ",1,IF('Your Pay &amp; Benefits'!$C$12="HoH",7,4))+2))))</f>
      </c>
      <c r="BV63" s="24">
        <f>IF($B63="","",IF($BZ63&lt;&gt;"",$BZ63,IF($CA63&lt;&gt;"",$CA63,IF($CB63&lt;&gt;"",$CB63,IF($CC63&lt;&gt;"",$CC63,0)))))</f>
      </c>
      <c r="BW63" s="7">
        <f>IF($B63="","",IF($AN63="MD",IF(OR($AU63="Married",$AU63="Head of household"),SUMPRODUCT(($AZ63&gt;INDEX('How This Works &amp; Sources'!$B$114:$J$120,0,1))*($AZ63-INDEX('How This Works &amp; Sources'!$B$114:$J$120,0,1))*INDEX('How This Works &amp; Sources'!$B$114:$J$120,0,1+2)),SUMPRODUCT(($AZ63&gt;INDEX('How This Works &amp; Sources'!$B$103:$J$109,0,7))*($AZ63-INDEX('How This Works &amp; Sources'!$B$103:$J$109,0,7))*INDEX('How This Works &amp; Sources'!$B$103:$J$109,0,7+2))),IF($AN63="MO",SUMPRODUCT(($AZ63&gt;INDEX('How This Works &amp; Sources'!$B$125:$J$132,0,1))*($AZ63-INDEX('How This Works &amp; Sources'!$B$125:$J$132,0,1))*INDEX('How This Works &amp; Sources'!$B$125:$J$132,0,1+2)),IF($AN63="MT",IF($AU63="Head of household",SUMPRODUCT(($AZ63&gt;INDEX('How This Works &amp; Sources'!$B$137:$J$139,0,1))*($AZ63-INDEX('How This Works &amp; Sources'!$B$137:$J$139,0,1))*INDEX('How This Works &amp; Sources'!$B$137:$J$139,0,1+2)),IF($AU63="Married",SUMPRODUCT(($AZ63&gt;INDEX('How This Works &amp; Sources'!$B$125:$J$132,0,7))*($AZ63-INDEX('How This Works &amp; Sources'!$B$125:$J$132,0,7))*INDEX('How This Works &amp; Sources'!$B$125:$J$132,0,7+2)),SUMPRODUCT(($AZ63&gt;INDEX('How This Works &amp; Sources'!$B$125:$J$132,0,4))*($AZ63-INDEX('How This Works &amp; Sources'!$B$125:$J$132,0,4))*INDEX('How This Works &amp; Sources'!$B$125:$J$132,0,4+2)))),IF($AN63="ND",IF($AU63="Head of household",SUMPRODUCT(($AZ63&gt;INDEX('How This Works &amp; Sources'!$B$144:$J$150,0,1))*($AZ63-INDEX('How This Works &amp; Sources'!$B$144:$J$150,0,1))*INDEX('How This Works &amp; Sources'!$B$144:$J$150,0,1+2)),IF($AU63="Married",SUMPRODUCT(($AZ63&gt;INDEX('How This Works &amp; Sources'!$B$137:$J$139,0,7))*($AZ63-INDEX('How This Works &amp; Sources'!$B$137:$J$139,0,7))*INDEX('How This Works &amp; Sources'!$B$137:$J$139,0,7+2)),SUMPRODUCT(($AZ63&gt;INDEX('How This Works &amp; Sources'!$B$137:$J$139,0,4))*($AZ63-INDEX('How This Works &amp; Sources'!$B$137:$J$139,0,4))*INDEX('How This Works &amp; Sources'!$B$137:$J$139,0,4+2)))),IF($AN63="NJ",IF('Your Pay &amp; Benefits'!$C$77="B",SUMPRODUCT(($AZ63&gt;INDEX('How This Works &amp; Sources'!$B$155:$J$162,0,4))*($AZ63-INDEX('How This Works &amp; Sources'!$B$155:$J$162,0,4))*INDEX('How This Works &amp; Sources'!$B$155:$J$162,0,4+2)),IF('Your Pay &amp; Benefits'!$C$77="C",SUMPRODUCT(($AZ63&gt;INDEX('How This Works &amp; Sources'!$B$155:$J$162,0,7))*($AZ63-INDEX('How This Works &amp; Sources'!$B$155:$J$162,0,7))*INDEX('How This Works &amp; Sources'!$B$155:$J$162,0,7+2)),IF('Your Pay &amp; Benefits'!$C$77="D",SUMPRODUCT(($AZ63&gt;INDEX('How This Works &amp; Sources'!$B$167:$J$179,0,1))*($AZ63-INDEX('How This Works &amp; Sources'!$B$167:$J$179,0,1))*INDEX('How This Works &amp; Sources'!$B$167:$J$179,0,1+2)),IF('Your Pay &amp; Benefits'!$C$77="E",SUMPRODUCT(($AZ63&gt;INDEX('How This Works &amp; Sources'!$B$167:$J$179,0,4))*($AZ63-INDEX('How This Works &amp; Sources'!$B$167:$J$179,0,4))*INDEX('How This Works &amp; Sources'!$B$167:$J$179,0,4+2)),SUMPRODUCT(($AZ63&gt;INDEX('How This Works &amp; Sources'!$B$155:$J$162,0,1))*($AZ63-INDEX('How This Works &amp; Sources'!$B$155:$J$162,0,1))*INDEX('How This Works &amp; Sources'!$B$155:$J$162,0,1+2)))))),IF($AN63="NY",IF($AU63="Married",IF($AZ63&gt;=2155350,$AZ63*IF($AZ63&gt;25000000,0.117,IF($AZ63&gt;5000000,0.111,0.1045)),SUMPRODUCT(($AZ63&gt;INDEX('How This Works &amp; Sources'!$B$184:$J$198,0,1))*($AZ63-INDEX('How This Works &amp; Sources'!$B$184:$J$198,0,1))*INDEX('How This Works &amp; Sources'!$B$184:$J$198,0,1+2))),IF($AZ63&gt;=1077550,$AZ63*IF($AZ63&gt;25000000,0.117,IF($AZ63&gt;5000000,0.111,0.1045)),SUMPRODUCT(($AZ63&gt;INDEX('How This Works &amp; Sources'!$B$167:$J$179,0,7))*($AZ63-INDEX('How This Works &amp; Sources'!$B$167:$J$179,0,7))*INDEX('How This Works &amp; Sources'!$B$167:$J$179,0,7+2)))),"")))))))</f>
      </c>
      <c r="BX63" s="7">
        <f>IF($B63="","",IF($AN63="AL",IF(OR($AU63="Married",$AU63="Head of household"),SUMPRODUCT(($AZ63&gt;INDEX('How This Works &amp; Sources'!$B$82:$J$86,0,4))*($AZ63-INDEX('How This Works &amp; Sources'!$B$82:$J$86,0,4))*INDEX('How This Works &amp; Sources'!$B$82:$J$86,0,4+2)),SUMPRODUCT(($AZ63&gt;INDEX('How This Works &amp; Sources'!$B$82:$J$86,0,1))*($AZ63-INDEX('How This Works &amp; Sources'!$B$82:$J$86,0,1))*INDEX('How This Works &amp; Sources'!$B$82:$J$86,0,1+2))),IF($AN63="KS",IF($AU63="Married",SUMPRODUCT(($AZ63&gt;INDEX('How This Works &amp; Sources'!$B$103:$J$109,0,4))*($AZ63-INDEX('How This Works &amp; Sources'!$B$103:$J$109,0,4))*INDEX('How This Works &amp; Sources'!$B$103:$J$109,0,4+2)),SUMPRODUCT(($AZ63&gt;INDEX('How This Works &amp; Sources'!$B$103:$J$109,0,1))*($AZ63-INDEX('How This Works &amp; Sources'!$B$103:$J$109,0,1))*INDEX('How This Works &amp; Sources'!$B$103:$J$109,0,1+2))),IF($AN63="MN",IF($AU63="Married",SUMPRODUCT(($AZ63&gt;INDEX('How This Works &amp; Sources'!$B$114:$J$120,0,7))*($AZ63-INDEX('How This Works &amp; Sources'!$B$114:$J$120,0,7))*INDEX('How This Works &amp; Sources'!$B$114:$J$120,0,7+2)),SUMPRODUCT(($AZ63&gt;INDEX('How This Works &amp; Sources'!$B$114:$J$120,0,4))*($AZ63-INDEX('How This Works &amp; Sources'!$B$114:$J$120,0,4))*INDEX('How This Works &amp; Sources'!$B$114:$J$120,0,4+2))),IF($AN63="NE",MAX(IF($AU63="Married",SUMPRODUCT(($AZ63&gt;INDEX('How This Works &amp; Sources'!$B$144:$J$150,0,7))*($AZ63-INDEX('How This Works &amp; Sources'!$B$144:$J$150,0,7))*INDEX('How This Works &amp; Sources'!$B$144:$J$150,0,7+2)),SUMPRODUCT(($AZ63&gt;INDEX('How This Works &amp; Sources'!$B$144:$J$150,0,4))*($AZ63-INDEX('How This Works &amp; Sources'!$B$144:$J$150,0,4))*INDEX('How This Works &amp; Sources'!$B$144:$J$150,0,4+2))),0.015*$AZ63),IF($AN63="OH",IF($B63&gt;=DATE(2026,8,1),SUMPRODUCT(($AZ63&gt;INDEX('How This Works &amp; Sources'!$B$203:$J$206,0,1))*($AZ63-INDEX('How This Works &amp; Sources'!$B$203:$J$206,0,1))*INDEX('How This Works &amp; Sources'!$B$203:$J$206,0,1+2)),SUMPRODUCT(($AZ63&gt;INDEX('How This Works &amp; Sources'!$B$184:$J$198,0,7))*($AZ63-INDEX('How This Works &amp; Sources'!$B$184:$J$198,0,7))*INDEX('How This Works &amp; Sources'!$B$184:$J$198,0,7+2))),IF($AN63="OK",IF($AU63="Married",SUMPRODUCT(($AZ63&gt;INDEX('How This Works &amp; Sources'!$B$203:$J$206,0,7))*($AZ63-INDEX('How This Works &amp; Sources'!$B$203:$J$206,0,7))*INDEX('How This Works &amp; Sources'!$B$203:$J$206,0,7+2)),SUMPRODUCT(($AZ63&gt;INDEX('How This Works &amp; Sources'!$B$203:$J$206,0,4))*($AZ63-INDEX('How This Works &amp; Sources'!$B$203:$J$206,0,4))*INDEX('How This Works &amp; Sources'!$B$203:$J$206,0,4+2))),IF($AN63="RI",SUMPRODUCT(($AZ63&gt;INDEX('How This Works &amp; Sources'!$B$211:$J$214,0,7))*($AZ63-INDEX('How This Works &amp; Sources'!$B$211:$J$214,0,7))*INDEX('How This Works &amp; Sources'!$B$211:$J$214,0,7+2)),IF($AN63="VT",IF($AU63="Married",SUMPRODUCT(($AZ63&gt;INDEX('How This Works &amp; Sources'!$B$228:$J$232,0,1))*($AZ63-INDEX('How This Works &amp; Sources'!$B$228:$J$232,0,1))*INDEX('How This Works &amp; Sources'!$B$228:$J$232,0,1+2)),SUMPRODUCT(($AZ63&gt;INDEX('How This Works &amp; Sources'!$B$219:$J$223,0,7))*($AZ63-INDEX('How This Works &amp; Sources'!$B$219:$J$223,0,7))*INDEX('How This Works &amp; Sources'!$B$219:$J$223,0,7+2))),IF($AN63="WV",IF($AU63="Married",SUMPRODUCT(($AZ63&gt;INDEX('How This Works &amp; Sources'!$B$237:$J$241,0,7))*($AZ63-INDEX('How This Works &amp; Sources'!$B$237:$J$241,0,7))*INDEX('How This Works &amp; Sources'!$B$237:$J$241,0,7+2)),SUMPRODUCT(($AZ63&gt;INDEX('How This Works &amp; Sources'!$B$228:$J$232,0,7))*($AZ63-INDEX('How This Works &amp; Sources'!$B$228:$J$232,0,7))*INDEX('How This Works &amp; Sources'!$B$228:$J$232,0,7+2))),""))))))))))</f>
      </c>
      <c r="BY63" s="7">
        <f>IF($B63="","",IF($AN63="AR",SUMPRODUCT(($AZ63&gt;INDEX('How This Works &amp; Sources'!$B$82:$J$86,0,7))*($AZ63-INDEX('How This Works &amp; Sources'!$B$82:$J$86,0,7))*INDEX('How This Works &amp; Sources'!$B$82:$J$86,0,7+2)),IF($AN63="DE",SUMPRODUCT(($AZ63&gt;INDEX('How This Works &amp; Sources'!$B$91:$J$98,0,1))*($AZ63-INDEX('How This Works &amp; Sources'!$B$91:$J$98,0,1))*INDEX('How This Works &amp; Sources'!$B$91:$J$98,0,1+2)),IF($AN63="HI",IF($AU63="Married",SUMPRODUCT(($AZ63&gt;INDEX('How This Works &amp; Sources'!$B$91:$J$98,0,7))*($AZ63-INDEX('How This Works &amp; Sources'!$B$91:$J$98,0,7))*INDEX('How This Works &amp; Sources'!$B$91:$J$98,0,7+2)),SUMPRODUCT(($AZ63&gt;INDEX('How This Works &amp; Sources'!$B$91:$J$98,0,4))*($AZ63-INDEX('How This Works &amp; Sources'!$B$91:$J$98,0,4))*INDEX('How This Works &amp; Sources'!$B$91:$J$98,0,4+2))),IF($AN63="SC",SUMPRODUCT(($AZ63&gt;INDEX('How This Works &amp; Sources'!$B$219:$J$223,0,1))*($AZ63-INDEX('How This Works &amp; Sources'!$B$219:$J$223,0,1))*INDEX('How This Works &amp; Sources'!$B$219:$J$223,0,1+2)),IF($AN63="VA",SUMPRODUCT(($AZ63&gt;INDEX('How This Works &amp; Sources'!$B$219:$J$223,0,4))*($AZ63-INDEX('How This Works &amp; Sources'!$B$219:$J$223,0,4))*INDEX('How This Works &amp; Sources'!$B$219:$J$223,0,4+2)),IF($AN63="WI",SUMPRODUCT(($AZ63&gt;INDEX('How This Works &amp; Sources'!$B$228:$J$232,0,4))*($AZ63-INDEX('How This Works &amp; Sources'!$B$228:$J$232,0,4))*INDEX('How This Works &amp; Sources'!$B$228:$J$232,0,4+2)),"")))))))</f>
      </c>
      <c r="BZ63" s="24">
        <f>IF($B63="","",IF($AN63="NJ",IF('Your Pay &amp; Benefits'!$C$77="B",SUMPRODUCT(($AZ63&gt;=INDEX('How This Works &amp; Sources'!$B$155:$J$162,0,4))*INDEX('How This Works &amp; Sources'!$B$155:$J$162,0,4+2)),IF('Your Pay &amp; Benefits'!$C$77="C",SUMPRODUCT(($AZ63&gt;=INDEX('How This Works &amp; Sources'!$B$155:$J$162,0,7))*INDEX('How This Works &amp; Sources'!$B$155:$J$162,0,7+2)),IF('Your Pay &amp; Benefits'!$C$77="D",SUMPRODUCT(($AZ63&gt;=INDEX('How This Works &amp; Sources'!$B$167:$J$179,0,1))*INDEX('How This Works &amp; Sources'!$B$167:$J$179,0,1+2)),IF('Your Pay &amp; Benefits'!$C$77="E",SUMPRODUCT(($AZ63&gt;=INDEX('How This Works &amp; Sources'!$B$167:$J$179,0,4))*INDEX('How This Works &amp; Sources'!$B$167:$J$179,0,4+2)),SUMPRODUCT(($AZ63&gt;=INDEX('How This Works &amp; Sources'!$B$155:$J$162,0,1))*INDEX('How This Works &amp; Sources'!$B$155:$J$162,0,1+2)))))),IF($AN63="OR",IF(OR($AU63="Married",AND($AU63="Single",$AS63&gt;=3)),SUMPRODUCT((MAX(0,$AY63-MIN(($P63-'How This Works &amp; Sources'!$C$10*$D63)*'Your Pay &amp; Benefits'!$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Sources'!$B$211:$J$214,0,4))*INDEX('How This Works &amp; Sources'!$B$211:$J$214,0,4+2)),SUMPRODUCT((MAX(0,$AY63-MIN(($P63-'How This Works &amp; Sources'!$C$10*$D63)*'Your Pay &amp; Benefits'!$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Sources'!$B$211:$J$214,0,1))*INDEX('How This Works &amp; Sources'!$B$211:$J$214,0,1+2)))*IF(($P63-'How This Works &amp; Sources'!$C$10*$D63)*'Your Pay &amp; Benefits'!$C$8&gt;=IF(OR($AU63="Married",AND($AU63="Single",$AS63&gt;=3)),IF($AY63&lt;250000,8750,IF($AY63&lt;260000,7000,IF($AY63&lt;270000,5250,IF($AY63&lt;280000,3500,IF($AY63&lt;290000,1750,0))))),IF($AY63&lt;125000,8750,IF($AY63&lt;130000,7000,IF($AY63&lt;135000,5250,IF($AY63&lt;140000,3500,IF($AY63&lt;145000,1750,0)))))),1,1-IF('Your Pay &amp; Benefits'!$C$13,SUMPRODUCT(($AH63&gt;=INDEX('How This Works &amp; Sources'!$B$29:$J$36,0,IF('Your Pay &amp; Benefits'!$C$12="MFJ",1,IF('Your Pay &amp; Benefits'!$C$12="HoH",7,4))))*INDEX('How This Works &amp; Sources'!$B$29:$J$36,0,IF('Your Pay &amp; Benefits'!$C$12="MFJ",1,IF('Your Pay &amp; Benefits'!$C$12="HoH",7,4))+2)),SUMPRODUCT(($AH63&gt;=INDEX('How This Works &amp; Sources'!$B$19:$J$26,0,IF('Your Pay &amp; Benefits'!$C$12="MFJ",1,IF('Your Pay &amp; Benefits'!$C$12="HoH",7,4))))*INDEX('How This Works &amp; Sources'!$B$19:$J$26,0,IF('Your Pay &amp; Benefits'!$C$12="MFJ",1,IF('Your Pay &amp; Benefits'!$C$12="HoH",7,4))+2)))),IF($AN63="MI",IF($AY63&gt;5900*$AS63,0.0425,0),""))))</f>
      </c>
      <c r="CA63" s="24">
        <f>IF($B63="","",IF($AN63="AL",IF(OR($AU63="Married",$AU63="Head of household"),SUMPRODUCT(($AZ63&gt;=INDEX('How This Works &amp; Sources'!$B$82:$J$86,0,4))*INDEX('How This Works &amp; Sources'!$B$82:$J$86,0,4+2)),SUMPRODUCT(($AZ63&gt;=INDEX('How This Works &amp; Sources'!$B$82:$J$86,0,1))*INDEX('How This Works &amp; Sources'!$B$82:$J$86,0,1+2)))*(1-IF('Your Pay &amp; Benefits'!$C$13,SUMPRODUCT(($AH63&gt;=INDEX('How This Works &amp; Sources'!$B$29:$J$36,0,IF('Your Pay &amp; Benefits'!$C$12="MFJ",1,IF('Your Pay &amp; Benefits'!$C$12="HoH",7,4))))*INDEX('How This Works &amp; Sources'!$B$29:$J$36,0,IF('Your Pay &amp; Benefits'!$C$12="MFJ",1,IF('Your Pay &amp; Benefits'!$C$12="HoH",7,4))+2)),SUMPRODUCT(($AH63&gt;=INDEX('How This Works &amp; Sources'!$B$19:$J$26,0,IF('Your Pay &amp; Benefits'!$C$12="MFJ",1,IF('Your Pay &amp; Benefits'!$C$12="HoH",7,4))))*INDEX('How This Works &amp; Sources'!$B$19:$J$26,0,IF('Your Pay &amp; Benefits'!$C$12="MFJ",1,IF('Your Pay &amp; Benefits'!$C$12="HoH",7,4))+2)))),IF($AN63="KS",IF($AU63="Married",SUMPRODUCT(($AZ63&gt;=INDEX('How This Works &amp; Sources'!$B$103:$J$109,0,4))*INDEX('How This Works &amp; Sources'!$B$103:$J$109,0,4+2)),SUMPRODUCT(($AZ63&gt;=INDEX('How This Works &amp; Sources'!$B$103:$J$109,0,1))*INDEX('How This Works &amp; Sources'!$B$103:$J$109,0,1+2))),IF($AN63="MD",IF(OR($AU63="Married",$AU63="Head of household"),SUMPRODUCT(($AZ63&gt;=INDEX('How This Works &amp; Sources'!$B$114:$J$120,0,1))*INDEX('How This Works &amp; Sources'!$B$114:$J$120,0,1+2)),SUMPRODUCT(($AZ63&gt;=INDEX('How This Works &amp; Sources'!$B$103:$J$109,0,7))*INDEX('How This Works &amp; Sources'!$B$103:$J$109,0,7+2)))+'Your Pay &amp; Benefits'!$C$74,IF($AN63="MT",IF($AU63="Head of household",SUMPRODUCT(($AZ63&gt;=INDEX('How This Works &amp; Sources'!$B$137:$J$139,0,1))*INDEX('How This Works &amp; Sources'!$B$137:$J$139,0,1+2)),IF($AU63="Married",SUMPRODUCT(($AZ63&gt;=INDEX('How This Works &amp; Sources'!$B$125:$J$132,0,7))*INDEX('How This Works &amp; Sources'!$B$125:$J$132,0,7+2)),SUMPRODUCT(($AZ63&gt;=INDEX('How This Works &amp; Sources'!$B$125:$J$132,0,4))*INDEX('How This Works &amp; Sources'!$B$125:$J$132,0,4+2)))),IF($AN63="ND",IF($AU63="Head of household",SUMPRODUCT(($AZ63&gt;=INDEX('How This Works &amp; Sources'!$B$144:$J$150,0,1))*INDEX('How This Works &amp; Sources'!$B$144:$J$150,0,1+2)),IF($AU63="Married",SUMPRODUCT(($AZ63&gt;=INDEX('How This Works &amp; Sources'!$B$137:$J$139,0,7))*INDEX('How This Works &amp; Sources'!$B$137:$J$139,0,7+2)),SUMPRODUCT(($AZ63&gt;=INDEX('How This Works &amp; Sources'!$B$137:$J$139,0,4))*INDEX('How This Works &amp; Sources'!$B$137:$J$139,0,4+2)))),IF($AN63="NY",IF($AU63="Married",IF($AZ63&gt;=2155350,IF($AZ63&gt;25000000,0.117,IF($AZ63&gt;5000000,0.111,0.1045)),SUMPRODUCT(($AZ63&gt;=INDEX('How This Works &amp; Sources'!$B$184:$J$198,0,1))*INDEX('How This Works &amp; Sources'!$B$184:$J$198,0,1+2))),IF($AZ63&gt;=1077550,IF($AZ63&gt;25000000,0.117,IF($AZ63&gt;5000000,0.111,0.1045)),SUMPRODUCT(($AZ63&gt;=INDEX('How This Works &amp; Sources'!$B$167:$J$179,0,7))*INDEX('How This Works &amp; Sources'!$B$167:$J$179,0,7+2)))),"")))))))</f>
      </c>
      <c r="CB63" s="24">
        <f>IF($B63="","",IF($AN63="CA",SUMPRODUCT(($AJ63&gt;=INDEX('How This Works &amp; Sources'!$B$39:$J$48,0,IF($AU63="Married",4,IF($AU63="Head of household",7,1))))*INDEX('How This Works &amp; Sources'!$B$39:$J$48,0,IF($AU63="Married",4,IF($AU63="Head of household",7,1))+2)),IF($AN63="HI",IF($AU63="Married",SUMPRODUCT(($AZ63&gt;=INDEX('How This Works &amp; Sources'!$B$91:$J$98,0,7))*INDEX('How This Works &amp; Sources'!$B$91:$J$98,0,7+2)),SUMPRODUCT(($AZ63&gt;=INDEX('How This Works &amp; Sources'!$B$91:$J$98,0,4))*INDEX('How This Works &amp; Sources'!$B$91:$J$98,0,4+2))),IF($AN63="MN",IF($AU63="Married",SUMPRODUCT(($AZ63&gt;=INDEX('How This Works &amp; Sources'!$B$114:$J$120,0,7))*INDEX('How This Works &amp; Sources'!$B$114:$J$120,0,7+2)),SUMPRODUCT(($AZ63&gt;=INDEX('How This Works &amp; Sources'!$B$114:$J$120,0,4))*INDEX('How This Works &amp; Sources'!$B$114:$J$120,0,4+2))),IF($AN63="MO",SUMPRODUCT(($AZ63&gt;=INDEX('How This Works &amp; Sources'!$B$125:$J$132,0,1))*INDEX('How This Works &amp; Sources'!$B$125:$J$132,0,1+2)),IF($AN63="NE",MAX(IF($AU63="Married",SUMPRODUCT(($AZ63&gt;=INDEX('How This Works &amp; Sources'!$B$144:$J$150,0,7))*INDEX('How This Works &amp; Sources'!$B$144:$J$150,0,7+2)),SUMPRODUCT(($AZ63&gt;=INDEX('How This Works &amp; Sources'!$B$144:$J$150,0,4))*INDEX('How This Works &amp; Sources'!$B$144:$J$150,0,4+2))),0.015),IF($AN63="OH",IF($B63&gt;=DATE(2026,8,1),SUMPRODUCT(($AZ63&gt;=INDEX('How This Works &amp; Sources'!$B$203:$J$206,0,1))*INDEX('How This Works &amp; Sources'!$B$203:$J$206,0,1+2)),SUMPRODUCT(($AZ63&gt;=INDEX('How This Works &amp; Sources'!$B$184:$J$198,0,7))*INDEX('How This Works &amp; Sources'!$B$184:$J$198,0,7+2))),IF($AN63="OK",IF($AU63="Married",SUMPRODUCT(($AZ63&gt;=INDEX('How This Works &amp; Sources'!$B$203:$J$206,0,7))*INDEX('How This Works &amp; Sources'!$B$203:$J$206,0,7+2)),SUMPRODUCT(($AZ63&gt;=INDEX('How This Works &amp; Sources'!$B$203:$J$206,0,4))*INDEX('How This Works &amp; Sources'!$B$203:$J$206,0,4+2))),IF($AN63="RI",SUMPRODUCT(($AZ63&gt;=INDEX('How This Works &amp; Sources'!$B$211:$J$214,0,7))*INDEX('How This Works &amp; Sources'!$B$211:$J$214,0,7+2)),IF($AN63="SC",SUMPRODUCT(($AZ63&gt;=INDEX('How This Works &amp; Sources'!$B$219:$J$223,0,1))*INDEX('How This Works &amp; Sources'!$B$219:$J$223,0,1+2)),IF($AN63="VT",IF($AU63="Married",SUMPRODUCT(($AZ63&gt;=INDEX('How This Works &amp; Sources'!$B$228:$J$232,0,1))*INDEX('How This Works &amp; Sources'!$B$228:$J$232,0,1+2)),SUMPRODUCT(($AZ63&gt;=INDEX('How This Works &amp; Sources'!$B$219:$J$223,0,7))*INDEX('How This Works &amp; Sources'!$B$219:$J$223,0,7+2))),IF($AN63="WV",IF($AU63="Married",SUMPRODUCT(($AZ63&gt;=INDEX('How This Works &amp; Sources'!$B$237:$J$241,0,7))*INDEX('How This Works &amp; Sources'!$B$237:$J$241,0,7+2)),SUMPRODUCT(($AZ63&gt;=INDEX('How This Works &amp; Sources'!$B$228:$J$232,0,7))*INDEX('How This Works &amp; Sources'!$B$228:$J$232,0,7+2))),IF($AN63="IN",(0.0295+'Your Pay &amp; Benefits'!$C$76),"")))))))))))))</f>
      </c>
      <c r="CC63" s="24">
        <f>IF($B63="","",IF($AN63="AR",SUMPRODUCT(($AZ63&gt;=INDEX('How This Works &amp; Sources'!$B$82:$J$86,0,7))*INDEX('How This Works &amp; Sources'!$B$82:$J$86,0,7+2)),IF($AN63="DE",SUMPRODUCT(($AZ63&gt;=INDEX('How This Works &amp; Sources'!$B$91:$J$98,0,1))*INDEX('How This Works &amp; Sources'!$B$91:$J$98,0,1+2)),IF($AN63="VA",SUMPRODUCT(($AZ63&gt;=INDEX('How This Works &amp; Sources'!$B$219:$J$223,0,4))*INDEX('How This Works &amp; Sources'!$B$219:$J$223,0,4+2)),IF($AN63="WI",SUMPRODUCT(($AZ63&gt;=INDEX('How This Works &amp; Sources'!$B$228:$J$232,0,4))*INDEX('How This Works &amp; Sources'!$B$228:$J$232,0,4+2)),IF($AN63="AZ",'Your Pay &amp; Benefits'!$C$82,IF($AN63="CO",IF($AY63&gt;IF($AU63="Married",10000,5000),0.044,0),IF($AN63="IA",IF($AY63&gt;IF($AU63="Head of household",19500,IF($AU63="Married",26000,13000)),0.038,0),IF($AN63="ID",IF($AY63&gt;IF($AU63="Married",32000,16094),0.053,0),IF($AN63="IL",IF($AY63&gt;(2925*$AS63+1000*$AT63),0.0495,0),IF($AN63="KY",IF($AI63&gt;3360,0.035,0),IF($AN63="LA",0.0309,IF($AN63="MA",IF(MAX(0,$AY63-MIN(($BD62+$Q63+$R63+$S63),2000)-IF($AS63=0,0,IF($AS63=1,4400,1000*$AS63+3400)))&gt;=1107750,0.09,0.05),IF($AN63="MS",IF($AI63-IF($AU63="Head of household",3400,IF($AU63="Married",4600,2300))-'Your Pay &amp; Benefits'!$C$85&gt;10000,0.04,0),IF($AN63="PA",0.0307,"")))))))))))))))</f>
      </c>
      <c r="CD63" s="21">
        <f>IF(YEAR(IF('Your Pay &amp; Benefits'!$C$7="Weekly",'Your Pay &amp; Benefits'!$C$9+7*(($BE62+1)-1),IF('Your Pay &amp; Benefits'!$C$7="Biweekly",'Your Pay &amp; Benefits'!$C$9+14*(($BE62+1)-1),IF('Your Pay &amp; Benefits'!$C$7="Semimonthly",DATE(YEAR('Your Pay &amp; Benefits'!$C$9),MONTH('Your Pay &amp; Benefits'!$C$9)+INT((($BE62+1)-1)/2),MIN(DAY('Your Pay &amp; Benefits'!$C$9),DAY(EOMONTH(DATE(YEAR('Your Pay &amp; Benefits'!$C$9),MONTH('Your Pay &amp; Benefits'!$C$9)+INT((($BE62+1)-1)/2),1),0))))+IF(MOD(($BE62+1)-1,2)=1,15,0),EDATE('Your Pay &amp; Benefits'!$C$9,($BE62+1)-1)))))&lt;&gt;'Your Pay &amp; Benefits'!$C$10,"",IF('Your Pay &amp; Benefits'!$C$7="Weekly",'Your Pay &amp; Benefits'!$C$9+7*(($BE62+1)-1),IF('Your Pay &amp; Benefits'!$C$7="Biweekly",'Your Pay &amp; Benefits'!$C$9+14*(($BE62+1)-1),IF('Your Pay &amp; Benefits'!$C$7="Semimonthly",DATE(YEAR('Your Pay &amp; Benefits'!$C$9),MONTH('Your Pay &amp; Benefits'!$C$9)+INT((($BE62+1)-1)/2),MIN(DAY('Your Pay &amp; Benefits'!$C$9),DAY(EOMONTH(DATE(YEAR('Your Pay &amp; Benefits'!$C$9),MONTH('Your Pay &amp; Benefits'!$C$9)+INT((($BE62+1)-1)/2),1),0))))+IF(MOD(($BE62+1)-1,2)=1,15,0),EDATE('Your Pay &amp; Benefits'!$C$9,($BE62+1)-1)))))</f>
      </c>
      <c r="CE63" s="21">
        <f>IF(MIN(IF(AND('Your Pay &amp; Benefits'!$C$58&gt;MAX($B$6:$B62),'Your Pay &amp; Benefits'!$C$58&gt;=DATE('Your Pay &amp; Benefits'!$C$10,1,1),'Your Pay &amp; Benefits'!$C$58&lt;=DATE('Your Pay &amp; Benefits'!$C$10,12,31)),'Your Pay &amp; Benefits'!$C$58,999999),IF(AND('Your Pay &amp; Benefits'!$C$59&gt;MAX($B$6:$B62),'Your Pay &amp; Benefits'!$C$59&gt;=DATE('Your Pay &amp; Benefits'!$C$10,1,1),'Your Pay &amp; Benefits'!$C$59&lt;=DATE('Your Pay &amp; Benefits'!$C$10,12,31)),'Your Pay &amp; Benefits'!$C$59,999999),IF(AND('Your Pay &amp; Benefits'!$C$60&gt;MAX($B$6:$B62),'Your Pay &amp; Benefits'!$C$60&gt;=DATE('Your Pay &amp; Benefits'!$C$10,1,1),'Your Pay &amp; Benefits'!$C$60&lt;=DATE('Your Pay &amp; Benefits'!$C$10,12,31)),'Your Pay &amp; Benefits'!$C$60,999999),IF(AND('Your Pay &amp; Benefits'!$C$61&gt;MAX($B$6:$B62),'Your Pay &amp; Benefits'!$C$61&gt;=DATE('Your Pay &amp; Benefits'!$C$10,1,1),'Your Pay &amp; Benefits'!$C$61&lt;=DATE('Your Pay &amp; Benefits'!$C$10,12,31)),'Your Pay &amp; Benefits'!$C$61,999999),IF(AND('Your Pay &amp; Benefits'!$C$62&gt;MAX($B$6:$B62),'Your Pay &amp; Benefits'!$C$62&gt;=DATE('Your Pay &amp; Benefits'!$C$10,1,1),'Your Pay &amp; Benefits'!$C$62&lt;=DATE('Your Pay &amp; Benefits'!$C$10,12,31)),'Your Pay &amp; Benefits'!$C$62,999999),IF(AND('Your Pay &amp; Benefits'!$C$63&gt;MAX($B$6:$B62),'Your Pay &amp; Benefits'!$C$63&gt;=DATE('Your Pay &amp; Benefits'!$C$10,1,1),'Your Pay &amp; Benefits'!$C$63&lt;=DATE('Your Pay &amp; Benefits'!$C$10,12,31)),'Your Pay &amp; Benefits'!$C$63,999999),IF(AND('Your Pay &amp; Benefits'!$C$64&gt;MAX($B$6:$B62),'Your Pay &amp; Benefits'!$C$64&gt;=DATE('Your Pay &amp; Benefits'!$C$10,1,1),'Your Pay &amp; Benefits'!$C$64&lt;=DATE('Your Pay &amp; Benefits'!$C$10,12,31)),'Your Pay &amp; Benefits'!$C$64,999999),IF(AND('Your Pay &amp; Benefits'!$C$65&gt;MAX($B$6:$B62),'Your Pay &amp; Benefits'!$C$65&gt;=DATE('Your Pay &amp; Benefits'!$C$10,1,1),'Your Pay &amp; Benefits'!$C$65&lt;=DATE('Your Pay &amp; Benefits'!$C$10,12,31)),'Your Pay &amp; Benefits'!$C$65,999999),IF(AND('Your Pay &amp; Benefits'!$C$66&gt;MAX($B$6:$B62),'Your Pay &amp; Benefits'!$C$66&gt;=DATE('Your Pay &amp; Benefits'!$C$10,1,1),'Your Pay &amp; Benefits'!$C$66&lt;=DATE('Your Pay &amp; Benefits'!$C$10,12,31)),'Your Pay &amp; Benefits'!$C$66,999999),IF(AND('Your Pay &amp; Benefits'!$C$67&gt;MAX($B$6:$B62),'Your Pay &amp; Benefits'!$C$67&gt;=DATE('Your Pay &amp; Benefits'!$C$10,1,1),'Your Pay &amp; Benefits'!$C$67&lt;=DATE('Your Pay &amp; Benefits'!$C$10,12,31)),'Your Pay &amp; Benefits'!$C$67,999999))=999999,"",MIN(IF(AND('Your Pay &amp; Benefits'!$C$58&gt;MAX($B$6:$B62),'Your Pay &amp; Benefits'!$C$58&gt;=DATE('Your Pay &amp; Benefits'!$C$10,1,1),'Your Pay &amp; Benefits'!$C$58&lt;=DATE('Your Pay &amp; Benefits'!$C$10,12,31)),'Your Pay &amp; Benefits'!$C$58,999999),IF(AND('Your Pay &amp; Benefits'!$C$59&gt;MAX($B$6:$B62),'Your Pay &amp; Benefits'!$C$59&gt;=DATE('Your Pay &amp; Benefits'!$C$10,1,1),'Your Pay &amp; Benefits'!$C$59&lt;=DATE('Your Pay &amp; Benefits'!$C$10,12,31)),'Your Pay &amp; Benefits'!$C$59,999999),IF(AND('Your Pay &amp; Benefits'!$C$60&gt;MAX($B$6:$B62),'Your Pay &amp; Benefits'!$C$60&gt;=DATE('Your Pay &amp; Benefits'!$C$10,1,1),'Your Pay &amp; Benefits'!$C$60&lt;=DATE('Your Pay &amp; Benefits'!$C$10,12,31)),'Your Pay &amp; Benefits'!$C$60,999999),IF(AND('Your Pay &amp; Benefits'!$C$61&gt;MAX($B$6:$B62),'Your Pay &amp; Benefits'!$C$61&gt;=DATE('Your Pay &amp; Benefits'!$C$10,1,1),'Your Pay &amp; Benefits'!$C$61&lt;=DATE('Your Pay &amp; Benefits'!$C$10,12,31)),'Your Pay &amp; Benefits'!$C$61,999999),IF(AND('Your Pay &amp; Benefits'!$C$62&gt;MAX($B$6:$B62),'Your Pay &amp; Benefits'!$C$62&gt;=DATE('Your Pay &amp; Benefits'!$C$10,1,1),'Your Pay &amp; Benefits'!$C$62&lt;=DATE('Your Pay &amp; Benefits'!$C$10,12,31)),'Your Pay &amp; Benefits'!$C$62,999999),IF(AND('Your Pay &amp; Benefits'!$C$63&gt;MAX($B$6:$B62),'Your Pay &amp; Benefits'!$C$63&gt;=DATE('Your Pay &amp; Benefits'!$C$10,1,1),'Your Pay &amp; Benefits'!$C$63&lt;=DATE('Your Pay &amp; Benefits'!$C$10,12,31)),'Your Pay &amp; Benefits'!$C$63,999999),IF(AND('Your Pay &amp; Benefits'!$C$64&gt;MAX($B$6:$B62),'Your Pay &amp; Benefits'!$C$64&gt;=DATE('Your Pay &amp; Benefits'!$C$10,1,1),'Your Pay &amp; Benefits'!$C$64&lt;=DATE('Your Pay &amp; Benefits'!$C$10,12,31)),'Your Pay &amp; Benefits'!$C$64,999999),IF(AND('Your Pay &amp; Benefits'!$C$65&gt;MAX($B$6:$B62),'Your Pay &amp; Benefits'!$C$65&gt;=DATE('Your Pay &amp; Benefits'!$C$10,1,1),'Your Pay &amp; Benefits'!$C$65&lt;=DATE('Your Pay &amp; Benefits'!$C$10,12,31)),'Your Pay &amp; Benefits'!$C$65,999999),IF(AND('Your Pay &amp; Benefits'!$C$66&gt;MAX($B$6:$B62),'Your Pay &amp; Benefits'!$C$66&gt;=DATE('Your Pay &amp; Benefits'!$C$10,1,1),'Your Pay &amp; Benefits'!$C$66&lt;=DATE('Your Pay &amp; Benefits'!$C$10,12,31)),'Your Pay &amp; Benefits'!$C$66,999999),IF(AND('Your Pay &amp; Benefits'!$C$67&gt;MAX($B$6:$B62),'Your Pay &amp; Benefits'!$C$67&gt;=DATE('Your Pay &amp; Benefits'!$C$10,1,1),'Your Pay &amp; Benefits'!$C$67&lt;=DATE('Your Pay &amp; Benefits'!$C$10,12,31)),'Your Pay &amp; Benefits'!$C$67,999999)))</f>
      </c>
      <c r="CF63">
        <f>IF($B63="","",IF($D63=0,$Y63,""))</f>
      </c>
    </row>
    <row r="64">
      <c r="A64" t="n">
        <v>59</v>
      </c>
      <c r="B64" s="21">
        <f>IF(AND($CD64="",$CE64=""),"",IF($CE64="",$CD64,IF($CD64="",$CE64,MIN($CD64,$CE64))))</f>
      </c>
      <c r="C64" s="7">
        <f>IF($B64="","",IF($BF64=0,0,IF('Your Pay &amp; Benefits'!$C$4="Annual salary",ROUND($AK64/IF(AND('Your Pay &amp; Benefits'!$C$88="Actual paydays",MONTH('Your Pay &amp; Benefits'!$C$9)=1),MAX(1,MAX($BE$6:$BE$68)),'Your Pay &amp; Benefits'!$C$8),2),$AK64)))</f>
      </c>
      <c r="D64" s="7">
        <f>IF($B64="","",SUMIF('Your Pay &amp; Benefits'!$C$58:$C$67,$B64,'Your Pay &amp; Benefits'!$D$58:$D$67))</f>
      </c>
      <c r="E64" s="7">
        <f>IF($B64="","",ROUND(MAX(0,MIN(IF($AL64="Percent",$AM64*($C64+$D64),$AM64),MAX(0,'Your Pay &amp; Benefits'!$C$34-$AC63))),2))</f>
      </c>
      <c r="F64" s="7">
        <f>IF($B64="","",ROUND(MAX(0,MIN(IF('Your Pay &amp; Benefits'!$C$32="Percent",'Your Pay &amp; Benefits'!$D$32*($C64+$D64),'Your Pay &amp; Benefits'!$D$32),MAX(0,'Your Pay &amp; Benefits'!$C$34-$AC63-$E64))),2))</f>
      </c>
      <c r="G64" s="7">
        <f>IF($B64="","",IF($BF64=0,0,ROUND(MAX(0,MIN($BL64,'Your Pay &amp; Benefits'!$C$37-'Your Pay &amp; Benefits'!$C$54-$BI63)),2)))</f>
      </c>
      <c r="H64" s="7">
        <f>IF($B64="","",IF(OR($BF64=0,$BQ64=1),0,ROUND(MAX(0,MIN(IF($BS64=1,ROUND(MAX(0,MIN($BJ64,'How This Works &amp; Sources'!$C$13)-$BG63)/MAX(1,MAX($BE$6:$BE$68)-($BE63)),2),ROUND(MIN($BJ64,'How This Works &amp; Sources'!$C$13)/'Your Pay &amp; Benefits'!$C$8,2)),MIN($BJ64,'How This Works &amp; Sources'!$C$13)-$BG63)),2)))</f>
      </c>
      <c r="I64" s="7">
        <f>IF($B64="","",IF(OR($BF64=0,$BR64=1),0,ROUND(MAX(0,MIN(IF($BT64=1,ROUND(MAX(0,MIN($BK64,IF('Your Pay &amp; Benefits'!$C$12="MFJ",'How This Works &amp; Sources'!$C$14,'How This Works &amp; Sources'!$C$15))-$BH63)/MAX(1,MAX($BE$6:$BE$68)-($BE63)),2),ROUND(MIN($BK64,IF('Your Pay &amp; Benefits'!$C$12="MFJ",'How This Works &amp; Sources'!$C$14,'How This Works &amp; Sources'!$C$15))/'Your Pay &amp; Benefits'!$C$8,2)),MIN($BK64,IF('Your Pay &amp; Benefits'!$C$12="MFJ",'How This Works &amp; Sources'!$C$14,'How This Works &amp; Sources'!$C$15))-$BH63)),2)))</f>
      </c>
      <c r="J64" s="7">
        <f>IF($B64="","",IF($BF64=0,0,$BM64))</f>
      </c>
      <c r="K64" s="7">
        <f>IF($B64="","",IF($BF64=0,0,$BN64+$BO64))</f>
      </c>
      <c r="L64" s="7">
        <f>IF($B64="","",IF($BF64=0,0,'Your Pay &amp; Benefits'!$D$46))</f>
      </c>
      <c r="M64" s="7">
        <f>IF($B64="","",$C64+$D64+$L64-$E64-$G64-$H64-$I64-$J64-$K64)</f>
      </c>
      <c r="N64" s="7">
        <f>IF($B64="","",$C64+$D64+$L64-$G64-$H64-$I64-$J64-$K64)</f>
      </c>
      <c r="O64" s="7">
        <f>IF($B64="","",$C64+$D64+$L64-$E64-$H64-$I64-$J64-$K64-IF(OR($AN64="CA",$AN64="NJ"),0,$G64))</f>
      </c>
      <c r="P64" s="7">
        <f>IF($B64="","",IF('Your Pay &amp; Benefits'!$C$18,0,ROUND(MAX(0,IF('Your Pay &amp; Benefits'!$C$13,SUMPRODUCT(($AH64&gt;INDEX('How This Works &amp; Sources'!$B$29:$J$36,0,IF('Your Pay &amp; Benefits'!$C$12="MFJ",1,IF('Your Pay &amp; Benefits'!$C$12="HoH",7,4))))*($AH64-INDEX('How This Works &amp; Sources'!$B$29:$J$36,0,IF('Your Pay &amp; Benefits'!$C$12="MFJ",1,IF('Your Pay &amp; Benefits'!$C$12="HoH",7,4))))*INDEX('How This Works &amp; Sources'!$B$29:$J$36,0,IF('Your Pay &amp; Benefits'!$C$12="MFJ",1,IF('Your Pay &amp; Benefits'!$C$12="HoH",7,4))+2)),SUMPRODUCT(($AH64&gt;INDEX('How This Works &amp; Sources'!$B$19:$J$26,0,IF('Your Pay &amp; Benefits'!$C$12="MFJ",1,IF('Your Pay &amp; Benefits'!$C$12="HoH",7,4))))*($AH64-INDEX('How This Works &amp; Sources'!$B$19:$J$26,0,IF('Your Pay &amp; Benefits'!$C$12="MFJ",1,IF('Your Pay &amp; Benefits'!$C$12="HoH",7,4))))*INDEX('How This Works &amp; Sources'!$B$19:$J$26,0,IF('Your Pay &amp; Benefits'!$C$12="MFJ",1,IF('Your Pay &amp; Benefits'!$C$12="HoH",7,4))+2)))/'Your Pay &amp; Benefits'!$C$8-$AO64/'Your Pay &amp; Benefits'!$C$8)+$AR64+IF('Your Pay &amp; Benefits'!$C$89="Aggregate",MAX(0,IF('Your Pay &amp; Benefits'!$C$13,SUMPRODUCT((($AH64+$D64)&gt;INDEX('How This Works &amp; Sources'!$B$29:$J$36,0,IF('Your Pay &amp; Benefits'!$C$12="MFJ",1,IF('Your Pay &amp; Benefits'!$C$12="HoH",7,4))))*(($AH64+$D64)-INDEX('How This Works &amp; Sources'!$B$29:$J$36,0,IF('Your Pay &amp; Benefits'!$C$12="MFJ",1,IF('Your Pay &amp; Benefits'!$C$12="HoH",7,4))))*INDEX('How This Works &amp; Sources'!$B$29:$J$36,0,IF('Your Pay &amp; Benefits'!$C$12="MFJ",1,IF('Your Pay &amp; Benefits'!$C$12="HoH",7,4))+2)),SUMPRODUCT((($AH64+$D64)&gt;INDEX('How This Works &amp; Sources'!$B$19:$J$26,0,IF('Your Pay &amp; Benefits'!$C$12="MFJ",1,IF('Your Pay &amp; Benefits'!$C$12="HoH",7,4))))*(($AH64+$D64)-INDEX('How This Works &amp; Sources'!$B$19:$J$26,0,IF('Your Pay &amp; Benefits'!$C$12="MFJ",1,IF('Your Pay &amp; Benefits'!$C$12="HoH",7,4))))*INDEX('How This Works &amp; Sources'!$B$19:$J$26,0,IF('Your Pay &amp; Benefits'!$C$12="MFJ",1,IF('Your Pay &amp; Benefits'!$C$12="HoH",7,4))+2)))-IF('Your Pay &amp; Benefits'!$C$13,SUMPRODUCT(($AH64&gt;INDEX('How This Works &amp; Sources'!$B$29:$J$36,0,IF('Your Pay &amp; Benefits'!$C$12="MFJ",1,IF('Your Pay &amp; Benefits'!$C$12="HoH",7,4))))*($AH64-INDEX('How This Works &amp; Sources'!$B$29:$J$36,0,IF('Your Pay &amp; Benefits'!$C$12="MFJ",1,IF('Your Pay &amp; Benefits'!$C$12="HoH",7,4))))*INDEX('How This Works &amp; Sources'!$B$29:$J$36,0,IF('Your Pay &amp; Benefits'!$C$12="MFJ",1,IF('Your Pay &amp; Benefits'!$C$12="HoH",7,4))+2)),SUMPRODUCT(($AH64&gt;INDEX('How This Works &amp; Sources'!$B$19:$J$26,0,IF('Your Pay &amp; Benefits'!$C$12="MFJ",1,IF('Your Pay &amp; Benefits'!$C$12="HoH",7,4))))*($AH64-INDEX('How This Works &amp; Sources'!$B$19:$J$26,0,IF('Your Pay &amp; Benefits'!$C$12="MFJ",1,IF('Your Pay &amp; Benefits'!$C$12="HoH",7,4))))*INDEX('How This Works &amp; Sources'!$B$19:$J$26,0,IF('Your Pay &amp; Benefits'!$C$12="MFJ",1,IF('Your Pay &amp; Benefits'!$C$12="HoH",7,4))+2)))),'How This Works &amp; Sources'!$C$10*$D64),2)))</f>
      </c>
      <c r="Q64" s="7">
        <f>IF($B64="","",ROUND('How This Works &amp; Sources'!$C$4*MIN($N64,MAX(0,'How This Works &amp; Sources'!$C$3-($AX64+$AB63-$AW64))),2))</f>
      </c>
      <c r="R64" s="7">
        <f>IF($B64="","",ROUND('How This Works &amp; Sources'!$C$5*$N64,2))</f>
      </c>
      <c r="S64" s="7">
        <f>IF($B64="","",ROUND('How This Works &amp; Sources'!$C$6*MAX(0,MIN($N64,$AG63+$N64-'How This Works &amp; Sources'!$C$7)),2))</f>
      </c>
      <c r="T64" s="7">
        <f>IF($B64="","",IF('Your Pay &amp; Benefits'!$C$26,0,IF($AN64="CA",ROUND(IF($AI64&lt;=IF(($AS64+$AT64)&gt;=2,VLOOKUP($AN64,StateTables!$A$6:$AB$56,10,FALSE),VLOOKUP($AN64,StateTables!$A$6:$AB$56,9,FALSE)),0,MAX(0,SUMPRODUCT(($AJ64&gt;INDEX('How This Works &amp; Sources'!$B$39:$J$48,0,IF($AU64="Married",4,IF($AU64="Head of household",7,1))))*($AJ64-INDEX('How This Works &amp; Sources'!$B$39:$J$48,0,IF($AU64="Married",4,IF($AU64="Head of household",7,1))))*INDEX('How This Works &amp; Sources'!$B$39:$J$48,0,IF($AU64="Married",4,IF($AU64="Head of household",7,1))+2))-VLOOKUP($AN64,StateTables!$A$6:$AB$56,11,FALSE)*$AS64)/'Your Pay &amp; Benefits'!$C$8)+'Your Pay &amp; Benefits'!$C$25+VLOOKUP($AN64,StateTables!$A$6:$AB$56,13,FALSE)*$D64,2),IF(VLOOKUP($AN64,StateTables!$A$6:$AB$56,4,FALSE)="None",0,IF(ISNUMBER(SEARCH("MANUAL",VLOOKUP($AN64,StateTables!$A$6:$AB$56,5,FALSE))),'Your Pay &amp; Benefits'!$C$28,ROUND(MAX(0,$BA64+$BB64)/'Your Pay &amp; Benefits'!$C$8+'Your Pay &amp; Benefits'!$C$25+$BC64,2))))))</f>
      </c>
      <c r="U64" s="7">
        <f>IF($B64="","",IF(VLOOKUP($AN64,StateTables!$A$6:$AB$56,24,FALSE)="flatq",IF(OR(MONTH($B64)=1,MONTH($B64)=4,MONTH($B64)=7,MONTH($B64)=10),VLOOKUP($AN64,StateTables!$A$6:$AB$56,25,FALSE),0),IF(VLOOKUP($AN64,StateTables!$A$6:$AB$56,24,FALSE)="dbl",MIN(ROUND(0.005*$N64,2),ROUND(0.6*52/'Your Pay &amp; Benefits'!$C$8,2)),IF(OR(VLOOKUP($AN64,StateTables!$A$6:$AB$56,15,FALSE)="",VLOOKUP($AN64,StateTables!$A$6:$AB$56,15,FALSE)=0),0,ROUND(VLOOKUP($AN64,StateTables!$A$6:$AB$56,15,FALSE)*IF(OR(VLOOKUP($AN64,StateTables!$A$6:$AB$56,16,FALSE)="",VLOOKUP($AN64,StateTables!$A$6:$AB$56,16,FALSE)=0),$N64,MIN($N64,MAX(0,VLOOKUP($AN64,StateTables!$A$6:$AB$56,16,FALSE)-($AX64+$AB63-$AW64)))),2))))+IF(VLOOKUP($AN64,StateTables!$A$6:$AB$56,27,FALSE)="flatq",IF(OR(MONTH($B64)=1,MONTH($B64)=4,MONTH($B64)=7,MONTH($B64)=10),VLOOKUP($AN64,StateTables!$A$6:$AB$56,28,FALSE),0),IF(VLOOKUP($AN64,StateTables!$A$6:$AB$56,27,FALSE)="dbl",MIN(ROUND(0.005*$N64,2),ROUND(0.6*52/'Your Pay &amp; Benefits'!$C$8,2)),IF(OR(VLOOKUP($AN64,StateTables!$A$6:$AB$56,18,FALSE)="",VLOOKUP($AN64,StateTables!$A$6:$AB$56,18,FALSE)=0),0,ROUND(VLOOKUP($AN64,StateTables!$A$6:$AB$56,18,FALSE)*IF(OR(VLOOKUP($AN64,StateTables!$A$6:$AB$56,19,FALSE)="",VLOOKUP($AN64,StateTables!$A$6:$AB$56,19,FALSE)=0),$N64,MIN($N64,MAX(0,VLOOKUP($AN64,StateTables!$A$6:$AB$56,19,FALSE)-($AX64+$AB63-$AW64)))),2)))))</f>
      </c>
      <c r="V64" s="7">
        <f>IF($B64="","",IF($AN64="NY",IF('Your Pay &amp; Benefits'!$C$78,ROUND(SUMPRODUCT((MAX(0,($O64-$D64)*'Your Pay &amp; Benefits'!$C$8-(IF($AU64="Married",5500,5000)+1000*$AS64))&gt;INDEX('How This Works &amp; Sources'!$B$184:$J$198,0,4))*(MAX(0,($O64-$D64)*'Your Pay &amp; Benefits'!$C$8-(IF($AU64="Married",5500,5000)+1000*$AS64))-INDEX('How This Works &amp; Sources'!$B$184:$J$198,0,4))*INDEX('How This Works &amp; Sources'!$B$184:$J$198,0,4+2))/'Your Pay &amp; Benefits'!$C$8+0.0425*$D64,2),0)+IF('Your Pay &amp; Benefits'!$C$79="Resident",ROUND(0.1675*$T64,2),IF('Your Pay &amp; Benefits'!$C$79="Nonresident",ROUND(0.005*MAX(0,($O64-$D64)-(IF($AU64="Married",7950,7400)+1000*$AS64)/'Your Pay &amp; Benefits'!$C$8),2),0)),IF($AN64="PA",IF('Your Pay &amp; Benefits'!$C$80="None",'Your Pay &amp; Benefits'!$C$27+ROUND('Your Pay &amp; Benefits'!$C$81*($C64+$D64),2),ROUND(IF('Your Pay &amp; Benefits'!$C$80="Resident",IF($B64&lt;DATE(2026,7,1),0.0374,0.03735),IF($B64&lt;DATE(2026,7,1),0.0343,0.03425))*($C64+$D64),2)),IF($BF64=0,ROUND('Your Pay &amp; Benefits'!$C$81*($C64+$D64),2),'Your Pay &amp; Benefits'!$C$27+ROUND('Your Pay &amp; Benefits'!$C$81*($C64+$D64),2)))))</f>
      </c>
      <c r="W64" s="7">
        <f>IF($B64="","",IF($BF64=0,0,$BP64))</f>
      </c>
      <c r="X64" s="7">
        <f>IF($B64="","",SUM($E64:$K64)+$P64+$Q64+$R64+$S64+$T64+$U64+$V64+$W64)</f>
      </c>
      <c r="Y64" s="22">
        <f>IF($B64="","",$C64+$D64-$X64)</f>
      </c>
      <c r="Z64" s="7">
        <f>IF($B64="","",$Z63+$C64+$D64)</f>
      </c>
      <c r="AA64" s="7">
        <f>IF($B64="","",$AA63+$Y64)</f>
      </c>
      <c r="AB64" s="7">
        <f>IF($B64="","",$AB63+MIN($N64,MAX(0,'How This Works &amp; Sources'!$C$3-($AX64+$AB63-$AW64))))</f>
      </c>
      <c r="AC64" s="7">
        <f>IF($B64="","",$AC63+$E64+$F64)</f>
      </c>
      <c r="AD64" s="3">
        <f>IF($B64="","",IF(AND($AB63&lt;'How This Works &amp; Sources'!$C$3,$AB64&gt;='How This Works &amp; Sources'!$C$3),"★ Social Security maxed on this check — from the next check your net rises by about $"&amp;TEXT(ROUND('How This Works &amp; Sources'!$C$4*$N64,2),"#,##0.00")&amp;". ","")&amp;IF(AND($AC63&lt;'Your Pay &amp; Benefits'!$C$34,$AC64&gt;='Your Pay &amp; Benefits'!$C$34),"★ 401(k) reaches the $"&amp;TEXT('Your Pay &amp; Benefits'!$C$34,"#,##0")&amp;" cap on this check — deferrals stop and net pay rises. ","")&amp;IF(AND($AG63&lt;'How This Works &amp; Sources'!$C$7,$AG64&gt;='How This Works &amp; Sources'!$C$7),"★ Wages pass $200,000 — the 0.9% Additional Medicare Tax starts here. ","")&amp;IF(AND($BJ64&gt;0,$H64&gt;0,$BG63&lt;MIN($BJ64,'How This Works &amp; Sources'!$C$13),$BG63+$H64&gt;=MIN($BJ64,'How This Works &amp; Sources'!$C$13)),"★ Health FSA election is now fully deferred for the year. ",""))</f>
      </c>
      <c r="AE64" s="41" t="n"/>
      <c r="AF64" s="7">
        <f>IF(OR($B64="",$AE64=""),"",$AE64-$Y64)</f>
      </c>
      <c r="AG64" s="7">
        <f>IF($B64="","",$AG63+$N64)</f>
      </c>
      <c r="AH64" s="7">
        <f>IF($B64="","",MAX(0,($M64-$D64)*'Your Pay &amp; Benefits'!$C$8+$AP64-$AQ64-IF('Your Pay &amp; Benefits'!$C$13,0,IF('Your Pay &amp; Benefits'!$C$12="MFJ",'How This Works &amp; Sources'!$C$8,'How This Works &amp; Sources'!$C$9))))</f>
      </c>
      <c r="AI64" s="7">
        <f>IF($B64="","",$O64*'Your Pay &amp; Benefits'!$C$8)</f>
      </c>
      <c r="AJ64" s="7">
        <f>IF($B64="","",MAX(0,$AI64-VLOOKUP($AN64,StateTables!$A$6:$AB$56,12,FALSE)*$AT64-IF(($AS64+$AT64)&gt;=2,VLOOKUP($AN64,StateTables!$A$6:$AB$56,8,FALSE),VLOOKUP($AN64,StateTables!$A$6:$AB$56,7,FALSE))))</f>
      </c>
      <c r="AK64" s="7">
        <f>IF($B64="","",IFERROR(LOOKUP(2,1/(('Changes &amp; Events'!$C$6:$C$17="Salary change")*('Changes &amp; Events'!$B$6:$B$17&lt;=$B64)*('Changes &amp; Events'!$B$6:$B$17&lt;&gt;"")),'Changes &amp; Events'!$D$6:$D$17),IF('Your Pay &amp; Benefits'!$C$4="Annual salary",'Your Pay &amp; Benefits'!$C$5,'Your Pay &amp; Benefits'!$C$6)))</f>
      </c>
      <c r="AL64">
        <f>IF($B64="","",IFERROR(LOOKUP(2,1/(('Changes &amp; Events'!$C$6:$C$17="401(k) change")*('Changes &amp; Events'!$B$6:$B$17&lt;=$B64)*('Changes &amp; Events'!$B$6:$B$17&lt;&gt;"")),'Changes &amp; Events'!$D$6:$D$17),'Your Pay &amp; Benefits'!$C$30))</f>
      </c>
      <c r="AM64" s="7">
        <f>IF($B64="","",IFERROR(LOOKUP(2,1/(('Changes &amp; Events'!$C$6:$C$17="401(k) change")*('Changes &amp; Events'!$B$6:$B$17&lt;=$B64)*('Changes &amp; Events'!$B$6:$B$17&lt;&gt;"")),'Changes &amp; Events'!$E$6:$E$17),'Your Pay &amp; Benefits'!$D$31))</f>
      </c>
      <c r="AN64">
        <f>IF($B64="","",IFERROR(LOOKUP(2,1/(('Changes &amp; Events'!$C$6:$C$17="State move")*('Changes &amp; Events'!$B$6:$B$17&lt;=$B64)*('Changes &amp; Events'!$B$6:$B$17&lt;&gt;"")),'Changes &amp; Events'!$D$6:$D$17),'Your Pay &amp; Benefits'!$C$21))</f>
      </c>
      <c r="AO64" s="7">
        <f>IF($B64="","",IFERROR(LOOKUP(2,1/(('Changes &amp; Events'!$C$6:$C$17="W-4 change")*('Changes &amp; Events'!$B$6:$B$17&lt;=$B64)*('Changes &amp; Events'!$B$6:$B$17&lt;&gt;"")),'Changes &amp; Events'!$D$6:$D$17),'Your Pay &amp; Benefits'!$C$14))</f>
      </c>
      <c r="AP64" s="7">
        <f>IF($B64="","",IFERROR(LOOKUP(2,1/(('Changes &amp; Events'!$C$6:$C$17="W-4 change")*('Changes &amp; Events'!$B$6:$B$17&lt;=$B64)*('Changes &amp; Events'!$B$6:$B$17&lt;&gt;"")),'Changes &amp; Events'!$E$6:$E$17),'Your Pay &amp; Benefits'!$C$15))</f>
      </c>
      <c r="AQ64" s="7">
        <f>IF($B64="","",IFERROR(LOOKUP(2,1/(('Changes &amp; Events'!$C$6:$C$17="W-4 change")*('Changes &amp; Events'!$B$6:$B$17&lt;=$B64)*('Changes &amp; Events'!$B$6:$B$17&lt;&gt;"")),'Changes &amp; Events'!$F$6:$F$17),'Your Pay &amp; Benefits'!$C$16))</f>
      </c>
      <c r="AR64" s="7">
        <f>IF($B64="","",IFERROR(LOOKUP(2,1/(('Changes &amp; Events'!$C$6:$C$17="W-4 change")*('Changes &amp; Events'!$B$6:$B$17&lt;=$B64)*('Changes &amp; Events'!$B$6:$B$17&lt;&gt;"")),'Changes &amp; Events'!$G$6:$G$17),'Your Pay &amp; Benefits'!$C$17))</f>
      </c>
      <c r="AS64" s="6">
        <f>IF($B64="","",IFERROR(LOOKUP(2,1/((('Changes &amp; Events'!$C$6:$C$17="State move")+('Changes &amp; Events'!$C$6:$C$17="State cert change"))*('Changes &amp; Events'!$B$6:$B$17&lt;=$B64)*('Changes &amp; Events'!$B$6:$B$17&lt;&gt;"")),'Changes &amp; Events'!$F$6:$F$17),'Your Pay &amp; Benefits'!$C$23))</f>
      </c>
      <c r="AT64" s="6">
        <f>IF($B64="","",IFERROR(LOOKUP(2,1/((('Changes &amp; Events'!$C$6:$C$17="State move")+('Changes &amp; Events'!$C$6:$C$17="State cert change"))*('Changes &amp; Events'!$B$6:$B$17&lt;=$B64)*('Changes &amp; Events'!$B$6:$B$17&lt;&gt;"")),'Changes &amp; Events'!$G$6:$G$17),'Your Pay &amp; Benefits'!$C$24))</f>
      </c>
      <c r="AU64">
        <f>IF($B64="","",IFERROR(LOOKUP(2,1/(('Changes &amp; Events'!$C$6:$C$17="State move")*('Changes &amp; Events'!$B$6:$B$17&lt;=$B64)*('Changes &amp; Events'!$B$6:$B$17&lt;&gt;"")),'Changes &amp; Events'!$E$6:$E$17),'Your Pay &amp; Benefits'!$C$22))</f>
      </c>
      <c r="AV64" s="6">
        <f>IF($B64="","",1+COUNTIFS('Changes &amp; Events'!$C$6:$C$17,"Employer change",'Changes &amp; Events'!$B$6:$B$17,"&lt;="&amp;$B64,'Changes &amp; Events'!$B$6:$B$17,"&lt;&gt;"))</f>
      </c>
      <c r="AW64" s="7">
        <f>IF($B64="","",IF($AV64=1,'Your Pay &amp; Benefits'!$C$49,IF(IFERROR(MATCH(IFERROR(LOOKUP(2,1/(('Changes &amp; Events'!$C$6:$C$17="Employer change")*('Changes &amp; Events'!$B$6:$B$17&lt;=$B64)*('Changes &amp; Events'!$B$6:$B$17&lt;&gt;"")),'Changes &amp; Events'!$B$6:$B$17),""),$B$6:$B$68,1),1)&lt;=1,'Your Pay &amp; Benefits'!$C$49,INDEX($AB$6:$AB$68,MATCH(IFERROR(LOOKUP(2,1/(('Changes &amp; Events'!$C$6:$C$17="Employer change")*('Changes &amp; Events'!$B$6:$B$17&lt;=$B64)*('Changes &amp; Events'!$B$6:$B$17&lt;&gt;"")),'Changes &amp; Events'!$B$6:$B$17),""),$B$6:$B$68,1)-1))))</f>
      </c>
      <c r="AX64" s="7">
        <f>IF($B64="","",IF($AV64=1,'Your Pay &amp; Benefits'!$C$49,IFERROR(LOOKUP(2,1/(('Changes &amp; Events'!$C$6:$C$17="Employer change")*('Changes &amp; Events'!$B$6:$B$17&lt;=$B64)*('Changes &amp; Events'!$B$6:$B$17&lt;&gt;"")),'Changes &amp; Events'!$D$6:$D$17),0)))</f>
      </c>
      <c r="AY64" s="7">
        <f>IF($B64="","",($O64-$D64)*'Your Pay &amp; Benefits'!$C$8)</f>
      </c>
      <c r="AZ64" s="7">
        <f>IF($B64="","",IF($AN64="AL",MAX(0,$AY64-IF($AU64="Married",IF($AY64&lt;=25999,8500,MAX(5000,8500-175*CEILING(($AY64-25999)/500,1))),IF($AU64="Head of household",IF($AY64&lt;=25999,5200,MAX(2500,5200-135*CEILING(($AY64-25999)/500,1))),IF($AY64&lt;=25999,3000,MAX(2500,3000-25*CEILING(($AY64-25999)/500,1)))))-($P64-'How This Works &amp; Sources'!$C$10*$D64)*'Your Pay &amp; Benefits'!$C$8-IF(OR($AU64="Married",$AU64="Head of household"),3000,1500)-$AT64*IF($AY64&lt;=50000,1000,IF($AY64&lt;=100000,500,300))),IF($AN64="AR",IF(MAX(0,$AY64-2470)&lt;97701,INT(MAX(0,$AY64-2470)/100)*100+50,MAX(0,$AY64-2470)),IF($AN64="DE",MAX(0,$AI64-3250),IF($AN64="HI",MAX(0,$AI64-1144*$AS64-4350),IF($AN64="KS",MAX(0,$AI64-(9160*IF($AU64="Married",2,1)+2320*$AT64+IF($AU64="Head of household",2320,0))),IF($AN64="MD",MAX(0,$AI64-3400-3200*$AS64),IF($AN64="MN",MAX(0,$AY64-5300*$AS64),IF($AN64="MO",MAX(0,$AI64-IF($AU64="Head of household",24150,IF($AU64="Married",IF('Your Pay &amp; Benefits'!$C$83,16100,32200),16100))),IF($AN64="MT",$AY64,IF($AN64="ND",($C64+$L64)*'Your Pay &amp; Benefits'!$C$8,IF($AN64="NE",MAX(0,$AY64-2440*$AS64),IF($AN64="NJ",MAX(0,$AY64-1000*$AS64),IF($AN64="NY",MAX(0,$AY64-(IF($AU64="Married",7950,7400)+1000*$AS64)),IF($AN64="OH",MAX(0,$AY64-650*$AS64),IF($AN64="OK",MAX(0,$AY64-1000*$AS64),IF($AN64="RI",MAX(0,$AI64-1000*$AS64),IF($AN64="SC",MAX(0,$AI64-5000*$AS64-IF($AS64=0,0,MIN(0.1*$AI64,7500))),IF($AN64="VA",MAX(0,$AI64-IF($AU64="Married",17500,8750)-930*$AS64-800*$AT64),IF($AN64="VT",MAX(0,$AI64-5400*$AS64),IF($AN64="WI",MAX(0,$AI64-MAX(0,IF($AU64="Married",9461-0.2*MAX(0,$AI64-25727),6702-0.12*MAX(0,$AI64-17780)))-400*$AS64),IF($AN64="WV",MAX(0,$AI64-2000*$AS64),$AI64))))))))))))))))))))))</f>
      </c>
      <c r="BA64" s="7">
        <f>IF($B64="","",IF($BW64&lt;&gt;"",$BW64,IF($BX64&lt;&gt;"",$BX64,IF($BY64&lt;&gt;"",$BY64,0))))</f>
      </c>
      <c r="BB64" s="7">
        <f>IF($B64="","",IF($AN64="AR",-29*$AS64,IF($AN64="DE",-110*$AS64,IF($AN64="MD",$AZ64*'Your Pay &amp; Benefits'!$C$74,IF($AN64="AZ",'Your Pay &amp; Benefits'!$C$82*($M64-$D64)*'Your Pay &amp; Benefits'!$C$8,IF($AN64="CO",0.044*MAX(0,$AY64-IF($AU64="Married",10000,5000)),IF($AN64="IA",MAX(0,0.038*MAX(0,$AY64-IF($AU64="Head of household",19500,IF($AU64="Married",26000,13000)))-40*$AS64),IF($AN64="ID",0.053*MAX(0,$AY64-IF($AU64="Married",32000,16094)),IF($AN64="IL",0.0495*MAX(0,$AY64-(2925*$AS64+1000*$AT64)),IF($AN64="IN",(0.0295+'Your Pay &amp; Benefits'!$C$76)*MAX(0,$AY64-(1000*$AS64+1500*$AT64+3000*'Your Pay &amp; Benefits'!$C$86)),IF($AN64="KY",0.035*MAX(0,$AI64-3360),IF($AN64="LA",IF('Your Pay &amp; Benefits'!$C$84="0",0.0309*$AI64,0.0309*MAX(0,$AI64-IF('Your Pay &amp; Benefits'!$C$84="2",25750,12875))),IF($AN64="MA",0.05*MIN(MAX(0,$AY64-MIN(($BD63+$Q64+$R64+$S64),2000)-IF($AS64=0,0,IF($AS64=1,4400,1000*$AS64+3400))),1107750)+0.09*MAX(0,MAX(0,$AY64-MIN(($BD63+$Q64+$R64+$S64),2000)-IF($AS64=0,0,IF($AS64=1,4400,1000*$AS64+3400)))-1107750)-IF($AU64="Head of household",120,0)-110*'Your Pay &amp; Benefits'!$C$75,IF($AN64="MI",0.0425*MAX(0,$AY64-5900*$AS64),IF($AN64="MS",0.04*MAX(0,$AI64-IF($AU64="Head of household",3400,IF($AU64="Married",4600,2300))-'Your Pay &amp; Benefits'!$C$85-10000),IF($AN64="OR",IF(OR($AU64="Married",AND($AU64="Single",$AS64&gt;=3)),SUMPRODUCT((MAX(0,$AY64-MIN(($P64-'How This Works &amp; Sources'!$C$10*$D64)*'Your Pay &amp; Benefits'!$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Sources'!$B$211:$J$214,0,4))*(MAX(0,$AY64-MIN(($P64-'How This Works &amp; Sources'!$C$10*$D64)*'Your Pay &amp; Benefits'!$C$8,IF(OR($AU64="Married",AND($AU64="Single",$AS64&gt;=3)),IF($AY64&lt;250000,8750,IF($AY64&lt;260000,7000,IF($AY64&lt;270000,5250,IF($AY64&lt;280000,3500,IF($AY64&lt;290000,1750,0))))),IF($AY64&lt;125000,8750,IF($AY64&lt;130000,7000,IF($AY64&lt;135000,5250,IF($AY64&lt;140000,3500,IF($AY64&lt;145000,1750,0)))))))-IF(OR($AU64="Married",AND($AU64="Single",$AS64&gt;=3)),5820,2910))-INDEX('How This Works &amp; Sources'!$B$211:$J$214,0,4))*INDEX('How This Works &amp; Sources'!$B$211:$J$214,0,4+2)),SUMPRODUCT((MAX(0,$AY64-MIN(($P64-'How This Works &amp; Sources'!$C$10*$D64)*'Your Pay &amp; Benefits'!$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Sources'!$B$211:$J$214,0,1))*(MAX(0,$AY64-MIN(($P64-'How This Works &amp; Sources'!$C$10*$D64)*'Your Pay &amp; Benefits'!$C$8,IF(OR($AU64="Married",AND($AU64="Single",$AS64&gt;=3)),IF($AY64&lt;250000,8750,IF($AY64&lt;260000,7000,IF($AY64&lt;270000,5250,IF($AY64&lt;280000,3500,IF($AY64&lt;290000,1750,0))))),IF($AY64&lt;125000,8750,IF($AY64&lt;130000,7000,IF($AY64&lt;135000,5250,IF($AY64&lt;140000,3500,IF($AY64&lt;145000,1750,0)))))))-IF(OR($AU64="Married",AND($AU64="Single",$AS64&gt;=3)),5820,2910))-INDEX('How This Works &amp; Sources'!$B$211:$J$214,0,1))*INDEX('How This Works &amp; Sources'!$B$211:$J$214,0,1+2)))+263-263*IF(IF($AU64="Married",$AY64&gt;200000,$AY64&gt;100000),0,$AS64),IF($AN64="PA",0.0307*(($O64+$E64+$G64)*'Your Pay &amp; Benefits'!$C$8),IF($AN64="NY",IF($AU64="Married",IF($AZ64&gt;=2155350,0,IF($AZ64&gt;=1077550,0.48,IF($AZ64&gt;=373200,1.21,IF($AZ64&gt;=323200,0.21,IF($AZ64&gt;=211550,-0.19,IF($AZ64&gt;=157650,-2.8,IF($AZ64&gt;=107650,-0.8,IF($AZ64&gt;=96800,0.05,IF($AZ64&gt;=80650,-0.1,IF($AZ64&gt;=13900,0.4,IF($AZ64&gt;=11700,-0.3,IF($AZ64&gt;=8500,0.5,0)))))))))))),IF($AZ64&gt;=1077550,0,IF($AZ64&gt;=265400,4.29,IF($AZ64&gt;=215400,2.29,IF($AZ64&gt;=157650,2.29,IF($AZ64&gt;=107650,0.29,IF($AZ64&gt;=96800,0.05,IF($AZ64&gt;=80650,-0.1,IF($AZ64&gt;=13900,0.4,IF($AZ64&gt;=11700,-0.3,IF($AZ64&gt;=8500,0.5,0))))))))))),0))))))))))))))))))</f>
      </c>
      <c r="BC64" s="7">
        <f>IF($B64="","",IF($AN64="AL",0.05*$D64,IF($AN64="AR",0.039*$D64,IF($AN64="ID",0.053*$D64,IF($AN64="IN",(0.0295+'Your Pay &amp; Benefits'!$C$76)*$D64,IF($AN64="KS",0.05*$D64,IF($AN64="MA",0.09*MIN($D64,MAX(0,MAX(0,$AY64-MIN(($BD63+$Q64+$R64+$S64),2000)-IF($AS64=0,0,IF($AS64=1,4400,1000*$AS64+3400)))+$D64-1107750))+0.05*($D64-MIN($D64,MAX(0,MAX(0,$AY64-MIN(($BD63+$Q64+$R64+$S64),2000)-IF($AS64=0,0,IF($AS64=1,4400,1000*$AS64+3400)))+$D64-1107750))),IF($AN64="MD",(0.065+'Your Pay &amp; Benefits'!$C$74)*$D64,IF($AN64="MI",0.0425*$D64,IF($AN64="MN",0.0625*$D64,IF($AN64="MO",0.047*$D64,IF($AN64="MT",0.05*$D64,IF($AN64="ND",0.015*$D64,IF($AN64="NE",0.035*$D64,IF($AN64="NJ",IF('Your Pay &amp; Benefits'!$C$77="B",SUMPRODUCT(($D64*'Your Pay &amp; Benefits'!$C$8&gt;INDEX('How This Works &amp; Sources'!$B$155:$J$162,0,4))*($D64*'Your Pay &amp; Benefits'!$C$8-INDEX('How This Works &amp; Sources'!$B$155:$J$162,0,4))*INDEX('How This Works &amp; Sources'!$B$155:$J$162,0,4+2)),IF('Your Pay &amp; Benefits'!$C$77="C",SUMPRODUCT(($D64*'Your Pay &amp; Benefits'!$C$8&gt;INDEX('How This Works &amp; Sources'!$B$155:$J$162,0,7))*($D64*'Your Pay &amp; Benefits'!$C$8-INDEX('How This Works &amp; Sources'!$B$155:$J$162,0,7))*INDEX('How This Works &amp; Sources'!$B$155:$J$162,0,7+2)),IF('Your Pay &amp; Benefits'!$C$77="D",SUMPRODUCT(($D64*'Your Pay &amp; Benefits'!$C$8&gt;INDEX('How This Works &amp; Sources'!$B$167:$J$179,0,1))*($D64*'Your Pay &amp; Benefits'!$C$8-INDEX('How This Works &amp; Sources'!$B$167:$J$179,0,1))*INDEX('How This Works &amp; Sources'!$B$167:$J$179,0,1+2)),IF('Your Pay &amp; Benefits'!$C$77="E",SUMPRODUCT(($D64*'Your Pay &amp; Benefits'!$C$8&gt;INDEX('How This Works &amp; Sources'!$B$167:$J$179,0,4))*($D64*'Your Pay &amp; Benefits'!$C$8-INDEX('How This Works &amp; Sources'!$B$167:$J$179,0,4))*INDEX('How This Works &amp; Sources'!$B$167:$J$179,0,4+2)),SUMPRODUCT(($D64*'Your Pay &amp; Benefits'!$C$8&gt;INDEX('How This Works &amp; Sources'!$B$155:$J$162,0,1))*($D64*'Your Pay &amp; Benefits'!$C$8-INDEX('How This Works &amp; Sources'!$B$155:$J$162,0,1))*INDEX('How This Works &amp; Sources'!$B$155:$J$162,0,1+2))))))/'Your Pay &amp; Benefits'!$C$8,IF($AN64="NY",0.117*$D64,IF($AN64="OH",0.0275*$D64,IF($AN64="OK",0.045*$D64,IF($AN64="OR",0.08*$D64,IF($AN64="WI",IF($AY64&lt;12760,0.0354,IF($AY64&lt;25520,0.0465,IF($AY64&lt;280950,0.053,0.0765)))*$D64,0))))))))))))))))))))</f>
      </c>
      <c r="BD64" s="7">
        <f>IF($B64="","",$BD63+$Q64+$R64+$S64)</f>
      </c>
      <c r="BE64" s="6">
        <f>IF($B64="",$BE63,$BE63+$BF64)</f>
      </c>
      <c r="BF64" s="6">
        <f>IF($B64="","",IF(AND(IF(YEAR(IF('Your Pay &amp; Benefits'!$C$7="Weekly",'Your Pay &amp; Benefits'!$C$9+7*(($BE63+1)-1),IF('Your Pay &amp; Benefits'!$C$7="Biweekly",'Your Pay &amp; Benefits'!$C$9+14*(($BE63+1)-1),IF('Your Pay &amp; Benefits'!$C$7="Semimonthly",DATE(YEAR('Your Pay &amp; Benefits'!$C$9),MONTH('Your Pay &amp; Benefits'!$C$9)+INT((($BE63+1)-1)/2),MIN(DAY('Your Pay &amp; Benefits'!$C$9),DAY(EOMONTH(DATE(YEAR('Your Pay &amp; Benefits'!$C$9),MONTH('Your Pay &amp; Benefits'!$C$9)+INT((($BE63+1)-1)/2),1),0))))+IF(MOD(($BE63+1)-1,2)=1,15,0),EDATE('Your Pay &amp; Benefits'!$C$9,($BE63+1)-1)))))&lt;&gt;'Your Pay &amp; Benefits'!$C$10,"",IF('Your Pay &amp; Benefits'!$C$7="Weekly",'Your Pay &amp; Benefits'!$C$9+7*(($BE63+1)-1),IF('Your Pay &amp; Benefits'!$C$7="Biweekly",'Your Pay &amp; Benefits'!$C$9+14*(($BE63+1)-1),IF('Your Pay &amp; Benefits'!$C$7="Semimonthly",DATE(YEAR('Your Pay &amp; Benefits'!$C$9),MONTH('Your Pay &amp; Benefits'!$C$9)+INT((($BE63+1)-1)/2),MIN(DAY('Your Pay &amp; Benefits'!$C$9),DAY(EOMONTH(DATE(YEAR('Your Pay &amp; Benefits'!$C$9),MONTH('Your Pay &amp; Benefits'!$C$9)+INT((($BE63+1)-1)/2),1),0))))+IF(MOD(($BE63+1)-1,2)=1,15,0),EDATE('Your Pay &amp; Benefits'!$C$9,($BE63+1)-1)))))&lt;&gt;"",$B64=IF(YEAR(IF('Your Pay &amp; Benefits'!$C$7="Weekly",'Your Pay &amp; Benefits'!$C$9+7*(($BE63+1)-1),IF('Your Pay &amp; Benefits'!$C$7="Biweekly",'Your Pay &amp; Benefits'!$C$9+14*(($BE63+1)-1),IF('Your Pay &amp; Benefits'!$C$7="Semimonthly",DATE(YEAR('Your Pay &amp; Benefits'!$C$9),MONTH('Your Pay &amp; Benefits'!$C$9)+INT((($BE63+1)-1)/2),MIN(DAY('Your Pay &amp; Benefits'!$C$9),DAY(EOMONTH(DATE(YEAR('Your Pay &amp; Benefits'!$C$9),MONTH('Your Pay &amp; Benefits'!$C$9)+INT((($BE63+1)-1)/2),1),0))))+IF(MOD(($BE63+1)-1,2)=1,15,0),EDATE('Your Pay &amp; Benefits'!$C$9,($BE63+1)-1)))))&lt;&gt;'Your Pay &amp; Benefits'!$C$10,"",IF('Your Pay &amp; Benefits'!$C$7="Weekly",'Your Pay &amp; Benefits'!$C$9+7*(($BE63+1)-1),IF('Your Pay &amp; Benefits'!$C$7="Biweekly",'Your Pay &amp; Benefits'!$C$9+14*(($BE63+1)-1),IF('Your Pay &amp; Benefits'!$C$7="Semimonthly",DATE(YEAR('Your Pay &amp; Benefits'!$C$9),MONTH('Your Pay &amp; Benefits'!$C$9)+INT((($BE63+1)-1)/2),MIN(DAY('Your Pay &amp; Benefits'!$C$9),DAY(EOMONTH(DATE(YEAR('Your Pay &amp; Benefits'!$C$9),MONTH('Your Pay &amp; Benefits'!$C$9)+INT((($BE63+1)-1)/2),1),0))))+IF(MOD(($BE63+1)-1,2)=1,15,0),EDATE('Your Pay &amp; Benefits'!$C$9,($BE63+1)-1)))))),1,0))</f>
      </c>
      <c r="BG64" s="7">
        <f>IF($B64="","",$BG63+$H64)</f>
      </c>
      <c r="BH64" s="7">
        <f>IF($B64="","",$BH63+$I64)</f>
      </c>
      <c r="BI64" s="7">
        <f>IF($B64="","",$BI63+$G64)</f>
      </c>
      <c r="BJ64" s="7">
        <f>IF($B64="","",IFERROR(LOOKUP(2,1/(((('Changes &amp; Events'!$C$6:$C$17="Deduction start"))*('Changes &amp; Events'!$D$6:$D$17="Health FSA"))*('Changes &amp; Events'!$B$6:$B$17&lt;=$B64)*('Changes &amp; Events'!$B$6:$B$17&lt;&gt;"")),'Changes &amp; Events'!$E$6:$E$17),'Your Pay &amp; Benefits'!$D$38))</f>
      </c>
      <c r="BK64" s="7">
        <f>IF($B64="","",IFERROR(LOOKUP(2,1/(((('Changes &amp; Events'!$C$6:$C$17="Deduction start"))*('Changes &amp; Events'!$D$6:$D$17="Dependent-care FSA"))*('Changes &amp; Events'!$B$6:$B$17&lt;=$B64)*('Changes &amp; Events'!$B$6:$B$17&lt;&gt;"")),'Changes &amp; Events'!$E$6:$E$17),'Your Pay &amp; Benefits'!$D$39))</f>
      </c>
      <c r="BL64" s="7">
        <f>IF($B64="","",IFERROR(LOOKUP(2,1/(((('Changes &amp; Events'!$C$6:$C$17="Deduction start")+('Changes &amp; Events'!$C$6:$C$17="Deduction stop"))*('Changes &amp; Events'!$D$6:$D$17="HSA"))*('Changes &amp; Events'!$B$6:$B$17&lt;=$B64)*('Changes &amp; Events'!$B$6:$B$17&lt;&gt;"")),'Changes &amp; Events'!$I$6:$I$17),'Your Pay &amp; Benefits'!$D$35))</f>
      </c>
      <c r="BM64" s="7">
        <f>IF($B64="","",IFERROR(LOOKUP(2,1/(((('Changes &amp; Events'!$C$6:$C$17="Deduction start")+('Changes &amp; Events'!$C$6:$C$17="Deduction stop"))*('Changes &amp; Events'!$D$6:$D$17="Premiums"))*('Changes &amp; Events'!$B$6:$B$17&lt;=$B64)*('Changes &amp; Events'!$B$6:$B$17&lt;&gt;"")),'Changes &amp; Events'!$I$6:$I$17),'Your Pay &amp; Benefits'!$D$40+'Your Pay &amp; Benefits'!$D$41+'Your Pay &amp; Benefits'!$D$42))</f>
      </c>
      <c r="BN64" s="7">
        <f>IF($B64="","",IFERROR(LOOKUP(2,1/(((('Changes &amp; Events'!$C$6:$C$17="Deduction start")+('Changes &amp; Events'!$C$6:$C$17="Deduction stop"))*('Changes &amp; Events'!$D$6:$D$17="Commuter"))*('Changes &amp; Events'!$B$6:$B$17&lt;=$B64)*('Changes &amp; Events'!$B$6:$B$17&lt;&gt;"")),'Changes &amp; Events'!$I$6:$I$17),'Your Pay &amp; Benefits'!$D$43))</f>
      </c>
      <c r="BO64" s="7">
        <f>IF($B64="","",IFERROR(LOOKUP(2,1/(((('Changes &amp; Events'!$C$6:$C$17="Deduction start")+('Changes &amp; Events'!$C$6:$C$17="Deduction stop"))*('Changes &amp; Events'!$D$6:$D$17="Other pre-tax"))*('Changes &amp; Events'!$B$6:$B$17&lt;=$B64)*('Changes &amp; Events'!$B$6:$B$17&lt;&gt;"")),'Changes &amp; Events'!$I$6:$I$17),'Your Pay &amp; Benefits'!$D$44))</f>
      </c>
      <c r="BP64" s="7">
        <f>IF($B64="","",IFERROR(LOOKUP(2,1/(((('Changes &amp; Events'!$C$6:$C$17="Deduction start")+('Changes &amp; Events'!$C$6:$C$17="Deduction stop"))*('Changes &amp; Events'!$D$6:$D$17="Other post-tax"))*('Changes &amp; Events'!$B$6:$B$17&lt;=$B64)*('Changes &amp; Events'!$B$6:$B$17&lt;&gt;"")),'Changes &amp; Events'!$I$6:$I$17),'Your Pay &amp; Benefits'!$D$45))</f>
      </c>
      <c r="BQ64" s="6">
        <f>IF($B64="","",IFERROR(LOOKUP(2,1/(((('Changes &amp; Events'!$C$6:$C$17="Deduction start")+('Changes &amp; Events'!$C$6:$C$17="Deduction stop"))*('Changes &amp; Events'!$D$6:$D$17="Health FSA"))*('Changes &amp; Events'!$B$6:$B$17&lt;=$B64)*('Changes &amp; Events'!$B$6:$B$17&lt;&gt;"")),'Changes &amp; Events'!$J$6:$J$17),0))</f>
      </c>
      <c r="BR64" s="6">
        <f>IF($B64="","",IFERROR(LOOKUP(2,1/(((('Changes &amp; Events'!$C$6:$C$17="Deduction start")+('Changes &amp; Events'!$C$6:$C$17="Deduction stop"))*('Changes &amp; Events'!$D$6:$D$17="Dependent-care FSA"))*('Changes &amp; Events'!$B$6:$B$17&lt;=$B64)*('Changes &amp; Events'!$B$6:$B$17&lt;&gt;"")),'Changes &amp; Events'!$J$6:$J$17),0))</f>
      </c>
      <c r="BS64" s="6">
        <f>IF($B64="","",IF(SUMPRODUCT(('Changes &amp; Events'!$C$6:$C$17="Deduction start")*('Changes &amp; Events'!$B$6:$B$17&lt;=$B64)*('Changes &amp; Events'!$B$6:$B$17&lt;&gt;"")*('Changes &amp; Events'!$D$6:$D$17="Health FSA"))&gt;0,1,0))</f>
      </c>
      <c r="BT64" s="6">
        <f>IF($B64="","",IF(SUMPRODUCT(('Changes &amp; Events'!$C$6:$C$17="Deduction start")*('Changes &amp; Events'!$B$6:$B$17&lt;=$B64)*('Changes &amp; Events'!$B$6:$B$17&lt;&gt;"")*('Changes &amp; Events'!$D$6:$D$17="Dependent-care FSA"))&gt;0,1,0))</f>
      </c>
      <c r="BU64" s="24">
        <f>IF($B64="","",IF('Your Pay &amp; Benefits'!$C$13,SUMPRODUCT(($AH64&gt;=INDEX('How This Works &amp; Sources'!$B$29:$J$36,0,IF('Your Pay &amp; Benefits'!$C$12="MFJ",1,IF('Your Pay &amp; Benefits'!$C$12="HoH",7,4))))*INDEX('How This Works &amp; Sources'!$B$29:$J$36,0,IF('Your Pay &amp; Benefits'!$C$12="MFJ",1,IF('Your Pay &amp; Benefits'!$C$12="HoH",7,4))+2)),SUMPRODUCT(($AH64&gt;=INDEX('How This Works &amp; Sources'!$B$19:$J$26,0,IF('Your Pay &amp; Benefits'!$C$12="MFJ",1,IF('Your Pay &amp; Benefits'!$C$12="HoH",7,4))))*INDEX('How This Works &amp; Sources'!$B$19:$J$26,0,IF('Your Pay &amp; Benefits'!$C$12="MFJ",1,IF('Your Pay &amp; Benefits'!$C$12="HoH",7,4))+2))))</f>
      </c>
      <c r="BV64" s="24">
        <f>IF($B64="","",IF($BZ64&lt;&gt;"",$BZ64,IF($CA64&lt;&gt;"",$CA64,IF($CB64&lt;&gt;"",$CB64,IF($CC64&lt;&gt;"",$CC64,0)))))</f>
      </c>
      <c r="BW64" s="7">
        <f>IF($B64="","",IF($AN64="MD",IF(OR($AU64="Married",$AU64="Head of household"),SUMPRODUCT(($AZ64&gt;INDEX('How This Works &amp; Sources'!$B$114:$J$120,0,1))*($AZ64-INDEX('How This Works &amp; Sources'!$B$114:$J$120,0,1))*INDEX('How This Works &amp; Sources'!$B$114:$J$120,0,1+2)),SUMPRODUCT(($AZ64&gt;INDEX('How This Works &amp; Sources'!$B$103:$J$109,0,7))*($AZ64-INDEX('How This Works &amp; Sources'!$B$103:$J$109,0,7))*INDEX('How This Works &amp; Sources'!$B$103:$J$109,0,7+2))),IF($AN64="MO",SUMPRODUCT(($AZ64&gt;INDEX('How This Works &amp; Sources'!$B$125:$J$132,0,1))*($AZ64-INDEX('How This Works &amp; Sources'!$B$125:$J$132,0,1))*INDEX('How This Works &amp; Sources'!$B$125:$J$132,0,1+2)),IF($AN64="MT",IF($AU64="Head of household",SUMPRODUCT(($AZ64&gt;INDEX('How This Works &amp; Sources'!$B$137:$J$139,0,1))*($AZ64-INDEX('How This Works &amp; Sources'!$B$137:$J$139,0,1))*INDEX('How This Works &amp; Sources'!$B$137:$J$139,0,1+2)),IF($AU64="Married",SUMPRODUCT(($AZ64&gt;INDEX('How This Works &amp; Sources'!$B$125:$J$132,0,7))*($AZ64-INDEX('How This Works &amp; Sources'!$B$125:$J$132,0,7))*INDEX('How This Works &amp; Sources'!$B$125:$J$132,0,7+2)),SUMPRODUCT(($AZ64&gt;INDEX('How This Works &amp; Sources'!$B$125:$J$132,0,4))*($AZ64-INDEX('How This Works &amp; Sources'!$B$125:$J$132,0,4))*INDEX('How This Works &amp; Sources'!$B$125:$J$132,0,4+2)))),IF($AN64="ND",IF($AU64="Head of household",SUMPRODUCT(($AZ64&gt;INDEX('How This Works &amp; Sources'!$B$144:$J$150,0,1))*($AZ64-INDEX('How This Works &amp; Sources'!$B$144:$J$150,0,1))*INDEX('How This Works &amp; Sources'!$B$144:$J$150,0,1+2)),IF($AU64="Married",SUMPRODUCT(($AZ64&gt;INDEX('How This Works &amp; Sources'!$B$137:$J$139,0,7))*($AZ64-INDEX('How This Works &amp; Sources'!$B$137:$J$139,0,7))*INDEX('How This Works &amp; Sources'!$B$137:$J$139,0,7+2)),SUMPRODUCT(($AZ64&gt;INDEX('How This Works &amp; Sources'!$B$137:$J$139,0,4))*($AZ64-INDEX('How This Works &amp; Sources'!$B$137:$J$139,0,4))*INDEX('How This Works &amp; Sources'!$B$137:$J$139,0,4+2)))),IF($AN64="NJ",IF('Your Pay &amp; Benefits'!$C$77="B",SUMPRODUCT(($AZ64&gt;INDEX('How This Works &amp; Sources'!$B$155:$J$162,0,4))*($AZ64-INDEX('How This Works &amp; Sources'!$B$155:$J$162,0,4))*INDEX('How This Works &amp; Sources'!$B$155:$J$162,0,4+2)),IF('Your Pay &amp; Benefits'!$C$77="C",SUMPRODUCT(($AZ64&gt;INDEX('How This Works &amp; Sources'!$B$155:$J$162,0,7))*($AZ64-INDEX('How This Works &amp; Sources'!$B$155:$J$162,0,7))*INDEX('How This Works &amp; Sources'!$B$155:$J$162,0,7+2)),IF('Your Pay &amp; Benefits'!$C$77="D",SUMPRODUCT(($AZ64&gt;INDEX('How This Works &amp; Sources'!$B$167:$J$179,0,1))*($AZ64-INDEX('How This Works &amp; Sources'!$B$167:$J$179,0,1))*INDEX('How This Works &amp; Sources'!$B$167:$J$179,0,1+2)),IF('Your Pay &amp; Benefits'!$C$77="E",SUMPRODUCT(($AZ64&gt;INDEX('How This Works &amp; Sources'!$B$167:$J$179,0,4))*($AZ64-INDEX('How This Works &amp; Sources'!$B$167:$J$179,0,4))*INDEX('How This Works &amp; Sources'!$B$167:$J$179,0,4+2)),SUMPRODUCT(($AZ64&gt;INDEX('How This Works &amp; Sources'!$B$155:$J$162,0,1))*($AZ64-INDEX('How This Works &amp; Sources'!$B$155:$J$162,0,1))*INDEX('How This Works &amp; Sources'!$B$155:$J$162,0,1+2)))))),IF($AN64="NY",IF($AU64="Married",IF($AZ64&gt;=2155350,$AZ64*IF($AZ64&gt;25000000,0.117,IF($AZ64&gt;5000000,0.111,0.1045)),SUMPRODUCT(($AZ64&gt;INDEX('How This Works &amp; Sources'!$B$184:$J$198,0,1))*($AZ64-INDEX('How This Works &amp; Sources'!$B$184:$J$198,0,1))*INDEX('How This Works &amp; Sources'!$B$184:$J$198,0,1+2))),IF($AZ64&gt;=1077550,$AZ64*IF($AZ64&gt;25000000,0.117,IF($AZ64&gt;5000000,0.111,0.1045)),SUMPRODUCT(($AZ64&gt;INDEX('How This Works &amp; Sources'!$B$167:$J$179,0,7))*($AZ64-INDEX('How This Works &amp; Sources'!$B$167:$J$179,0,7))*INDEX('How This Works &amp; Sources'!$B$167:$J$179,0,7+2)))),"")))))))</f>
      </c>
      <c r="BX64" s="7">
        <f>IF($B64="","",IF($AN64="AL",IF(OR($AU64="Married",$AU64="Head of household"),SUMPRODUCT(($AZ64&gt;INDEX('How This Works &amp; Sources'!$B$82:$J$86,0,4))*($AZ64-INDEX('How This Works &amp; Sources'!$B$82:$J$86,0,4))*INDEX('How This Works &amp; Sources'!$B$82:$J$86,0,4+2)),SUMPRODUCT(($AZ64&gt;INDEX('How This Works &amp; Sources'!$B$82:$J$86,0,1))*($AZ64-INDEX('How This Works &amp; Sources'!$B$82:$J$86,0,1))*INDEX('How This Works &amp; Sources'!$B$82:$J$86,0,1+2))),IF($AN64="KS",IF($AU64="Married",SUMPRODUCT(($AZ64&gt;INDEX('How This Works &amp; Sources'!$B$103:$J$109,0,4))*($AZ64-INDEX('How This Works &amp; Sources'!$B$103:$J$109,0,4))*INDEX('How This Works &amp; Sources'!$B$103:$J$109,0,4+2)),SUMPRODUCT(($AZ64&gt;INDEX('How This Works &amp; Sources'!$B$103:$J$109,0,1))*($AZ64-INDEX('How This Works &amp; Sources'!$B$103:$J$109,0,1))*INDEX('How This Works &amp; Sources'!$B$103:$J$109,0,1+2))),IF($AN64="MN",IF($AU64="Married",SUMPRODUCT(($AZ64&gt;INDEX('How This Works &amp; Sources'!$B$114:$J$120,0,7))*($AZ64-INDEX('How This Works &amp; Sources'!$B$114:$J$120,0,7))*INDEX('How This Works &amp; Sources'!$B$114:$J$120,0,7+2)),SUMPRODUCT(($AZ64&gt;INDEX('How This Works &amp; Sources'!$B$114:$J$120,0,4))*($AZ64-INDEX('How This Works &amp; Sources'!$B$114:$J$120,0,4))*INDEX('How This Works &amp; Sources'!$B$114:$J$120,0,4+2))),IF($AN64="NE",MAX(IF($AU64="Married",SUMPRODUCT(($AZ64&gt;INDEX('How This Works &amp; Sources'!$B$144:$J$150,0,7))*($AZ64-INDEX('How This Works &amp; Sources'!$B$144:$J$150,0,7))*INDEX('How This Works &amp; Sources'!$B$144:$J$150,0,7+2)),SUMPRODUCT(($AZ64&gt;INDEX('How This Works &amp; Sources'!$B$144:$J$150,0,4))*($AZ64-INDEX('How This Works &amp; Sources'!$B$144:$J$150,0,4))*INDEX('How This Works &amp; Sources'!$B$144:$J$150,0,4+2))),0.015*$AZ64),IF($AN64="OH",IF($B64&gt;=DATE(2026,8,1),SUMPRODUCT(($AZ64&gt;INDEX('How This Works &amp; Sources'!$B$203:$J$206,0,1))*($AZ64-INDEX('How This Works &amp; Sources'!$B$203:$J$206,0,1))*INDEX('How This Works &amp; Sources'!$B$203:$J$206,0,1+2)),SUMPRODUCT(($AZ64&gt;INDEX('How This Works &amp; Sources'!$B$184:$J$198,0,7))*($AZ64-INDEX('How This Works &amp; Sources'!$B$184:$J$198,0,7))*INDEX('How This Works &amp; Sources'!$B$184:$J$198,0,7+2))),IF($AN64="OK",IF($AU64="Married",SUMPRODUCT(($AZ64&gt;INDEX('How This Works &amp; Sources'!$B$203:$J$206,0,7))*($AZ64-INDEX('How This Works &amp; Sources'!$B$203:$J$206,0,7))*INDEX('How This Works &amp; Sources'!$B$203:$J$206,0,7+2)),SUMPRODUCT(($AZ64&gt;INDEX('How This Works &amp; Sources'!$B$203:$J$206,0,4))*($AZ64-INDEX('How This Works &amp; Sources'!$B$203:$J$206,0,4))*INDEX('How This Works &amp; Sources'!$B$203:$J$206,0,4+2))),IF($AN64="RI",SUMPRODUCT(($AZ64&gt;INDEX('How This Works &amp; Sources'!$B$211:$J$214,0,7))*($AZ64-INDEX('How This Works &amp; Sources'!$B$211:$J$214,0,7))*INDEX('How This Works &amp; Sources'!$B$211:$J$214,0,7+2)),IF($AN64="VT",IF($AU64="Married",SUMPRODUCT(($AZ64&gt;INDEX('How This Works &amp; Sources'!$B$228:$J$232,0,1))*($AZ64-INDEX('How This Works &amp; Sources'!$B$228:$J$232,0,1))*INDEX('How This Works &amp; Sources'!$B$228:$J$232,0,1+2)),SUMPRODUCT(($AZ64&gt;INDEX('How This Works &amp; Sources'!$B$219:$J$223,0,7))*($AZ64-INDEX('How This Works &amp; Sources'!$B$219:$J$223,0,7))*INDEX('How This Works &amp; Sources'!$B$219:$J$223,0,7+2))),IF($AN64="WV",IF($AU64="Married",SUMPRODUCT(($AZ64&gt;INDEX('How This Works &amp; Sources'!$B$237:$J$241,0,7))*($AZ64-INDEX('How This Works &amp; Sources'!$B$237:$J$241,0,7))*INDEX('How This Works &amp; Sources'!$B$237:$J$241,0,7+2)),SUMPRODUCT(($AZ64&gt;INDEX('How This Works &amp; Sources'!$B$228:$J$232,0,7))*($AZ64-INDEX('How This Works &amp; Sources'!$B$228:$J$232,0,7))*INDEX('How This Works &amp; Sources'!$B$228:$J$232,0,7+2))),""))))))))))</f>
      </c>
      <c r="BY64" s="7">
        <f>IF($B64="","",IF($AN64="AR",SUMPRODUCT(($AZ64&gt;INDEX('How This Works &amp; Sources'!$B$82:$J$86,0,7))*($AZ64-INDEX('How This Works &amp; Sources'!$B$82:$J$86,0,7))*INDEX('How This Works &amp; Sources'!$B$82:$J$86,0,7+2)),IF($AN64="DE",SUMPRODUCT(($AZ64&gt;INDEX('How This Works &amp; Sources'!$B$91:$J$98,0,1))*($AZ64-INDEX('How This Works &amp; Sources'!$B$91:$J$98,0,1))*INDEX('How This Works &amp; Sources'!$B$91:$J$98,0,1+2)),IF($AN64="HI",IF($AU64="Married",SUMPRODUCT(($AZ64&gt;INDEX('How This Works &amp; Sources'!$B$91:$J$98,0,7))*($AZ64-INDEX('How This Works &amp; Sources'!$B$91:$J$98,0,7))*INDEX('How This Works &amp; Sources'!$B$91:$J$98,0,7+2)),SUMPRODUCT(($AZ64&gt;INDEX('How This Works &amp; Sources'!$B$91:$J$98,0,4))*($AZ64-INDEX('How This Works &amp; Sources'!$B$91:$J$98,0,4))*INDEX('How This Works &amp; Sources'!$B$91:$J$98,0,4+2))),IF($AN64="SC",SUMPRODUCT(($AZ64&gt;INDEX('How This Works &amp; Sources'!$B$219:$J$223,0,1))*($AZ64-INDEX('How This Works &amp; Sources'!$B$219:$J$223,0,1))*INDEX('How This Works &amp; Sources'!$B$219:$J$223,0,1+2)),IF($AN64="VA",SUMPRODUCT(($AZ64&gt;INDEX('How This Works &amp; Sources'!$B$219:$J$223,0,4))*($AZ64-INDEX('How This Works &amp; Sources'!$B$219:$J$223,0,4))*INDEX('How This Works &amp; Sources'!$B$219:$J$223,0,4+2)),IF($AN64="WI",SUMPRODUCT(($AZ64&gt;INDEX('How This Works &amp; Sources'!$B$228:$J$232,0,4))*($AZ64-INDEX('How This Works &amp; Sources'!$B$228:$J$232,0,4))*INDEX('How This Works &amp; Sources'!$B$228:$J$232,0,4+2)),"")))))))</f>
      </c>
      <c r="BZ64" s="24">
        <f>IF($B64="","",IF($AN64="NJ",IF('Your Pay &amp; Benefits'!$C$77="B",SUMPRODUCT(($AZ64&gt;=INDEX('How This Works &amp; Sources'!$B$155:$J$162,0,4))*INDEX('How This Works &amp; Sources'!$B$155:$J$162,0,4+2)),IF('Your Pay &amp; Benefits'!$C$77="C",SUMPRODUCT(($AZ64&gt;=INDEX('How This Works &amp; Sources'!$B$155:$J$162,0,7))*INDEX('How This Works &amp; Sources'!$B$155:$J$162,0,7+2)),IF('Your Pay &amp; Benefits'!$C$77="D",SUMPRODUCT(($AZ64&gt;=INDEX('How This Works &amp; Sources'!$B$167:$J$179,0,1))*INDEX('How This Works &amp; Sources'!$B$167:$J$179,0,1+2)),IF('Your Pay &amp; Benefits'!$C$77="E",SUMPRODUCT(($AZ64&gt;=INDEX('How This Works &amp; Sources'!$B$167:$J$179,0,4))*INDEX('How This Works &amp; Sources'!$B$167:$J$179,0,4+2)),SUMPRODUCT(($AZ64&gt;=INDEX('How This Works &amp; Sources'!$B$155:$J$162,0,1))*INDEX('How This Works &amp; Sources'!$B$155:$J$162,0,1+2)))))),IF($AN64="OR",IF(OR($AU64="Married",AND($AU64="Single",$AS64&gt;=3)),SUMPRODUCT((MAX(0,$AY64-MIN(($P64-'How This Works &amp; Sources'!$C$10*$D64)*'Your Pay &amp; Benefits'!$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Sources'!$B$211:$J$214,0,4))*INDEX('How This Works &amp; Sources'!$B$211:$J$214,0,4+2)),SUMPRODUCT((MAX(0,$AY64-MIN(($P64-'How This Works &amp; Sources'!$C$10*$D64)*'Your Pay &amp; Benefits'!$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Sources'!$B$211:$J$214,0,1))*INDEX('How This Works &amp; Sources'!$B$211:$J$214,0,1+2)))*IF(($P64-'How This Works &amp; Sources'!$C$10*$D64)*'Your Pay &amp; Benefits'!$C$8&gt;=IF(OR($AU64="Married",AND($AU64="Single",$AS64&gt;=3)),IF($AY64&lt;250000,8750,IF($AY64&lt;260000,7000,IF($AY64&lt;270000,5250,IF($AY64&lt;280000,3500,IF($AY64&lt;290000,1750,0))))),IF($AY64&lt;125000,8750,IF($AY64&lt;130000,7000,IF($AY64&lt;135000,5250,IF($AY64&lt;140000,3500,IF($AY64&lt;145000,1750,0)))))),1,1-IF('Your Pay &amp; Benefits'!$C$13,SUMPRODUCT(($AH64&gt;=INDEX('How This Works &amp; Sources'!$B$29:$J$36,0,IF('Your Pay &amp; Benefits'!$C$12="MFJ",1,IF('Your Pay &amp; Benefits'!$C$12="HoH",7,4))))*INDEX('How This Works &amp; Sources'!$B$29:$J$36,0,IF('Your Pay &amp; Benefits'!$C$12="MFJ",1,IF('Your Pay &amp; Benefits'!$C$12="HoH",7,4))+2)),SUMPRODUCT(($AH64&gt;=INDEX('How This Works &amp; Sources'!$B$19:$J$26,0,IF('Your Pay &amp; Benefits'!$C$12="MFJ",1,IF('Your Pay &amp; Benefits'!$C$12="HoH",7,4))))*INDEX('How This Works &amp; Sources'!$B$19:$J$26,0,IF('Your Pay &amp; Benefits'!$C$12="MFJ",1,IF('Your Pay &amp; Benefits'!$C$12="HoH",7,4))+2)))),IF($AN64="MI",IF($AY64&gt;5900*$AS64,0.0425,0),""))))</f>
      </c>
      <c r="CA64" s="24">
        <f>IF($B64="","",IF($AN64="AL",IF(OR($AU64="Married",$AU64="Head of household"),SUMPRODUCT(($AZ64&gt;=INDEX('How This Works &amp; Sources'!$B$82:$J$86,0,4))*INDEX('How This Works &amp; Sources'!$B$82:$J$86,0,4+2)),SUMPRODUCT(($AZ64&gt;=INDEX('How This Works &amp; Sources'!$B$82:$J$86,0,1))*INDEX('How This Works &amp; Sources'!$B$82:$J$86,0,1+2)))*(1-IF('Your Pay &amp; Benefits'!$C$13,SUMPRODUCT(($AH64&gt;=INDEX('How This Works &amp; Sources'!$B$29:$J$36,0,IF('Your Pay &amp; Benefits'!$C$12="MFJ",1,IF('Your Pay &amp; Benefits'!$C$12="HoH",7,4))))*INDEX('How This Works &amp; Sources'!$B$29:$J$36,0,IF('Your Pay &amp; Benefits'!$C$12="MFJ",1,IF('Your Pay &amp; Benefits'!$C$12="HoH",7,4))+2)),SUMPRODUCT(($AH64&gt;=INDEX('How This Works &amp; Sources'!$B$19:$J$26,0,IF('Your Pay &amp; Benefits'!$C$12="MFJ",1,IF('Your Pay &amp; Benefits'!$C$12="HoH",7,4))))*INDEX('How This Works &amp; Sources'!$B$19:$J$26,0,IF('Your Pay &amp; Benefits'!$C$12="MFJ",1,IF('Your Pay &amp; Benefits'!$C$12="HoH",7,4))+2)))),IF($AN64="KS",IF($AU64="Married",SUMPRODUCT(($AZ64&gt;=INDEX('How This Works &amp; Sources'!$B$103:$J$109,0,4))*INDEX('How This Works &amp; Sources'!$B$103:$J$109,0,4+2)),SUMPRODUCT(($AZ64&gt;=INDEX('How This Works &amp; Sources'!$B$103:$J$109,0,1))*INDEX('How This Works &amp; Sources'!$B$103:$J$109,0,1+2))),IF($AN64="MD",IF(OR($AU64="Married",$AU64="Head of household"),SUMPRODUCT(($AZ64&gt;=INDEX('How This Works &amp; Sources'!$B$114:$J$120,0,1))*INDEX('How This Works &amp; Sources'!$B$114:$J$120,0,1+2)),SUMPRODUCT(($AZ64&gt;=INDEX('How This Works &amp; Sources'!$B$103:$J$109,0,7))*INDEX('How This Works &amp; Sources'!$B$103:$J$109,0,7+2)))+'Your Pay &amp; Benefits'!$C$74,IF($AN64="MT",IF($AU64="Head of household",SUMPRODUCT(($AZ64&gt;=INDEX('How This Works &amp; Sources'!$B$137:$J$139,0,1))*INDEX('How This Works &amp; Sources'!$B$137:$J$139,0,1+2)),IF($AU64="Married",SUMPRODUCT(($AZ64&gt;=INDEX('How This Works &amp; Sources'!$B$125:$J$132,0,7))*INDEX('How This Works &amp; Sources'!$B$125:$J$132,0,7+2)),SUMPRODUCT(($AZ64&gt;=INDEX('How This Works &amp; Sources'!$B$125:$J$132,0,4))*INDEX('How This Works &amp; Sources'!$B$125:$J$132,0,4+2)))),IF($AN64="ND",IF($AU64="Head of household",SUMPRODUCT(($AZ64&gt;=INDEX('How This Works &amp; Sources'!$B$144:$J$150,0,1))*INDEX('How This Works &amp; Sources'!$B$144:$J$150,0,1+2)),IF($AU64="Married",SUMPRODUCT(($AZ64&gt;=INDEX('How This Works &amp; Sources'!$B$137:$J$139,0,7))*INDEX('How This Works &amp; Sources'!$B$137:$J$139,0,7+2)),SUMPRODUCT(($AZ64&gt;=INDEX('How This Works &amp; Sources'!$B$137:$J$139,0,4))*INDEX('How This Works &amp; Sources'!$B$137:$J$139,0,4+2)))),IF($AN64="NY",IF($AU64="Married",IF($AZ64&gt;=2155350,IF($AZ64&gt;25000000,0.117,IF($AZ64&gt;5000000,0.111,0.1045)),SUMPRODUCT(($AZ64&gt;=INDEX('How This Works &amp; Sources'!$B$184:$J$198,0,1))*INDEX('How This Works &amp; Sources'!$B$184:$J$198,0,1+2))),IF($AZ64&gt;=1077550,IF($AZ64&gt;25000000,0.117,IF($AZ64&gt;5000000,0.111,0.1045)),SUMPRODUCT(($AZ64&gt;=INDEX('How This Works &amp; Sources'!$B$167:$J$179,0,7))*INDEX('How This Works &amp; Sources'!$B$167:$J$179,0,7+2)))),"")))))))</f>
      </c>
      <c r="CB64" s="24">
        <f>IF($B64="","",IF($AN64="CA",SUMPRODUCT(($AJ64&gt;=INDEX('How This Works &amp; Sources'!$B$39:$J$48,0,IF($AU64="Married",4,IF($AU64="Head of household",7,1))))*INDEX('How This Works &amp; Sources'!$B$39:$J$48,0,IF($AU64="Married",4,IF($AU64="Head of household",7,1))+2)),IF($AN64="HI",IF($AU64="Married",SUMPRODUCT(($AZ64&gt;=INDEX('How This Works &amp; Sources'!$B$91:$J$98,0,7))*INDEX('How This Works &amp; Sources'!$B$91:$J$98,0,7+2)),SUMPRODUCT(($AZ64&gt;=INDEX('How This Works &amp; Sources'!$B$91:$J$98,0,4))*INDEX('How This Works &amp; Sources'!$B$91:$J$98,0,4+2))),IF($AN64="MN",IF($AU64="Married",SUMPRODUCT(($AZ64&gt;=INDEX('How This Works &amp; Sources'!$B$114:$J$120,0,7))*INDEX('How This Works &amp; Sources'!$B$114:$J$120,0,7+2)),SUMPRODUCT(($AZ64&gt;=INDEX('How This Works &amp; Sources'!$B$114:$J$120,0,4))*INDEX('How This Works &amp; Sources'!$B$114:$J$120,0,4+2))),IF($AN64="MO",SUMPRODUCT(($AZ64&gt;=INDEX('How This Works &amp; Sources'!$B$125:$J$132,0,1))*INDEX('How This Works &amp; Sources'!$B$125:$J$132,0,1+2)),IF($AN64="NE",MAX(IF($AU64="Married",SUMPRODUCT(($AZ64&gt;=INDEX('How This Works &amp; Sources'!$B$144:$J$150,0,7))*INDEX('How This Works &amp; Sources'!$B$144:$J$150,0,7+2)),SUMPRODUCT(($AZ64&gt;=INDEX('How This Works &amp; Sources'!$B$144:$J$150,0,4))*INDEX('How This Works &amp; Sources'!$B$144:$J$150,0,4+2))),0.015),IF($AN64="OH",IF($B64&gt;=DATE(2026,8,1),SUMPRODUCT(($AZ64&gt;=INDEX('How This Works &amp; Sources'!$B$203:$J$206,0,1))*INDEX('How This Works &amp; Sources'!$B$203:$J$206,0,1+2)),SUMPRODUCT(($AZ64&gt;=INDEX('How This Works &amp; Sources'!$B$184:$J$198,0,7))*INDEX('How This Works &amp; Sources'!$B$184:$J$198,0,7+2))),IF($AN64="OK",IF($AU64="Married",SUMPRODUCT(($AZ64&gt;=INDEX('How This Works &amp; Sources'!$B$203:$J$206,0,7))*INDEX('How This Works &amp; Sources'!$B$203:$J$206,0,7+2)),SUMPRODUCT(($AZ64&gt;=INDEX('How This Works &amp; Sources'!$B$203:$J$206,0,4))*INDEX('How This Works &amp; Sources'!$B$203:$J$206,0,4+2))),IF($AN64="RI",SUMPRODUCT(($AZ64&gt;=INDEX('How This Works &amp; Sources'!$B$211:$J$214,0,7))*INDEX('How This Works &amp; Sources'!$B$211:$J$214,0,7+2)),IF($AN64="SC",SUMPRODUCT(($AZ64&gt;=INDEX('How This Works &amp; Sources'!$B$219:$J$223,0,1))*INDEX('How This Works &amp; Sources'!$B$219:$J$223,0,1+2)),IF($AN64="VT",IF($AU64="Married",SUMPRODUCT(($AZ64&gt;=INDEX('How This Works &amp; Sources'!$B$228:$J$232,0,1))*INDEX('How This Works &amp; Sources'!$B$228:$J$232,0,1+2)),SUMPRODUCT(($AZ64&gt;=INDEX('How This Works &amp; Sources'!$B$219:$J$223,0,7))*INDEX('How This Works &amp; Sources'!$B$219:$J$223,0,7+2))),IF($AN64="WV",IF($AU64="Married",SUMPRODUCT(($AZ64&gt;=INDEX('How This Works &amp; Sources'!$B$237:$J$241,0,7))*INDEX('How This Works &amp; Sources'!$B$237:$J$241,0,7+2)),SUMPRODUCT(($AZ64&gt;=INDEX('How This Works &amp; Sources'!$B$228:$J$232,0,7))*INDEX('How This Works &amp; Sources'!$B$228:$J$232,0,7+2))),IF($AN64="IN",(0.0295+'Your Pay &amp; Benefits'!$C$76),"")))))))))))))</f>
      </c>
      <c r="CC64" s="24">
        <f>IF($B64="","",IF($AN64="AR",SUMPRODUCT(($AZ64&gt;=INDEX('How This Works &amp; Sources'!$B$82:$J$86,0,7))*INDEX('How This Works &amp; Sources'!$B$82:$J$86,0,7+2)),IF($AN64="DE",SUMPRODUCT(($AZ64&gt;=INDEX('How This Works &amp; Sources'!$B$91:$J$98,0,1))*INDEX('How This Works &amp; Sources'!$B$91:$J$98,0,1+2)),IF($AN64="VA",SUMPRODUCT(($AZ64&gt;=INDEX('How This Works &amp; Sources'!$B$219:$J$223,0,4))*INDEX('How This Works &amp; Sources'!$B$219:$J$223,0,4+2)),IF($AN64="WI",SUMPRODUCT(($AZ64&gt;=INDEX('How This Works &amp; Sources'!$B$228:$J$232,0,4))*INDEX('How This Works &amp; Sources'!$B$228:$J$232,0,4+2)),IF($AN64="AZ",'Your Pay &amp; Benefits'!$C$82,IF($AN64="CO",IF($AY64&gt;IF($AU64="Married",10000,5000),0.044,0),IF($AN64="IA",IF($AY64&gt;IF($AU64="Head of household",19500,IF($AU64="Married",26000,13000)),0.038,0),IF($AN64="ID",IF($AY64&gt;IF($AU64="Married",32000,16094),0.053,0),IF($AN64="IL",IF($AY64&gt;(2925*$AS64+1000*$AT64),0.0495,0),IF($AN64="KY",IF($AI64&gt;3360,0.035,0),IF($AN64="LA",0.0309,IF($AN64="MA",IF(MAX(0,$AY64-MIN(($BD63+$Q64+$R64+$S64),2000)-IF($AS64=0,0,IF($AS64=1,4400,1000*$AS64+3400)))&gt;=1107750,0.09,0.05),IF($AN64="MS",IF($AI64-IF($AU64="Head of household",3400,IF($AU64="Married",4600,2300))-'Your Pay &amp; Benefits'!$C$85&gt;10000,0.04,0),IF($AN64="PA",0.0307,"")))))))))))))))</f>
      </c>
      <c r="CD64" s="21">
        <f>IF(YEAR(IF('Your Pay &amp; Benefits'!$C$7="Weekly",'Your Pay &amp; Benefits'!$C$9+7*(($BE63+1)-1),IF('Your Pay &amp; Benefits'!$C$7="Biweekly",'Your Pay &amp; Benefits'!$C$9+14*(($BE63+1)-1),IF('Your Pay &amp; Benefits'!$C$7="Semimonthly",DATE(YEAR('Your Pay &amp; Benefits'!$C$9),MONTH('Your Pay &amp; Benefits'!$C$9)+INT((($BE63+1)-1)/2),MIN(DAY('Your Pay &amp; Benefits'!$C$9),DAY(EOMONTH(DATE(YEAR('Your Pay &amp; Benefits'!$C$9),MONTH('Your Pay &amp; Benefits'!$C$9)+INT((($BE63+1)-1)/2),1),0))))+IF(MOD(($BE63+1)-1,2)=1,15,0),EDATE('Your Pay &amp; Benefits'!$C$9,($BE63+1)-1)))))&lt;&gt;'Your Pay &amp; Benefits'!$C$10,"",IF('Your Pay &amp; Benefits'!$C$7="Weekly",'Your Pay &amp; Benefits'!$C$9+7*(($BE63+1)-1),IF('Your Pay &amp; Benefits'!$C$7="Biweekly",'Your Pay &amp; Benefits'!$C$9+14*(($BE63+1)-1),IF('Your Pay &amp; Benefits'!$C$7="Semimonthly",DATE(YEAR('Your Pay &amp; Benefits'!$C$9),MONTH('Your Pay &amp; Benefits'!$C$9)+INT((($BE63+1)-1)/2),MIN(DAY('Your Pay &amp; Benefits'!$C$9),DAY(EOMONTH(DATE(YEAR('Your Pay &amp; Benefits'!$C$9),MONTH('Your Pay &amp; Benefits'!$C$9)+INT((($BE63+1)-1)/2),1),0))))+IF(MOD(($BE63+1)-1,2)=1,15,0),EDATE('Your Pay &amp; Benefits'!$C$9,($BE63+1)-1)))))</f>
      </c>
      <c r="CE64" s="21">
        <f>IF(MIN(IF(AND('Your Pay &amp; Benefits'!$C$58&gt;MAX($B$6:$B63),'Your Pay &amp; Benefits'!$C$58&gt;=DATE('Your Pay &amp; Benefits'!$C$10,1,1),'Your Pay &amp; Benefits'!$C$58&lt;=DATE('Your Pay &amp; Benefits'!$C$10,12,31)),'Your Pay &amp; Benefits'!$C$58,999999),IF(AND('Your Pay &amp; Benefits'!$C$59&gt;MAX($B$6:$B63),'Your Pay &amp; Benefits'!$C$59&gt;=DATE('Your Pay &amp; Benefits'!$C$10,1,1),'Your Pay &amp; Benefits'!$C$59&lt;=DATE('Your Pay &amp; Benefits'!$C$10,12,31)),'Your Pay &amp; Benefits'!$C$59,999999),IF(AND('Your Pay &amp; Benefits'!$C$60&gt;MAX($B$6:$B63),'Your Pay &amp; Benefits'!$C$60&gt;=DATE('Your Pay &amp; Benefits'!$C$10,1,1),'Your Pay &amp; Benefits'!$C$60&lt;=DATE('Your Pay &amp; Benefits'!$C$10,12,31)),'Your Pay &amp; Benefits'!$C$60,999999),IF(AND('Your Pay &amp; Benefits'!$C$61&gt;MAX($B$6:$B63),'Your Pay &amp; Benefits'!$C$61&gt;=DATE('Your Pay &amp; Benefits'!$C$10,1,1),'Your Pay &amp; Benefits'!$C$61&lt;=DATE('Your Pay &amp; Benefits'!$C$10,12,31)),'Your Pay &amp; Benefits'!$C$61,999999),IF(AND('Your Pay &amp; Benefits'!$C$62&gt;MAX($B$6:$B63),'Your Pay &amp; Benefits'!$C$62&gt;=DATE('Your Pay &amp; Benefits'!$C$10,1,1),'Your Pay &amp; Benefits'!$C$62&lt;=DATE('Your Pay &amp; Benefits'!$C$10,12,31)),'Your Pay &amp; Benefits'!$C$62,999999),IF(AND('Your Pay &amp; Benefits'!$C$63&gt;MAX($B$6:$B63),'Your Pay &amp; Benefits'!$C$63&gt;=DATE('Your Pay &amp; Benefits'!$C$10,1,1),'Your Pay &amp; Benefits'!$C$63&lt;=DATE('Your Pay &amp; Benefits'!$C$10,12,31)),'Your Pay &amp; Benefits'!$C$63,999999),IF(AND('Your Pay &amp; Benefits'!$C$64&gt;MAX($B$6:$B63),'Your Pay &amp; Benefits'!$C$64&gt;=DATE('Your Pay &amp; Benefits'!$C$10,1,1),'Your Pay &amp; Benefits'!$C$64&lt;=DATE('Your Pay &amp; Benefits'!$C$10,12,31)),'Your Pay &amp; Benefits'!$C$64,999999),IF(AND('Your Pay &amp; Benefits'!$C$65&gt;MAX($B$6:$B63),'Your Pay &amp; Benefits'!$C$65&gt;=DATE('Your Pay &amp; Benefits'!$C$10,1,1),'Your Pay &amp; Benefits'!$C$65&lt;=DATE('Your Pay &amp; Benefits'!$C$10,12,31)),'Your Pay &amp; Benefits'!$C$65,999999),IF(AND('Your Pay &amp; Benefits'!$C$66&gt;MAX($B$6:$B63),'Your Pay &amp; Benefits'!$C$66&gt;=DATE('Your Pay &amp; Benefits'!$C$10,1,1),'Your Pay &amp; Benefits'!$C$66&lt;=DATE('Your Pay &amp; Benefits'!$C$10,12,31)),'Your Pay &amp; Benefits'!$C$66,999999),IF(AND('Your Pay &amp; Benefits'!$C$67&gt;MAX($B$6:$B63),'Your Pay &amp; Benefits'!$C$67&gt;=DATE('Your Pay &amp; Benefits'!$C$10,1,1),'Your Pay &amp; Benefits'!$C$67&lt;=DATE('Your Pay &amp; Benefits'!$C$10,12,31)),'Your Pay &amp; Benefits'!$C$67,999999))=999999,"",MIN(IF(AND('Your Pay &amp; Benefits'!$C$58&gt;MAX($B$6:$B63),'Your Pay &amp; Benefits'!$C$58&gt;=DATE('Your Pay &amp; Benefits'!$C$10,1,1),'Your Pay &amp; Benefits'!$C$58&lt;=DATE('Your Pay &amp; Benefits'!$C$10,12,31)),'Your Pay &amp; Benefits'!$C$58,999999),IF(AND('Your Pay &amp; Benefits'!$C$59&gt;MAX($B$6:$B63),'Your Pay &amp; Benefits'!$C$59&gt;=DATE('Your Pay &amp; Benefits'!$C$10,1,1),'Your Pay &amp; Benefits'!$C$59&lt;=DATE('Your Pay &amp; Benefits'!$C$10,12,31)),'Your Pay &amp; Benefits'!$C$59,999999),IF(AND('Your Pay &amp; Benefits'!$C$60&gt;MAX($B$6:$B63),'Your Pay &amp; Benefits'!$C$60&gt;=DATE('Your Pay &amp; Benefits'!$C$10,1,1),'Your Pay &amp; Benefits'!$C$60&lt;=DATE('Your Pay &amp; Benefits'!$C$10,12,31)),'Your Pay &amp; Benefits'!$C$60,999999),IF(AND('Your Pay &amp; Benefits'!$C$61&gt;MAX($B$6:$B63),'Your Pay &amp; Benefits'!$C$61&gt;=DATE('Your Pay &amp; Benefits'!$C$10,1,1),'Your Pay &amp; Benefits'!$C$61&lt;=DATE('Your Pay &amp; Benefits'!$C$10,12,31)),'Your Pay &amp; Benefits'!$C$61,999999),IF(AND('Your Pay &amp; Benefits'!$C$62&gt;MAX($B$6:$B63),'Your Pay &amp; Benefits'!$C$62&gt;=DATE('Your Pay &amp; Benefits'!$C$10,1,1),'Your Pay &amp; Benefits'!$C$62&lt;=DATE('Your Pay &amp; Benefits'!$C$10,12,31)),'Your Pay &amp; Benefits'!$C$62,999999),IF(AND('Your Pay &amp; Benefits'!$C$63&gt;MAX($B$6:$B63),'Your Pay &amp; Benefits'!$C$63&gt;=DATE('Your Pay &amp; Benefits'!$C$10,1,1),'Your Pay &amp; Benefits'!$C$63&lt;=DATE('Your Pay &amp; Benefits'!$C$10,12,31)),'Your Pay &amp; Benefits'!$C$63,999999),IF(AND('Your Pay &amp; Benefits'!$C$64&gt;MAX($B$6:$B63),'Your Pay &amp; Benefits'!$C$64&gt;=DATE('Your Pay &amp; Benefits'!$C$10,1,1),'Your Pay &amp; Benefits'!$C$64&lt;=DATE('Your Pay &amp; Benefits'!$C$10,12,31)),'Your Pay &amp; Benefits'!$C$64,999999),IF(AND('Your Pay &amp; Benefits'!$C$65&gt;MAX($B$6:$B63),'Your Pay &amp; Benefits'!$C$65&gt;=DATE('Your Pay &amp; Benefits'!$C$10,1,1),'Your Pay &amp; Benefits'!$C$65&lt;=DATE('Your Pay &amp; Benefits'!$C$10,12,31)),'Your Pay &amp; Benefits'!$C$65,999999),IF(AND('Your Pay &amp; Benefits'!$C$66&gt;MAX($B$6:$B63),'Your Pay &amp; Benefits'!$C$66&gt;=DATE('Your Pay &amp; Benefits'!$C$10,1,1),'Your Pay &amp; Benefits'!$C$66&lt;=DATE('Your Pay &amp; Benefits'!$C$10,12,31)),'Your Pay &amp; Benefits'!$C$66,999999),IF(AND('Your Pay &amp; Benefits'!$C$67&gt;MAX($B$6:$B63),'Your Pay &amp; Benefits'!$C$67&gt;=DATE('Your Pay &amp; Benefits'!$C$10,1,1),'Your Pay &amp; Benefits'!$C$67&lt;=DATE('Your Pay &amp; Benefits'!$C$10,12,31)),'Your Pay &amp; Benefits'!$C$67,999999)))</f>
      </c>
      <c r="CF64">
        <f>IF($B64="","",IF($D64=0,$Y64,""))</f>
      </c>
    </row>
    <row r="65">
      <c r="A65" t="n">
        <v>60</v>
      </c>
      <c r="B65" s="21">
        <f>IF(AND($CD65="",$CE65=""),"",IF($CE65="",$CD65,IF($CD65="",$CE65,MIN($CD65,$CE65))))</f>
      </c>
      <c r="C65" s="7">
        <f>IF($B65="","",IF($BF65=0,0,IF('Your Pay &amp; Benefits'!$C$4="Annual salary",ROUND($AK65/IF(AND('Your Pay &amp; Benefits'!$C$88="Actual paydays",MONTH('Your Pay &amp; Benefits'!$C$9)=1),MAX(1,MAX($BE$6:$BE$68)),'Your Pay &amp; Benefits'!$C$8),2),$AK65)))</f>
      </c>
      <c r="D65" s="7">
        <f>IF($B65="","",SUMIF('Your Pay &amp; Benefits'!$C$58:$C$67,$B65,'Your Pay &amp; Benefits'!$D$58:$D$67))</f>
      </c>
      <c r="E65" s="7">
        <f>IF($B65="","",ROUND(MAX(0,MIN(IF($AL65="Percent",$AM65*($C65+$D65),$AM65),MAX(0,'Your Pay &amp; Benefits'!$C$34-$AC64))),2))</f>
      </c>
      <c r="F65" s="7">
        <f>IF($B65="","",ROUND(MAX(0,MIN(IF('Your Pay &amp; Benefits'!$C$32="Percent",'Your Pay &amp; Benefits'!$D$32*($C65+$D65),'Your Pay &amp; Benefits'!$D$32),MAX(0,'Your Pay &amp; Benefits'!$C$34-$AC64-$E65))),2))</f>
      </c>
      <c r="G65" s="7">
        <f>IF($B65="","",IF($BF65=0,0,ROUND(MAX(0,MIN($BL65,'Your Pay &amp; Benefits'!$C$37-'Your Pay &amp; Benefits'!$C$54-$BI64)),2)))</f>
      </c>
      <c r="H65" s="7">
        <f>IF($B65="","",IF(OR($BF65=0,$BQ65=1),0,ROUND(MAX(0,MIN(IF($BS65=1,ROUND(MAX(0,MIN($BJ65,'How This Works &amp; Sources'!$C$13)-$BG64)/MAX(1,MAX($BE$6:$BE$68)-($BE64)),2),ROUND(MIN($BJ65,'How This Works &amp; Sources'!$C$13)/'Your Pay &amp; Benefits'!$C$8,2)),MIN($BJ65,'How This Works &amp; Sources'!$C$13)-$BG64)),2)))</f>
      </c>
      <c r="I65" s="7">
        <f>IF($B65="","",IF(OR($BF65=0,$BR65=1),0,ROUND(MAX(0,MIN(IF($BT65=1,ROUND(MAX(0,MIN($BK65,IF('Your Pay &amp; Benefits'!$C$12="MFJ",'How This Works &amp; Sources'!$C$14,'How This Works &amp; Sources'!$C$15))-$BH64)/MAX(1,MAX($BE$6:$BE$68)-($BE64)),2),ROUND(MIN($BK65,IF('Your Pay &amp; Benefits'!$C$12="MFJ",'How This Works &amp; Sources'!$C$14,'How This Works &amp; Sources'!$C$15))/'Your Pay &amp; Benefits'!$C$8,2)),MIN($BK65,IF('Your Pay &amp; Benefits'!$C$12="MFJ",'How This Works &amp; Sources'!$C$14,'How This Works &amp; Sources'!$C$15))-$BH64)),2)))</f>
      </c>
      <c r="J65" s="7">
        <f>IF($B65="","",IF($BF65=0,0,$BM65))</f>
      </c>
      <c r="K65" s="7">
        <f>IF($B65="","",IF($BF65=0,0,$BN65+$BO65))</f>
      </c>
      <c r="L65" s="7">
        <f>IF($B65="","",IF($BF65=0,0,'Your Pay &amp; Benefits'!$D$46))</f>
      </c>
      <c r="M65" s="7">
        <f>IF($B65="","",$C65+$D65+$L65-$E65-$G65-$H65-$I65-$J65-$K65)</f>
      </c>
      <c r="N65" s="7">
        <f>IF($B65="","",$C65+$D65+$L65-$G65-$H65-$I65-$J65-$K65)</f>
      </c>
      <c r="O65" s="7">
        <f>IF($B65="","",$C65+$D65+$L65-$E65-$H65-$I65-$J65-$K65-IF(OR($AN65="CA",$AN65="NJ"),0,$G65))</f>
      </c>
      <c r="P65" s="7">
        <f>IF($B65="","",IF('Your Pay &amp; Benefits'!$C$18,0,ROUND(MAX(0,IF('Your Pay &amp; Benefits'!$C$13,SUMPRODUCT(($AH65&gt;INDEX('How This Works &amp; Sources'!$B$29:$J$36,0,IF('Your Pay &amp; Benefits'!$C$12="MFJ",1,IF('Your Pay &amp; Benefits'!$C$12="HoH",7,4))))*($AH65-INDEX('How This Works &amp; Sources'!$B$29:$J$36,0,IF('Your Pay &amp; Benefits'!$C$12="MFJ",1,IF('Your Pay &amp; Benefits'!$C$12="HoH",7,4))))*INDEX('How This Works &amp; Sources'!$B$29:$J$36,0,IF('Your Pay &amp; Benefits'!$C$12="MFJ",1,IF('Your Pay &amp; Benefits'!$C$12="HoH",7,4))+2)),SUMPRODUCT(($AH65&gt;INDEX('How This Works &amp; Sources'!$B$19:$J$26,0,IF('Your Pay &amp; Benefits'!$C$12="MFJ",1,IF('Your Pay &amp; Benefits'!$C$12="HoH",7,4))))*($AH65-INDEX('How This Works &amp; Sources'!$B$19:$J$26,0,IF('Your Pay &amp; Benefits'!$C$12="MFJ",1,IF('Your Pay &amp; Benefits'!$C$12="HoH",7,4))))*INDEX('How This Works &amp; Sources'!$B$19:$J$26,0,IF('Your Pay &amp; Benefits'!$C$12="MFJ",1,IF('Your Pay &amp; Benefits'!$C$12="HoH",7,4))+2)))/'Your Pay &amp; Benefits'!$C$8-$AO65/'Your Pay &amp; Benefits'!$C$8)+$AR65+IF('Your Pay &amp; Benefits'!$C$89="Aggregate",MAX(0,IF('Your Pay &amp; Benefits'!$C$13,SUMPRODUCT((($AH65+$D65)&gt;INDEX('How This Works &amp; Sources'!$B$29:$J$36,0,IF('Your Pay &amp; Benefits'!$C$12="MFJ",1,IF('Your Pay &amp; Benefits'!$C$12="HoH",7,4))))*(($AH65+$D65)-INDEX('How This Works &amp; Sources'!$B$29:$J$36,0,IF('Your Pay &amp; Benefits'!$C$12="MFJ",1,IF('Your Pay &amp; Benefits'!$C$12="HoH",7,4))))*INDEX('How This Works &amp; Sources'!$B$29:$J$36,0,IF('Your Pay &amp; Benefits'!$C$12="MFJ",1,IF('Your Pay &amp; Benefits'!$C$12="HoH",7,4))+2)),SUMPRODUCT((($AH65+$D65)&gt;INDEX('How This Works &amp; Sources'!$B$19:$J$26,0,IF('Your Pay &amp; Benefits'!$C$12="MFJ",1,IF('Your Pay &amp; Benefits'!$C$12="HoH",7,4))))*(($AH65+$D65)-INDEX('How This Works &amp; Sources'!$B$19:$J$26,0,IF('Your Pay &amp; Benefits'!$C$12="MFJ",1,IF('Your Pay &amp; Benefits'!$C$12="HoH",7,4))))*INDEX('How This Works &amp; Sources'!$B$19:$J$26,0,IF('Your Pay &amp; Benefits'!$C$12="MFJ",1,IF('Your Pay &amp; Benefits'!$C$12="HoH",7,4))+2)))-IF('Your Pay &amp; Benefits'!$C$13,SUMPRODUCT(($AH65&gt;INDEX('How This Works &amp; Sources'!$B$29:$J$36,0,IF('Your Pay &amp; Benefits'!$C$12="MFJ",1,IF('Your Pay &amp; Benefits'!$C$12="HoH",7,4))))*($AH65-INDEX('How This Works &amp; Sources'!$B$29:$J$36,0,IF('Your Pay &amp; Benefits'!$C$12="MFJ",1,IF('Your Pay &amp; Benefits'!$C$12="HoH",7,4))))*INDEX('How This Works &amp; Sources'!$B$29:$J$36,0,IF('Your Pay &amp; Benefits'!$C$12="MFJ",1,IF('Your Pay &amp; Benefits'!$C$12="HoH",7,4))+2)),SUMPRODUCT(($AH65&gt;INDEX('How This Works &amp; Sources'!$B$19:$J$26,0,IF('Your Pay &amp; Benefits'!$C$12="MFJ",1,IF('Your Pay &amp; Benefits'!$C$12="HoH",7,4))))*($AH65-INDEX('How This Works &amp; Sources'!$B$19:$J$26,0,IF('Your Pay &amp; Benefits'!$C$12="MFJ",1,IF('Your Pay &amp; Benefits'!$C$12="HoH",7,4))))*INDEX('How This Works &amp; Sources'!$B$19:$J$26,0,IF('Your Pay &amp; Benefits'!$C$12="MFJ",1,IF('Your Pay &amp; Benefits'!$C$12="HoH",7,4))+2)))),'How This Works &amp; Sources'!$C$10*$D65),2)))</f>
      </c>
      <c r="Q65" s="7">
        <f>IF($B65="","",ROUND('How This Works &amp; Sources'!$C$4*MIN($N65,MAX(0,'How This Works &amp; Sources'!$C$3-($AX65+$AB64-$AW65))),2))</f>
      </c>
      <c r="R65" s="7">
        <f>IF($B65="","",ROUND('How This Works &amp; Sources'!$C$5*$N65,2))</f>
      </c>
      <c r="S65" s="7">
        <f>IF($B65="","",ROUND('How This Works &amp; Sources'!$C$6*MAX(0,MIN($N65,$AG64+$N65-'How This Works &amp; Sources'!$C$7)),2))</f>
      </c>
      <c r="T65" s="7">
        <f>IF($B65="","",IF('Your Pay &amp; Benefits'!$C$26,0,IF($AN65="CA",ROUND(IF($AI65&lt;=IF(($AS65+$AT65)&gt;=2,VLOOKUP($AN65,StateTables!$A$6:$AB$56,10,FALSE),VLOOKUP($AN65,StateTables!$A$6:$AB$56,9,FALSE)),0,MAX(0,SUMPRODUCT(($AJ65&gt;INDEX('How This Works &amp; Sources'!$B$39:$J$48,0,IF($AU65="Married",4,IF($AU65="Head of household",7,1))))*($AJ65-INDEX('How This Works &amp; Sources'!$B$39:$J$48,0,IF($AU65="Married",4,IF($AU65="Head of household",7,1))))*INDEX('How This Works &amp; Sources'!$B$39:$J$48,0,IF($AU65="Married",4,IF($AU65="Head of household",7,1))+2))-VLOOKUP($AN65,StateTables!$A$6:$AB$56,11,FALSE)*$AS65)/'Your Pay &amp; Benefits'!$C$8)+'Your Pay &amp; Benefits'!$C$25+VLOOKUP($AN65,StateTables!$A$6:$AB$56,13,FALSE)*$D65,2),IF(VLOOKUP($AN65,StateTables!$A$6:$AB$56,4,FALSE)="None",0,IF(ISNUMBER(SEARCH("MANUAL",VLOOKUP($AN65,StateTables!$A$6:$AB$56,5,FALSE))),'Your Pay &amp; Benefits'!$C$28,ROUND(MAX(0,$BA65+$BB65)/'Your Pay &amp; Benefits'!$C$8+'Your Pay &amp; Benefits'!$C$25+$BC65,2))))))</f>
      </c>
      <c r="U65" s="7">
        <f>IF($B65="","",IF(VLOOKUP($AN65,StateTables!$A$6:$AB$56,24,FALSE)="flatq",IF(OR(MONTH($B65)=1,MONTH($B65)=4,MONTH($B65)=7,MONTH($B65)=10),VLOOKUP($AN65,StateTables!$A$6:$AB$56,25,FALSE),0),IF(VLOOKUP($AN65,StateTables!$A$6:$AB$56,24,FALSE)="dbl",MIN(ROUND(0.005*$N65,2),ROUND(0.6*52/'Your Pay &amp; Benefits'!$C$8,2)),IF(OR(VLOOKUP($AN65,StateTables!$A$6:$AB$56,15,FALSE)="",VLOOKUP($AN65,StateTables!$A$6:$AB$56,15,FALSE)=0),0,ROUND(VLOOKUP($AN65,StateTables!$A$6:$AB$56,15,FALSE)*IF(OR(VLOOKUP($AN65,StateTables!$A$6:$AB$56,16,FALSE)="",VLOOKUP($AN65,StateTables!$A$6:$AB$56,16,FALSE)=0),$N65,MIN($N65,MAX(0,VLOOKUP($AN65,StateTables!$A$6:$AB$56,16,FALSE)-($AX65+$AB64-$AW65)))),2))))+IF(VLOOKUP($AN65,StateTables!$A$6:$AB$56,27,FALSE)="flatq",IF(OR(MONTH($B65)=1,MONTH($B65)=4,MONTH($B65)=7,MONTH($B65)=10),VLOOKUP($AN65,StateTables!$A$6:$AB$56,28,FALSE),0),IF(VLOOKUP($AN65,StateTables!$A$6:$AB$56,27,FALSE)="dbl",MIN(ROUND(0.005*$N65,2),ROUND(0.6*52/'Your Pay &amp; Benefits'!$C$8,2)),IF(OR(VLOOKUP($AN65,StateTables!$A$6:$AB$56,18,FALSE)="",VLOOKUP($AN65,StateTables!$A$6:$AB$56,18,FALSE)=0),0,ROUND(VLOOKUP($AN65,StateTables!$A$6:$AB$56,18,FALSE)*IF(OR(VLOOKUP($AN65,StateTables!$A$6:$AB$56,19,FALSE)="",VLOOKUP($AN65,StateTables!$A$6:$AB$56,19,FALSE)=0),$N65,MIN($N65,MAX(0,VLOOKUP($AN65,StateTables!$A$6:$AB$56,19,FALSE)-($AX65+$AB64-$AW65)))),2)))))</f>
      </c>
      <c r="V65" s="7">
        <f>IF($B65="","",IF($AN65="NY",IF('Your Pay &amp; Benefits'!$C$78,ROUND(SUMPRODUCT((MAX(0,($O65-$D65)*'Your Pay &amp; Benefits'!$C$8-(IF($AU65="Married",5500,5000)+1000*$AS65))&gt;INDEX('How This Works &amp; Sources'!$B$184:$J$198,0,4))*(MAX(0,($O65-$D65)*'Your Pay &amp; Benefits'!$C$8-(IF($AU65="Married",5500,5000)+1000*$AS65))-INDEX('How This Works &amp; Sources'!$B$184:$J$198,0,4))*INDEX('How This Works &amp; Sources'!$B$184:$J$198,0,4+2))/'Your Pay &amp; Benefits'!$C$8+0.0425*$D65,2),0)+IF('Your Pay &amp; Benefits'!$C$79="Resident",ROUND(0.1675*$T65,2),IF('Your Pay &amp; Benefits'!$C$79="Nonresident",ROUND(0.005*MAX(0,($O65-$D65)-(IF($AU65="Married",7950,7400)+1000*$AS65)/'Your Pay &amp; Benefits'!$C$8),2),0)),IF($AN65="PA",IF('Your Pay &amp; Benefits'!$C$80="None",'Your Pay &amp; Benefits'!$C$27+ROUND('Your Pay &amp; Benefits'!$C$81*($C65+$D65),2),ROUND(IF('Your Pay &amp; Benefits'!$C$80="Resident",IF($B65&lt;DATE(2026,7,1),0.0374,0.03735),IF($B65&lt;DATE(2026,7,1),0.0343,0.03425))*($C65+$D65),2)),IF($BF65=0,ROUND('Your Pay &amp; Benefits'!$C$81*($C65+$D65),2),'Your Pay &amp; Benefits'!$C$27+ROUND('Your Pay &amp; Benefits'!$C$81*($C65+$D65),2)))))</f>
      </c>
      <c r="W65" s="7">
        <f>IF($B65="","",IF($BF65=0,0,$BP65))</f>
      </c>
      <c r="X65" s="7">
        <f>IF($B65="","",SUM($E65:$K65)+$P65+$Q65+$R65+$S65+$T65+$U65+$V65+$W65)</f>
      </c>
      <c r="Y65" s="22">
        <f>IF($B65="","",$C65+$D65-$X65)</f>
      </c>
      <c r="Z65" s="7">
        <f>IF($B65="","",$Z64+$C65+$D65)</f>
      </c>
      <c r="AA65" s="7">
        <f>IF($B65="","",$AA64+$Y65)</f>
      </c>
      <c r="AB65" s="7">
        <f>IF($B65="","",$AB64+MIN($N65,MAX(0,'How This Works &amp; Sources'!$C$3-($AX65+$AB64-$AW65))))</f>
      </c>
      <c r="AC65" s="7">
        <f>IF($B65="","",$AC64+$E65+$F65)</f>
      </c>
      <c r="AD65" s="3">
        <f>IF($B65="","",IF(AND($AB64&lt;'How This Works &amp; Sources'!$C$3,$AB65&gt;='How This Works &amp; Sources'!$C$3),"★ Social Security maxed on this check — from the next check your net rises by about $"&amp;TEXT(ROUND('How This Works &amp; Sources'!$C$4*$N65,2),"#,##0.00")&amp;". ","")&amp;IF(AND($AC64&lt;'Your Pay &amp; Benefits'!$C$34,$AC65&gt;='Your Pay &amp; Benefits'!$C$34),"★ 401(k) reaches the $"&amp;TEXT('Your Pay &amp; Benefits'!$C$34,"#,##0")&amp;" cap on this check — deferrals stop and net pay rises. ","")&amp;IF(AND($AG64&lt;'How This Works &amp; Sources'!$C$7,$AG65&gt;='How This Works &amp; Sources'!$C$7),"★ Wages pass $200,000 — the 0.9% Additional Medicare Tax starts here. ","")&amp;IF(AND($BJ65&gt;0,$H65&gt;0,$BG64&lt;MIN($BJ65,'How This Works &amp; Sources'!$C$13),$BG64+$H65&gt;=MIN($BJ65,'How This Works &amp; Sources'!$C$13)),"★ Health FSA election is now fully deferred for the year. ",""))</f>
      </c>
      <c r="AE65" s="41" t="n"/>
      <c r="AF65" s="7">
        <f>IF(OR($B65="",$AE65=""),"",$AE65-$Y65)</f>
      </c>
      <c r="AG65" s="7">
        <f>IF($B65="","",$AG64+$N65)</f>
      </c>
      <c r="AH65" s="7">
        <f>IF($B65="","",MAX(0,($M65-$D65)*'Your Pay &amp; Benefits'!$C$8+$AP65-$AQ65-IF('Your Pay &amp; Benefits'!$C$13,0,IF('Your Pay &amp; Benefits'!$C$12="MFJ",'How This Works &amp; Sources'!$C$8,'How This Works &amp; Sources'!$C$9))))</f>
      </c>
      <c r="AI65" s="7">
        <f>IF($B65="","",$O65*'Your Pay &amp; Benefits'!$C$8)</f>
      </c>
      <c r="AJ65" s="7">
        <f>IF($B65="","",MAX(0,$AI65-VLOOKUP($AN65,StateTables!$A$6:$AB$56,12,FALSE)*$AT65-IF(($AS65+$AT65)&gt;=2,VLOOKUP($AN65,StateTables!$A$6:$AB$56,8,FALSE),VLOOKUP($AN65,StateTables!$A$6:$AB$56,7,FALSE))))</f>
      </c>
      <c r="AK65" s="7">
        <f>IF($B65="","",IFERROR(LOOKUP(2,1/(('Changes &amp; Events'!$C$6:$C$17="Salary change")*('Changes &amp; Events'!$B$6:$B$17&lt;=$B65)*('Changes &amp; Events'!$B$6:$B$17&lt;&gt;"")),'Changes &amp; Events'!$D$6:$D$17),IF('Your Pay &amp; Benefits'!$C$4="Annual salary",'Your Pay &amp; Benefits'!$C$5,'Your Pay &amp; Benefits'!$C$6)))</f>
      </c>
      <c r="AL65">
        <f>IF($B65="","",IFERROR(LOOKUP(2,1/(('Changes &amp; Events'!$C$6:$C$17="401(k) change")*('Changes &amp; Events'!$B$6:$B$17&lt;=$B65)*('Changes &amp; Events'!$B$6:$B$17&lt;&gt;"")),'Changes &amp; Events'!$D$6:$D$17),'Your Pay &amp; Benefits'!$C$30))</f>
      </c>
      <c r="AM65" s="7">
        <f>IF($B65="","",IFERROR(LOOKUP(2,1/(('Changes &amp; Events'!$C$6:$C$17="401(k) change")*('Changes &amp; Events'!$B$6:$B$17&lt;=$B65)*('Changes &amp; Events'!$B$6:$B$17&lt;&gt;"")),'Changes &amp; Events'!$E$6:$E$17),'Your Pay &amp; Benefits'!$D$31))</f>
      </c>
      <c r="AN65">
        <f>IF($B65="","",IFERROR(LOOKUP(2,1/(('Changes &amp; Events'!$C$6:$C$17="State move")*('Changes &amp; Events'!$B$6:$B$17&lt;=$B65)*('Changes &amp; Events'!$B$6:$B$17&lt;&gt;"")),'Changes &amp; Events'!$D$6:$D$17),'Your Pay &amp; Benefits'!$C$21))</f>
      </c>
      <c r="AO65" s="7">
        <f>IF($B65="","",IFERROR(LOOKUP(2,1/(('Changes &amp; Events'!$C$6:$C$17="W-4 change")*('Changes &amp; Events'!$B$6:$B$17&lt;=$B65)*('Changes &amp; Events'!$B$6:$B$17&lt;&gt;"")),'Changes &amp; Events'!$D$6:$D$17),'Your Pay &amp; Benefits'!$C$14))</f>
      </c>
      <c r="AP65" s="7">
        <f>IF($B65="","",IFERROR(LOOKUP(2,1/(('Changes &amp; Events'!$C$6:$C$17="W-4 change")*('Changes &amp; Events'!$B$6:$B$17&lt;=$B65)*('Changes &amp; Events'!$B$6:$B$17&lt;&gt;"")),'Changes &amp; Events'!$E$6:$E$17),'Your Pay &amp; Benefits'!$C$15))</f>
      </c>
      <c r="AQ65" s="7">
        <f>IF($B65="","",IFERROR(LOOKUP(2,1/(('Changes &amp; Events'!$C$6:$C$17="W-4 change")*('Changes &amp; Events'!$B$6:$B$17&lt;=$B65)*('Changes &amp; Events'!$B$6:$B$17&lt;&gt;"")),'Changes &amp; Events'!$F$6:$F$17),'Your Pay &amp; Benefits'!$C$16))</f>
      </c>
      <c r="AR65" s="7">
        <f>IF($B65="","",IFERROR(LOOKUP(2,1/(('Changes &amp; Events'!$C$6:$C$17="W-4 change")*('Changes &amp; Events'!$B$6:$B$17&lt;=$B65)*('Changes &amp; Events'!$B$6:$B$17&lt;&gt;"")),'Changes &amp; Events'!$G$6:$G$17),'Your Pay &amp; Benefits'!$C$17))</f>
      </c>
      <c r="AS65" s="6">
        <f>IF($B65="","",IFERROR(LOOKUP(2,1/((('Changes &amp; Events'!$C$6:$C$17="State move")+('Changes &amp; Events'!$C$6:$C$17="State cert change"))*('Changes &amp; Events'!$B$6:$B$17&lt;=$B65)*('Changes &amp; Events'!$B$6:$B$17&lt;&gt;"")),'Changes &amp; Events'!$F$6:$F$17),'Your Pay &amp; Benefits'!$C$23))</f>
      </c>
      <c r="AT65" s="6">
        <f>IF($B65="","",IFERROR(LOOKUP(2,1/((('Changes &amp; Events'!$C$6:$C$17="State move")+('Changes &amp; Events'!$C$6:$C$17="State cert change"))*('Changes &amp; Events'!$B$6:$B$17&lt;=$B65)*('Changes &amp; Events'!$B$6:$B$17&lt;&gt;"")),'Changes &amp; Events'!$G$6:$G$17),'Your Pay &amp; Benefits'!$C$24))</f>
      </c>
      <c r="AU65">
        <f>IF($B65="","",IFERROR(LOOKUP(2,1/(('Changes &amp; Events'!$C$6:$C$17="State move")*('Changes &amp; Events'!$B$6:$B$17&lt;=$B65)*('Changes &amp; Events'!$B$6:$B$17&lt;&gt;"")),'Changes &amp; Events'!$E$6:$E$17),'Your Pay &amp; Benefits'!$C$22))</f>
      </c>
      <c r="AV65" s="6">
        <f>IF($B65="","",1+COUNTIFS('Changes &amp; Events'!$C$6:$C$17,"Employer change",'Changes &amp; Events'!$B$6:$B$17,"&lt;="&amp;$B65,'Changes &amp; Events'!$B$6:$B$17,"&lt;&gt;"))</f>
      </c>
      <c r="AW65" s="7">
        <f>IF($B65="","",IF($AV65=1,'Your Pay &amp; Benefits'!$C$49,IF(IFERROR(MATCH(IFERROR(LOOKUP(2,1/(('Changes &amp; Events'!$C$6:$C$17="Employer change")*('Changes &amp; Events'!$B$6:$B$17&lt;=$B65)*('Changes &amp; Events'!$B$6:$B$17&lt;&gt;"")),'Changes &amp; Events'!$B$6:$B$17),""),$B$6:$B$68,1),1)&lt;=1,'Your Pay &amp; Benefits'!$C$49,INDEX($AB$6:$AB$68,MATCH(IFERROR(LOOKUP(2,1/(('Changes &amp; Events'!$C$6:$C$17="Employer change")*('Changes &amp; Events'!$B$6:$B$17&lt;=$B65)*('Changes &amp; Events'!$B$6:$B$17&lt;&gt;"")),'Changes &amp; Events'!$B$6:$B$17),""),$B$6:$B$68,1)-1))))</f>
      </c>
      <c r="AX65" s="7">
        <f>IF($B65="","",IF($AV65=1,'Your Pay &amp; Benefits'!$C$49,IFERROR(LOOKUP(2,1/(('Changes &amp; Events'!$C$6:$C$17="Employer change")*('Changes &amp; Events'!$B$6:$B$17&lt;=$B65)*('Changes &amp; Events'!$B$6:$B$17&lt;&gt;"")),'Changes &amp; Events'!$D$6:$D$17),0)))</f>
      </c>
      <c r="AY65" s="7">
        <f>IF($B65="","",($O65-$D65)*'Your Pay &amp; Benefits'!$C$8)</f>
      </c>
      <c r="AZ65" s="7">
        <f>IF($B65="","",IF($AN65="AL",MAX(0,$AY65-IF($AU65="Married",IF($AY65&lt;=25999,8500,MAX(5000,8500-175*CEILING(($AY65-25999)/500,1))),IF($AU65="Head of household",IF($AY65&lt;=25999,5200,MAX(2500,5200-135*CEILING(($AY65-25999)/500,1))),IF($AY65&lt;=25999,3000,MAX(2500,3000-25*CEILING(($AY65-25999)/500,1)))))-($P65-'How This Works &amp; Sources'!$C$10*$D65)*'Your Pay &amp; Benefits'!$C$8-IF(OR($AU65="Married",$AU65="Head of household"),3000,1500)-$AT65*IF($AY65&lt;=50000,1000,IF($AY65&lt;=100000,500,300))),IF($AN65="AR",IF(MAX(0,$AY65-2470)&lt;97701,INT(MAX(0,$AY65-2470)/100)*100+50,MAX(0,$AY65-2470)),IF($AN65="DE",MAX(0,$AI65-3250),IF($AN65="HI",MAX(0,$AI65-1144*$AS65-4350),IF($AN65="KS",MAX(0,$AI65-(9160*IF($AU65="Married",2,1)+2320*$AT65+IF($AU65="Head of household",2320,0))),IF($AN65="MD",MAX(0,$AI65-3400-3200*$AS65),IF($AN65="MN",MAX(0,$AY65-5300*$AS65),IF($AN65="MO",MAX(0,$AI65-IF($AU65="Head of household",24150,IF($AU65="Married",IF('Your Pay &amp; Benefits'!$C$83,16100,32200),16100))),IF($AN65="MT",$AY65,IF($AN65="ND",($C65+$L65)*'Your Pay &amp; Benefits'!$C$8,IF($AN65="NE",MAX(0,$AY65-2440*$AS65),IF($AN65="NJ",MAX(0,$AY65-1000*$AS65),IF($AN65="NY",MAX(0,$AY65-(IF($AU65="Married",7950,7400)+1000*$AS65)),IF($AN65="OH",MAX(0,$AY65-650*$AS65),IF($AN65="OK",MAX(0,$AY65-1000*$AS65),IF($AN65="RI",MAX(0,$AI65-1000*$AS65),IF($AN65="SC",MAX(0,$AI65-5000*$AS65-IF($AS65=0,0,MIN(0.1*$AI65,7500))),IF($AN65="VA",MAX(0,$AI65-IF($AU65="Married",17500,8750)-930*$AS65-800*$AT65),IF($AN65="VT",MAX(0,$AI65-5400*$AS65),IF($AN65="WI",MAX(0,$AI65-MAX(0,IF($AU65="Married",9461-0.2*MAX(0,$AI65-25727),6702-0.12*MAX(0,$AI65-17780)))-400*$AS65),IF($AN65="WV",MAX(0,$AI65-2000*$AS65),$AI65))))))))))))))))))))))</f>
      </c>
      <c r="BA65" s="7">
        <f>IF($B65="","",IF($BW65&lt;&gt;"",$BW65,IF($BX65&lt;&gt;"",$BX65,IF($BY65&lt;&gt;"",$BY65,0))))</f>
      </c>
      <c r="BB65" s="7">
        <f>IF($B65="","",IF($AN65="AR",-29*$AS65,IF($AN65="DE",-110*$AS65,IF($AN65="MD",$AZ65*'Your Pay &amp; Benefits'!$C$74,IF($AN65="AZ",'Your Pay &amp; Benefits'!$C$82*($M65-$D65)*'Your Pay &amp; Benefits'!$C$8,IF($AN65="CO",0.044*MAX(0,$AY65-IF($AU65="Married",10000,5000)),IF($AN65="IA",MAX(0,0.038*MAX(0,$AY65-IF($AU65="Head of household",19500,IF($AU65="Married",26000,13000)))-40*$AS65),IF($AN65="ID",0.053*MAX(0,$AY65-IF($AU65="Married",32000,16094)),IF($AN65="IL",0.0495*MAX(0,$AY65-(2925*$AS65+1000*$AT65)),IF($AN65="IN",(0.0295+'Your Pay &amp; Benefits'!$C$76)*MAX(0,$AY65-(1000*$AS65+1500*$AT65+3000*'Your Pay &amp; Benefits'!$C$86)),IF($AN65="KY",0.035*MAX(0,$AI65-3360),IF($AN65="LA",IF('Your Pay &amp; Benefits'!$C$84="0",0.0309*$AI65,0.0309*MAX(0,$AI65-IF('Your Pay &amp; Benefits'!$C$84="2",25750,12875))),IF($AN65="MA",0.05*MIN(MAX(0,$AY65-MIN(($BD64+$Q65+$R65+$S65),2000)-IF($AS65=0,0,IF($AS65=1,4400,1000*$AS65+3400))),1107750)+0.09*MAX(0,MAX(0,$AY65-MIN(($BD64+$Q65+$R65+$S65),2000)-IF($AS65=0,0,IF($AS65=1,4400,1000*$AS65+3400)))-1107750)-IF($AU65="Head of household",120,0)-110*'Your Pay &amp; Benefits'!$C$75,IF($AN65="MI",0.0425*MAX(0,$AY65-5900*$AS65),IF($AN65="MS",0.04*MAX(0,$AI65-IF($AU65="Head of household",3400,IF($AU65="Married",4600,2300))-'Your Pay &amp; Benefits'!$C$85-10000),IF($AN65="OR",IF(OR($AU65="Married",AND($AU65="Single",$AS65&gt;=3)),SUMPRODUCT((MAX(0,$AY65-MIN(($P65-'How This Works &amp; Sources'!$C$10*$D65)*'Your Pay &amp; Benefits'!$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Sources'!$B$211:$J$214,0,4))*(MAX(0,$AY65-MIN(($P65-'How This Works &amp; Sources'!$C$10*$D65)*'Your Pay &amp; Benefits'!$C$8,IF(OR($AU65="Married",AND($AU65="Single",$AS65&gt;=3)),IF($AY65&lt;250000,8750,IF($AY65&lt;260000,7000,IF($AY65&lt;270000,5250,IF($AY65&lt;280000,3500,IF($AY65&lt;290000,1750,0))))),IF($AY65&lt;125000,8750,IF($AY65&lt;130000,7000,IF($AY65&lt;135000,5250,IF($AY65&lt;140000,3500,IF($AY65&lt;145000,1750,0)))))))-IF(OR($AU65="Married",AND($AU65="Single",$AS65&gt;=3)),5820,2910))-INDEX('How This Works &amp; Sources'!$B$211:$J$214,0,4))*INDEX('How This Works &amp; Sources'!$B$211:$J$214,0,4+2)),SUMPRODUCT((MAX(0,$AY65-MIN(($P65-'How This Works &amp; Sources'!$C$10*$D65)*'Your Pay &amp; Benefits'!$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Sources'!$B$211:$J$214,0,1))*(MAX(0,$AY65-MIN(($P65-'How This Works &amp; Sources'!$C$10*$D65)*'Your Pay &amp; Benefits'!$C$8,IF(OR($AU65="Married",AND($AU65="Single",$AS65&gt;=3)),IF($AY65&lt;250000,8750,IF($AY65&lt;260000,7000,IF($AY65&lt;270000,5250,IF($AY65&lt;280000,3500,IF($AY65&lt;290000,1750,0))))),IF($AY65&lt;125000,8750,IF($AY65&lt;130000,7000,IF($AY65&lt;135000,5250,IF($AY65&lt;140000,3500,IF($AY65&lt;145000,1750,0)))))))-IF(OR($AU65="Married",AND($AU65="Single",$AS65&gt;=3)),5820,2910))-INDEX('How This Works &amp; Sources'!$B$211:$J$214,0,1))*INDEX('How This Works &amp; Sources'!$B$211:$J$214,0,1+2)))+263-263*IF(IF($AU65="Married",$AY65&gt;200000,$AY65&gt;100000),0,$AS65),IF($AN65="PA",0.0307*(($O65+$E65+$G65)*'Your Pay &amp; Benefits'!$C$8),IF($AN65="NY",IF($AU65="Married",IF($AZ65&gt;=2155350,0,IF($AZ65&gt;=1077550,0.48,IF($AZ65&gt;=373200,1.21,IF($AZ65&gt;=323200,0.21,IF($AZ65&gt;=211550,-0.19,IF($AZ65&gt;=157650,-2.8,IF($AZ65&gt;=107650,-0.8,IF($AZ65&gt;=96800,0.05,IF($AZ65&gt;=80650,-0.1,IF($AZ65&gt;=13900,0.4,IF($AZ65&gt;=11700,-0.3,IF($AZ65&gt;=8500,0.5,0)))))))))))),IF($AZ65&gt;=1077550,0,IF($AZ65&gt;=265400,4.29,IF($AZ65&gt;=215400,2.29,IF($AZ65&gt;=157650,2.29,IF($AZ65&gt;=107650,0.29,IF($AZ65&gt;=96800,0.05,IF($AZ65&gt;=80650,-0.1,IF($AZ65&gt;=13900,0.4,IF($AZ65&gt;=11700,-0.3,IF($AZ65&gt;=8500,0.5,0))))))))))),0))))))))))))))))))</f>
      </c>
      <c r="BC65" s="7">
        <f>IF($B65="","",IF($AN65="AL",0.05*$D65,IF($AN65="AR",0.039*$D65,IF($AN65="ID",0.053*$D65,IF($AN65="IN",(0.0295+'Your Pay &amp; Benefits'!$C$76)*$D65,IF($AN65="KS",0.05*$D65,IF($AN65="MA",0.09*MIN($D65,MAX(0,MAX(0,$AY65-MIN(($BD64+$Q65+$R65+$S65),2000)-IF($AS65=0,0,IF($AS65=1,4400,1000*$AS65+3400)))+$D65-1107750))+0.05*($D65-MIN($D65,MAX(0,MAX(0,$AY65-MIN(($BD64+$Q65+$R65+$S65),2000)-IF($AS65=0,0,IF($AS65=1,4400,1000*$AS65+3400)))+$D65-1107750))),IF($AN65="MD",(0.065+'Your Pay &amp; Benefits'!$C$74)*$D65,IF($AN65="MI",0.0425*$D65,IF($AN65="MN",0.0625*$D65,IF($AN65="MO",0.047*$D65,IF($AN65="MT",0.05*$D65,IF($AN65="ND",0.015*$D65,IF($AN65="NE",0.035*$D65,IF($AN65="NJ",IF('Your Pay &amp; Benefits'!$C$77="B",SUMPRODUCT(($D65*'Your Pay &amp; Benefits'!$C$8&gt;INDEX('How This Works &amp; Sources'!$B$155:$J$162,0,4))*($D65*'Your Pay &amp; Benefits'!$C$8-INDEX('How This Works &amp; Sources'!$B$155:$J$162,0,4))*INDEX('How This Works &amp; Sources'!$B$155:$J$162,0,4+2)),IF('Your Pay &amp; Benefits'!$C$77="C",SUMPRODUCT(($D65*'Your Pay &amp; Benefits'!$C$8&gt;INDEX('How This Works &amp; Sources'!$B$155:$J$162,0,7))*($D65*'Your Pay &amp; Benefits'!$C$8-INDEX('How This Works &amp; Sources'!$B$155:$J$162,0,7))*INDEX('How This Works &amp; Sources'!$B$155:$J$162,0,7+2)),IF('Your Pay &amp; Benefits'!$C$77="D",SUMPRODUCT(($D65*'Your Pay &amp; Benefits'!$C$8&gt;INDEX('How This Works &amp; Sources'!$B$167:$J$179,0,1))*($D65*'Your Pay &amp; Benefits'!$C$8-INDEX('How This Works &amp; Sources'!$B$167:$J$179,0,1))*INDEX('How This Works &amp; Sources'!$B$167:$J$179,0,1+2)),IF('Your Pay &amp; Benefits'!$C$77="E",SUMPRODUCT(($D65*'Your Pay &amp; Benefits'!$C$8&gt;INDEX('How This Works &amp; Sources'!$B$167:$J$179,0,4))*($D65*'Your Pay &amp; Benefits'!$C$8-INDEX('How This Works &amp; Sources'!$B$167:$J$179,0,4))*INDEX('How This Works &amp; Sources'!$B$167:$J$179,0,4+2)),SUMPRODUCT(($D65*'Your Pay &amp; Benefits'!$C$8&gt;INDEX('How This Works &amp; Sources'!$B$155:$J$162,0,1))*($D65*'Your Pay &amp; Benefits'!$C$8-INDEX('How This Works &amp; Sources'!$B$155:$J$162,0,1))*INDEX('How This Works &amp; Sources'!$B$155:$J$162,0,1+2))))))/'Your Pay &amp; Benefits'!$C$8,IF($AN65="NY",0.117*$D65,IF($AN65="OH",0.0275*$D65,IF($AN65="OK",0.045*$D65,IF($AN65="OR",0.08*$D65,IF($AN65="WI",IF($AY65&lt;12760,0.0354,IF($AY65&lt;25520,0.0465,IF($AY65&lt;280950,0.053,0.0765)))*$D65,0))))))))))))))))))))</f>
      </c>
      <c r="BD65" s="7">
        <f>IF($B65="","",$BD64+$Q65+$R65+$S65)</f>
      </c>
      <c r="BE65" s="6">
        <f>IF($B65="",$BE64,$BE64+$BF65)</f>
      </c>
      <c r="BF65" s="6">
        <f>IF($B65="","",IF(AND(IF(YEAR(IF('Your Pay &amp; Benefits'!$C$7="Weekly",'Your Pay &amp; Benefits'!$C$9+7*(($BE64+1)-1),IF('Your Pay &amp; Benefits'!$C$7="Biweekly",'Your Pay &amp; Benefits'!$C$9+14*(($BE64+1)-1),IF('Your Pay &amp; Benefits'!$C$7="Semimonthly",DATE(YEAR('Your Pay &amp; Benefits'!$C$9),MONTH('Your Pay &amp; Benefits'!$C$9)+INT((($BE64+1)-1)/2),MIN(DAY('Your Pay &amp; Benefits'!$C$9),DAY(EOMONTH(DATE(YEAR('Your Pay &amp; Benefits'!$C$9),MONTH('Your Pay &amp; Benefits'!$C$9)+INT((($BE64+1)-1)/2),1),0))))+IF(MOD(($BE64+1)-1,2)=1,15,0),EDATE('Your Pay &amp; Benefits'!$C$9,($BE64+1)-1)))))&lt;&gt;'Your Pay &amp; Benefits'!$C$10,"",IF('Your Pay &amp; Benefits'!$C$7="Weekly",'Your Pay &amp; Benefits'!$C$9+7*(($BE64+1)-1),IF('Your Pay &amp; Benefits'!$C$7="Biweekly",'Your Pay &amp; Benefits'!$C$9+14*(($BE64+1)-1),IF('Your Pay &amp; Benefits'!$C$7="Semimonthly",DATE(YEAR('Your Pay &amp; Benefits'!$C$9),MONTH('Your Pay &amp; Benefits'!$C$9)+INT((($BE64+1)-1)/2),MIN(DAY('Your Pay &amp; Benefits'!$C$9),DAY(EOMONTH(DATE(YEAR('Your Pay &amp; Benefits'!$C$9),MONTH('Your Pay &amp; Benefits'!$C$9)+INT((($BE64+1)-1)/2),1),0))))+IF(MOD(($BE64+1)-1,2)=1,15,0),EDATE('Your Pay &amp; Benefits'!$C$9,($BE64+1)-1)))))&lt;&gt;"",$B65=IF(YEAR(IF('Your Pay &amp; Benefits'!$C$7="Weekly",'Your Pay &amp; Benefits'!$C$9+7*(($BE64+1)-1),IF('Your Pay &amp; Benefits'!$C$7="Biweekly",'Your Pay &amp; Benefits'!$C$9+14*(($BE64+1)-1),IF('Your Pay &amp; Benefits'!$C$7="Semimonthly",DATE(YEAR('Your Pay &amp; Benefits'!$C$9),MONTH('Your Pay &amp; Benefits'!$C$9)+INT((($BE64+1)-1)/2),MIN(DAY('Your Pay &amp; Benefits'!$C$9),DAY(EOMONTH(DATE(YEAR('Your Pay &amp; Benefits'!$C$9),MONTH('Your Pay &amp; Benefits'!$C$9)+INT((($BE64+1)-1)/2),1),0))))+IF(MOD(($BE64+1)-1,2)=1,15,0),EDATE('Your Pay &amp; Benefits'!$C$9,($BE64+1)-1)))))&lt;&gt;'Your Pay &amp; Benefits'!$C$10,"",IF('Your Pay &amp; Benefits'!$C$7="Weekly",'Your Pay &amp; Benefits'!$C$9+7*(($BE64+1)-1),IF('Your Pay &amp; Benefits'!$C$7="Biweekly",'Your Pay &amp; Benefits'!$C$9+14*(($BE64+1)-1),IF('Your Pay &amp; Benefits'!$C$7="Semimonthly",DATE(YEAR('Your Pay &amp; Benefits'!$C$9),MONTH('Your Pay &amp; Benefits'!$C$9)+INT((($BE64+1)-1)/2),MIN(DAY('Your Pay &amp; Benefits'!$C$9),DAY(EOMONTH(DATE(YEAR('Your Pay &amp; Benefits'!$C$9),MONTH('Your Pay &amp; Benefits'!$C$9)+INT((($BE64+1)-1)/2),1),0))))+IF(MOD(($BE64+1)-1,2)=1,15,0),EDATE('Your Pay &amp; Benefits'!$C$9,($BE64+1)-1)))))),1,0))</f>
      </c>
      <c r="BG65" s="7">
        <f>IF($B65="","",$BG64+$H65)</f>
      </c>
      <c r="BH65" s="7">
        <f>IF($B65="","",$BH64+$I65)</f>
      </c>
      <c r="BI65" s="7">
        <f>IF($B65="","",$BI64+$G65)</f>
      </c>
      <c r="BJ65" s="7">
        <f>IF($B65="","",IFERROR(LOOKUP(2,1/(((('Changes &amp; Events'!$C$6:$C$17="Deduction start"))*('Changes &amp; Events'!$D$6:$D$17="Health FSA"))*('Changes &amp; Events'!$B$6:$B$17&lt;=$B65)*('Changes &amp; Events'!$B$6:$B$17&lt;&gt;"")),'Changes &amp; Events'!$E$6:$E$17),'Your Pay &amp; Benefits'!$D$38))</f>
      </c>
      <c r="BK65" s="7">
        <f>IF($B65="","",IFERROR(LOOKUP(2,1/(((('Changes &amp; Events'!$C$6:$C$17="Deduction start"))*('Changes &amp; Events'!$D$6:$D$17="Dependent-care FSA"))*('Changes &amp; Events'!$B$6:$B$17&lt;=$B65)*('Changes &amp; Events'!$B$6:$B$17&lt;&gt;"")),'Changes &amp; Events'!$E$6:$E$17),'Your Pay &amp; Benefits'!$D$39))</f>
      </c>
      <c r="BL65" s="7">
        <f>IF($B65="","",IFERROR(LOOKUP(2,1/(((('Changes &amp; Events'!$C$6:$C$17="Deduction start")+('Changes &amp; Events'!$C$6:$C$17="Deduction stop"))*('Changes &amp; Events'!$D$6:$D$17="HSA"))*('Changes &amp; Events'!$B$6:$B$17&lt;=$B65)*('Changes &amp; Events'!$B$6:$B$17&lt;&gt;"")),'Changes &amp; Events'!$I$6:$I$17),'Your Pay &amp; Benefits'!$D$35))</f>
      </c>
      <c r="BM65" s="7">
        <f>IF($B65="","",IFERROR(LOOKUP(2,1/(((('Changes &amp; Events'!$C$6:$C$17="Deduction start")+('Changes &amp; Events'!$C$6:$C$17="Deduction stop"))*('Changes &amp; Events'!$D$6:$D$17="Premiums"))*('Changes &amp; Events'!$B$6:$B$17&lt;=$B65)*('Changes &amp; Events'!$B$6:$B$17&lt;&gt;"")),'Changes &amp; Events'!$I$6:$I$17),'Your Pay &amp; Benefits'!$D$40+'Your Pay &amp; Benefits'!$D$41+'Your Pay &amp; Benefits'!$D$42))</f>
      </c>
      <c r="BN65" s="7">
        <f>IF($B65="","",IFERROR(LOOKUP(2,1/(((('Changes &amp; Events'!$C$6:$C$17="Deduction start")+('Changes &amp; Events'!$C$6:$C$17="Deduction stop"))*('Changes &amp; Events'!$D$6:$D$17="Commuter"))*('Changes &amp; Events'!$B$6:$B$17&lt;=$B65)*('Changes &amp; Events'!$B$6:$B$17&lt;&gt;"")),'Changes &amp; Events'!$I$6:$I$17),'Your Pay &amp; Benefits'!$D$43))</f>
      </c>
      <c r="BO65" s="7">
        <f>IF($B65="","",IFERROR(LOOKUP(2,1/(((('Changes &amp; Events'!$C$6:$C$17="Deduction start")+('Changes &amp; Events'!$C$6:$C$17="Deduction stop"))*('Changes &amp; Events'!$D$6:$D$17="Other pre-tax"))*('Changes &amp; Events'!$B$6:$B$17&lt;=$B65)*('Changes &amp; Events'!$B$6:$B$17&lt;&gt;"")),'Changes &amp; Events'!$I$6:$I$17),'Your Pay &amp; Benefits'!$D$44))</f>
      </c>
      <c r="BP65" s="7">
        <f>IF($B65="","",IFERROR(LOOKUP(2,1/(((('Changes &amp; Events'!$C$6:$C$17="Deduction start")+('Changes &amp; Events'!$C$6:$C$17="Deduction stop"))*('Changes &amp; Events'!$D$6:$D$17="Other post-tax"))*('Changes &amp; Events'!$B$6:$B$17&lt;=$B65)*('Changes &amp; Events'!$B$6:$B$17&lt;&gt;"")),'Changes &amp; Events'!$I$6:$I$17),'Your Pay &amp; Benefits'!$D$45))</f>
      </c>
      <c r="BQ65" s="6">
        <f>IF($B65="","",IFERROR(LOOKUP(2,1/(((('Changes &amp; Events'!$C$6:$C$17="Deduction start")+('Changes &amp; Events'!$C$6:$C$17="Deduction stop"))*('Changes &amp; Events'!$D$6:$D$17="Health FSA"))*('Changes &amp; Events'!$B$6:$B$17&lt;=$B65)*('Changes &amp; Events'!$B$6:$B$17&lt;&gt;"")),'Changes &amp; Events'!$J$6:$J$17),0))</f>
      </c>
      <c r="BR65" s="6">
        <f>IF($B65="","",IFERROR(LOOKUP(2,1/(((('Changes &amp; Events'!$C$6:$C$17="Deduction start")+('Changes &amp; Events'!$C$6:$C$17="Deduction stop"))*('Changes &amp; Events'!$D$6:$D$17="Dependent-care FSA"))*('Changes &amp; Events'!$B$6:$B$17&lt;=$B65)*('Changes &amp; Events'!$B$6:$B$17&lt;&gt;"")),'Changes &amp; Events'!$J$6:$J$17),0))</f>
      </c>
      <c r="BS65" s="6">
        <f>IF($B65="","",IF(SUMPRODUCT(('Changes &amp; Events'!$C$6:$C$17="Deduction start")*('Changes &amp; Events'!$B$6:$B$17&lt;=$B65)*('Changes &amp; Events'!$B$6:$B$17&lt;&gt;"")*('Changes &amp; Events'!$D$6:$D$17="Health FSA"))&gt;0,1,0))</f>
      </c>
      <c r="BT65" s="6">
        <f>IF($B65="","",IF(SUMPRODUCT(('Changes &amp; Events'!$C$6:$C$17="Deduction start")*('Changes &amp; Events'!$B$6:$B$17&lt;=$B65)*('Changes &amp; Events'!$B$6:$B$17&lt;&gt;"")*('Changes &amp; Events'!$D$6:$D$17="Dependent-care FSA"))&gt;0,1,0))</f>
      </c>
      <c r="BU65" s="24">
        <f>IF($B65="","",IF('Your Pay &amp; Benefits'!$C$13,SUMPRODUCT(($AH65&gt;=INDEX('How This Works &amp; Sources'!$B$29:$J$36,0,IF('Your Pay &amp; Benefits'!$C$12="MFJ",1,IF('Your Pay &amp; Benefits'!$C$12="HoH",7,4))))*INDEX('How This Works &amp; Sources'!$B$29:$J$36,0,IF('Your Pay &amp; Benefits'!$C$12="MFJ",1,IF('Your Pay &amp; Benefits'!$C$12="HoH",7,4))+2)),SUMPRODUCT(($AH65&gt;=INDEX('How This Works &amp; Sources'!$B$19:$J$26,0,IF('Your Pay &amp; Benefits'!$C$12="MFJ",1,IF('Your Pay &amp; Benefits'!$C$12="HoH",7,4))))*INDEX('How This Works &amp; Sources'!$B$19:$J$26,0,IF('Your Pay &amp; Benefits'!$C$12="MFJ",1,IF('Your Pay &amp; Benefits'!$C$12="HoH",7,4))+2))))</f>
      </c>
      <c r="BV65" s="24">
        <f>IF($B65="","",IF($BZ65&lt;&gt;"",$BZ65,IF($CA65&lt;&gt;"",$CA65,IF($CB65&lt;&gt;"",$CB65,IF($CC65&lt;&gt;"",$CC65,0)))))</f>
      </c>
      <c r="BW65" s="7">
        <f>IF($B65="","",IF($AN65="MD",IF(OR($AU65="Married",$AU65="Head of household"),SUMPRODUCT(($AZ65&gt;INDEX('How This Works &amp; Sources'!$B$114:$J$120,0,1))*($AZ65-INDEX('How This Works &amp; Sources'!$B$114:$J$120,0,1))*INDEX('How This Works &amp; Sources'!$B$114:$J$120,0,1+2)),SUMPRODUCT(($AZ65&gt;INDEX('How This Works &amp; Sources'!$B$103:$J$109,0,7))*($AZ65-INDEX('How This Works &amp; Sources'!$B$103:$J$109,0,7))*INDEX('How This Works &amp; Sources'!$B$103:$J$109,0,7+2))),IF($AN65="MO",SUMPRODUCT(($AZ65&gt;INDEX('How This Works &amp; Sources'!$B$125:$J$132,0,1))*($AZ65-INDEX('How This Works &amp; Sources'!$B$125:$J$132,0,1))*INDEX('How This Works &amp; Sources'!$B$125:$J$132,0,1+2)),IF($AN65="MT",IF($AU65="Head of household",SUMPRODUCT(($AZ65&gt;INDEX('How This Works &amp; Sources'!$B$137:$J$139,0,1))*($AZ65-INDEX('How This Works &amp; Sources'!$B$137:$J$139,0,1))*INDEX('How This Works &amp; Sources'!$B$137:$J$139,0,1+2)),IF($AU65="Married",SUMPRODUCT(($AZ65&gt;INDEX('How This Works &amp; Sources'!$B$125:$J$132,0,7))*($AZ65-INDEX('How This Works &amp; Sources'!$B$125:$J$132,0,7))*INDEX('How This Works &amp; Sources'!$B$125:$J$132,0,7+2)),SUMPRODUCT(($AZ65&gt;INDEX('How This Works &amp; Sources'!$B$125:$J$132,0,4))*($AZ65-INDEX('How This Works &amp; Sources'!$B$125:$J$132,0,4))*INDEX('How This Works &amp; Sources'!$B$125:$J$132,0,4+2)))),IF($AN65="ND",IF($AU65="Head of household",SUMPRODUCT(($AZ65&gt;INDEX('How This Works &amp; Sources'!$B$144:$J$150,0,1))*($AZ65-INDEX('How This Works &amp; Sources'!$B$144:$J$150,0,1))*INDEX('How This Works &amp; Sources'!$B$144:$J$150,0,1+2)),IF($AU65="Married",SUMPRODUCT(($AZ65&gt;INDEX('How This Works &amp; Sources'!$B$137:$J$139,0,7))*($AZ65-INDEX('How This Works &amp; Sources'!$B$137:$J$139,0,7))*INDEX('How This Works &amp; Sources'!$B$137:$J$139,0,7+2)),SUMPRODUCT(($AZ65&gt;INDEX('How This Works &amp; Sources'!$B$137:$J$139,0,4))*($AZ65-INDEX('How This Works &amp; Sources'!$B$137:$J$139,0,4))*INDEX('How This Works &amp; Sources'!$B$137:$J$139,0,4+2)))),IF($AN65="NJ",IF('Your Pay &amp; Benefits'!$C$77="B",SUMPRODUCT(($AZ65&gt;INDEX('How This Works &amp; Sources'!$B$155:$J$162,0,4))*($AZ65-INDEX('How This Works &amp; Sources'!$B$155:$J$162,0,4))*INDEX('How This Works &amp; Sources'!$B$155:$J$162,0,4+2)),IF('Your Pay &amp; Benefits'!$C$77="C",SUMPRODUCT(($AZ65&gt;INDEX('How This Works &amp; Sources'!$B$155:$J$162,0,7))*($AZ65-INDEX('How This Works &amp; Sources'!$B$155:$J$162,0,7))*INDEX('How This Works &amp; Sources'!$B$155:$J$162,0,7+2)),IF('Your Pay &amp; Benefits'!$C$77="D",SUMPRODUCT(($AZ65&gt;INDEX('How This Works &amp; Sources'!$B$167:$J$179,0,1))*($AZ65-INDEX('How This Works &amp; Sources'!$B$167:$J$179,0,1))*INDEX('How This Works &amp; Sources'!$B$167:$J$179,0,1+2)),IF('Your Pay &amp; Benefits'!$C$77="E",SUMPRODUCT(($AZ65&gt;INDEX('How This Works &amp; Sources'!$B$167:$J$179,0,4))*($AZ65-INDEX('How This Works &amp; Sources'!$B$167:$J$179,0,4))*INDEX('How This Works &amp; Sources'!$B$167:$J$179,0,4+2)),SUMPRODUCT(($AZ65&gt;INDEX('How This Works &amp; Sources'!$B$155:$J$162,0,1))*($AZ65-INDEX('How This Works &amp; Sources'!$B$155:$J$162,0,1))*INDEX('How This Works &amp; Sources'!$B$155:$J$162,0,1+2)))))),IF($AN65="NY",IF($AU65="Married",IF($AZ65&gt;=2155350,$AZ65*IF($AZ65&gt;25000000,0.117,IF($AZ65&gt;5000000,0.111,0.1045)),SUMPRODUCT(($AZ65&gt;INDEX('How This Works &amp; Sources'!$B$184:$J$198,0,1))*($AZ65-INDEX('How This Works &amp; Sources'!$B$184:$J$198,0,1))*INDEX('How This Works &amp; Sources'!$B$184:$J$198,0,1+2))),IF($AZ65&gt;=1077550,$AZ65*IF($AZ65&gt;25000000,0.117,IF($AZ65&gt;5000000,0.111,0.1045)),SUMPRODUCT(($AZ65&gt;INDEX('How This Works &amp; Sources'!$B$167:$J$179,0,7))*($AZ65-INDEX('How This Works &amp; Sources'!$B$167:$J$179,0,7))*INDEX('How This Works &amp; Sources'!$B$167:$J$179,0,7+2)))),"")))))))</f>
      </c>
      <c r="BX65" s="7">
        <f>IF($B65="","",IF($AN65="AL",IF(OR($AU65="Married",$AU65="Head of household"),SUMPRODUCT(($AZ65&gt;INDEX('How This Works &amp; Sources'!$B$82:$J$86,0,4))*($AZ65-INDEX('How This Works &amp; Sources'!$B$82:$J$86,0,4))*INDEX('How This Works &amp; Sources'!$B$82:$J$86,0,4+2)),SUMPRODUCT(($AZ65&gt;INDEX('How This Works &amp; Sources'!$B$82:$J$86,0,1))*($AZ65-INDEX('How This Works &amp; Sources'!$B$82:$J$86,0,1))*INDEX('How This Works &amp; Sources'!$B$82:$J$86,0,1+2))),IF($AN65="KS",IF($AU65="Married",SUMPRODUCT(($AZ65&gt;INDEX('How This Works &amp; Sources'!$B$103:$J$109,0,4))*($AZ65-INDEX('How This Works &amp; Sources'!$B$103:$J$109,0,4))*INDEX('How This Works &amp; Sources'!$B$103:$J$109,0,4+2)),SUMPRODUCT(($AZ65&gt;INDEX('How This Works &amp; Sources'!$B$103:$J$109,0,1))*($AZ65-INDEX('How This Works &amp; Sources'!$B$103:$J$109,0,1))*INDEX('How This Works &amp; Sources'!$B$103:$J$109,0,1+2))),IF($AN65="MN",IF($AU65="Married",SUMPRODUCT(($AZ65&gt;INDEX('How This Works &amp; Sources'!$B$114:$J$120,0,7))*($AZ65-INDEX('How This Works &amp; Sources'!$B$114:$J$120,0,7))*INDEX('How This Works &amp; Sources'!$B$114:$J$120,0,7+2)),SUMPRODUCT(($AZ65&gt;INDEX('How This Works &amp; Sources'!$B$114:$J$120,0,4))*($AZ65-INDEX('How This Works &amp; Sources'!$B$114:$J$120,0,4))*INDEX('How This Works &amp; Sources'!$B$114:$J$120,0,4+2))),IF($AN65="NE",MAX(IF($AU65="Married",SUMPRODUCT(($AZ65&gt;INDEX('How This Works &amp; Sources'!$B$144:$J$150,0,7))*($AZ65-INDEX('How This Works &amp; Sources'!$B$144:$J$150,0,7))*INDEX('How This Works &amp; Sources'!$B$144:$J$150,0,7+2)),SUMPRODUCT(($AZ65&gt;INDEX('How This Works &amp; Sources'!$B$144:$J$150,0,4))*($AZ65-INDEX('How This Works &amp; Sources'!$B$144:$J$150,0,4))*INDEX('How This Works &amp; Sources'!$B$144:$J$150,0,4+2))),0.015*$AZ65),IF($AN65="OH",IF($B65&gt;=DATE(2026,8,1),SUMPRODUCT(($AZ65&gt;INDEX('How This Works &amp; Sources'!$B$203:$J$206,0,1))*($AZ65-INDEX('How This Works &amp; Sources'!$B$203:$J$206,0,1))*INDEX('How This Works &amp; Sources'!$B$203:$J$206,0,1+2)),SUMPRODUCT(($AZ65&gt;INDEX('How This Works &amp; Sources'!$B$184:$J$198,0,7))*($AZ65-INDEX('How This Works &amp; Sources'!$B$184:$J$198,0,7))*INDEX('How This Works &amp; Sources'!$B$184:$J$198,0,7+2))),IF($AN65="OK",IF($AU65="Married",SUMPRODUCT(($AZ65&gt;INDEX('How This Works &amp; Sources'!$B$203:$J$206,0,7))*($AZ65-INDEX('How This Works &amp; Sources'!$B$203:$J$206,0,7))*INDEX('How This Works &amp; Sources'!$B$203:$J$206,0,7+2)),SUMPRODUCT(($AZ65&gt;INDEX('How This Works &amp; Sources'!$B$203:$J$206,0,4))*($AZ65-INDEX('How This Works &amp; Sources'!$B$203:$J$206,0,4))*INDEX('How This Works &amp; Sources'!$B$203:$J$206,0,4+2))),IF($AN65="RI",SUMPRODUCT(($AZ65&gt;INDEX('How This Works &amp; Sources'!$B$211:$J$214,0,7))*($AZ65-INDEX('How This Works &amp; Sources'!$B$211:$J$214,0,7))*INDEX('How This Works &amp; Sources'!$B$211:$J$214,0,7+2)),IF($AN65="VT",IF($AU65="Married",SUMPRODUCT(($AZ65&gt;INDEX('How This Works &amp; Sources'!$B$228:$J$232,0,1))*($AZ65-INDEX('How This Works &amp; Sources'!$B$228:$J$232,0,1))*INDEX('How This Works &amp; Sources'!$B$228:$J$232,0,1+2)),SUMPRODUCT(($AZ65&gt;INDEX('How This Works &amp; Sources'!$B$219:$J$223,0,7))*($AZ65-INDEX('How This Works &amp; Sources'!$B$219:$J$223,0,7))*INDEX('How This Works &amp; Sources'!$B$219:$J$223,0,7+2))),IF($AN65="WV",IF($AU65="Married",SUMPRODUCT(($AZ65&gt;INDEX('How This Works &amp; Sources'!$B$237:$J$241,0,7))*($AZ65-INDEX('How This Works &amp; Sources'!$B$237:$J$241,0,7))*INDEX('How This Works &amp; Sources'!$B$237:$J$241,0,7+2)),SUMPRODUCT(($AZ65&gt;INDEX('How This Works &amp; Sources'!$B$228:$J$232,0,7))*($AZ65-INDEX('How This Works &amp; Sources'!$B$228:$J$232,0,7))*INDEX('How This Works &amp; Sources'!$B$228:$J$232,0,7+2))),""))))))))))</f>
      </c>
      <c r="BY65" s="7">
        <f>IF($B65="","",IF($AN65="AR",SUMPRODUCT(($AZ65&gt;INDEX('How This Works &amp; Sources'!$B$82:$J$86,0,7))*($AZ65-INDEX('How This Works &amp; Sources'!$B$82:$J$86,0,7))*INDEX('How This Works &amp; Sources'!$B$82:$J$86,0,7+2)),IF($AN65="DE",SUMPRODUCT(($AZ65&gt;INDEX('How This Works &amp; Sources'!$B$91:$J$98,0,1))*($AZ65-INDEX('How This Works &amp; Sources'!$B$91:$J$98,0,1))*INDEX('How This Works &amp; Sources'!$B$91:$J$98,0,1+2)),IF($AN65="HI",IF($AU65="Married",SUMPRODUCT(($AZ65&gt;INDEX('How This Works &amp; Sources'!$B$91:$J$98,0,7))*($AZ65-INDEX('How This Works &amp; Sources'!$B$91:$J$98,0,7))*INDEX('How This Works &amp; Sources'!$B$91:$J$98,0,7+2)),SUMPRODUCT(($AZ65&gt;INDEX('How This Works &amp; Sources'!$B$91:$J$98,0,4))*($AZ65-INDEX('How This Works &amp; Sources'!$B$91:$J$98,0,4))*INDEX('How This Works &amp; Sources'!$B$91:$J$98,0,4+2))),IF($AN65="SC",SUMPRODUCT(($AZ65&gt;INDEX('How This Works &amp; Sources'!$B$219:$J$223,0,1))*($AZ65-INDEX('How This Works &amp; Sources'!$B$219:$J$223,0,1))*INDEX('How This Works &amp; Sources'!$B$219:$J$223,0,1+2)),IF($AN65="VA",SUMPRODUCT(($AZ65&gt;INDEX('How This Works &amp; Sources'!$B$219:$J$223,0,4))*($AZ65-INDEX('How This Works &amp; Sources'!$B$219:$J$223,0,4))*INDEX('How This Works &amp; Sources'!$B$219:$J$223,0,4+2)),IF($AN65="WI",SUMPRODUCT(($AZ65&gt;INDEX('How This Works &amp; Sources'!$B$228:$J$232,0,4))*($AZ65-INDEX('How This Works &amp; Sources'!$B$228:$J$232,0,4))*INDEX('How This Works &amp; Sources'!$B$228:$J$232,0,4+2)),"")))))))</f>
      </c>
      <c r="BZ65" s="24">
        <f>IF($B65="","",IF($AN65="NJ",IF('Your Pay &amp; Benefits'!$C$77="B",SUMPRODUCT(($AZ65&gt;=INDEX('How This Works &amp; Sources'!$B$155:$J$162,0,4))*INDEX('How This Works &amp; Sources'!$B$155:$J$162,0,4+2)),IF('Your Pay &amp; Benefits'!$C$77="C",SUMPRODUCT(($AZ65&gt;=INDEX('How This Works &amp; Sources'!$B$155:$J$162,0,7))*INDEX('How This Works &amp; Sources'!$B$155:$J$162,0,7+2)),IF('Your Pay &amp; Benefits'!$C$77="D",SUMPRODUCT(($AZ65&gt;=INDEX('How This Works &amp; Sources'!$B$167:$J$179,0,1))*INDEX('How This Works &amp; Sources'!$B$167:$J$179,0,1+2)),IF('Your Pay &amp; Benefits'!$C$77="E",SUMPRODUCT(($AZ65&gt;=INDEX('How This Works &amp; Sources'!$B$167:$J$179,0,4))*INDEX('How This Works &amp; Sources'!$B$167:$J$179,0,4+2)),SUMPRODUCT(($AZ65&gt;=INDEX('How This Works &amp; Sources'!$B$155:$J$162,0,1))*INDEX('How This Works &amp; Sources'!$B$155:$J$162,0,1+2)))))),IF($AN65="OR",IF(OR($AU65="Married",AND($AU65="Single",$AS65&gt;=3)),SUMPRODUCT((MAX(0,$AY65-MIN(($P65-'How This Works &amp; Sources'!$C$10*$D65)*'Your Pay &amp; Benefits'!$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Sources'!$B$211:$J$214,0,4))*INDEX('How This Works &amp; Sources'!$B$211:$J$214,0,4+2)),SUMPRODUCT((MAX(0,$AY65-MIN(($P65-'How This Works &amp; Sources'!$C$10*$D65)*'Your Pay &amp; Benefits'!$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Sources'!$B$211:$J$214,0,1))*INDEX('How This Works &amp; Sources'!$B$211:$J$214,0,1+2)))*IF(($P65-'How This Works &amp; Sources'!$C$10*$D65)*'Your Pay &amp; Benefits'!$C$8&gt;=IF(OR($AU65="Married",AND($AU65="Single",$AS65&gt;=3)),IF($AY65&lt;250000,8750,IF($AY65&lt;260000,7000,IF($AY65&lt;270000,5250,IF($AY65&lt;280000,3500,IF($AY65&lt;290000,1750,0))))),IF($AY65&lt;125000,8750,IF($AY65&lt;130000,7000,IF($AY65&lt;135000,5250,IF($AY65&lt;140000,3500,IF($AY65&lt;145000,1750,0)))))),1,1-IF('Your Pay &amp; Benefits'!$C$13,SUMPRODUCT(($AH65&gt;=INDEX('How This Works &amp; Sources'!$B$29:$J$36,0,IF('Your Pay &amp; Benefits'!$C$12="MFJ",1,IF('Your Pay &amp; Benefits'!$C$12="HoH",7,4))))*INDEX('How This Works &amp; Sources'!$B$29:$J$36,0,IF('Your Pay &amp; Benefits'!$C$12="MFJ",1,IF('Your Pay &amp; Benefits'!$C$12="HoH",7,4))+2)),SUMPRODUCT(($AH65&gt;=INDEX('How This Works &amp; Sources'!$B$19:$J$26,0,IF('Your Pay &amp; Benefits'!$C$12="MFJ",1,IF('Your Pay &amp; Benefits'!$C$12="HoH",7,4))))*INDEX('How This Works &amp; Sources'!$B$19:$J$26,0,IF('Your Pay &amp; Benefits'!$C$12="MFJ",1,IF('Your Pay &amp; Benefits'!$C$12="HoH",7,4))+2)))),IF($AN65="MI",IF($AY65&gt;5900*$AS65,0.0425,0),""))))</f>
      </c>
      <c r="CA65" s="24">
        <f>IF($B65="","",IF($AN65="AL",IF(OR($AU65="Married",$AU65="Head of household"),SUMPRODUCT(($AZ65&gt;=INDEX('How This Works &amp; Sources'!$B$82:$J$86,0,4))*INDEX('How This Works &amp; Sources'!$B$82:$J$86,0,4+2)),SUMPRODUCT(($AZ65&gt;=INDEX('How This Works &amp; Sources'!$B$82:$J$86,0,1))*INDEX('How This Works &amp; Sources'!$B$82:$J$86,0,1+2)))*(1-IF('Your Pay &amp; Benefits'!$C$13,SUMPRODUCT(($AH65&gt;=INDEX('How This Works &amp; Sources'!$B$29:$J$36,0,IF('Your Pay &amp; Benefits'!$C$12="MFJ",1,IF('Your Pay &amp; Benefits'!$C$12="HoH",7,4))))*INDEX('How This Works &amp; Sources'!$B$29:$J$36,0,IF('Your Pay &amp; Benefits'!$C$12="MFJ",1,IF('Your Pay &amp; Benefits'!$C$12="HoH",7,4))+2)),SUMPRODUCT(($AH65&gt;=INDEX('How This Works &amp; Sources'!$B$19:$J$26,0,IF('Your Pay &amp; Benefits'!$C$12="MFJ",1,IF('Your Pay &amp; Benefits'!$C$12="HoH",7,4))))*INDEX('How This Works &amp; Sources'!$B$19:$J$26,0,IF('Your Pay &amp; Benefits'!$C$12="MFJ",1,IF('Your Pay &amp; Benefits'!$C$12="HoH",7,4))+2)))),IF($AN65="KS",IF($AU65="Married",SUMPRODUCT(($AZ65&gt;=INDEX('How This Works &amp; Sources'!$B$103:$J$109,0,4))*INDEX('How This Works &amp; Sources'!$B$103:$J$109,0,4+2)),SUMPRODUCT(($AZ65&gt;=INDEX('How This Works &amp; Sources'!$B$103:$J$109,0,1))*INDEX('How This Works &amp; Sources'!$B$103:$J$109,0,1+2))),IF($AN65="MD",IF(OR($AU65="Married",$AU65="Head of household"),SUMPRODUCT(($AZ65&gt;=INDEX('How This Works &amp; Sources'!$B$114:$J$120,0,1))*INDEX('How This Works &amp; Sources'!$B$114:$J$120,0,1+2)),SUMPRODUCT(($AZ65&gt;=INDEX('How This Works &amp; Sources'!$B$103:$J$109,0,7))*INDEX('How This Works &amp; Sources'!$B$103:$J$109,0,7+2)))+'Your Pay &amp; Benefits'!$C$74,IF($AN65="MT",IF($AU65="Head of household",SUMPRODUCT(($AZ65&gt;=INDEX('How This Works &amp; Sources'!$B$137:$J$139,0,1))*INDEX('How This Works &amp; Sources'!$B$137:$J$139,0,1+2)),IF($AU65="Married",SUMPRODUCT(($AZ65&gt;=INDEX('How This Works &amp; Sources'!$B$125:$J$132,0,7))*INDEX('How This Works &amp; Sources'!$B$125:$J$132,0,7+2)),SUMPRODUCT(($AZ65&gt;=INDEX('How This Works &amp; Sources'!$B$125:$J$132,0,4))*INDEX('How This Works &amp; Sources'!$B$125:$J$132,0,4+2)))),IF($AN65="ND",IF($AU65="Head of household",SUMPRODUCT(($AZ65&gt;=INDEX('How This Works &amp; Sources'!$B$144:$J$150,0,1))*INDEX('How This Works &amp; Sources'!$B$144:$J$150,0,1+2)),IF($AU65="Married",SUMPRODUCT(($AZ65&gt;=INDEX('How This Works &amp; Sources'!$B$137:$J$139,0,7))*INDEX('How This Works &amp; Sources'!$B$137:$J$139,0,7+2)),SUMPRODUCT(($AZ65&gt;=INDEX('How This Works &amp; Sources'!$B$137:$J$139,0,4))*INDEX('How This Works &amp; Sources'!$B$137:$J$139,0,4+2)))),IF($AN65="NY",IF($AU65="Married",IF($AZ65&gt;=2155350,IF($AZ65&gt;25000000,0.117,IF($AZ65&gt;5000000,0.111,0.1045)),SUMPRODUCT(($AZ65&gt;=INDEX('How This Works &amp; Sources'!$B$184:$J$198,0,1))*INDEX('How This Works &amp; Sources'!$B$184:$J$198,0,1+2))),IF($AZ65&gt;=1077550,IF($AZ65&gt;25000000,0.117,IF($AZ65&gt;5000000,0.111,0.1045)),SUMPRODUCT(($AZ65&gt;=INDEX('How This Works &amp; Sources'!$B$167:$J$179,0,7))*INDEX('How This Works &amp; Sources'!$B$167:$J$179,0,7+2)))),"")))))))</f>
      </c>
      <c r="CB65" s="24">
        <f>IF($B65="","",IF($AN65="CA",SUMPRODUCT(($AJ65&gt;=INDEX('How This Works &amp; Sources'!$B$39:$J$48,0,IF($AU65="Married",4,IF($AU65="Head of household",7,1))))*INDEX('How This Works &amp; Sources'!$B$39:$J$48,0,IF($AU65="Married",4,IF($AU65="Head of household",7,1))+2)),IF($AN65="HI",IF($AU65="Married",SUMPRODUCT(($AZ65&gt;=INDEX('How This Works &amp; Sources'!$B$91:$J$98,0,7))*INDEX('How This Works &amp; Sources'!$B$91:$J$98,0,7+2)),SUMPRODUCT(($AZ65&gt;=INDEX('How This Works &amp; Sources'!$B$91:$J$98,0,4))*INDEX('How This Works &amp; Sources'!$B$91:$J$98,0,4+2))),IF($AN65="MN",IF($AU65="Married",SUMPRODUCT(($AZ65&gt;=INDEX('How This Works &amp; Sources'!$B$114:$J$120,0,7))*INDEX('How This Works &amp; Sources'!$B$114:$J$120,0,7+2)),SUMPRODUCT(($AZ65&gt;=INDEX('How This Works &amp; Sources'!$B$114:$J$120,0,4))*INDEX('How This Works &amp; Sources'!$B$114:$J$120,0,4+2))),IF($AN65="MO",SUMPRODUCT(($AZ65&gt;=INDEX('How This Works &amp; Sources'!$B$125:$J$132,0,1))*INDEX('How This Works &amp; Sources'!$B$125:$J$132,0,1+2)),IF($AN65="NE",MAX(IF($AU65="Married",SUMPRODUCT(($AZ65&gt;=INDEX('How This Works &amp; Sources'!$B$144:$J$150,0,7))*INDEX('How This Works &amp; Sources'!$B$144:$J$150,0,7+2)),SUMPRODUCT(($AZ65&gt;=INDEX('How This Works &amp; Sources'!$B$144:$J$150,0,4))*INDEX('How This Works &amp; Sources'!$B$144:$J$150,0,4+2))),0.015),IF($AN65="OH",IF($B65&gt;=DATE(2026,8,1),SUMPRODUCT(($AZ65&gt;=INDEX('How This Works &amp; Sources'!$B$203:$J$206,0,1))*INDEX('How This Works &amp; Sources'!$B$203:$J$206,0,1+2)),SUMPRODUCT(($AZ65&gt;=INDEX('How This Works &amp; Sources'!$B$184:$J$198,0,7))*INDEX('How This Works &amp; Sources'!$B$184:$J$198,0,7+2))),IF($AN65="OK",IF($AU65="Married",SUMPRODUCT(($AZ65&gt;=INDEX('How This Works &amp; Sources'!$B$203:$J$206,0,7))*INDEX('How This Works &amp; Sources'!$B$203:$J$206,0,7+2)),SUMPRODUCT(($AZ65&gt;=INDEX('How This Works &amp; Sources'!$B$203:$J$206,0,4))*INDEX('How This Works &amp; Sources'!$B$203:$J$206,0,4+2))),IF($AN65="RI",SUMPRODUCT(($AZ65&gt;=INDEX('How This Works &amp; Sources'!$B$211:$J$214,0,7))*INDEX('How This Works &amp; Sources'!$B$211:$J$214,0,7+2)),IF($AN65="SC",SUMPRODUCT(($AZ65&gt;=INDEX('How This Works &amp; Sources'!$B$219:$J$223,0,1))*INDEX('How This Works &amp; Sources'!$B$219:$J$223,0,1+2)),IF($AN65="VT",IF($AU65="Married",SUMPRODUCT(($AZ65&gt;=INDEX('How This Works &amp; Sources'!$B$228:$J$232,0,1))*INDEX('How This Works &amp; Sources'!$B$228:$J$232,0,1+2)),SUMPRODUCT(($AZ65&gt;=INDEX('How This Works &amp; Sources'!$B$219:$J$223,0,7))*INDEX('How This Works &amp; Sources'!$B$219:$J$223,0,7+2))),IF($AN65="WV",IF($AU65="Married",SUMPRODUCT(($AZ65&gt;=INDEX('How This Works &amp; Sources'!$B$237:$J$241,0,7))*INDEX('How This Works &amp; Sources'!$B$237:$J$241,0,7+2)),SUMPRODUCT(($AZ65&gt;=INDEX('How This Works &amp; Sources'!$B$228:$J$232,0,7))*INDEX('How This Works &amp; Sources'!$B$228:$J$232,0,7+2))),IF($AN65="IN",(0.0295+'Your Pay &amp; Benefits'!$C$76),"")))))))))))))</f>
      </c>
      <c r="CC65" s="24">
        <f>IF($B65="","",IF($AN65="AR",SUMPRODUCT(($AZ65&gt;=INDEX('How This Works &amp; Sources'!$B$82:$J$86,0,7))*INDEX('How This Works &amp; Sources'!$B$82:$J$86,0,7+2)),IF($AN65="DE",SUMPRODUCT(($AZ65&gt;=INDEX('How This Works &amp; Sources'!$B$91:$J$98,0,1))*INDEX('How This Works &amp; Sources'!$B$91:$J$98,0,1+2)),IF($AN65="VA",SUMPRODUCT(($AZ65&gt;=INDEX('How This Works &amp; Sources'!$B$219:$J$223,0,4))*INDEX('How This Works &amp; Sources'!$B$219:$J$223,0,4+2)),IF($AN65="WI",SUMPRODUCT(($AZ65&gt;=INDEX('How This Works &amp; Sources'!$B$228:$J$232,0,4))*INDEX('How This Works &amp; Sources'!$B$228:$J$232,0,4+2)),IF($AN65="AZ",'Your Pay &amp; Benefits'!$C$82,IF($AN65="CO",IF($AY65&gt;IF($AU65="Married",10000,5000),0.044,0),IF($AN65="IA",IF($AY65&gt;IF($AU65="Head of household",19500,IF($AU65="Married",26000,13000)),0.038,0),IF($AN65="ID",IF($AY65&gt;IF($AU65="Married",32000,16094),0.053,0),IF($AN65="IL",IF($AY65&gt;(2925*$AS65+1000*$AT65),0.0495,0),IF($AN65="KY",IF($AI65&gt;3360,0.035,0),IF($AN65="LA",0.0309,IF($AN65="MA",IF(MAX(0,$AY65-MIN(($BD64+$Q65+$R65+$S65),2000)-IF($AS65=0,0,IF($AS65=1,4400,1000*$AS65+3400)))&gt;=1107750,0.09,0.05),IF($AN65="MS",IF($AI65-IF($AU65="Head of household",3400,IF($AU65="Married",4600,2300))-'Your Pay &amp; Benefits'!$C$85&gt;10000,0.04,0),IF($AN65="PA",0.0307,"")))))))))))))))</f>
      </c>
      <c r="CD65" s="21">
        <f>IF(YEAR(IF('Your Pay &amp; Benefits'!$C$7="Weekly",'Your Pay &amp; Benefits'!$C$9+7*(($BE64+1)-1),IF('Your Pay &amp; Benefits'!$C$7="Biweekly",'Your Pay &amp; Benefits'!$C$9+14*(($BE64+1)-1),IF('Your Pay &amp; Benefits'!$C$7="Semimonthly",DATE(YEAR('Your Pay &amp; Benefits'!$C$9),MONTH('Your Pay &amp; Benefits'!$C$9)+INT((($BE64+1)-1)/2),MIN(DAY('Your Pay &amp; Benefits'!$C$9),DAY(EOMONTH(DATE(YEAR('Your Pay &amp; Benefits'!$C$9),MONTH('Your Pay &amp; Benefits'!$C$9)+INT((($BE64+1)-1)/2),1),0))))+IF(MOD(($BE64+1)-1,2)=1,15,0),EDATE('Your Pay &amp; Benefits'!$C$9,($BE64+1)-1)))))&lt;&gt;'Your Pay &amp; Benefits'!$C$10,"",IF('Your Pay &amp; Benefits'!$C$7="Weekly",'Your Pay &amp; Benefits'!$C$9+7*(($BE64+1)-1),IF('Your Pay &amp; Benefits'!$C$7="Biweekly",'Your Pay &amp; Benefits'!$C$9+14*(($BE64+1)-1),IF('Your Pay &amp; Benefits'!$C$7="Semimonthly",DATE(YEAR('Your Pay &amp; Benefits'!$C$9),MONTH('Your Pay &amp; Benefits'!$C$9)+INT((($BE64+1)-1)/2),MIN(DAY('Your Pay &amp; Benefits'!$C$9),DAY(EOMONTH(DATE(YEAR('Your Pay &amp; Benefits'!$C$9),MONTH('Your Pay &amp; Benefits'!$C$9)+INT((($BE64+1)-1)/2),1),0))))+IF(MOD(($BE64+1)-1,2)=1,15,0),EDATE('Your Pay &amp; Benefits'!$C$9,($BE64+1)-1)))))</f>
      </c>
      <c r="CE65" s="21">
        <f>IF(MIN(IF(AND('Your Pay &amp; Benefits'!$C$58&gt;MAX($B$6:$B64),'Your Pay &amp; Benefits'!$C$58&gt;=DATE('Your Pay &amp; Benefits'!$C$10,1,1),'Your Pay &amp; Benefits'!$C$58&lt;=DATE('Your Pay &amp; Benefits'!$C$10,12,31)),'Your Pay &amp; Benefits'!$C$58,999999),IF(AND('Your Pay &amp; Benefits'!$C$59&gt;MAX($B$6:$B64),'Your Pay &amp; Benefits'!$C$59&gt;=DATE('Your Pay &amp; Benefits'!$C$10,1,1),'Your Pay &amp; Benefits'!$C$59&lt;=DATE('Your Pay &amp; Benefits'!$C$10,12,31)),'Your Pay &amp; Benefits'!$C$59,999999),IF(AND('Your Pay &amp; Benefits'!$C$60&gt;MAX($B$6:$B64),'Your Pay &amp; Benefits'!$C$60&gt;=DATE('Your Pay &amp; Benefits'!$C$10,1,1),'Your Pay &amp; Benefits'!$C$60&lt;=DATE('Your Pay &amp; Benefits'!$C$10,12,31)),'Your Pay &amp; Benefits'!$C$60,999999),IF(AND('Your Pay &amp; Benefits'!$C$61&gt;MAX($B$6:$B64),'Your Pay &amp; Benefits'!$C$61&gt;=DATE('Your Pay &amp; Benefits'!$C$10,1,1),'Your Pay &amp; Benefits'!$C$61&lt;=DATE('Your Pay &amp; Benefits'!$C$10,12,31)),'Your Pay &amp; Benefits'!$C$61,999999),IF(AND('Your Pay &amp; Benefits'!$C$62&gt;MAX($B$6:$B64),'Your Pay &amp; Benefits'!$C$62&gt;=DATE('Your Pay &amp; Benefits'!$C$10,1,1),'Your Pay &amp; Benefits'!$C$62&lt;=DATE('Your Pay &amp; Benefits'!$C$10,12,31)),'Your Pay &amp; Benefits'!$C$62,999999),IF(AND('Your Pay &amp; Benefits'!$C$63&gt;MAX($B$6:$B64),'Your Pay &amp; Benefits'!$C$63&gt;=DATE('Your Pay &amp; Benefits'!$C$10,1,1),'Your Pay &amp; Benefits'!$C$63&lt;=DATE('Your Pay &amp; Benefits'!$C$10,12,31)),'Your Pay &amp; Benefits'!$C$63,999999),IF(AND('Your Pay &amp; Benefits'!$C$64&gt;MAX($B$6:$B64),'Your Pay &amp; Benefits'!$C$64&gt;=DATE('Your Pay &amp; Benefits'!$C$10,1,1),'Your Pay &amp; Benefits'!$C$64&lt;=DATE('Your Pay &amp; Benefits'!$C$10,12,31)),'Your Pay &amp; Benefits'!$C$64,999999),IF(AND('Your Pay &amp; Benefits'!$C$65&gt;MAX($B$6:$B64),'Your Pay &amp; Benefits'!$C$65&gt;=DATE('Your Pay &amp; Benefits'!$C$10,1,1),'Your Pay &amp; Benefits'!$C$65&lt;=DATE('Your Pay &amp; Benefits'!$C$10,12,31)),'Your Pay &amp; Benefits'!$C$65,999999),IF(AND('Your Pay &amp; Benefits'!$C$66&gt;MAX($B$6:$B64),'Your Pay &amp; Benefits'!$C$66&gt;=DATE('Your Pay &amp; Benefits'!$C$10,1,1),'Your Pay &amp; Benefits'!$C$66&lt;=DATE('Your Pay &amp; Benefits'!$C$10,12,31)),'Your Pay &amp; Benefits'!$C$66,999999),IF(AND('Your Pay &amp; Benefits'!$C$67&gt;MAX($B$6:$B64),'Your Pay &amp; Benefits'!$C$67&gt;=DATE('Your Pay &amp; Benefits'!$C$10,1,1),'Your Pay &amp; Benefits'!$C$67&lt;=DATE('Your Pay &amp; Benefits'!$C$10,12,31)),'Your Pay &amp; Benefits'!$C$67,999999))=999999,"",MIN(IF(AND('Your Pay &amp; Benefits'!$C$58&gt;MAX($B$6:$B64),'Your Pay &amp; Benefits'!$C$58&gt;=DATE('Your Pay &amp; Benefits'!$C$10,1,1),'Your Pay &amp; Benefits'!$C$58&lt;=DATE('Your Pay &amp; Benefits'!$C$10,12,31)),'Your Pay &amp; Benefits'!$C$58,999999),IF(AND('Your Pay &amp; Benefits'!$C$59&gt;MAX($B$6:$B64),'Your Pay &amp; Benefits'!$C$59&gt;=DATE('Your Pay &amp; Benefits'!$C$10,1,1),'Your Pay &amp; Benefits'!$C$59&lt;=DATE('Your Pay &amp; Benefits'!$C$10,12,31)),'Your Pay &amp; Benefits'!$C$59,999999),IF(AND('Your Pay &amp; Benefits'!$C$60&gt;MAX($B$6:$B64),'Your Pay &amp; Benefits'!$C$60&gt;=DATE('Your Pay &amp; Benefits'!$C$10,1,1),'Your Pay &amp; Benefits'!$C$60&lt;=DATE('Your Pay &amp; Benefits'!$C$10,12,31)),'Your Pay &amp; Benefits'!$C$60,999999),IF(AND('Your Pay &amp; Benefits'!$C$61&gt;MAX($B$6:$B64),'Your Pay &amp; Benefits'!$C$61&gt;=DATE('Your Pay &amp; Benefits'!$C$10,1,1),'Your Pay &amp; Benefits'!$C$61&lt;=DATE('Your Pay &amp; Benefits'!$C$10,12,31)),'Your Pay &amp; Benefits'!$C$61,999999),IF(AND('Your Pay &amp; Benefits'!$C$62&gt;MAX($B$6:$B64),'Your Pay &amp; Benefits'!$C$62&gt;=DATE('Your Pay &amp; Benefits'!$C$10,1,1),'Your Pay &amp; Benefits'!$C$62&lt;=DATE('Your Pay &amp; Benefits'!$C$10,12,31)),'Your Pay &amp; Benefits'!$C$62,999999),IF(AND('Your Pay &amp; Benefits'!$C$63&gt;MAX($B$6:$B64),'Your Pay &amp; Benefits'!$C$63&gt;=DATE('Your Pay &amp; Benefits'!$C$10,1,1),'Your Pay &amp; Benefits'!$C$63&lt;=DATE('Your Pay &amp; Benefits'!$C$10,12,31)),'Your Pay &amp; Benefits'!$C$63,999999),IF(AND('Your Pay &amp; Benefits'!$C$64&gt;MAX($B$6:$B64),'Your Pay &amp; Benefits'!$C$64&gt;=DATE('Your Pay &amp; Benefits'!$C$10,1,1),'Your Pay &amp; Benefits'!$C$64&lt;=DATE('Your Pay &amp; Benefits'!$C$10,12,31)),'Your Pay &amp; Benefits'!$C$64,999999),IF(AND('Your Pay &amp; Benefits'!$C$65&gt;MAX($B$6:$B64),'Your Pay &amp; Benefits'!$C$65&gt;=DATE('Your Pay &amp; Benefits'!$C$10,1,1),'Your Pay &amp; Benefits'!$C$65&lt;=DATE('Your Pay &amp; Benefits'!$C$10,12,31)),'Your Pay &amp; Benefits'!$C$65,999999),IF(AND('Your Pay &amp; Benefits'!$C$66&gt;MAX($B$6:$B64),'Your Pay &amp; Benefits'!$C$66&gt;=DATE('Your Pay &amp; Benefits'!$C$10,1,1),'Your Pay &amp; Benefits'!$C$66&lt;=DATE('Your Pay &amp; Benefits'!$C$10,12,31)),'Your Pay &amp; Benefits'!$C$66,999999),IF(AND('Your Pay &amp; Benefits'!$C$67&gt;MAX($B$6:$B64),'Your Pay &amp; Benefits'!$C$67&gt;=DATE('Your Pay &amp; Benefits'!$C$10,1,1),'Your Pay &amp; Benefits'!$C$67&lt;=DATE('Your Pay &amp; Benefits'!$C$10,12,31)),'Your Pay &amp; Benefits'!$C$67,999999)))</f>
      </c>
      <c r="CF65">
        <f>IF($B65="","",IF($D65=0,$Y65,""))</f>
      </c>
    </row>
    <row r="66">
      <c r="A66" t="n">
        <v>61</v>
      </c>
      <c r="B66" s="21">
        <f>IF(AND($CD66="",$CE66=""),"",IF($CE66="",$CD66,IF($CD66="",$CE66,MIN($CD66,$CE66))))</f>
      </c>
      <c r="C66" s="7">
        <f>IF($B66="","",IF($BF66=0,0,IF('Your Pay &amp; Benefits'!$C$4="Annual salary",ROUND($AK66/IF(AND('Your Pay &amp; Benefits'!$C$88="Actual paydays",MONTH('Your Pay &amp; Benefits'!$C$9)=1),MAX(1,MAX($BE$6:$BE$68)),'Your Pay &amp; Benefits'!$C$8),2),$AK66)))</f>
      </c>
      <c r="D66" s="7">
        <f>IF($B66="","",SUMIF('Your Pay &amp; Benefits'!$C$58:$C$67,$B66,'Your Pay &amp; Benefits'!$D$58:$D$67))</f>
      </c>
      <c r="E66" s="7">
        <f>IF($B66="","",ROUND(MAX(0,MIN(IF($AL66="Percent",$AM66*($C66+$D66),$AM66),MAX(0,'Your Pay &amp; Benefits'!$C$34-$AC65))),2))</f>
      </c>
      <c r="F66" s="7">
        <f>IF($B66="","",ROUND(MAX(0,MIN(IF('Your Pay &amp; Benefits'!$C$32="Percent",'Your Pay &amp; Benefits'!$D$32*($C66+$D66),'Your Pay &amp; Benefits'!$D$32),MAX(0,'Your Pay &amp; Benefits'!$C$34-$AC65-$E66))),2))</f>
      </c>
      <c r="G66" s="7">
        <f>IF($B66="","",IF($BF66=0,0,ROUND(MAX(0,MIN($BL66,'Your Pay &amp; Benefits'!$C$37-'Your Pay &amp; Benefits'!$C$54-$BI65)),2)))</f>
      </c>
      <c r="H66" s="7">
        <f>IF($B66="","",IF(OR($BF66=0,$BQ66=1),0,ROUND(MAX(0,MIN(IF($BS66=1,ROUND(MAX(0,MIN($BJ66,'How This Works &amp; Sources'!$C$13)-$BG65)/MAX(1,MAX($BE$6:$BE$68)-($BE65)),2),ROUND(MIN($BJ66,'How This Works &amp; Sources'!$C$13)/'Your Pay &amp; Benefits'!$C$8,2)),MIN($BJ66,'How This Works &amp; Sources'!$C$13)-$BG65)),2)))</f>
      </c>
      <c r="I66" s="7">
        <f>IF($B66="","",IF(OR($BF66=0,$BR66=1),0,ROUND(MAX(0,MIN(IF($BT66=1,ROUND(MAX(0,MIN($BK66,IF('Your Pay &amp; Benefits'!$C$12="MFJ",'How This Works &amp; Sources'!$C$14,'How This Works &amp; Sources'!$C$15))-$BH65)/MAX(1,MAX($BE$6:$BE$68)-($BE65)),2),ROUND(MIN($BK66,IF('Your Pay &amp; Benefits'!$C$12="MFJ",'How This Works &amp; Sources'!$C$14,'How This Works &amp; Sources'!$C$15))/'Your Pay &amp; Benefits'!$C$8,2)),MIN($BK66,IF('Your Pay &amp; Benefits'!$C$12="MFJ",'How This Works &amp; Sources'!$C$14,'How This Works &amp; Sources'!$C$15))-$BH65)),2)))</f>
      </c>
      <c r="J66" s="7">
        <f>IF($B66="","",IF($BF66=0,0,$BM66))</f>
      </c>
      <c r="K66" s="7">
        <f>IF($B66="","",IF($BF66=0,0,$BN66+$BO66))</f>
      </c>
      <c r="L66" s="7">
        <f>IF($B66="","",IF($BF66=0,0,'Your Pay &amp; Benefits'!$D$46))</f>
      </c>
      <c r="M66" s="7">
        <f>IF($B66="","",$C66+$D66+$L66-$E66-$G66-$H66-$I66-$J66-$K66)</f>
      </c>
      <c r="N66" s="7">
        <f>IF($B66="","",$C66+$D66+$L66-$G66-$H66-$I66-$J66-$K66)</f>
      </c>
      <c r="O66" s="7">
        <f>IF($B66="","",$C66+$D66+$L66-$E66-$H66-$I66-$J66-$K66-IF(OR($AN66="CA",$AN66="NJ"),0,$G66))</f>
      </c>
      <c r="P66" s="7">
        <f>IF($B66="","",IF('Your Pay &amp; Benefits'!$C$18,0,ROUND(MAX(0,IF('Your Pay &amp; Benefits'!$C$13,SUMPRODUCT(($AH66&gt;INDEX('How This Works &amp; Sources'!$B$29:$J$36,0,IF('Your Pay &amp; Benefits'!$C$12="MFJ",1,IF('Your Pay &amp; Benefits'!$C$12="HoH",7,4))))*($AH66-INDEX('How This Works &amp; Sources'!$B$29:$J$36,0,IF('Your Pay &amp; Benefits'!$C$12="MFJ",1,IF('Your Pay &amp; Benefits'!$C$12="HoH",7,4))))*INDEX('How This Works &amp; Sources'!$B$29:$J$36,0,IF('Your Pay &amp; Benefits'!$C$12="MFJ",1,IF('Your Pay &amp; Benefits'!$C$12="HoH",7,4))+2)),SUMPRODUCT(($AH66&gt;INDEX('How This Works &amp; Sources'!$B$19:$J$26,0,IF('Your Pay &amp; Benefits'!$C$12="MFJ",1,IF('Your Pay &amp; Benefits'!$C$12="HoH",7,4))))*($AH66-INDEX('How This Works &amp; Sources'!$B$19:$J$26,0,IF('Your Pay &amp; Benefits'!$C$12="MFJ",1,IF('Your Pay &amp; Benefits'!$C$12="HoH",7,4))))*INDEX('How This Works &amp; Sources'!$B$19:$J$26,0,IF('Your Pay &amp; Benefits'!$C$12="MFJ",1,IF('Your Pay &amp; Benefits'!$C$12="HoH",7,4))+2)))/'Your Pay &amp; Benefits'!$C$8-$AO66/'Your Pay &amp; Benefits'!$C$8)+$AR66+IF('Your Pay &amp; Benefits'!$C$89="Aggregate",MAX(0,IF('Your Pay &amp; Benefits'!$C$13,SUMPRODUCT((($AH66+$D66)&gt;INDEX('How This Works &amp; Sources'!$B$29:$J$36,0,IF('Your Pay &amp; Benefits'!$C$12="MFJ",1,IF('Your Pay &amp; Benefits'!$C$12="HoH",7,4))))*(($AH66+$D66)-INDEX('How This Works &amp; Sources'!$B$29:$J$36,0,IF('Your Pay &amp; Benefits'!$C$12="MFJ",1,IF('Your Pay &amp; Benefits'!$C$12="HoH",7,4))))*INDEX('How This Works &amp; Sources'!$B$29:$J$36,0,IF('Your Pay &amp; Benefits'!$C$12="MFJ",1,IF('Your Pay &amp; Benefits'!$C$12="HoH",7,4))+2)),SUMPRODUCT((($AH66+$D66)&gt;INDEX('How This Works &amp; Sources'!$B$19:$J$26,0,IF('Your Pay &amp; Benefits'!$C$12="MFJ",1,IF('Your Pay &amp; Benefits'!$C$12="HoH",7,4))))*(($AH66+$D66)-INDEX('How This Works &amp; Sources'!$B$19:$J$26,0,IF('Your Pay &amp; Benefits'!$C$12="MFJ",1,IF('Your Pay &amp; Benefits'!$C$12="HoH",7,4))))*INDEX('How This Works &amp; Sources'!$B$19:$J$26,0,IF('Your Pay &amp; Benefits'!$C$12="MFJ",1,IF('Your Pay &amp; Benefits'!$C$12="HoH",7,4))+2)))-IF('Your Pay &amp; Benefits'!$C$13,SUMPRODUCT(($AH66&gt;INDEX('How This Works &amp; Sources'!$B$29:$J$36,0,IF('Your Pay &amp; Benefits'!$C$12="MFJ",1,IF('Your Pay &amp; Benefits'!$C$12="HoH",7,4))))*($AH66-INDEX('How This Works &amp; Sources'!$B$29:$J$36,0,IF('Your Pay &amp; Benefits'!$C$12="MFJ",1,IF('Your Pay &amp; Benefits'!$C$12="HoH",7,4))))*INDEX('How This Works &amp; Sources'!$B$29:$J$36,0,IF('Your Pay &amp; Benefits'!$C$12="MFJ",1,IF('Your Pay &amp; Benefits'!$C$12="HoH",7,4))+2)),SUMPRODUCT(($AH66&gt;INDEX('How This Works &amp; Sources'!$B$19:$J$26,0,IF('Your Pay &amp; Benefits'!$C$12="MFJ",1,IF('Your Pay &amp; Benefits'!$C$12="HoH",7,4))))*($AH66-INDEX('How This Works &amp; Sources'!$B$19:$J$26,0,IF('Your Pay &amp; Benefits'!$C$12="MFJ",1,IF('Your Pay &amp; Benefits'!$C$12="HoH",7,4))))*INDEX('How This Works &amp; Sources'!$B$19:$J$26,0,IF('Your Pay &amp; Benefits'!$C$12="MFJ",1,IF('Your Pay &amp; Benefits'!$C$12="HoH",7,4))+2)))),'How This Works &amp; Sources'!$C$10*$D66),2)))</f>
      </c>
      <c r="Q66" s="7">
        <f>IF($B66="","",ROUND('How This Works &amp; Sources'!$C$4*MIN($N66,MAX(0,'How This Works &amp; Sources'!$C$3-($AX66+$AB65-$AW66))),2))</f>
      </c>
      <c r="R66" s="7">
        <f>IF($B66="","",ROUND('How This Works &amp; Sources'!$C$5*$N66,2))</f>
      </c>
      <c r="S66" s="7">
        <f>IF($B66="","",ROUND('How This Works &amp; Sources'!$C$6*MAX(0,MIN($N66,$AG65+$N66-'How This Works &amp; Sources'!$C$7)),2))</f>
      </c>
      <c r="T66" s="7">
        <f>IF($B66="","",IF('Your Pay &amp; Benefits'!$C$26,0,IF($AN66="CA",ROUND(IF($AI66&lt;=IF(($AS66+$AT66)&gt;=2,VLOOKUP($AN66,StateTables!$A$6:$AB$56,10,FALSE),VLOOKUP($AN66,StateTables!$A$6:$AB$56,9,FALSE)),0,MAX(0,SUMPRODUCT(($AJ66&gt;INDEX('How This Works &amp; Sources'!$B$39:$J$48,0,IF($AU66="Married",4,IF($AU66="Head of household",7,1))))*($AJ66-INDEX('How This Works &amp; Sources'!$B$39:$J$48,0,IF($AU66="Married",4,IF($AU66="Head of household",7,1))))*INDEX('How This Works &amp; Sources'!$B$39:$J$48,0,IF($AU66="Married",4,IF($AU66="Head of household",7,1))+2))-VLOOKUP($AN66,StateTables!$A$6:$AB$56,11,FALSE)*$AS66)/'Your Pay &amp; Benefits'!$C$8)+'Your Pay &amp; Benefits'!$C$25+VLOOKUP($AN66,StateTables!$A$6:$AB$56,13,FALSE)*$D66,2),IF(VLOOKUP($AN66,StateTables!$A$6:$AB$56,4,FALSE)="None",0,IF(ISNUMBER(SEARCH("MANUAL",VLOOKUP($AN66,StateTables!$A$6:$AB$56,5,FALSE))),'Your Pay &amp; Benefits'!$C$28,ROUND(MAX(0,$BA66+$BB66)/'Your Pay &amp; Benefits'!$C$8+'Your Pay &amp; Benefits'!$C$25+$BC66,2))))))</f>
      </c>
      <c r="U66" s="7">
        <f>IF($B66="","",IF(VLOOKUP($AN66,StateTables!$A$6:$AB$56,24,FALSE)="flatq",IF(OR(MONTH($B66)=1,MONTH($B66)=4,MONTH($B66)=7,MONTH($B66)=10),VLOOKUP($AN66,StateTables!$A$6:$AB$56,25,FALSE),0),IF(VLOOKUP($AN66,StateTables!$A$6:$AB$56,24,FALSE)="dbl",MIN(ROUND(0.005*$N66,2),ROUND(0.6*52/'Your Pay &amp; Benefits'!$C$8,2)),IF(OR(VLOOKUP($AN66,StateTables!$A$6:$AB$56,15,FALSE)="",VLOOKUP($AN66,StateTables!$A$6:$AB$56,15,FALSE)=0),0,ROUND(VLOOKUP($AN66,StateTables!$A$6:$AB$56,15,FALSE)*IF(OR(VLOOKUP($AN66,StateTables!$A$6:$AB$56,16,FALSE)="",VLOOKUP($AN66,StateTables!$A$6:$AB$56,16,FALSE)=0),$N66,MIN($N66,MAX(0,VLOOKUP($AN66,StateTables!$A$6:$AB$56,16,FALSE)-($AX66+$AB65-$AW66)))),2))))+IF(VLOOKUP($AN66,StateTables!$A$6:$AB$56,27,FALSE)="flatq",IF(OR(MONTH($B66)=1,MONTH($B66)=4,MONTH($B66)=7,MONTH($B66)=10),VLOOKUP($AN66,StateTables!$A$6:$AB$56,28,FALSE),0),IF(VLOOKUP($AN66,StateTables!$A$6:$AB$56,27,FALSE)="dbl",MIN(ROUND(0.005*$N66,2),ROUND(0.6*52/'Your Pay &amp; Benefits'!$C$8,2)),IF(OR(VLOOKUP($AN66,StateTables!$A$6:$AB$56,18,FALSE)="",VLOOKUP($AN66,StateTables!$A$6:$AB$56,18,FALSE)=0),0,ROUND(VLOOKUP($AN66,StateTables!$A$6:$AB$56,18,FALSE)*IF(OR(VLOOKUP($AN66,StateTables!$A$6:$AB$56,19,FALSE)="",VLOOKUP($AN66,StateTables!$A$6:$AB$56,19,FALSE)=0),$N66,MIN($N66,MAX(0,VLOOKUP($AN66,StateTables!$A$6:$AB$56,19,FALSE)-($AX66+$AB65-$AW66)))),2)))))</f>
      </c>
      <c r="V66" s="7">
        <f>IF($B66="","",IF($AN66="NY",IF('Your Pay &amp; Benefits'!$C$78,ROUND(SUMPRODUCT((MAX(0,($O66-$D66)*'Your Pay &amp; Benefits'!$C$8-(IF($AU66="Married",5500,5000)+1000*$AS66))&gt;INDEX('How This Works &amp; Sources'!$B$184:$J$198,0,4))*(MAX(0,($O66-$D66)*'Your Pay &amp; Benefits'!$C$8-(IF($AU66="Married",5500,5000)+1000*$AS66))-INDEX('How This Works &amp; Sources'!$B$184:$J$198,0,4))*INDEX('How This Works &amp; Sources'!$B$184:$J$198,0,4+2))/'Your Pay &amp; Benefits'!$C$8+0.0425*$D66,2),0)+IF('Your Pay &amp; Benefits'!$C$79="Resident",ROUND(0.1675*$T66,2),IF('Your Pay &amp; Benefits'!$C$79="Nonresident",ROUND(0.005*MAX(0,($O66-$D66)-(IF($AU66="Married",7950,7400)+1000*$AS66)/'Your Pay &amp; Benefits'!$C$8),2),0)),IF($AN66="PA",IF('Your Pay &amp; Benefits'!$C$80="None",'Your Pay &amp; Benefits'!$C$27+ROUND('Your Pay &amp; Benefits'!$C$81*($C66+$D66),2),ROUND(IF('Your Pay &amp; Benefits'!$C$80="Resident",IF($B66&lt;DATE(2026,7,1),0.0374,0.03735),IF($B66&lt;DATE(2026,7,1),0.0343,0.03425))*($C66+$D66),2)),IF($BF66=0,ROUND('Your Pay &amp; Benefits'!$C$81*($C66+$D66),2),'Your Pay &amp; Benefits'!$C$27+ROUND('Your Pay &amp; Benefits'!$C$81*($C66+$D66),2)))))</f>
      </c>
      <c r="W66" s="7">
        <f>IF($B66="","",IF($BF66=0,0,$BP66))</f>
      </c>
      <c r="X66" s="7">
        <f>IF($B66="","",SUM($E66:$K66)+$P66+$Q66+$R66+$S66+$T66+$U66+$V66+$W66)</f>
      </c>
      <c r="Y66" s="22">
        <f>IF($B66="","",$C66+$D66-$X66)</f>
      </c>
      <c r="Z66" s="7">
        <f>IF($B66="","",$Z65+$C66+$D66)</f>
      </c>
      <c r="AA66" s="7">
        <f>IF($B66="","",$AA65+$Y66)</f>
      </c>
      <c r="AB66" s="7">
        <f>IF($B66="","",$AB65+MIN($N66,MAX(0,'How This Works &amp; Sources'!$C$3-($AX66+$AB65-$AW66))))</f>
      </c>
      <c r="AC66" s="7">
        <f>IF($B66="","",$AC65+$E66+$F66)</f>
      </c>
      <c r="AD66" s="3">
        <f>IF($B66="","",IF(AND($AB65&lt;'How This Works &amp; Sources'!$C$3,$AB66&gt;='How This Works &amp; Sources'!$C$3),"★ Social Security maxed on this check — from the next check your net rises by about $"&amp;TEXT(ROUND('How This Works &amp; Sources'!$C$4*$N66,2),"#,##0.00")&amp;". ","")&amp;IF(AND($AC65&lt;'Your Pay &amp; Benefits'!$C$34,$AC66&gt;='Your Pay &amp; Benefits'!$C$34),"★ 401(k) reaches the $"&amp;TEXT('Your Pay &amp; Benefits'!$C$34,"#,##0")&amp;" cap on this check — deferrals stop and net pay rises. ","")&amp;IF(AND($AG65&lt;'How This Works &amp; Sources'!$C$7,$AG66&gt;='How This Works &amp; Sources'!$C$7),"★ Wages pass $200,000 — the 0.9% Additional Medicare Tax starts here. ","")&amp;IF(AND($BJ66&gt;0,$H66&gt;0,$BG65&lt;MIN($BJ66,'How This Works &amp; Sources'!$C$13),$BG65+$H66&gt;=MIN($BJ66,'How This Works &amp; Sources'!$C$13)),"★ Health FSA election is now fully deferred for the year. ",""))</f>
      </c>
      <c r="AE66" s="41" t="n"/>
      <c r="AF66" s="7">
        <f>IF(OR($B66="",$AE66=""),"",$AE66-$Y66)</f>
      </c>
      <c r="AG66" s="7">
        <f>IF($B66="","",$AG65+$N66)</f>
      </c>
      <c r="AH66" s="7">
        <f>IF($B66="","",MAX(0,($M66-$D66)*'Your Pay &amp; Benefits'!$C$8+$AP66-$AQ66-IF('Your Pay &amp; Benefits'!$C$13,0,IF('Your Pay &amp; Benefits'!$C$12="MFJ",'How This Works &amp; Sources'!$C$8,'How This Works &amp; Sources'!$C$9))))</f>
      </c>
      <c r="AI66" s="7">
        <f>IF($B66="","",$O66*'Your Pay &amp; Benefits'!$C$8)</f>
      </c>
      <c r="AJ66" s="7">
        <f>IF($B66="","",MAX(0,$AI66-VLOOKUP($AN66,StateTables!$A$6:$AB$56,12,FALSE)*$AT66-IF(($AS66+$AT66)&gt;=2,VLOOKUP($AN66,StateTables!$A$6:$AB$56,8,FALSE),VLOOKUP($AN66,StateTables!$A$6:$AB$56,7,FALSE))))</f>
      </c>
      <c r="AK66" s="7">
        <f>IF($B66="","",IFERROR(LOOKUP(2,1/(('Changes &amp; Events'!$C$6:$C$17="Salary change")*('Changes &amp; Events'!$B$6:$B$17&lt;=$B66)*('Changes &amp; Events'!$B$6:$B$17&lt;&gt;"")),'Changes &amp; Events'!$D$6:$D$17),IF('Your Pay &amp; Benefits'!$C$4="Annual salary",'Your Pay &amp; Benefits'!$C$5,'Your Pay &amp; Benefits'!$C$6)))</f>
      </c>
      <c r="AL66">
        <f>IF($B66="","",IFERROR(LOOKUP(2,1/(('Changes &amp; Events'!$C$6:$C$17="401(k) change")*('Changes &amp; Events'!$B$6:$B$17&lt;=$B66)*('Changes &amp; Events'!$B$6:$B$17&lt;&gt;"")),'Changes &amp; Events'!$D$6:$D$17),'Your Pay &amp; Benefits'!$C$30))</f>
      </c>
      <c r="AM66" s="7">
        <f>IF($B66="","",IFERROR(LOOKUP(2,1/(('Changes &amp; Events'!$C$6:$C$17="401(k) change")*('Changes &amp; Events'!$B$6:$B$17&lt;=$B66)*('Changes &amp; Events'!$B$6:$B$17&lt;&gt;"")),'Changes &amp; Events'!$E$6:$E$17),'Your Pay &amp; Benefits'!$D$31))</f>
      </c>
      <c r="AN66">
        <f>IF($B66="","",IFERROR(LOOKUP(2,1/(('Changes &amp; Events'!$C$6:$C$17="State move")*('Changes &amp; Events'!$B$6:$B$17&lt;=$B66)*('Changes &amp; Events'!$B$6:$B$17&lt;&gt;"")),'Changes &amp; Events'!$D$6:$D$17),'Your Pay &amp; Benefits'!$C$21))</f>
      </c>
      <c r="AO66" s="7">
        <f>IF($B66="","",IFERROR(LOOKUP(2,1/(('Changes &amp; Events'!$C$6:$C$17="W-4 change")*('Changes &amp; Events'!$B$6:$B$17&lt;=$B66)*('Changes &amp; Events'!$B$6:$B$17&lt;&gt;"")),'Changes &amp; Events'!$D$6:$D$17),'Your Pay &amp; Benefits'!$C$14))</f>
      </c>
      <c r="AP66" s="7">
        <f>IF($B66="","",IFERROR(LOOKUP(2,1/(('Changes &amp; Events'!$C$6:$C$17="W-4 change")*('Changes &amp; Events'!$B$6:$B$17&lt;=$B66)*('Changes &amp; Events'!$B$6:$B$17&lt;&gt;"")),'Changes &amp; Events'!$E$6:$E$17),'Your Pay &amp; Benefits'!$C$15))</f>
      </c>
      <c r="AQ66" s="7">
        <f>IF($B66="","",IFERROR(LOOKUP(2,1/(('Changes &amp; Events'!$C$6:$C$17="W-4 change")*('Changes &amp; Events'!$B$6:$B$17&lt;=$B66)*('Changes &amp; Events'!$B$6:$B$17&lt;&gt;"")),'Changes &amp; Events'!$F$6:$F$17),'Your Pay &amp; Benefits'!$C$16))</f>
      </c>
      <c r="AR66" s="7">
        <f>IF($B66="","",IFERROR(LOOKUP(2,1/(('Changes &amp; Events'!$C$6:$C$17="W-4 change")*('Changes &amp; Events'!$B$6:$B$17&lt;=$B66)*('Changes &amp; Events'!$B$6:$B$17&lt;&gt;"")),'Changes &amp; Events'!$G$6:$G$17),'Your Pay &amp; Benefits'!$C$17))</f>
      </c>
      <c r="AS66" s="6">
        <f>IF($B66="","",IFERROR(LOOKUP(2,1/((('Changes &amp; Events'!$C$6:$C$17="State move")+('Changes &amp; Events'!$C$6:$C$17="State cert change"))*('Changes &amp; Events'!$B$6:$B$17&lt;=$B66)*('Changes &amp; Events'!$B$6:$B$17&lt;&gt;"")),'Changes &amp; Events'!$F$6:$F$17),'Your Pay &amp; Benefits'!$C$23))</f>
      </c>
      <c r="AT66" s="6">
        <f>IF($B66="","",IFERROR(LOOKUP(2,1/((('Changes &amp; Events'!$C$6:$C$17="State move")+('Changes &amp; Events'!$C$6:$C$17="State cert change"))*('Changes &amp; Events'!$B$6:$B$17&lt;=$B66)*('Changes &amp; Events'!$B$6:$B$17&lt;&gt;"")),'Changes &amp; Events'!$G$6:$G$17),'Your Pay &amp; Benefits'!$C$24))</f>
      </c>
      <c r="AU66">
        <f>IF($B66="","",IFERROR(LOOKUP(2,1/(('Changes &amp; Events'!$C$6:$C$17="State move")*('Changes &amp; Events'!$B$6:$B$17&lt;=$B66)*('Changes &amp; Events'!$B$6:$B$17&lt;&gt;"")),'Changes &amp; Events'!$E$6:$E$17),'Your Pay &amp; Benefits'!$C$22))</f>
      </c>
      <c r="AV66" s="6">
        <f>IF($B66="","",1+COUNTIFS('Changes &amp; Events'!$C$6:$C$17,"Employer change",'Changes &amp; Events'!$B$6:$B$17,"&lt;="&amp;$B66,'Changes &amp; Events'!$B$6:$B$17,"&lt;&gt;"))</f>
      </c>
      <c r="AW66" s="7">
        <f>IF($B66="","",IF($AV66=1,'Your Pay &amp; Benefits'!$C$49,IF(IFERROR(MATCH(IFERROR(LOOKUP(2,1/(('Changes &amp; Events'!$C$6:$C$17="Employer change")*('Changes &amp; Events'!$B$6:$B$17&lt;=$B66)*('Changes &amp; Events'!$B$6:$B$17&lt;&gt;"")),'Changes &amp; Events'!$B$6:$B$17),""),$B$6:$B$68,1),1)&lt;=1,'Your Pay &amp; Benefits'!$C$49,INDEX($AB$6:$AB$68,MATCH(IFERROR(LOOKUP(2,1/(('Changes &amp; Events'!$C$6:$C$17="Employer change")*('Changes &amp; Events'!$B$6:$B$17&lt;=$B66)*('Changes &amp; Events'!$B$6:$B$17&lt;&gt;"")),'Changes &amp; Events'!$B$6:$B$17),""),$B$6:$B$68,1)-1))))</f>
      </c>
      <c r="AX66" s="7">
        <f>IF($B66="","",IF($AV66=1,'Your Pay &amp; Benefits'!$C$49,IFERROR(LOOKUP(2,1/(('Changes &amp; Events'!$C$6:$C$17="Employer change")*('Changes &amp; Events'!$B$6:$B$17&lt;=$B66)*('Changes &amp; Events'!$B$6:$B$17&lt;&gt;"")),'Changes &amp; Events'!$D$6:$D$17),0)))</f>
      </c>
      <c r="AY66" s="7">
        <f>IF($B66="","",($O66-$D66)*'Your Pay &amp; Benefits'!$C$8)</f>
      </c>
      <c r="AZ66" s="7">
        <f>IF($B66="","",IF($AN66="AL",MAX(0,$AY66-IF($AU66="Married",IF($AY66&lt;=25999,8500,MAX(5000,8500-175*CEILING(($AY66-25999)/500,1))),IF($AU66="Head of household",IF($AY66&lt;=25999,5200,MAX(2500,5200-135*CEILING(($AY66-25999)/500,1))),IF($AY66&lt;=25999,3000,MAX(2500,3000-25*CEILING(($AY66-25999)/500,1)))))-($P66-'How This Works &amp; Sources'!$C$10*$D66)*'Your Pay &amp; Benefits'!$C$8-IF(OR($AU66="Married",$AU66="Head of household"),3000,1500)-$AT66*IF($AY66&lt;=50000,1000,IF($AY66&lt;=100000,500,300))),IF($AN66="AR",IF(MAX(0,$AY66-2470)&lt;97701,INT(MAX(0,$AY66-2470)/100)*100+50,MAX(0,$AY66-2470)),IF($AN66="DE",MAX(0,$AI66-3250),IF($AN66="HI",MAX(0,$AI66-1144*$AS66-4350),IF($AN66="KS",MAX(0,$AI66-(9160*IF($AU66="Married",2,1)+2320*$AT66+IF($AU66="Head of household",2320,0))),IF($AN66="MD",MAX(0,$AI66-3400-3200*$AS66),IF($AN66="MN",MAX(0,$AY66-5300*$AS66),IF($AN66="MO",MAX(0,$AI66-IF($AU66="Head of household",24150,IF($AU66="Married",IF('Your Pay &amp; Benefits'!$C$83,16100,32200),16100))),IF($AN66="MT",$AY66,IF($AN66="ND",($C66+$L66)*'Your Pay &amp; Benefits'!$C$8,IF($AN66="NE",MAX(0,$AY66-2440*$AS66),IF($AN66="NJ",MAX(0,$AY66-1000*$AS66),IF($AN66="NY",MAX(0,$AY66-(IF($AU66="Married",7950,7400)+1000*$AS66)),IF($AN66="OH",MAX(0,$AY66-650*$AS66),IF($AN66="OK",MAX(0,$AY66-1000*$AS66),IF($AN66="RI",MAX(0,$AI66-1000*$AS66),IF($AN66="SC",MAX(0,$AI66-5000*$AS66-IF($AS66=0,0,MIN(0.1*$AI66,7500))),IF($AN66="VA",MAX(0,$AI66-IF($AU66="Married",17500,8750)-930*$AS66-800*$AT66),IF($AN66="VT",MAX(0,$AI66-5400*$AS66),IF($AN66="WI",MAX(0,$AI66-MAX(0,IF($AU66="Married",9461-0.2*MAX(0,$AI66-25727),6702-0.12*MAX(0,$AI66-17780)))-400*$AS66),IF($AN66="WV",MAX(0,$AI66-2000*$AS66),$AI66))))))))))))))))))))))</f>
      </c>
      <c r="BA66" s="7">
        <f>IF($B66="","",IF($BW66&lt;&gt;"",$BW66,IF($BX66&lt;&gt;"",$BX66,IF($BY66&lt;&gt;"",$BY66,0))))</f>
      </c>
      <c r="BB66" s="7">
        <f>IF($B66="","",IF($AN66="AR",-29*$AS66,IF($AN66="DE",-110*$AS66,IF($AN66="MD",$AZ66*'Your Pay &amp; Benefits'!$C$74,IF($AN66="AZ",'Your Pay &amp; Benefits'!$C$82*($M66-$D66)*'Your Pay &amp; Benefits'!$C$8,IF($AN66="CO",0.044*MAX(0,$AY66-IF($AU66="Married",10000,5000)),IF($AN66="IA",MAX(0,0.038*MAX(0,$AY66-IF($AU66="Head of household",19500,IF($AU66="Married",26000,13000)))-40*$AS66),IF($AN66="ID",0.053*MAX(0,$AY66-IF($AU66="Married",32000,16094)),IF($AN66="IL",0.0495*MAX(0,$AY66-(2925*$AS66+1000*$AT66)),IF($AN66="IN",(0.0295+'Your Pay &amp; Benefits'!$C$76)*MAX(0,$AY66-(1000*$AS66+1500*$AT66+3000*'Your Pay &amp; Benefits'!$C$86)),IF($AN66="KY",0.035*MAX(0,$AI66-3360),IF($AN66="LA",IF('Your Pay &amp; Benefits'!$C$84="0",0.0309*$AI66,0.0309*MAX(0,$AI66-IF('Your Pay &amp; Benefits'!$C$84="2",25750,12875))),IF($AN66="MA",0.05*MIN(MAX(0,$AY66-MIN(($BD65+$Q66+$R66+$S66),2000)-IF($AS66=0,0,IF($AS66=1,4400,1000*$AS66+3400))),1107750)+0.09*MAX(0,MAX(0,$AY66-MIN(($BD65+$Q66+$R66+$S66),2000)-IF($AS66=0,0,IF($AS66=1,4400,1000*$AS66+3400)))-1107750)-IF($AU66="Head of household",120,0)-110*'Your Pay &amp; Benefits'!$C$75,IF($AN66="MI",0.0425*MAX(0,$AY66-5900*$AS66),IF($AN66="MS",0.04*MAX(0,$AI66-IF($AU66="Head of household",3400,IF($AU66="Married",4600,2300))-'Your Pay &amp; Benefits'!$C$85-10000),IF($AN66="OR",IF(OR($AU66="Married",AND($AU66="Single",$AS66&gt;=3)),SUMPRODUCT((MAX(0,$AY66-MIN(($P66-'How This Works &amp; Sources'!$C$10*$D66)*'Your Pay &amp; Benefits'!$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Sources'!$B$211:$J$214,0,4))*(MAX(0,$AY66-MIN(($P66-'How This Works &amp; Sources'!$C$10*$D66)*'Your Pay &amp; Benefits'!$C$8,IF(OR($AU66="Married",AND($AU66="Single",$AS66&gt;=3)),IF($AY66&lt;250000,8750,IF($AY66&lt;260000,7000,IF($AY66&lt;270000,5250,IF($AY66&lt;280000,3500,IF($AY66&lt;290000,1750,0))))),IF($AY66&lt;125000,8750,IF($AY66&lt;130000,7000,IF($AY66&lt;135000,5250,IF($AY66&lt;140000,3500,IF($AY66&lt;145000,1750,0)))))))-IF(OR($AU66="Married",AND($AU66="Single",$AS66&gt;=3)),5820,2910))-INDEX('How This Works &amp; Sources'!$B$211:$J$214,0,4))*INDEX('How This Works &amp; Sources'!$B$211:$J$214,0,4+2)),SUMPRODUCT((MAX(0,$AY66-MIN(($P66-'How This Works &amp; Sources'!$C$10*$D66)*'Your Pay &amp; Benefits'!$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Sources'!$B$211:$J$214,0,1))*(MAX(0,$AY66-MIN(($P66-'How This Works &amp; Sources'!$C$10*$D66)*'Your Pay &amp; Benefits'!$C$8,IF(OR($AU66="Married",AND($AU66="Single",$AS66&gt;=3)),IF($AY66&lt;250000,8750,IF($AY66&lt;260000,7000,IF($AY66&lt;270000,5250,IF($AY66&lt;280000,3500,IF($AY66&lt;290000,1750,0))))),IF($AY66&lt;125000,8750,IF($AY66&lt;130000,7000,IF($AY66&lt;135000,5250,IF($AY66&lt;140000,3500,IF($AY66&lt;145000,1750,0)))))))-IF(OR($AU66="Married",AND($AU66="Single",$AS66&gt;=3)),5820,2910))-INDEX('How This Works &amp; Sources'!$B$211:$J$214,0,1))*INDEX('How This Works &amp; Sources'!$B$211:$J$214,0,1+2)))+263-263*IF(IF($AU66="Married",$AY66&gt;200000,$AY66&gt;100000),0,$AS66),IF($AN66="PA",0.0307*(($O66+$E66+$G66)*'Your Pay &amp; Benefits'!$C$8),IF($AN66="NY",IF($AU66="Married",IF($AZ66&gt;=2155350,0,IF($AZ66&gt;=1077550,0.48,IF($AZ66&gt;=373200,1.21,IF($AZ66&gt;=323200,0.21,IF($AZ66&gt;=211550,-0.19,IF($AZ66&gt;=157650,-2.8,IF($AZ66&gt;=107650,-0.8,IF($AZ66&gt;=96800,0.05,IF($AZ66&gt;=80650,-0.1,IF($AZ66&gt;=13900,0.4,IF($AZ66&gt;=11700,-0.3,IF($AZ66&gt;=8500,0.5,0)))))))))))),IF($AZ66&gt;=1077550,0,IF($AZ66&gt;=265400,4.29,IF($AZ66&gt;=215400,2.29,IF($AZ66&gt;=157650,2.29,IF($AZ66&gt;=107650,0.29,IF($AZ66&gt;=96800,0.05,IF($AZ66&gt;=80650,-0.1,IF($AZ66&gt;=13900,0.4,IF($AZ66&gt;=11700,-0.3,IF($AZ66&gt;=8500,0.5,0))))))))))),0))))))))))))))))))</f>
      </c>
      <c r="BC66" s="7">
        <f>IF($B66="","",IF($AN66="AL",0.05*$D66,IF($AN66="AR",0.039*$D66,IF($AN66="ID",0.053*$D66,IF($AN66="IN",(0.0295+'Your Pay &amp; Benefits'!$C$76)*$D66,IF($AN66="KS",0.05*$D66,IF($AN66="MA",0.09*MIN($D66,MAX(0,MAX(0,$AY66-MIN(($BD65+$Q66+$R66+$S66),2000)-IF($AS66=0,0,IF($AS66=1,4400,1000*$AS66+3400)))+$D66-1107750))+0.05*($D66-MIN($D66,MAX(0,MAX(0,$AY66-MIN(($BD65+$Q66+$R66+$S66),2000)-IF($AS66=0,0,IF($AS66=1,4400,1000*$AS66+3400)))+$D66-1107750))),IF($AN66="MD",(0.065+'Your Pay &amp; Benefits'!$C$74)*$D66,IF($AN66="MI",0.0425*$D66,IF($AN66="MN",0.0625*$D66,IF($AN66="MO",0.047*$D66,IF($AN66="MT",0.05*$D66,IF($AN66="ND",0.015*$D66,IF($AN66="NE",0.035*$D66,IF($AN66="NJ",IF('Your Pay &amp; Benefits'!$C$77="B",SUMPRODUCT(($D66*'Your Pay &amp; Benefits'!$C$8&gt;INDEX('How This Works &amp; Sources'!$B$155:$J$162,0,4))*($D66*'Your Pay &amp; Benefits'!$C$8-INDEX('How This Works &amp; Sources'!$B$155:$J$162,0,4))*INDEX('How This Works &amp; Sources'!$B$155:$J$162,0,4+2)),IF('Your Pay &amp; Benefits'!$C$77="C",SUMPRODUCT(($D66*'Your Pay &amp; Benefits'!$C$8&gt;INDEX('How This Works &amp; Sources'!$B$155:$J$162,0,7))*($D66*'Your Pay &amp; Benefits'!$C$8-INDEX('How This Works &amp; Sources'!$B$155:$J$162,0,7))*INDEX('How This Works &amp; Sources'!$B$155:$J$162,0,7+2)),IF('Your Pay &amp; Benefits'!$C$77="D",SUMPRODUCT(($D66*'Your Pay &amp; Benefits'!$C$8&gt;INDEX('How This Works &amp; Sources'!$B$167:$J$179,0,1))*($D66*'Your Pay &amp; Benefits'!$C$8-INDEX('How This Works &amp; Sources'!$B$167:$J$179,0,1))*INDEX('How This Works &amp; Sources'!$B$167:$J$179,0,1+2)),IF('Your Pay &amp; Benefits'!$C$77="E",SUMPRODUCT(($D66*'Your Pay &amp; Benefits'!$C$8&gt;INDEX('How This Works &amp; Sources'!$B$167:$J$179,0,4))*($D66*'Your Pay &amp; Benefits'!$C$8-INDEX('How This Works &amp; Sources'!$B$167:$J$179,0,4))*INDEX('How This Works &amp; Sources'!$B$167:$J$179,0,4+2)),SUMPRODUCT(($D66*'Your Pay &amp; Benefits'!$C$8&gt;INDEX('How This Works &amp; Sources'!$B$155:$J$162,0,1))*($D66*'Your Pay &amp; Benefits'!$C$8-INDEX('How This Works &amp; Sources'!$B$155:$J$162,0,1))*INDEX('How This Works &amp; Sources'!$B$155:$J$162,0,1+2))))))/'Your Pay &amp; Benefits'!$C$8,IF($AN66="NY",0.117*$D66,IF($AN66="OH",0.0275*$D66,IF($AN66="OK",0.045*$D66,IF($AN66="OR",0.08*$D66,IF($AN66="WI",IF($AY66&lt;12760,0.0354,IF($AY66&lt;25520,0.0465,IF($AY66&lt;280950,0.053,0.0765)))*$D66,0))))))))))))))))))))</f>
      </c>
      <c r="BD66" s="7">
        <f>IF($B66="","",$BD65+$Q66+$R66+$S66)</f>
      </c>
      <c r="BE66" s="6">
        <f>IF($B66="",$BE65,$BE65+$BF66)</f>
      </c>
      <c r="BF66" s="6">
        <f>IF($B66="","",IF(AND(IF(YEAR(IF('Your Pay &amp; Benefits'!$C$7="Weekly",'Your Pay &amp; Benefits'!$C$9+7*(($BE65+1)-1),IF('Your Pay &amp; Benefits'!$C$7="Biweekly",'Your Pay &amp; Benefits'!$C$9+14*(($BE65+1)-1),IF('Your Pay &amp; Benefits'!$C$7="Semimonthly",DATE(YEAR('Your Pay &amp; Benefits'!$C$9),MONTH('Your Pay &amp; Benefits'!$C$9)+INT((($BE65+1)-1)/2),MIN(DAY('Your Pay &amp; Benefits'!$C$9),DAY(EOMONTH(DATE(YEAR('Your Pay &amp; Benefits'!$C$9),MONTH('Your Pay &amp; Benefits'!$C$9)+INT((($BE65+1)-1)/2),1),0))))+IF(MOD(($BE65+1)-1,2)=1,15,0),EDATE('Your Pay &amp; Benefits'!$C$9,($BE65+1)-1)))))&lt;&gt;'Your Pay &amp; Benefits'!$C$10,"",IF('Your Pay &amp; Benefits'!$C$7="Weekly",'Your Pay &amp; Benefits'!$C$9+7*(($BE65+1)-1),IF('Your Pay &amp; Benefits'!$C$7="Biweekly",'Your Pay &amp; Benefits'!$C$9+14*(($BE65+1)-1),IF('Your Pay &amp; Benefits'!$C$7="Semimonthly",DATE(YEAR('Your Pay &amp; Benefits'!$C$9),MONTH('Your Pay &amp; Benefits'!$C$9)+INT((($BE65+1)-1)/2),MIN(DAY('Your Pay &amp; Benefits'!$C$9),DAY(EOMONTH(DATE(YEAR('Your Pay &amp; Benefits'!$C$9),MONTH('Your Pay &amp; Benefits'!$C$9)+INT((($BE65+1)-1)/2),1),0))))+IF(MOD(($BE65+1)-1,2)=1,15,0),EDATE('Your Pay &amp; Benefits'!$C$9,($BE65+1)-1)))))&lt;&gt;"",$B66=IF(YEAR(IF('Your Pay &amp; Benefits'!$C$7="Weekly",'Your Pay &amp; Benefits'!$C$9+7*(($BE65+1)-1),IF('Your Pay &amp; Benefits'!$C$7="Biweekly",'Your Pay &amp; Benefits'!$C$9+14*(($BE65+1)-1),IF('Your Pay &amp; Benefits'!$C$7="Semimonthly",DATE(YEAR('Your Pay &amp; Benefits'!$C$9),MONTH('Your Pay &amp; Benefits'!$C$9)+INT((($BE65+1)-1)/2),MIN(DAY('Your Pay &amp; Benefits'!$C$9),DAY(EOMONTH(DATE(YEAR('Your Pay &amp; Benefits'!$C$9),MONTH('Your Pay &amp; Benefits'!$C$9)+INT((($BE65+1)-1)/2),1),0))))+IF(MOD(($BE65+1)-1,2)=1,15,0),EDATE('Your Pay &amp; Benefits'!$C$9,($BE65+1)-1)))))&lt;&gt;'Your Pay &amp; Benefits'!$C$10,"",IF('Your Pay &amp; Benefits'!$C$7="Weekly",'Your Pay &amp; Benefits'!$C$9+7*(($BE65+1)-1),IF('Your Pay &amp; Benefits'!$C$7="Biweekly",'Your Pay &amp; Benefits'!$C$9+14*(($BE65+1)-1),IF('Your Pay &amp; Benefits'!$C$7="Semimonthly",DATE(YEAR('Your Pay &amp; Benefits'!$C$9),MONTH('Your Pay &amp; Benefits'!$C$9)+INT((($BE65+1)-1)/2),MIN(DAY('Your Pay &amp; Benefits'!$C$9),DAY(EOMONTH(DATE(YEAR('Your Pay &amp; Benefits'!$C$9),MONTH('Your Pay &amp; Benefits'!$C$9)+INT((($BE65+1)-1)/2),1),0))))+IF(MOD(($BE65+1)-1,2)=1,15,0),EDATE('Your Pay &amp; Benefits'!$C$9,($BE65+1)-1)))))),1,0))</f>
      </c>
      <c r="BG66" s="7">
        <f>IF($B66="","",$BG65+$H66)</f>
      </c>
      <c r="BH66" s="7">
        <f>IF($B66="","",$BH65+$I66)</f>
      </c>
      <c r="BI66" s="7">
        <f>IF($B66="","",$BI65+$G66)</f>
      </c>
      <c r="BJ66" s="7">
        <f>IF($B66="","",IFERROR(LOOKUP(2,1/(((('Changes &amp; Events'!$C$6:$C$17="Deduction start"))*('Changes &amp; Events'!$D$6:$D$17="Health FSA"))*('Changes &amp; Events'!$B$6:$B$17&lt;=$B66)*('Changes &amp; Events'!$B$6:$B$17&lt;&gt;"")),'Changes &amp; Events'!$E$6:$E$17),'Your Pay &amp; Benefits'!$D$38))</f>
      </c>
      <c r="BK66" s="7">
        <f>IF($B66="","",IFERROR(LOOKUP(2,1/(((('Changes &amp; Events'!$C$6:$C$17="Deduction start"))*('Changes &amp; Events'!$D$6:$D$17="Dependent-care FSA"))*('Changes &amp; Events'!$B$6:$B$17&lt;=$B66)*('Changes &amp; Events'!$B$6:$B$17&lt;&gt;"")),'Changes &amp; Events'!$E$6:$E$17),'Your Pay &amp; Benefits'!$D$39))</f>
      </c>
      <c r="BL66" s="7">
        <f>IF($B66="","",IFERROR(LOOKUP(2,1/(((('Changes &amp; Events'!$C$6:$C$17="Deduction start")+('Changes &amp; Events'!$C$6:$C$17="Deduction stop"))*('Changes &amp; Events'!$D$6:$D$17="HSA"))*('Changes &amp; Events'!$B$6:$B$17&lt;=$B66)*('Changes &amp; Events'!$B$6:$B$17&lt;&gt;"")),'Changes &amp; Events'!$I$6:$I$17),'Your Pay &amp; Benefits'!$D$35))</f>
      </c>
      <c r="BM66" s="7">
        <f>IF($B66="","",IFERROR(LOOKUP(2,1/(((('Changes &amp; Events'!$C$6:$C$17="Deduction start")+('Changes &amp; Events'!$C$6:$C$17="Deduction stop"))*('Changes &amp; Events'!$D$6:$D$17="Premiums"))*('Changes &amp; Events'!$B$6:$B$17&lt;=$B66)*('Changes &amp; Events'!$B$6:$B$17&lt;&gt;"")),'Changes &amp; Events'!$I$6:$I$17),'Your Pay &amp; Benefits'!$D$40+'Your Pay &amp; Benefits'!$D$41+'Your Pay &amp; Benefits'!$D$42))</f>
      </c>
      <c r="BN66" s="7">
        <f>IF($B66="","",IFERROR(LOOKUP(2,1/(((('Changes &amp; Events'!$C$6:$C$17="Deduction start")+('Changes &amp; Events'!$C$6:$C$17="Deduction stop"))*('Changes &amp; Events'!$D$6:$D$17="Commuter"))*('Changes &amp; Events'!$B$6:$B$17&lt;=$B66)*('Changes &amp; Events'!$B$6:$B$17&lt;&gt;"")),'Changes &amp; Events'!$I$6:$I$17),'Your Pay &amp; Benefits'!$D$43))</f>
      </c>
      <c r="BO66" s="7">
        <f>IF($B66="","",IFERROR(LOOKUP(2,1/(((('Changes &amp; Events'!$C$6:$C$17="Deduction start")+('Changes &amp; Events'!$C$6:$C$17="Deduction stop"))*('Changes &amp; Events'!$D$6:$D$17="Other pre-tax"))*('Changes &amp; Events'!$B$6:$B$17&lt;=$B66)*('Changes &amp; Events'!$B$6:$B$17&lt;&gt;"")),'Changes &amp; Events'!$I$6:$I$17),'Your Pay &amp; Benefits'!$D$44))</f>
      </c>
      <c r="BP66" s="7">
        <f>IF($B66="","",IFERROR(LOOKUP(2,1/(((('Changes &amp; Events'!$C$6:$C$17="Deduction start")+('Changes &amp; Events'!$C$6:$C$17="Deduction stop"))*('Changes &amp; Events'!$D$6:$D$17="Other post-tax"))*('Changes &amp; Events'!$B$6:$B$17&lt;=$B66)*('Changes &amp; Events'!$B$6:$B$17&lt;&gt;"")),'Changes &amp; Events'!$I$6:$I$17),'Your Pay &amp; Benefits'!$D$45))</f>
      </c>
      <c r="BQ66" s="6">
        <f>IF($B66="","",IFERROR(LOOKUP(2,1/(((('Changes &amp; Events'!$C$6:$C$17="Deduction start")+('Changes &amp; Events'!$C$6:$C$17="Deduction stop"))*('Changes &amp; Events'!$D$6:$D$17="Health FSA"))*('Changes &amp; Events'!$B$6:$B$17&lt;=$B66)*('Changes &amp; Events'!$B$6:$B$17&lt;&gt;"")),'Changes &amp; Events'!$J$6:$J$17),0))</f>
      </c>
      <c r="BR66" s="6">
        <f>IF($B66="","",IFERROR(LOOKUP(2,1/(((('Changes &amp; Events'!$C$6:$C$17="Deduction start")+('Changes &amp; Events'!$C$6:$C$17="Deduction stop"))*('Changes &amp; Events'!$D$6:$D$17="Dependent-care FSA"))*('Changes &amp; Events'!$B$6:$B$17&lt;=$B66)*('Changes &amp; Events'!$B$6:$B$17&lt;&gt;"")),'Changes &amp; Events'!$J$6:$J$17),0))</f>
      </c>
      <c r="BS66" s="6">
        <f>IF($B66="","",IF(SUMPRODUCT(('Changes &amp; Events'!$C$6:$C$17="Deduction start")*('Changes &amp; Events'!$B$6:$B$17&lt;=$B66)*('Changes &amp; Events'!$B$6:$B$17&lt;&gt;"")*('Changes &amp; Events'!$D$6:$D$17="Health FSA"))&gt;0,1,0))</f>
      </c>
      <c r="BT66" s="6">
        <f>IF($B66="","",IF(SUMPRODUCT(('Changes &amp; Events'!$C$6:$C$17="Deduction start")*('Changes &amp; Events'!$B$6:$B$17&lt;=$B66)*('Changes &amp; Events'!$B$6:$B$17&lt;&gt;"")*('Changes &amp; Events'!$D$6:$D$17="Dependent-care FSA"))&gt;0,1,0))</f>
      </c>
      <c r="BU66" s="24">
        <f>IF($B66="","",IF('Your Pay &amp; Benefits'!$C$13,SUMPRODUCT(($AH66&gt;=INDEX('How This Works &amp; Sources'!$B$29:$J$36,0,IF('Your Pay &amp; Benefits'!$C$12="MFJ",1,IF('Your Pay &amp; Benefits'!$C$12="HoH",7,4))))*INDEX('How This Works &amp; Sources'!$B$29:$J$36,0,IF('Your Pay &amp; Benefits'!$C$12="MFJ",1,IF('Your Pay &amp; Benefits'!$C$12="HoH",7,4))+2)),SUMPRODUCT(($AH66&gt;=INDEX('How This Works &amp; Sources'!$B$19:$J$26,0,IF('Your Pay &amp; Benefits'!$C$12="MFJ",1,IF('Your Pay &amp; Benefits'!$C$12="HoH",7,4))))*INDEX('How This Works &amp; Sources'!$B$19:$J$26,0,IF('Your Pay &amp; Benefits'!$C$12="MFJ",1,IF('Your Pay &amp; Benefits'!$C$12="HoH",7,4))+2))))</f>
      </c>
      <c r="BV66" s="24">
        <f>IF($B66="","",IF($BZ66&lt;&gt;"",$BZ66,IF($CA66&lt;&gt;"",$CA66,IF($CB66&lt;&gt;"",$CB66,IF($CC66&lt;&gt;"",$CC66,0)))))</f>
      </c>
      <c r="BW66" s="7">
        <f>IF($B66="","",IF($AN66="MD",IF(OR($AU66="Married",$AU66="Head of household"),SUMPRODUCT(($AZ66&gt;INDEX('How This Works &amp; Sources'!$B$114:$J$120,0,1))*($AZ66-INDEX('How This Works &amp; Sources'!$B$114:$J$120,0,1))*INDEX('How This Works &amp; Sources'!$B$114:$J$120,0,1+2)),SUMPRODUCT(($AZ66&gt;INDEX('How This Works &amp; Sources'!$B$103:$J$109,0,7))*($AZ66-INDEX('How This Works &amp; Sources'!$B$103:$J$109,0,7))*INDEX('How This Works &amp; Sources'!$B$103:$J$109,0,7+2))),IF($AN66="MO",SUMPRODUCT(($AZ66&gt;INDEX('How This Works &amp; Sources'!$B$125:$J$132,0,1))*($AZ66-INDEX('How This Works &amp; Sources'!$B$125:$J$132,0,1))*INDEX('How This Works &amp; Sources'!$B$125:$J$132,0,1+2)),IF($AN66="MT",IF($AU66="Head of household",SUMPRODUCT(($AZ66&gt;INDEX('How This Works &amp; Sources'!$B$137:$J$139,0,1))*($AZ66-INDEX('How This Works &amp; Sources'!$B$137:$J$139,0,1))*INDEX('How This Works &amp; Sources'!$B$137:$J$139,0,1+2)),IF($AU66="Married",SUMPRODUCT(($AZ66&gt;INDEX('How This Works &amp; Sources'!$B$125:$J$132,0,7))*($AZ66-INDEX('How This Works &amp; Sources'!$B$125:$J$132,0,7))*INDEX('How This Works &amp; Sources'!$B$125:$J$132,0,7+2)),SUMPRODUCT(($AZ66&gt;INDEX('How This Works &amp; Sources'!$B$125:$J$132,0,4))*($AZ66-INDEX('How This Works &amp; Sources'!$B$125:$J$132,0,4))*INDEX('How This Works &amp; Sources'!$B$125:$J$132,0,4+2)))),IF($AN66="ND",IF($AU66="Head of household",SUMPRODUCT(($AZ66&gt;INDEX('How This Works &amp; Sources'!$B$144:$J$150,0,1))*($AZ66-INDEX('How This Works &amp; Sources'!$B$144:$J$150,0,1))*INDEX('How This Works &amp; Sources'!$B$144:$J$150,0,1+2)),IF($AU66="Married",SUMPRODUCT(($AZ66&gt;INDEX('How This Works &amp; Sources'!$B$137:$J$139,0,7))*($AZ66-INDEX('How This Works &amp; Sources'!$B$137:$J$139,0,7))*INDEX('How This Works &amp; Sources'!$B$137:$J$139,0,7+2)),SUMPRODUCT(($AZ66&gt;INDEX('How This Works &amp; Sources'!$B$137:$J$139,0,4))*($AZ66-INDEX('How This Works &amp; Sources'!$B$137:$J$139,0,4))*INDEX('How This Works &amp; Sources'!$B$137:$J$139,0,4+2)))),IF($AN66="NJ",IF('Your Pay &amp; Benefits'!$C$77="B",SUMPRODUCT(($AZ66&gt;INDEX('How This Works &amp; Sources'!$B$155:$J$162,0,4))*($AZ66-INDEX('How This Works &amp; Sources'!$B$155:$J$162,0,4))*INDEX('How This Works &amp; Sources'!$B$155:$J$162,0,4+2)),IF('Your Pay &amp; Benefits'!$C$77="C",SUMPRODUCT(($AZ66&gt;INDEX('How This Works &amp; Sources'!$B$155:$J$162,0,7))*($AZ66-INDEX('How This Works &amp; Sources'!$B$155:$J$162,0,7))*INDEX('How This Works &amp; Sources'!$B$155:$J$162,0,7+2)),IF('Your Pay &amp; Benefits'!$C$77="D",SUMPRODUCT(($AZ66&gt;INDEX('How This Works &amp; Sources'!$B$167:$J$179,0,1))*($AZ66-INDEX('How This Works &amp; Sources'!$B$167:$J$179,0,1))*INDEX('How This Works &amp; Sources'!$B$167:$J$179,0,1+2)),IF('Your Pay &amp; Benefits'!$C$77="E",SUMPRODUCT(($AZ66&gt;INDEX('How This Works &amp; Sources'!$B$167:$J$179,0,4))*($AZ66-INDEX('How This Works &amp; Sources'!$B$167:$J$179,0,4))*INDEX('How This Works &amp; Sources'!$B$167:$J$179,0,4+2)),SUMPRODUCT(($AZ66&gt;INDEX('How This Works &amp; Sources'!$B$155:$J$162,0,1))*($AZ66-INDEX('How This Works &amp; Sources'!$B$155:$J$162,0,1))*INDEX('How This Works &amp; Sources'!$B$155:$J$162,0,1+2)))))),IF($AN66="NY",IF($AU66="Married",IF($AZ66&gt;=2155350,$AZ66*IF($AZ66&gt;25000000,0.117,IF($AZ66&gt;5000000,0.111,0.1045)),SUMPRODUCT(($AZ66&gt;INDEX('How This Works &amp; Sources'!$B$184:$J$198,0,1))*($AZ66-INDEX('How This Works &amp; Sources'!$B$184:$J$198,0,1))*INDEX('How This Works &amp; Sources'!$B$184:$J$198,0,1+2))),IF($AZ66&gt;=1077550,$AZ66*IF($AZ66&gt;25000000,0.117,IF($AZ66&gt;5000000,0.111,0.1045)),SUMPRODUCT(($AZ66&gt;INDEX('How This Works &amp; Sources'!$B$167:$J$179,0,7))*($AZ66-INDEX('How This Works &amp; Sources'!$B$167:$J$179,0,7))*INDEX('How This Works &amp; Sources'!$B$167:$J$179,0,7+2)))),"")))))))</f>
      </c>
      <c r="BX66" s="7">
        <f>IF($B66="","",IF($AN66="AL",IF(OR($AU66="Married",$AU66="Head of household"),SUMPRODUCT(($AZ66&gt;INDEX('How This Works &amp; Sources'!$B$82:$J$86,0,4))*($AZ66-INDEX('How This Works &amp; Sources'!$B$82:$J$86,0,4))*INDEX('How This Works &amp; Sources'!$B$82:$J$86,0,4+2)),SUMPRODUCT(($AZ66&gt;INDEX('How This Works &amp; Sources'!$B$82:$J$86,0,1))*($AZ66-INDEX('How This Works &amp; Sources'!$B$82:$J$86,0,1))*INDEX('How This Works &amp; Sources'!$B$82:$J$86,0,1+2))),IF($AN66="KS",IF($AU66="Married",SUMPRODUCT(($AZ66&gt;INDEX('How This Works &amp; Sources'!$B$103:$J$109,0,4))*($AZ66-INDEX('How This Works &amp; Sources'!$B$103:$J$109,0,4))*INDEX('How This Works &amp; Sources'!$B$103:$J$109,0,4+2)),SUMPRODUCT(($AZ66&gt;INDEX('How This Works &amp; Sources'!$B$103:$J$109,0,1))*($AZ66-INDEX('How This Works &amp; Sources'!$B$103:$J$109,0,1))*INDEX('How This Works &amp; Sources'!$B$103:$J$109,0,1+2))),IF($AN66="MN",IF($AU66="Married",SUMPRODUCT(($AZ66&gt;INDEX('How This Works &amp; Sources'!$B$114:$J$120,0,7))*($AZ66-INDEX('How This Works &amp; Sources'!$B$114:$J$120,0,7))*INDEX('How This Works &amp; Sources'!$B$114:$J$120,0,7+2)),SUMPRODUCT(($AZ66&gt;INDEX('How This Works &amp; Sources'!$B$114:$J$120,0,4))*($AZ66-INDEX('How This Works &amp; Sources'!$B$114:$J$120,0,4))*INDEX('How This Works &amp; Sources'!$B$114:$J$120,0,4+2))),IF($AN66="NE",MAX(IF($AU66="Married",SUMPRODUCT(($AZ66&gt;INDEX('How This Works &amp; Sources'!$B$144:$J$150,0,7))*($AZ66-INDEX('How This Works &amp; Sources'!$B$144:$J$150,0,7))*INDEX('How This Works &amp; Sources'!$B$144:$J$150,0,7+2)),SUMPRODUCT(($AZ66&gt;INDEX('How This Works &amp; Sources'!$B$144:$J$150,0,4))*($AZ66-INDEX('How This Works &amp; Sources'!$B$144:$J$150,0,4))*INDEX('How This Works &amp; Sources'!$B$144:$J$150,0,4+2))),0.015*$AZ66),IF($AN66="OH",IF($B66&gt;=DATE(2026,8,1),SUMPRODUCT(($AZ66&gt;INDEX('How This Works &amp; Sources'!$B$203:$J$206,0,1))*($AZ66-INDEX('How This Works &amp; Sources'!$B$203:$J$206,0,1))*INDEX('How This Works &amp; Sources'!$B$203:$J$206,0,1+2)),SUMPRODUCT(($AZ66&gt;INDEX('How This Works &amp; Sources'!$B$184:$J$198,0,7))*($AZ66-INDEX('How This Works &amp; Sources'!$B$184:$J$198,0,7))*INDEX('How This Works &amp; Sources'!$B$184:$J$198,0,7+2))),IF($AN66="OK",IF($AU66="Married",SUMPRODUCT(($AZ66&gt;INDEX('How This Works &amp; Sources'!$B$203:$J$206,0,7))*($AZ66-INDEX('How This Works &amp; Sources'!$B$203:$J$206,0,7))*INDEX('How This Works &amp; Sources'!$B$203:$J$206,0,7+2)),SUMPRODUCT(($AZ66&gt;INDEX('How This Works &amp; Sources'!$B$203:$J$206,0,4))*($AZ66-INDEX('How This Works &amp; Sources'!$B$203:$J$206,0,4))*INDEX('How This Works &amp; Sources'!$B$203:$J$206,0,4+2))),IF($AN66="RI",SUMPRODUCT(($AZ66&gt;INDEX('How This Works &amp; Sources'!$B$211:$J$214,0,7))*($AZ66-INDEX('How This Works &amp; Sources'!$B$211:$J$214,0,7))*INDEX('How This Works &amp; Sources'!$B$211:$J$214,0,7+2)),IF($AN66="VT",IF($AU66="Married",SUMPRODUCT(($AZ66&gt;INDEX('How This Works &amp; Sources'!$B$228:$J$232,0,1))*($AZ66-INDEX('How This Works &amp; Sources'!$B$228:$J$232,0,1))*INDEX('How This Works &amp; Sources'!$B$228:$J$232,0,1+2)),SUMPRODUCT(($AZ66&gt;INDEX('How This Works &amp; Sources'!$B$219:$J$223,0,7))*($AZ66-INDEX('How This Works &amp; Sources'!$B$219:$J$223,0,7))*INDEX('How This Works &amp; Sources'!$B$219:$J$223,0,7+2))),IF($AN66="WV",IF($AU66="Married",SUMPRODUCT(($AZ66&gt;INDEX('How This Works &amp; Sources'!$B$237:$J$241,0,7))*($AZ66-INDEX('How This Works &amp; Sources'!$B$237:$J$241,0,7))*INDEX('How This Works &amp; Sources'!$B$237:$J$241,0,7+2)),SUMPRODUCT(($AZ66&gt;INDEX('How This Works &amp; Sources'!$B$228:$J$232,0,7))*($AZ66-INDEX('How This Works &amp; Sources'!$B$228:$J$232,0,7))*INDEX('How This Works &amp; Sources'!$B$228:$J$232,0,7+2))),""))))))))))</f>
      </c>
      <c r="BY66" s="7">
        <f>IF($B66="","",IF($AN66="AR",SUMPRODUCT(($AZ66&gt;INDEX('How This Works &amp; Sources'!$B$82:$J$86,0,7))*($AZ66-INDEX('How This Works &amp; Sources'!$B$82:$J$86,0,7))*INDEX('How This Works &amp; Sources'!$B$82:$J$86,0,7+2)),IF($AN66="DE",SUMPRODUCT(($AZ66&gt;INDEX('How This Works &amp; Sources'!$B$91:$J$98,0,1))*($AZ66-INDEX('How This Works &amp; Sources'!$B$91:$J$98,0,1))*INDEX('How This Works &amp; Sources'!$B$91:$J$98,0,1+2)),IF($AN66="HI",IF($AU66="Married",SUMPRODUCT(($AZ66&gt;INDEX('How This Works &amp; Sources'!$B$91:$J$98,0,7))*($AZ66-INDEX('How This Works &amp; Sources'!$B$91:$J$98,0,7))*INDEX('How This Works &amp; Sources'!$B$91:$J$98,0,7+2)),SUMPRODUCT(($AZ66&gt;INDEX('How This Works &amp; Sources'!$B$91:$J$98,0,4))*($AZ66-INDEX('How This Works &amp; Sources'!$B$91:$J$98,0,4))*INDEX('How This Works &amp; Sources'!$B$91:$J$98,0,4+2))),IF($AN66="SC",SUMPRODUCT(($AZ66&gt;INDEX('How This Works &amp; Sources'!$B$219:$J$223,0,1))*($AZ66-INDEX('How This Works &amp; Sources'!$B$219:$J$223,0,1))*INDEX('How This Works &amp; Sources'!$B$219:$J$223,0,1+2)),IF($AN66="VA",SUMPRODUCT(($AZ66&gt;INDEX('How This Works &amp; Sources'!$B$219:$J$223,0,4))*($AZ66-INDEX('How This Works &amp; Sources'!$B$219:$J$223,0,4))*INDEX('How This Works &amp; Sources'!$B$219:$J$223,0,4+2)),IF($AN66="WI",SUMPRODUCT(($AZ66&gt;INDEX('How This Works &amp; Sources'!$B$228:$J$232,0,4))*($AZ66-INDEX('How This Works &amp; Sources'!$B$228:$J$232,0,4))*INDEX('How This Works &amp; Sources'!$B$228:$J$232,0,4+2)),"")))))))</f>
      </c>
      <c r="BZ66" s="24">
        <f>IF($B66="","",IF($AN66="NJ",IF('Your Pay &amp; Benefits'!$C$77="B",SUMPRODUCT(($AZ66&gt;=INDEX('How This Works &amp; Sources'!$B$155:$J$162,0,4))*INDEX('How This Works &amp; Sources'!$B$155:$J$162,0,4+2)),IF('Your Pay &amp; Benefits'!$C$77="C",SUMPRODUCT(($AZ66&gt;=INDEX('How This Works &amp; Sources'!$B$155:$J$162,0,7))*INDEX('How This Works &amp; Sources'!$B$155:$J$162,0,7+2)),IF('Your Pay &amp; Benefits'!$C$77="D",SUMPRODUCT(($AZ66&gt;=INDEX('How This Works &amp; Sources'!$B$167:$J$179,0,1))*INDEX('How This Works &amp; Sources'!$B$167:$J$179,0,1+2)),IF('Your Pay &amp; Benefits'!$C$77="E",SUMPRODUCT(($AZ66&gt;=INDEX('How This Works &amp; Sources'!$B$167:$J$179,0,4))*INDEX('How This Works &amp; Sources'!$B$167:$J$179,0,4+2)),SUMPRODUCT(($AZ66&gt;=INDEX('How This Works &amp; Sources'!$B$155:$J$162,0,1))*INDEX('How This Works &amp; Sources'!$B$155:$J$162,0,1+2)))))),IF($AN66="OR",IF(OR($AU66="Married",AND($AU66="Single",$AS66&gt;=3)),SUMPRODUCT((MAX(0,$AY66-MIN(($P66-'How This Works &amp; Sources'!$C$10*$D66)*'Your Pay &amp; Benefits'!$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Sources'!$B$211:$J$214,0,4))*INDEX('How This Works &amp; Sources'!$B$211:$J$214,0,4+2)),SUMPRODUCT((MAX(0,$AY66-MIN(($P66-'How This Works &amp; Sources'!$C$10*$D66)*'Your Pay &amp; Benefits'!$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Sources'!$B$211:$J$214,0,1))*INDEX('How This Works &amp; Sources'!$B$211:$J$214,0,1+2)))*IF(($P66-'How This Works &amp; Sources'!$C$10*$D66)*'Your Pay &amp; Benefits'!$C$8&gt;=IF(OR($AU66="Married",AND($AU66="Single",$AS66&gt;=3)),IF($AY66&lt;250000,8750,IF($AY66&lt;260000,7000,IF($AY66&lt;270000,5250,IF($AY66&lt;280000,3500,IF($AY66&lt;290000,1750,0))))),IF($AY66&lt;125000,8750,IF($AY66&lt;130000,7000,IF($AY66&lt;135000,5250,IF($AY66&lt;140000,3500,IF($AY66&lt;145000,1750,0)))))),1,1-IF('Your Pay &amp; Benefits'!$C$13,SUMPRODUCT(($AH66&gt;=INDEX('How This Works &amp; Sources'!$B$29:$J$36,0,IF('Your Pay &amp; Benefits'!$C$12="MFJ",1,IF('Your Pay &amp; Benefits'!$C$12="HoH",7,4))))*INDEX('How This Works &amp; Sources'!$B$29:$J$36,0,IF('Your Pay &amp; Benefits'!$C$12="MFJ",1,IF('Your Pay &amp; Benefits'!$C$12="HoH",7,4))+2)),SUMPRODUCT(($AH66&gt;=INDEX('How This Works &amp; Sources'!$B$19:$J$26,0,IF('Your Pay &amp; Benefits'!$C$12="MFJ",1,IF('Your Pay &amp; Benefits'!$C$12="HoH",7,4))))*INDEX('How This Works &amp; Sources'!$B$19:$J$26,0,IF('Your Pay &amp; Benefits'!$C$12="MFJ",1,IF('Your Pay &amp; Benefits'!$C$12="HoH",7,4))+2)))),IF($AN66="MI",IF($AY66&gt;5900*$AS66,0.0425,0),""))))</f>
      </c>
      <c r="CA66" s="24">
        <f>IF($B66="","",IF($AN66="AL",IF(OR($AU66="Married",$AU66="Head of household"),SUMPRODUCT(($AZ66&gt;=INDEX('How This Works &amp; Sources'!$B$82:$J$86,0,4))*INDEX('How This Works &amp; Sources'!$B$82:$J$86,0,4+2)),SUMPRODUCT(($AZ66&gt;=INDEX('How This Works &amp; Sources'!$B$82:$J$86,0,1))*INDEX('How This Works &amp; Sources'!$B$82:$J$86,0,1+2)))*(1-IF('Your Pay &amp; Benefits'!$C$13,SUMPRODUCT(($AH66&gt;=INDEX('How This Works &amp; Sources'!$B$29:$J$36,0,IF('Your Pay &amp; Benefits'!$C$12="MFJ",1,IF('Your Pay &amp; Benefits'!$C$12="HoH",7,4))))*INDEX('How This Works &amp; Sources'!$B$29:$J$36,0,IF('Your Pay &amp; Benefits'!$C$12="MFJ",1,IF('Your Pay &amp; Benefits'!$C$12="HoH",7,4))+2)),SUMPRODUCT(($AH66&gt;=INDEX('How This Works &amp; Sources'!$B$19:$J$26,0,IF('Your Pay &amp; Benefits'!$C$12="MFJ",1,IF('Your Pay &amp; Benefits'!$C$12="HoH",7,4))))*INDEX('How This Works &amp; Sources'!$B$19:$J$26,0,IF('Your Pay &amp; Benefits'!$C$12="MFJ",1,IF('Your Pay &amp; Benefits'!$C$12="HoH",7,4))+2)))),IF($AN66="KS",IF($AU66="Married",SUMPRODUCT(($AZ66&gt;=INDEX('How This Works &amp; Sources'!$B$103:$J$109,0,4))*INDEX('How This Works &amp; Sources'!$B$103:$J$109,0,4+2)),SUMPRODUCT(($AZ66&gt;=INDEX('How This Works &amp; Sources'!$B$103:$J$109,0,1))*INDEX('How This Works &amp; Sources'!$B$103:$J$109,0,1+2))),IF($AN66="MD",IF(OR($AU66="Married",$AU66="Head of household"),SUMPRODUCT(($AZ66&gt;=INDEX('How This Works &amp; Sources'!$B$114:$J$120,0,1))*INDEX('How This Works &amp; Sources'!$B$114:$J$120,0,1+2)),SUMPRODUCT(($AZ66&gt;=INDEX('How This Works &amp; Sources'!$B$103:$J$109,0,7))*INDEX('How This Works &amp; Sources'!$B$103:$J$109,0,7+2)))+'Your Pay &amp; Benefits'!$C$74,IF($AN66="MT",IF($AU66="Head of household",SUMPRODUCT(($AZ66&gt;=INDEX('How This Works &amp; Sources'!$B$137:$J$139,0,1))*INDEX('How This Works &amp; Sources'!$B$137:$J$139,0,1+2)),IF($AU66="Married",SUMPRODUCT(($AZ66&gt;=INDEX('How This Works &amp; Sources'!$B$125:$J$132,0,7))*INDEX('How This Works &amp; Sources'!$B$125:$J$132,0,7+2)),SUMPRODUCT(($AZ66&gt;=INDEX('How This Works &amp; Sources'!$B$125:$J$132,0,4))*INDEX('How This Works &amp; Sources'!$B$125:$J$132,0,4+2)))),IF($AN66="ND",IF($AU66="Head of household",SUMPRODUCT(($AZ66&gt;=INDEX('How This Works &amp; Sources'!$B$144:$J$150,0,1))*INDEX('How This Works &amp; Sources'!$B$144:$J$150,0,1+2)),IF($AU66="Married",SUMPRODUCT(($AZ66&gt;=INDEX('How This Works &amp; Sources'!$B$137:$J$139,0,7))*INDEX('How This Works &amp; Sources'!$B$137:$J$139,0,7+2)),SUMPRODUCT(($AZ66&gt;=INDEX('How This Works &amp; Sources'!$B$137:$J$139,0,4))*INDEX('How This Works &amp; Sources'!$B$137:$J$139,0,4+2)))),IF($AN66="NY",IF($AU66="Married",IF($AZ66&gt;=2155350,IF($AZ66&gt;25000000,0.117,IF($AZ66&gt;5000000,0.111,0.1045)),SUMPRODUCT(($AZ66&gt;=INDEX('How This Works &amp; Sources'!$B$184:$J$198,0,1))*INDEX('How This Works &amp; Sources'!$B$184:$J$198,0,1+2))),IF($AZ66&gt;=1077550,IF($AZ66&gt;25000000,0.117,IF($AZ66&gt;5000000,0.111,0.1045)),SUMPRODUCT(($AZ66&gt;=INDEX('How This Works &amp; Sources'!$B$167:$J$179,0,7))*INDEX('How This Works &amp; Sources'!$B$167:$J$179,0,7+2)))),"")))))))</f>
      </c>
      <c r="CB66" s="24">
        <f>IF($B66="","",IF($AN66="CA",SUMPRODUCT(($AJ66&gt;=INDEX('How This Works &amp; Sources'!$B$39:$J$48,0,IF($AU66="Married",4,IF($AU66="Head of household",7,1))))*INDEX('How This Works &amp; Sources'!$B$39:$J$48,0,IF($AU66="Married",4,IF($AU66="Head of household",7,1))+2)),IF($AN66="HI",IF($AU66="Married",SUMPRODUCT(($AZ66&gt;=INDEX('How This Works &amp; Sources'!$B$91:$J$98,0,7))*INDEX('How This Works &amp; Sources'!$B$91:$J$98,0,7+2)),SUMPRODUCT(($AZ66&gt;=INDEX('How This Works &amp; Sources'!$B$91:$J$98,0,4))*INDEX('How This Works &amp; Sources'!$B$91:$J$98,0,4+2))),IF($AN66="MN",IF($AU66="Married",SUMPRODUCT(($AZ66&gt;=INDEX('How This Works &amp; Sources'!$B$114:$J$120,0,7))*INDEX('How This Works &amp; Sources'!$B$114:$J$120,0,7+2)),SUMPRODUCT(($AZ66&gt;=INDEX('How This Works &amp; Sources'!$B$114:$J$120,0,4))*INDEX('How This Works &amp; Sources'!$B$114:$J$120,0,4+2))),IF($AN66="MO",SUMPRODUCT(($AZ66&gt;=INDEX('How This Works &amp; Sources'!$B$125:$J$132,0,1))*INDEX('How This Works &amp; Sources'!$B$125:$J$132,0,1+2)),IF($AN66="NE",MAX(IF($AU66="Married",SUMPRODUCT(($AZ66&gt;=INDEX('How This Works &amp; Sources'!$B$144:$J$150,0,7))*INDEX('How This Works &amp; Sources'!$B$144:$J$150,0,7+2)),SUMPRODUCT(($AZ66&gt;=INDEX('How This Works &amp; Sources'!$B$144:$J$150,0,4))*INDEX('How This Works &amp; Sources'!$B$144:$J$150,0,4+2))),0.015),IF($AN66="OH",IF($B66&gt;=DATE(2026,8,1),SUMPRODUCT(($AZ66&gt;=INDEX('How This Works &amp; Sources'!$B$203:$J$206,0,1))*INDEX('How This Works &amp; Sources'!$B$203:$J$206,0,1+2)),SUMPRODUCT(($AZ66&gt;=INDEX('How This Works &amp; Sources'!$B$184:$J$198,0,7))*INDEX('How This Works &amp; Sources'!$B$184:$J$198,0,7+2))),IF($AN66="OK",IF($AU66="Married",SUMPRODUCT(($AZ66&gt;=INDEX('How This Works &amp; Sources'!$B$203:$J$206,0,7))*INDEX('How This Works &amp; Sources'!$B$203:$J$206,0,7+2)),SUMPRODUCT(($AZ66&gt;=INDEX('How This Works &amp; Sources'!$B$203:$J$206,0,4))*INDEX('How This Works &amp; Sources'!$B$203:$J$206,0,4+2))),IF($AN66="RI",SUMPRODUCT(($AZ66&gt;=INDEX('How This Works &amp; Sources'!$B$211:$J$214,0,7))*INDEX('How This Works &amp; Sources'!$B$211:$J$214,0,7+2)),IF($AN66="SC",SUMPRODUCT(($AZ66&gt;=INDEX('How This Works &amp; Sources'!$B$219:$J$223,0,1))*INDEX('How This Works &amp; Sources'!$B$219:$J$223,0,1+2)),IF($AN66="VT",IF($AU66="Married",SUMPRODUCT(($AZ66&gt;=INDEX('How This Works &amp; Sources'!$B$228:$J$232,0,1))*INDEX('How This Works &amp; Sources'!$B$228:$J$232,0,1+2)),SUMPRODUCT(($AZ66&gt;=INDEX('How This Works &amp; Sources'!$B$219:$J$223,0,7))*INDEX('How This Works &amp; Sources'!$B$219:$J$223,0,7+2))),IF($AN66="WV",IF($AU66="Married",SUMPRODUCT(($AZ66&gt;=INDEX('How This Works &amp; Sources'!$B$237:$J$241,0,7))*INDEX('How This Works &amp; Sources'!$B$237:$J$241,0,7+2)),SUMPRODUCT(($AZ66&gt;=INDEX('How This Works &amp; Sources'!$B$228:$J$232,0,7))*INDEX('How This Works &amp; Sources'!$B$228:$J$232,0,7+2))),IF($AN66="IN",(0.0295+'Your Pay &amp; Benefits'!$C$76),"")))))))))))))</f>
      </c>
      <c r="CC66" s="24">
        <f>IF($B66="","",IF($AN66="AR",SUMPRODUCT(($AZ66&gt;=INDEX('How This Works &amp; Sources'!$B$82:$J$86,0,7))*INDEX('How This Works &amp; Sources'!$B$82:$J$86,0,7+2)),IF($AN66="DE",SUMPRODUCT(($AZ66&gt;=INDEX('How This Works &amp; Sources'!$B$91:$J$98,0,1))*INDEX('How This Works &amp; Sources'!$B$91:$J$98,0,1+2)),IF($AN66="VA",SUMPRODUCT(($AZ66&gt;=INDEX('How This Works &amp; Sources'!$B$219:$J$223,0,4))*INDEX('How This Works &amp; Sources'!$B$219:$J$223,0,4+2)),IF($AN66="WI",SUMPRODUCT(($AZ66&gt;=INDEX('How This Works &amp; Sources'!$B$228:$J$232,0,4))*INDEX('How This Works &amp; Sources'!$B$228:$J$232,0,4+2)),IF($AN66="AZ",'Your Pay &amp; Benefits'!$C$82,IF($AN66="CO",IF($AY66&gt;IF($AU66="Married",10000,5000),0.044,0),IF($AN66="IA",IF($AY66&gt;IF($AU66="Head of household",19500,IF($AU66="Married",26000,13000)),0.038,0),IF($AN66="ID",IF($AY66&gt;IF($AU66="Married",32000,16094),0.053,0),IF($AN66="IL",IF($AY66&gt;(2925*$AS66+1000*$AT66),0.0495,0),IF($AN66="KY",IF($AI66&gt;3360,0.035,0),IF($AN66="LA",0.0309,IF($AN66="MA",IF(MAX(0,$AY66-MIN(($BD65+$Q66+$R66+$S66),2000)-IF($AS66=0,0,IF($AS66=1,4400,1000*$AS66+3400)))&gt;=1107750,0.09,0.05),IF($AN66="MS",IF($AI66-IF($AU66="Head of household",3400,IF($AU66="Married",4600,2300))-'Your Pay &amp; Benefits'!$C$85&gt;10000,0.04,0),IF($AN66="PA",0.0307,"")))))))))))))))</f>
      </c>
      <c r="CD66" s="21">
        <f>IF(YEAR(IF('Your Pay &amp; Benefits'!$C$7="Weekly",'Your Pay &amp; Benefits'!$C$9+7*(($BE65+1)-1),IF('Your Pay &amp; Benefits'!$C$7="Biweekly",'Your Pay &amp; Benefits'!$C$9+14*(($BE65+1)-1),IF('Your Pay &amp; Benefits'!$C$7="Semimonthly",DATE(YEAR('Your Pay &amp; Benefits'!$C$9),MONTH('Your Pay &amp; Benefits'!$C$9)+INT((($BE65+1)-1)/2),MIN(DAY('Your Pay &amp; Benefits'!$C$9),DAY(EOMONTH(DATE(YEAR('Your Pay &amp; Benefits'!$C$9),MONTH('Your Pay &amp; Benefits'!$C$9)+INT((($BE65+1)-1)/2),1),0))))+IF(MOD(($BE65+1)-1,2)=1,15,0),EDATE('Your Pay &amp; Benefits'!$C$9,($BE65+1)-1)))))&lt;&gt;'Your Pay &amp; Benefits'!$C$10,"",IF('Your Pay &amp; Benefits'!$C$7="Weekly",'Your Pay &amp; Benefits'!$C$9+7*(($BE65+1)-1),IF('Your Pay &amp; Benefits'!$C$7="Biweekly",'Your Pay &amp; Benefits'!$C$9+14*(($BE65+1)-1),IF('Your Pay &amp; Benefits'!$C$7="Semimonthly",DATE(YEAR('Your Pay &amp; Benefits'!$C$9),MONTH('Your Pay &amp; Benefits'!$C$9)+INT((($BE65+1)-1)/2),MIN(DAY('Your Pay &amp; Benefits'!$C$9),DAY(EOMONTH(DATE(YEAR('Your Pay &amp; Benefits'!$C$9),MONTH('Your Pay &amp; Benefits'!$C$9)+INT((($BE65+1)-1)/2),1),0))))+IF(MOD(($BE65+1)-1,2)=1,15,0),EDATE('Your Pay &amp; Benefits'!$C$9,($BE65+1)-1)))))</f>
      </c>
      <c r="CE66" s="21">
        <f>IF(MIN(IF(AND('Your Pay &amp; Benefits'!$C$58&gt;MAX($B$6:$B65),'Your Pay &amp; Benefits'!$C$58&gt;=DATE('Your Pay &amp; Benefits'!$C$10,1,1),'Your Pay &amp; Benefits'!$C$58&lt;=DATE('Your Pay &amp; Benefits'!$C$10,12,31)),'Your Pay &amp; Benefits'!$C$58,999999),IF(AND('Your Pay &amp; Benefits'!$C$59&gt;MAX($B$6:$B65),'Your Pay &amp; Benefits'!$C$59&gt;=DATE('Your Pay &amp; Benefits'!$C$10,1,1),'Your Pay &amp; Benefits'!$C$59&lt;=DATE('Your Pay &amp; Benefits'!$C$10,12,31)),'Your Pay &amp; Benefits'!$C$59,999999),IF(AND('Your Pay &amp; Benefits'!$C$60&gt;MAX($B$6:$B65),'Your Pay &amp; Benefits'!$C$60&gt;=DATE('Your Pay &amp; Benefits'!$C$10,1,1),'Your Pay &amp; Benefits'!$C$60&lt;=DATE('Your Pay &amp; Benefits'!$C$10,12,31)),'Your Pay &amp; Benefits'!$C$60,999999),IF(AND('Your Pay &amp; Benefits'!$C$61&gt;MAX($B$6:$B65),'Your Pay &amp; Benefits'!$C$61&gt;=DATE('Your Pay &amp; Benefits'!$C$10,1,1),'Your Pay &amp; Benefits'!$C$61&lt;=DATE('Your Pay &amp; Benefits'!$C$10,12,31)),'Your Pay &amp; Benefits'!$C$61,999999),IF(AND('Your Pay &amp; Benefits'!$C$62&gt;MAX($B$6:$B65),'Your Pay &amp; Benefits'!$C$62&gt;=DATE('Your Pay &amp; Benefits'!$C$10,1,1),'Your Pay &amp; Benefits'!$C$62&lt;=DATE('Your Pay &amp; Benefits'!$C$10,12,31)),'Your Pay &amp; Benefits'!$C$62,999999),IF(AND('Your Pay &amp; Benefits'!$C$63&gt;MAX($B$6:$B65),'Your Pay &amp; Benefits'!$C$63&gt;=DATE('Your Pay &amp; Benefits'!$C$10,1,1),'Your Pay &amp; Benefits'!$C$63&lt;=DATE('Your Pay &amp; Benefits'!$C$10,12,31)),'Your Pay &amp; Benefits'!$C$63,999999),IF(AND('Your Pay &amp; Benefits'!$C$64&gt;MAX($B$6:$B65),'Your Pay &amp; Benefits'!$C$64&gt;=DATE('Your Pay &amp; Benefits'!$C$10,1,1),'Your Pay &amp; Benefits'!$C$64&lt;=DATE('Your Pay &amp; Benefits'!$C$10,12,31)),'Your Pay &amp; Benefits'!$C$64,999999),IF(AND('Your Pay &amp; Benefits'!$C$65&gt;MAX($B$6:$B65),'Your Pay &amp; Benefits'!$C$65&gt;=DATE('Your Pay &amp; Benefits'!$C$10,1,1),'Your Pay &amp; Benefits'!$C$65&lt;=DATE('Your Pay &amp; Benefits'!$C$10,12,31)),'Your Pay &amp; Benefits'!$C$65,999999),IF(AND('Your Pay &amp; Benefits'!$C$66&gt;MAX($B$6:$B65),'Your Pay &amp; Benefits'!$C$66&gt;=DATE('Your Pay &amp; Benefits'!$C$10,1,1),'Your Pay &amp; Benefits'!$C$66&lt;=DATE('Your Pay &amp; Benefits'!$C$10,12,31)),'Your Pay &amp; Benefits'!$C$66,999999),IF(AND('Your Pay &amp; Benefits'!$C$67&gt;MAX($B$6:$B65),'Your Pay &amp; Benefits'!$C$67&gt;=DATE('Your Pay &amp; Benefits'!$C$10,1,1),'Your Pay &amp; Benefits'!$C$67&lt;=DATE('Your Pay &amp; Benefits'!$C$10,12,31)),'Your Pay &amp; Benefits'!$C$67,999999))=999999,"",MIN(IF(AND('Your Pay &amp; Benefits'!$C$58&gt;MAX($B$6:$B65),'Your Pay &amp; Benefits'!$C$58&gt;=DATE('Your Pay &amp; Benefits'!$C$10,1,1),'Your Pay &amp; Benefits'!$C$58&lt;=DATE('Your Pay &amp; Benefits'!$C$10,12,31)),'Your Pay &amp; Benefits'!$C$58,999999),IF(AND('Your Pay &amp; Benefits'!$C$59&gt;MAX($B$6:$B65),'Your Pay &amp; Benefits'!$C$59&gt;=DATE('Your Pay &amp; Benefits'!$C$10,1,1),'Your Pay &amp; Benefits'!$C$59&lt;=DATE('Your Pay &amp; Benefits'!$C$10,12,31)),'Your Pay &amp; Benefits'!$C$59,999999),IF(AND('Your Pay &amp; Benefits'!$C$60&gt;MAX($B$6:$B65),'Your Pay &amp; Benefits'!$C$60&gt;=DATE('Your Pay &amp; Benefits'!$C$10,1,1),'Your Pay &amp; Benefits'!$C$60&lt;=DATE('Your Pay &amp; Benefits'!$C$10,12,31)),'Your Pay &amp; Benefits'!$C$60,999999),IF(AND('Your Pay &amp; Benefits'!$C$61&gt;MAX($B$6:$B65),'Your Pay &amp; Benefits'!$C$61&gt;=DATE('Your Pay &amp; Benefits'!$C$10,1,1),'Your Pay &amp; Benefits'!$C$61&lt;=DATE('Your Pay &amp; Benefits'!$C$10,12,31)),'Your Pay &amp; Benefits'!$C$61,999999),IF(AND('Your Pay &amp; Benefits'!$C$62&gt;MAX($B$6:$B65),'Your Pay &amp; Benefits'!$C$62&gt;=DATE('Your Pay &amp; Benefits'!$C$10,1,1),'Your Pay &amp; Benefits'!$C$62&lt;=DATE('Your Pay &amp; Benefits'!$C$10,12,31)),'Your Pay &amp; Benefits'!$C$62,999999),IF(AND('Your Pay &amp; Benefits'!$C$63&gt;MAX($B$6:$B65),'Your Pay &amp; Benefits'!$C$63&gt;=DATE('Your Pay &amp; Benefits'!$C$10,1,1),'Your Pay &amp; Benefits'!$C$63&lt;=DATE('Your Pay &amp; Benefits'!$C$10,12,31)),'Your Pay &amp; Benefits'!$C$63,999999),IF(AND('Your Pay &amp; Benefits'!$C$64&gt;MAX($B$6:$B65),'Your Pay &amp; Benefits'!$C$64&gt;=DATE('Your Pay &amp; Benefits'!$C$10,1,1),'Your Pay &amp; Benefits'!$C$64&lt;=DATE('Your Pay &amp; Benefits'!$C$10,12,31)),'Your Pay &amp; Benefits'!$C$64,999999),IF(AND('Your Pay &amp; Benefits'!$C$65&gt;MAX($B$6:$B65),'Your Pay &amp; Benefits'!$C$65&gt;=DATE('Your Pay &amp; Benefits'!$C$10,1,1),'Your Pay &amp; Benefits'!$C$65&lt;=DATE('Your Pay &amp; Benefits'!$C$10,12,31)),'Your Pay &amp; Benefits'!$C$65,999999),IF(AND('Your Pay &amp; Benefits'!$C$66&gt;MAX($B$6:$B65),'Your Pay &amp; Benefits'!$C$66&gt;=DATE('Your Pay &amp; Benefits'!$C$10,1,1),'Your Pay &amp; Benefits'!$C$66&lt;=DATE('Your Pay &amp; Benefits'!$C$10,12,31)),'Your Pay &amp; Benefits'!$C$66,999999),IF(AND('Your Pay &amp; Benefits'!$C$67&gt;MAX($B$6:$B65),'Your Pay &amp; Benefits'!$C$67&gt;=DATE('Your Pay &amp; Benefits'!$C$10,1,1),'Your Pay &amp; Benefits'!$C$67&lt;=DATE('Your Pay &amp; Benefits'!$C$10,12,31)),'Your Pay &amp; Benefits'!$C$67,999999)))</f>
      </c>
      <c r="CF66">
        <f>IF($B66="","",IF($D66=0,$Y66,""))</f>
      </c>
    </row>
    <row r="67">
      <c r="A67" t="n">
        <v>62</v>
      </c>
      <c r="B67" s="21">
        <f>IF(AND($CD67="",$CE67=""),"",IF($CE67="",$CD67,IF($CD67="",$CE67,MIN($CD67,$CE67))))</f>
      </c>
      <c r="C67" s="7">
        <f>IF($B67="","",IF($BF67=0,0,IF('Your Pay &amp; Benefits'!$C$4="Annual salary",ROUND($AK67/IF(AND('Your Pay &amp; Benefits'!$C$88="Actual paydays",MONTH('Your Pay &amp; Benefits'!$C$9)=1),MAX(1,MAX($BE$6:$BE$68)),'Your Pay &amp; Benefits'!$C$8),2),$AK67)))</f>
      </c>
      <c r="D67" s="7">
        <f>IF($B67="","",SUMIF('Your Pay &amp; Benefits'!$C$58:$C$67,$B67,'Your Pay &amp; Benefits'!$D$58:$D$67))</f>
      </c>
      <c r="E67" s="7">
        <f>IF($B67="","",ROUND(MAX(0,MIN(IF($AL67="Percent",$AM67*($C67+$D67),$AM67),MAX(0,'Your Pay &amp; Benefits'!$C$34-$AC66))),2))</f>
      </c>
      <c r="F67" s="7">
        <f>IF($B67="","",ROUND(MAX(0,MIN(IF('Your Pay &amp; Benefits'!$C$32="Percent",'Your Pay &amp; Benefits'!$D$32*($C67+$D67),'Your Pay &amp; Benefits'!$D$32),MAX(0,'Your Pay &amp; Benefits'!$C$34-$AC66-$E67))),2))</f>
      </c>
      <c r="G67" s="7">
        <f>IF($B67="","",IF($BF67=0,0,ROUND(MAX(0,MIN($BL67,'Your Pay &amp; Benefits'!$C$37-'Your Pay &amp; Benefits'!$C$54-$BI66)),2)))</f>
      </c>
      <c r="H67" s="7">
        <f>IF($B67="","",IF(OR($BF67=0,$BQ67=1),0,ROUND(MAX(0,MIN(IF($BS67=1,ROUND(MAX(0,MIN($BJ67,'How This Works &amp; Sources'!$C$13)-$BG66)/MAX(1,MAX($BE$6:$BE$68)-($BE66)),2),ROUND(MIN($BJ67,'How This Works &amp; Sources'!$C$13)/'Your Pay &amp; Benefits'!$C$8,2)),MIN($BJ67,'How This Works &amp; Sources'!$C$13)-$BG66)),2)))</f>
      </c>
      <c r="I67" s="7">
        <f>IF($B67="","",IF(OR($BF67=0,$BR67=1),0,ROUND(MAX(0,MIN(IF($BT67=1,ROUND(MAX(0,MIN($BK67,IF('Your Pay &amp; Benefits'!$C$12="MFJ",'How This Works &amp; Sources'!$C$14,'How This Works &amp; Sources'!$C$15))-$BH66)/MAX(1,MAX($BE$6:$BE$68)-($BE66)),2),ROUND(MIN($BK67,IF('Your Pay &amp; Benefits'!$C$12="MFJ",'How This Works &amp; Sources'!$C$14,'How This Works &amp; Sources'!$C$15))/'Your Pay &amp; Benefits'!$C$8,2)),MIN($BK67,IF('Your Pay &amp; Benefits'!$C$12="MFJ",'How This Works &amp; Sources'!$C$14,'How This Works &amp; Sources'!$C$15))-$BH66)),2)))</f>
      </c>
      <c r="J67" s="7">
        <f>IF($B67="","",IF($BF67=0,0,$BM67))</f>
      </c>
      <c r="K67" s="7">
        <f>IF($B67="","",IF($BF67=0,0,$BN67+$BO67))</f>
      </c>
      <c r="L67" s="7">
        <f>IF($B67="","",IF($BF67=0,0,'Your Pay &amp; Benefits'!$D$46))</f>
      </c>
      <c r="M67" s="7">
        <f>IF($B67="","",$C67+$D67+$L67-$E67-$G67-$H67-$I67-$J67-$K67)</f>
      </c>
      <c r="N67" s="7">
        <f>IF($B67="","",$C67+$D67+$L67-$G67-$H67-$I67-$J67-$K67)</f>
      </c>
      <c r="O67" s="7">
        <f>IF($B67="","",$C67+$D67+$L67-$E67-$H67-$I67-$J67-$K67-IF(OR($AN67="CA",$AN67="NJ"),0,$G67))</f>
      </c>
      <c r="P67" s="7">
        <f>IF($B67="","",IF('Your Pay &amp; Benefits'!$C$18,0,ROUND(MAX(0,IF('Your Pay &amp; Benefits'!$C$13,SUMPRODUCT(($AH67&gt;INDEX('How This Works &amp; Sources'!$B$29:$J$36,0,IF('Your Pay &amp; Benefits'!$C$12="MFJ",1,IF('Your Pay &amp; Benefits'!$C$12="HoH",7,4))))*($AH67-INDEX('How This Works &amp; Sources'!$B$29:$J$36,0,IF('Your Pay &amp; Benefits'!$C$12="MFJ",1,IF('Your Pay &amp; Benefits'!$C$12="HoH",7,4))))*INDEX('How This Works &amp; Sources'!$B$29:$J$36,0,IF('Your Pay &amp; Benefits'!$C$12="MFJ",1,IF('Your Pay &amp; Benefits'!$C$12="HoH",7,4))+2)),SUMPRODUCT(($AH67&gt;INDEX('How This Works &amp; Sources'!$B$19:$J$26,0,IF('Your Pay &amp; Benefits'!$C$12="MFJ",1,IF('Your Pay &amp; Benefits'!$C$12="HoH",7,4))))*($AH67-INDEX('How This Works &amp; Sources'!$B$19:$J$26,0,IF('Your Pay &amp; Benefits'!$C$12="MFJ",1,IF('Your Pay &amp; Benefits'!$C$12="HoH",7,4))))*INDEX('How This Works &amp; Sources'!$B$19:$J$26,0,IF('Your Pay &amp; Benefits'!$C$12="MFJ",1,IF('Your Pay &amp; Benefits'!$C$12="HoH",7,4))+2)))/'Your Pay &amp; Benefits'!$C$8-$AO67/'Your Pay &amp; Benefits'!$C$8)+$AR67+IF('Your Pay &amp; Benefits'!$C$89="Aggregate",MAX(0,IF('Your Pay &amp; Benefits'!$C$13,SUMPRODUCT((($AH67+$D67)&gt;INDEX('How This Works &amp; Sources'!$B$29:$J$36,0,IF('Your Pay &amp; Benefits'!$C$12="MFJ",1,IF('Your Pay &amp; Benefits'!$C$12="HoH",7,4))))*(($AH67+$D67)-INDEX('How This Works &amp; Sources'!$B$29:$J$36,0,IF('Your Pay &amp; Benefits'!$C$12="MFJ",1,IF('Your Pay &amp; Benefits'!$C$12="HoH",7,4))))*INDEX('How This Works &amp; Sources'!$B$29:$J$36,0,IF('Your Pay &amp; Benefits'!$C$12="MFJ",1,IF('Your Pay &amp; Benefits'!$C$12="HoH",7,4))+2)),SUMPRODUCT((($AH67+$D67)&gt;INDEX('How This Works &amp; Sources'!$B$19:$J$26,0,IF('Your Pay &amp; Benefits'!$C$12="MFJ",1,IF('Your Pay &amp; Benefits'!$C$12="HoH",7,4))))*(($AH67+$D67)-INDEX('How This Works &amp; Sources'!$B$19:$J$26,0,IF('Your Pay &amp; Benefits'!$C$12="MFJ",1,IF('Your Pay &amp; Benefits'!$C$12="HoH",7,4))))*INDEX('How This Works &amp; Sources'!$B$19:$J$26,0,IF('Your Pay &amp; Benefits'!$C$12="MFJ",1,IF('Your Pay &amp; Benefits'!$C$12="HoH",7,4))+2)))-IF('Your Pay &amp; Benefits'!$C$13,SUMPRODUCT(($AH67&gt;INDEX('How This Works &amp; Sources'!$B$29:$J$36,0,IF('Your Pay &amp; Benefits'!$C$12="MFJ",1,IF('Your Pay &amp; Benefits'!$C$12="HoH",7,4))))*($AH67-INDEX('How This Works &amp; Sources'!$B$29:$J$36,0,IF('Your Pay &amp; Benefits'!$C$12="MFJ",1,IF('Your Pay &amp; Benefits'!$C$12="HoH",7,4))))*INDEX('How This Works &amp; Sources'!$B$29:$J$36,0,IF('Your Pay &amp; Benefits'!$C$12="MFJ",1,IF('Your Pay &amp; Benefits'!$C$12="HoH",7,4))+2)),SUMPRODUCT(($AH67&gt;INDEX('How This Works &amp; Sources'!$B$19:$J$26,0,IF('Your Pay &amp; Benefits'!$C$12="MFJ",1,IF('Your Pay &amp; Benefits'!$C$12="HoH",7,4))))*($AH67-INDEX('How This Works &amp; Sources'!$B$19:$J$26,0,IF('Your Pay &amp; Benefits'!$C$12="MFJ",1,IF('Your Pay &amp; Benefits'!$C$12="HoH",7,4))))*INDEX('How This Works &amp; Sources'!$B$19:$J$26,0,IF('Your Pay &amp; Benefits'!$C$12="MFJ",1,IF('Your Pay &amp; Benefits'!$C$12="HoH",7,4))+2)))),'How This Works &amp; Sources'!$C$10*$D67),2)))</f>
      </c>
      <c r="Q67" s="7">
        <f>IF($B67="","",ROUND('How This Works &amp; Sources'!$C$4*MIN($N67,MAX(0,'How This Works &amp; Sources'!$C$3-($AX67+$AB66-$AW67))),2))</f>
      </c>
      <c r="R67" s="7">
        <f>IF($B67="","",ROUND('How This Works &amp; Sources'!$C$5*$N67,2))</f>
      </c>
      <c r="S67" s="7">
        <f>IF($B67="","",ROUND('How This Works &amp; Sources'!$C$6*MAX(0,MIN($N67,$AG66+$N67-'How This Works &amp; Sources'!$C$7)),2))</f>
      </c>
      <c r="T67" s="7">
        <f>IF($B67="","",IF('Your Pay &amp; Benefits'!$C$26,0,IF($AN67="CA",ROUND(IF($AI67&lt;=IF(($AS67+$AT67)&gt;=2,VLOOKUP($AN67,StateTables!$A$6:$AB$56,10,FALSE),VLOOKUP($AN67,StateTables!$A$6:$AB$56,9,FALSE)),0,MAX(0,SUMPRODUCT(($AJ67&gt;INDEX('How This Works &amp; Sources'!$B$39:$J$48,0,IF($AU67="Married",4,IF($AU67="Head of household",7,1))))*($AJ67-INDEX('How This Works &amp; Sources'!$B$39:$J$48,0,IF($AU67="Married",4,IF($AU67="Head of household",7,1))))*INDEX('How This Works &amp; Sources'!$B$39:$J$48,0,IF($AU67="Married",4,IF($AU67="Head of household",7,1))+2))-VLOOKUP($AN67,StateTables!$A$6:$AB$56,11,FALSE)*$AS67)/'Your Pay &amp; Benefits'!$C$8)+'Your Pay &amp; Benefits'!$C$25+VLOOKUP($AN67,StateTables!$A$6:$AB$56,13,FALSE)*$D67,2),IF(VLOOKUP($AN67,StateTables!$A$6:$AB$56,4,FALSE)="None",0,IF(ISNUMBER(SEARCH("MANUAL",VLOOKUP($AN67,StateTables!$A$6:$AB$56,5,FALSE))),'Your Pay &amp; Benefits'!$C$28,ROUND(MAX(0,$BA67+$BB67)/'Your Pay &amp; Benefits'!$C$8+'Your Pay &amp; Benefits'!$C$25+$BC67,2))))))</f>
      </c>
      <c r="U67" s="7">
        <f>IF($B67="","",IF(VLOOKUP($AN67,StateTables!$A$6:$AB$56,24,FALSE)="flatq",IF(OR(MONTH($B67)=1,MONTH($B67)=4,MONTH($B67)=7,MONTH($B67)=10),VLOOKUP($AN67,StateTables!$A$6:$AB$56,25,FALSE),0),IF(VLOOKUP($AN67,StateTables!$A$6:$AB$56,24,FALSE)="dbl",MIN(ROUND(0.005*$N67,2),ROUND(0.6*52/'Your Pay &amp; Benefits'!$C$8,2)),IF(OR(VLOOKUP($AN67,StateTables!$A$6:$AB$56,15,FALSE)="",VLOOKUP($AN67,StateTables!$A$6:$AB$56,15,FALSE)=0),0,ROUND(VLOOKUP($AN67,StateTables!$A$6:$AB$56,15,FALSE)*IF(OR(VLOOKUP($AN67,StateTables!$A$6:$AB$56,16,FALSE)="",VLOOKUP($AN67,StateTables!$A$6:$AB$56,16,FALSE)=0),$N67,MIN($N67,MAX(0,VLOOKUP($AN67,StateTables!$A$6:$AB$56,16,FALSE)-($AX67+$AB66-$AW67)))),2))))+IF(VLOOKUP($AN67,StateTables!$A$6:$AB$56,27,FALSE)="flatq",IF(OR(MONTH($B67)=1,MONTH($B67)=4,MONTH($B67)=7,MONTH($B67)=10),VLOOKUP($AN67,StateTables!$A$6:$AB$56,28,FALSE),0),IF(VLOOKUP($AN67,StateTables!$A$6:$AB$56,27,FALSE)="dbl",MIN(ROUND(0.005*$N67,2),ROUND(0.6*52/'Your Pay &amp; Benefits'!$C$8,2)),IF(OR(VLOOKUP($AN67,StateTables!$A$6:$AB$56,18,FALSE)="",VLOOKUP($AN67,StateTables!$A$6:$AB$56,18,FALSE)=0),0,ROUND(VLOOKUP($AN67,StateTables!$A$6:$AB$56,18,FALSE)*IF(OR(VLOOKUP($AN67,StateTables!$A$6:$AB$56,19,FALSE)="",VLOOKUP($AN67,StateTables!$A$6:$AB$56,19,FALSE)=0),$N67,MIN($N67,MAX(0,VLOOKUP($AN67,StateTables!$A$6:$AB$56,19,FALSE)-($AX67+$AB66-$AW67)))),2)))))</f>
      </c>
      <c r="V67" s="7">
        <f>IF($B67="","",IF($AN67="NY",IF('Your Pay &amp; Benefits'!$C$78,ROUND(SUMPRODUCT((MAX(0,($O67-$D67)*'Your Pay &amp; Benefits'!$C$8-(IF($AU67="Married",5500,5000)+1000*$AS67))&gt;INDEX('How This Works &amp; Sources'!$B$184:$J$198,0,4))*(MAX(0,($O67-$D67)*'Your Pay &amp; Benefits'!$C$8-(IF($AU67="Married",5500,5000)+1000*$AS67))-INDEX('How This Works &amp; Sources'!$B$184:$J$198,0,4))*INDEX('How This Works &amp; Sources'!$B$184:$J$198,0,4+2))/'Your Pay &amp; Benefits'!$C$8+0.0425*$D67,2),0)+IF('Your Pay &amp; Benefits'!$C$79="Resident",ROUND(0.1675*$T67,2),IF('Your Pay &amp; Benefits'!$C$79="Nonresident",ROUND(0.005*MAX(0,($O67-$D67)-(IF($AU67="Married",7950,7400)+1000*$AS67)/'Your Pay &amp; Benefits'!$C$8),2),0)),IF($AN67="PA",IF('Your Pay &amp; Benefits'!$C$80="None",'Your Pay &amp; Benefits'!$C$27+ROUND('Your Pay &amp; Benefits'!$C$81*($C67+$D67),2),ROUND(IF('Your Pay &amp; Benefits'!$C$80="Resident",IF($B67&lt;DATE(2026,7,1),0.0374,0.03735),IF($B67&lt;DATE(2026,7,1),0.0343,0.03425))*($C67+$D67),2)),IF($BF67=0,ROUND('Your Pay &amp; Benefits'!$C$81*($C67+$D67),2),'Your Pay &amp; Benefits'!$C$27+ROUND('Your Pay &amp; Benefits'!$C$81*($C67+$D67),2)))))</f>
      </c>
      <c r="W67" s="7">
        <f>IF($B67="","",IF($BF67=0,0,$BP67))</f>
      </c>
      <c r="X67" s="7">
        <f>IF($B67="","",SUM($E67:$K67)+$P67+$Q67+$R67+$S67+$T67+$U67+$V67+$W67)</f>
      </c>
      <c r="Y67" s="22">
        <f>IF($B67="","",$C67+$D67-$X67)</f>
      </c>
      <c r="Z67" s="7">
        <f>IF($B67="","",$Z66+$C67+$D67)</f>
      </c>
      <c r="AA67" s="7">
        <f>IF($B67="","",$AA66+$Y67)</f>
      </c>
      <c r="AB67" s="7">
        <f>IF($B67="","",$AB66+MIN($N67,MAX(0,'How This Works &amp; Sources'!$C$3-($AX67+$AB66-$AW67))))</f>
      </c>
      <c r="AC67" s="7">
        <f>IF($B67="","",$AC66+$E67+$F67)</f>
      </c>
      <c r="AD67" s="3">
        <f>IF($B67="","",IF(AND($AB66&lt;'How This Works &amp; Sources'!$C$3,$AB67&gt;='How This Works &amp; Sources'!$C$3),"★ Social Security maxed on this check — from the next check your net rises by about $"&amp;TEXT(ROUND('How This Works &amp; Sources'!$C$4*$N67,2),"#,##0.00")&amp;". ","")&amp;IF(AND($AC66&lt;'Your Pay &amp; Benefits'!$C$34,$AC67&gt;='Your Pay &amp; Benefits'!$C$34),"★ 401(k) reaches the $"&amp;TEXT('Your Pay &amp; Benefits'!$C$34,"#,##0")&amp;" cap on this check — deferrals stop and net pay rises. ","")&amp;IF(AND($AG66&lt;'How This Works &amp; Sources'!$C$7,$AG67&gt;='How This Works &amp; Sources'!$C$7),"★ Wages pass $200,000 — the 0.9% Additional Medicare Tax starts here. ","")&amp;IF(AND($BJ67&gt;0,$H67&gt;0,$BG66&lt;MIN($BJ67,'How This Works &amp; Sources'!$C$13),$BG66+$H67&gt;=MIN($BJ67,'How This Works &amp; Sources'!$C$13)),"★ Health FSA election is now fully deferred for the year. ",""))</f>
      </c>
      <c r="AE67" s="41" t="n"/>
      <c r="AF67" s="7">
        <f>IF(OR($B67="",$AE67=""),"",$AE67-$Y67)</f>
      </c>
      <c r="AG67" s="7">
        <f>IF($B67="","",$AG66+$N67)</f>
      </c>
      <c r="AH67" s="7">
        <f>IF($B67="","",MAX(0,($M67-$D67)*'Your Pay &amp; Benefits'!$C$8+$AP67-$AQ67-IF('Your Pay &amp; Benefits'!$C$13,0,IF('Your Pay &amp; Benefits'!$C$12="MFJ",'How This Works &amp; Sources'!$C$8,'How This Works &amp; Sources'!$C$9))))</f>
      </c>
      <c r="AI67" s="7">
        <f>IF($B67="","",$O67*'Your Pay &amp; Benefits'!$C$8)</f>
      </c>
      <c r="AJ67" s="7">
        <f>IF($B67="","",MAX(0,$AI67-VLOOKUP($AN67,StateTables!$A$6:$AB$56,12,FALSE)*$AT67-IF(($AS67+$AT67)&gt;=2,VLOOKUP($AN67,StateTables!$A$6:$AB$56,8,FALSE),VLOOKUP($AN67,StateTables!$A$6:$AB$56,7,FALSE))))</f>
      </c>
      <c r="AK67" s="7">
        <f>IF($B67="","",IFERROR(LOOKUP(2,1/(('Changes &amp; Events'!$C$6:$C$17="Salary change")*('Changes &amp; Events'!$B$6:$B$17&lt;=$B67)*('Changes &amp; Events'!$B$6:$B$17&lt;&gt;"")),'Changes &amp; Events'!$D$6:$D$17),IF('Your Pay &amp; Benefits'!$C$4="Annual salary",'Your Pay &amp; Benefits'!$C$5,'Your Pay &amp; Benefits'!$C$6)))</f>
      </c>
      <c r="AL67">
        <f>IF($B67="","",IFERROR(LOOKUP(2,1/(('Changes &amp; Events'!$C$6:$C$17="401(k) change")*('Changes &amp; Events'!$B$6:$B$17&lt;=$B67)*('Changes &amp; Events'!$B$6:$B$17&lt;&gt;"")),'Changes &amp; Events'!$D$6:$D$17),'Your Pay &amp; Benefits'!$C$30))</f>
      </c>
      <c r="AM67" s="7">
        <f>IF($B67="","",IFERROR(LOOKUP(2,1/(('Changes &amp; Events'!$C$6:$C$17="401(k) change")*('Changes &amp; Events'!$B$6:$B$17&lt;=$B67)*('Changes &amp; Events'!$B$6:$B$17&lt;&gt;"")),'Changes &amp; Events'!$E$6:$E$17),'Your Pay &amp; Benefits'!$D$31))</f>
      </c>
      <c r="AN67">
        <f>IF($B67="","",IFERROR(LOOKUP(2,1/(('Changes &amp; Events'!$C$6:$C$17="State move")*('Changes &amp; Events'!$B$6:$B$17&lt;=$B67)*('Changes &amp; Events'!$B$6:$B$17&lt;&gt;"")),'Changes &amp; Events'!$D$6:$D$17),'Your Pay &amp; Benefits'!$C$21))</f>
      </c>
      <c r="AO67" s="7">
        <f>IF($B67="","",IFERROR(LOOKUP(2,1/(('Changes &amp; Events'!$C$6:$C$17="W-4 change")*('Changes &amp; Events'!$B$6:$B$17&lt;=$B67)*('Changes &amp; Events'!$B$6:$B$17&lt;&gt;"")),'Changes &amp; Events'!$D$6:$D$17),'Your Pay &amp; Benefits'!$C$14))</f>
      </c>
      <c r="AP67" s="7">
        <f>IF($B67="","",IFERROR(LOOKUP(2,1/(('Changes &amp; Events'!$C$6:$C$17="W-4 change")*('Changes &amp; Events'!$B$6:$B$17&lt;=$B67)*('Changes &amp; Events'!$B$6:$B$17&lt;&gt;"")),'Changes &amp; Events'!$E$6:$E$17),'Your Pay &amp; Benefits'!$C$15))</f>
      </c>
      <c r="AQ67" s="7">
        <f>IF($B67="","",IFERROR(LOOKUP(2,1/(('Changes &amp; Events'!$C$6:$C$17="W-4 change")*('Changes &amp; Events'!$B$6:$B$17&lt;=$B67)*('Changes &amp; Events'!$B$6:$B$17&lt;&gt;"")),'Changes &amp; Events'!$F$6:$F$17),'Your Pay &amp; Benefits'!$C$16))</f>
      </c>
      <c r="AR67" s="7">
        <f>IF($B67="","",IFERROR(LOOKUP(2,1/(('Changes &amp; Events'!$C$6:$C$17="W-4 change")*('Changes &amp; Events'!$B$6:$B$17&lt;=$B67)*('Changes &amp; Events'!$B$6:$B$17&lt;&gt;"")),'Changes &amp; Events'!$G$6:$G$17),'Your Pay &amp; Benefits'!$C$17))</f>
      </c>
      <c r="AS67" s="6">
        <f>IF($B67="","",IFERROR(LOOKUP(2,1/((('Changes &amp; Events'!$C$6:$C$17="State move")+('Changes &amp; Events'!$C$6:$C$17="State cert change"))*('Changes &amp; Events'!$B$6:$B$17&lt;=$B67)*('Changes &amp; Events'!$B$6:$B$17&lt;&gt;"")),'Changes &amp; Events'!$F$6:$F$17),'Your Pay &amp; Benefits'!$C$23))</f>
      </c>
      <c r="AT67" s="6">
        <f>IF($B67="","",IFERROR(LOOKUP(2,1/((('Changes &amp; Events'!$C$6:$C$17="State move")+('Changes &amp; Events'!$C$6:$C$17="State cert change"))*('Changes &amp; Events'!$B$6:$B$17&lt;=$B67)*('Changes &amp; Events'!$B$6:$B$17&lt;&gt;"")),'Changes &amp; Events'!$G$6:$G$17),'Your Pay &amp; Benefits'!$C$24))</f>
      </c>
      <c r="AU67">
        <f>IF($B67="","",IFERROR(LOOKUP(2,1/(('Changes &amp; Events'!$C$6:$C$17="State move")*('Changes &amp; Events'!$B$6:$B$17&lt;=$B67)*('Changes &amp; Events'!$B$6:$B$17&lt;&gt;"")),'Changes &amp; Events'!$E$6:$E$17),'Your Pay &amp; Benefits'!$C$22))</f>
      </c>
      <c r="AV67" s="6">
        <f>IF($B67="","",1+COUNTIFS('Changes &amp; Events'!$C$6:$C$17,"Employer change",'Changes &amp; Events'!$B$6:$B$17,"&lt;="&amp;$B67,'Changes &amp; Events'!$B$6:$B$17,"&lt;&gt;"))</f>
      </c>
      <c r="AW67" s="7">
        <f>IF($B67="","",IF($AV67=1,'Your Pay &amp; Benefits'!$C$49,IF(IFERROR(MATCH(IFERROR(LOOKUP(2,1/(('Changes &amp; Events'!$C$6:$C$17="Employer change")*('Changes &amp; Events'!$B$6:$B$17&lt;=$B67)*('Changes &amp; Events'!$B$6:$B$17&lt;&gt;"")),'Changes &amp; Events'!$B$6:$B$17),""),$B$6:$B$68,1),1)&lt;=1,'Your Pay &amp; Benefits'!$C$49,INDEX($AB$6:$AB$68,MATCH(IFERROR(LOOKUP(2,1/(('Changes &amp; Events'!$C$6:$C$17="Employer change")*('Changes &amp; Events'!$B$6:$B$17&lt;=$B67)*('Changes &amp; Events'!$B$6:$B$17&lt;&gt;"")),'Changes &amp; Events'!$B$6:$B$17),""),$B$6:$B$68,1)-1))))</f>
      </c>
      <c r="AX67" s="7">
        <f>IF($B67="","",IF($AV67=1,'Your Pay &amp; Benefits'!$C$49,IFERROR(LOOKUP(2,1/(('Changes &amp; Events'!$C$6:$C$17="Employer change")*('Changes &amp; Events'!$B$6:$B$17&lt;=$B67)*('Changes &amp; Events'!$B$6:$B$17&lt;&gt;"")),'Changes &amp; Events'!$D$6:$D$17),0)))</f>
      </c>
      <c r="AY67" s="7">
        <f>IF($B67="","",($O67-$D67)*'Your Pay &amp; Benefits'!$C$8)</f>
      </c>
      <c r="AZ67" s="7">
        <f>IF($B67="","",IF($AN67="AL",MAX(0,$AY67-IF($AU67="Married",IF($AY67&lt;=25999,8500,MAX(5000,8500-175*CEILING(($AY67-25999)/500,1))),IF($AU67="Head of household",IF($AY67&lt;=25999,5200,MAX(2500,5200-135*CEILING(($AY67-25999)/500,1))),IF($AY67&lt;=25999,3000,MAX(2500,3000-25*CEILING(($AY67-25999)/500,1)))))-($P67-'How This Works &amp; Sources'!$C$10*$D67)*'Your Pay &amp; Benefits'!$C$8-IF(OR($AU67="Married",$AU67="Head of household"),3000,1500)-$AT67*IF($AY67&lt;=50000,1000,IF($AY67&lt;=100000,500,300))),IF($AN67="AR",IF(MAX(0,$AY67-2470)&lt;97701,INT(MAX(0,$AY67-2470)/100)*100+50,MAX(0,$AY67-2470)),IF($AN67="DE",MAX(0,$AI67-3250),IF($AN67="HI",MAX(0,$AI67-1144*$AS67-4350),IF($AN67="KS",MAX(0,$AI67-(9160*IF($AU67="Married",2,1)+2320*$AT67+IF($AU67="Head of household",2320,0))),IF($AN67="MD",MAX(0,$AI67-3400-3200*$AS67),IF($AN67="MN",MAX(0,$AY67-5300*$AS67),IF($AN67="MO",MAX(0,$AI67-IF($AU67="Head of household",24150,IF($AU67="Married",IF('Your Pay &amp; Benefits'!$C$83,16100,32200),16100))),IF($AN67="MT",$AY67,IF($AN67="ND",($C67+$L67)*'Your Pay &amp; Benefits'!$C$8,IF($AN67="NE",MAX(0,$AY67-2440*$AS67),IF($AN67="NJ",MAX(0,$AY67-1000*$AS67),IF($AN67="NY",MAX(0,$AY67-(IF($AU67="Married",7950,7400)+1000*$AS67)),IF($AN67="OH",MAX(0,$AY67-650*$AS67),IF($AN67="OK",MAX(0,$AY67-1000*$AS67),IF($AN67="RI",MAX(0,$AI67-1000*$AS67),IF($AN67="SC",MAX(0,$AI67-5000*$AS67-IF($AS67=0,0,MIN(0.1*$AI67,7500))),IF($AN67="VA",MAX(0,$AI67-IF($AU67="Married",17500,8750)-930*$AS67-800*$AT67),IF($AN67="VT",MAX(0,$AI67-5400*$AS67),IF($AN67="WI",MAX(0,$AI67-MAX(0,IF($AU67="Married",9461-0.2*MAX(0,$AI67-25727),6702-0.12*MAX(0,$AI67-17780)))-400*$AS67),IF($AN67="WV",MAX(0,$AI67-2000*$AS67),$AI67))))))))))))))))))))))</f>
      </c>
      <c r="BA67" s="7">
        <f>IF($B67="","",IF($BW67&lt;&gt;"",$BW67,IF($BX67&lt;&gt;"",$BX67,IF($BY67&lt;&gt;"",$BY67,0))))</f>
      </c>
      <c r="BB67" s="7">
        <f>IF($B67="","",IF($AN67="AR",-29*$AS67,IF($AN67="DE",-110*$AS67,IF($AN67="MD",$AZ67*'Your Pay &amp; Benefits'!$C$74,IF($AN67="AZ",'Your Pay &amp; Benefits'!$C$82*($M67-$D67)*'Your Pay &amp; Benefits'!$C$8,IF($AN67="CO",0.044*MAX(0,$AY67-IF($AU67="Married",10000,5000)),IF($AN67="IA",MAX(0,0.038*MAX(0,$AY67-IF($AU67="Head of household",19500,IF($AU67="Married",26000,13000)))-40*$AS67),IF($AN67="ID",0.053*MAX(0,$AY67-IF($AU67="Married",32000,16094)),IF($AN67="IL",0.0495*MAX(0,$AY67-(2925*$AS67+1000*$AT67)),IF($AN67="IN",(0.0295+'Your Pay &amp; Benefits'!$C$76)*MAX(0,$AY67-(1000*$AS67+1500*$AT67+3000*'Your Pay &amp; Benefits'!$C$86)),IF($AN67="KY",0.035*MAX(0,$AI67-3360),IF($AN67="LA",IF('Your Pay &amp; Benefits'!$C$84="0",0.0309*$AI67,0.0309*MAX(0,$AI67-IF('Your Pay &amp; Benefits'!$C$84="2",25750,12875))),IF($AN67="MA",0.05*MIN(MAX(0,$AY67-MIN(($BD66+$Q67+$R67+$S67),2000)-IF($AS67=0,0,IF($AS67=1,4400,1000*$AS67+3400))),1107750)+0.09*MAX(0,MAX(0,$AY67-MIN(($BD66+$Q67+$R67+$S67),2000)-IF($AS67=0,0,IF($AS67=1,4400,1000*$AS67+3400)))-1107750)-IF($AU67="Head of household",120,0)-110*'Your Pay &amp; Benefits'!$C$75,IF($AN67="MI",0.0425*MAX(0,$AY67-5900*$AS67),IF($AN67="MS",0.04*MAX(0,$AI67-IF($AU67="Head of household",3400,IF($AU67="Married",4600,2300))-'Your Pay &amp; Benefits'!$C$85-10000),IF($AN67="OR",IF(OR($AU67="Married",AND($AU67="Single",$AS67&gt;=3)),SUMPRODUCT((MAX(0,$AY67-MIN(($P67-'How This Works &amp; Sources'!$C$10*$D67)*'Your Pay &amp; Benefits'!$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Sources'!$B$211:$J$214,0,4))*(MAX(0,$AY67-MIN(($P67-'How This Works &amp; Sources'!$C$10*$D67)*'Your Pay &amp; Benefits'!$C$8,IF(OR($AU67="Married",AND($AU67="Single",$AS67&gt;=3)),IF($AY67&lt;250000,8750,IF($AY67&lt;260000,7000,IF($AY67&lt;270000,5250,IF($AY67&lt;280000,3500,IF($AY67&lt;290000,1750,0))))),IF($AY67&lt;125000,8750,IF($AY67&lt;130000,7000,IF($AY67&lt;135000,5250,IF($AY67&lt;140000,3500,IF($AY67&lt;145000,1750,0)))))))-IF(OR($AU67="Married",AND($AU67="Single",$AS67&gt;=3)),5820,2910))-INDEX('How This Works &amp; Sources'!$B$211:$J$214,0,4))*INDEX('How This Works &amp; Sources'!$B$211:$J$214,0,4+2)),SUMPRODUCT((MAX(0,$AY67-MIN(($P67-'How This Works &amp; Sources'!$C$10*$D67)*'Your Pay &amp; Benefits'!$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Sources'!$B$211:$J$214,0,1))*(MAX(0,$AY67-MIN(($P67-'How This Works &amp; Sources'!$C$10*$D67)*'Your Pay &amp; Benefits'!$C$8,IF(OR($AU67="Married",AND($AU67="Single",$AS67&gt;=3)),IF($AY67&lt;250000,8750,IF($AY67&lt;260000,7000,IF($AY67&lt;270000,5250,IF($AY67&lt;280000,3500,IF($AY67&lt;290000,1750,0))))),IF($AY67&lt;125000,8750,IF($AY67&lt;130000,7000,IF($AY67&lt;135000,5250,IF($AY67&lt;140000,3500,IF($AY67&lt;145000,1750,0)))))))-IF(OR($AU67="Married",AND($AU67="Single",$AS67&gt;=3)),5820,2910))-INDEX('How This Works &amp; Sources'!$B$211:$J$214,0,1))*INDEX('How This Works &amp; Sources'!$B$211:$J$214,0,1+2)))+263-263*IF(IF($AU67="Married",$AY67&gt;200000,$AY67&gt;100000),0,$AS67),IF($AN67="PA",0.0307*(($O67+$E67+$G67)*'Your Pay &amp; Benefits'!$C$8),IF($AN67="NY",IF($AU67="Married",IF($AZ67&gt;=2155350,0,IF($AZ67&gt;=1077550,0.48,IF($AZ67&gt;=373200,1.21,IF($AZ67&gt;=323200,0.21,IF($AZ67&gt;=211550,-0.19,IF($AZ67&gt;=157650,-2.8,IF($AZ67&gt;=107650,-0.8,IF($AZ67&gt;=96800,0.05,IF($AZ67&gt;=80650,-0.1,IF($AZ67&gt;=13900,0.4,IF($AZ67&gt;=11700,-0.3,IF($AZ67&gt;=8500,0.5,0)))))))))))),IF($AZ67&gt;=1077550,0,IF($AZ67&gt;=265400,4.29,IF($AZ67&gt;=215400,2.29,IF($AZ67&gt;=157650,2.29,IF($AZ67&gt;=107650,0.29,IF($AZ67&gt;=96800,0.05,IF($AZ67&gt;=80650,-0.1,IF($AZ67&gt;=13900,0.4,IF($AZ67&gt;=11700,-0.3,IF($AZ67&gt;=8500,0.5,0))))))))))),0))))))))))))))))))</f>
      </c>
      <c r="BC67" s="7">
        <f>IF($B67="","",IF($AN67="AL",0.05*$D67,IF($AN67="AR",0.039*$D67,IF($AN67="ID",0.053*$D67,IF($AN67="IN",(0.0295+'Your Pay &amp; Benefits'!$C$76)*$D67,IF($AN67="KS",0.05*$D67,IF($AN67="MA",0.09*MIN($D67,MAX(0,MAX(0,$AY67-MIN(($BD66+$Q67+$R67+$S67),2000)-IF($AS67=0,0,IF($AS67=1,4400,1000*$AS67+3400)))+$D67-1107750))+0.05*($D67-MIN($D67,MAX(0,MAX(0,$AY67-MIN(($BD66+$Q67+$R67+$S67),2000)-IF($AS67=0,0,IF($AS67=1,4400,1000*$AS67+3400)))+$D67-1107750))),IF($AN67="MD",(0.065+'Your Pay &amp; Benefits'!$C$74)*$D67,IF($AN67="MI",0.0425*$D67,IF($AN67="MN",0.0625*$D67,IF($AN67="MO",0.047*$D67,IF($AN67="MT",0.05*$D67,IF($AN67="ND",0.015*$D67,IF($AN67="NE",0.035*$D67,IF($AN67="NJ",IF('Your Pay &amp; Benefits'!$C$77="B",SUMPRODUCT(($D67*'Your Pay &amp; Benefits'!$C$8&gt;INDEX('How This Works &amp; Sources'!$B$155:$J$162,0,4))*($D67*'Your Pay &amp; Benefits'!$C$8-INDEX('How This Works &amp; Sources'!$B$155:$J$162,0,4))*INDEX('How This Works &amp; Sources'!$B$155:$J$162,0,4+2)),IF('Your Pay &amp; Benefits'!$C$77="C",SUMPRODUCT(($D67*'Your Pay &amp; Benefits'!$C$8&gt;INDEX('How This Works &amp; Sources'!$B$155:$J$162,0,7))*($D67*'Your Pay &amp; Benefits'!$C$8-INDEX('How This Works &amp; Sources'!$B$155:$J$162,0,7))*INDEX('How This Works &amp; Sources'!$B$155:$J$162,0,7+2)),IF('Your Pay &amp; Benefits'!$C$77="D",SUMPRODUCT(($D67*'Your Pay &amp; Benefits'!$C$8&gt;INDEX('How This Works &amp; Sources'!$B$167:$J$179,0,1))*($D67*'Your Pay &amp; Benefits'!$C$8-INDEX('How This Works &amp; Sources'!$B$167:$J$179,0,1))*INDEX('How This Works &amp; Sources'!$B$167:$J$179,0,1+2)),IF('Your Pay &amp; Benefits'!$C$77="E",SUMPRODUCT(($D67*'Your Pay &amp; Benefits'!$C$8&gt;INDEX('How This Works &amp; Sources'!$B$167:$J$179,0,4))*($D67*'Your Pay &amp; Benefits'!$C$8-INDEX('How This Works &amp; Sources'!$B$167:$J$179,0,4))*INDEX('How This Works &amp; Sources'!$B$167:$J$179,0,4+2)),SUMPRODUCT(($D67*'Your Pay &amp; Benefits'!$C$8&gt;INDEX('How This Works &amp; Sources'!$B$155:$J$162,0,1))*($D67*'Your Pay &amp; Benefits'!$C$8-INDEX('How This Works &amp; Sources'!$B$155:$J$162,0,1))*INDEX('How This Works &amp; Sources'!$B$155:$J$162,0,1+2))))))/'Your Pay &amp; Benefits'!$C$8,IF($AN67="NY",0.117*$D67,IF($AN67="OH",0.0275*$D67,IF($AN67="OK",0.045*$D67,IF($AN67="OR",0.08*$D67,IF($AN67="WI",IF($AY67&lt;12760,0.0354,IF($AY67&lt;25520,0.0465,IF($AY67&lt;280950,0.053,0.0765)))*$D67,0))))))))))))))))))))</f>
      </c>
      <c r="BD67" s="7">
        <f>IF($B67="","",$BD66+$Q67+$R67+$S67)</f>
      </c>
      <c r="BE67" s="6">
        <f>IF($B67="",$BE66,$BE66+$BF67)</f>
      </c>
      <c r="BF67" s="6">
        <f>IF($B67="","",IF(AND(IF(YEAR(IF('Your Pay &amp; Benefits'!$C$7="Weekly",'Your Pay &amp; Benefits'!$C$9+7*(($BE66+1)-1),IF('Your Pay &amp; Benefits'!$C$7="Biweekly",'Your Pay &amp; Benefits'!$C$9+14*(($BE66+1)-1),IF('Your Pay &amp; Benefits'!$C$7="Semimonthly",DATE(YEAR('Your Pay &amp; Benefits'!$C$9),MONTH('Your Pay &amp; Benefits'!$C$9)+INT((($BE66+1)-1)/2),MIN(DAY('Your Pay &amp; Benefits'!$C$9),DAY(EOMONTH(DATE(YEAR('Your Pay &amp; Benefits'!$C$9),MONTH('Your Pay &amp; Benefits'!$C$9)+INT((($BE66+1)-1)/2),1),0))))+IF(MOD(($BE66+1)-1,2)=1,15,0),EDATE('Your Pay &amp; Benefits'!$C$9,($BE66+1)-1)))))&lt;&gt;'Your Pay &amp; Benefits'!$C$10,"",IF('Your Pay &amp; Benefits'!$C$7="Weekly",'Your Pay &amp; Benefits'!$C$9+7*(($BE66+1)-1),IF('Your Pay &amp; Benefits'!$C$7="Biweekly",'Your Pay &amp; Benefits'!$C$9+14*(($BE66+1)-1),IF('Your Pay &amp; Benefits'!$C$7="Semimonthly",DATE(YEAR('Your Pay &amp; Benefits'!$C$9),MONTH('Your Pay &amp; Benefits'!$C$9)+INT((($BE66+1)-1)/2),MIN(DAY('Your Pay &amp; Benefits'!$C$9),DAY(EOMONTH(DATE(YEAR('Your Pay &amp; Benefits'!$C$9),MONTH('Your Pay &amp; Benefits'!$C$9)+INT((($BE66+1)-1)/2),1),0))))+IF(MOD(($BE66+1)-1,2)=1,15,0),EDATE('Your Pay &amp; Benefits'!$C$9,($BE66+1)-1)))))&lt;&gt;"",$B67=IF(YEAR(IF('Your Pay &amp; Benefits'!$C$7="Weekly",'Your Pay &amp; Benefits'!$C$9+7*(($BE66+1)-1),IF('Your Pay &amp; Benefits'!$C$7="Biweekly",'Your Pay &amp; Benefits'!$C$9+14*(($BE66+1)-1),IF('Your Pay &amp; Benefits'!$C$7="Semimonthly",DATE(YEAR('Your Pay &amp; Benefits'!$C$9),MONTH('Your Pay &amp; Benefits'!$C$9)+INT((($BE66+1)-1)/2),MIN(DAY('Your Pay &amp; Benefits'!$C$9),DAY(EOMONTH(DATE(YEAR('Your Pay &amp; Benefits'!$C$9),MONTH('Your Pay &amp; Benefits'!$C$9)+INT((($BE66+1)-1)/2),1),0))))+IF(MOD(($BE66+1)-1,2)=1,15,0),EDATE('Your Pay &amp; Benefits'!$C$9,($BE66+1)-1)))))&lt;&gt;'Your Pay &amp; Benefits'!$C$10,"",IF('Your Pay &amp; Benefits'!$C$7="Weekly",'Your Pay &amp; Benefits'!$C$9+7*(($BE66+1)-1),IF('Your Pay &amp; Benefits'!$C$7="Biweekly",'Your Pay &amp; Benefits'!$C$9+14*(($BE66+1)-1),IF('Your Pay &amp; Benefits'!$C$7="Semimonthly",DATE(YEAR('Your Pay &amp; Benefits'!$C$9),MONTH('Your Pay &amp; Benefits'!$C$9)+INT((($BE66+1)-1)/2),MIN(DAY('Your Pay &amp; Benefits'!$C$9),DAY(EOMONTH(DATE(YEAR('Your Pay &amp; Benefits'!$C$9),MONTH('Your Pay &amp; Benefits'!$C$9)+INT((($BE66+1)-1)/2),1),0))))+IF(MOD(($BE66+1)-1,2)=1,15,0),EDATE('Your Pay &amp; Benefits'!$C$9,($BE66+1)-1)))))),1,0))</f>
      </c>
      <c r="BG67" s="7">
        <f>IF($B67="","",$BG66+$H67)</f>
      </c>
      <c r="BH67" s="7">
        <f>IF($B67="","",$BH66+$I67)</f>
      </c>
      <c r="BI67" s="7">
        <f>IF($B67="","",$BI66+$G67)</f>
      </c>
      <c r="BJ67" s="7">
        <f>IF($B67="","",IFERROR(LOOKUP(2,1/(((('Changes &amp; Events'!$C$6:$C$17="Deduction start"))*('Changes &amp; Events'!$D$6:$D$17="Health FSA"))*('Changes &amp; Events'!$B$6:$B$17&lt;=$B67)*('Changes &amp; Events'!$B$6:$B$17&lt;&gt;"")),'Changes &amp; Events'!$E$6:$E$17),'Your Pay &amp; Benefits'!$D$38))</f>
      </c>
      <c r="BK67" s="7">
        <f>IF($B67="","",IFERROR(LOOKUP(2,1/(((('Changes &amp; Events'!$C$6:$C$17="Deduction start"))*('Changes &amp; Events'!$D$6:$D$17="Dependent-care FSA"))*('Changes &amp; Events'!$B$6:$B$17&lt;=$B67)*('Changes &amp; Events'!$B$6:$B$17&lt;&gt;"")),'Changes &amp; Events'!$E$6:$E$17),'Your Pay &amp; Benefits'!$D$39))</f>
      </c>
      <c r="BL67" s="7">
        <f>IF($B67="","",IFERROR(LOOKUP(2,1/(((('Changes &amp; Events'!$C$6:$C$17="Deduction start")+('Changes &amp; Events'!$C$6:$C$17="Deduction stop"))*('Changes &amp; Events'!$D$6:$D$17="HSA"))*('Changes &amp; Events'!$B$6:$B$17&lt;=$B67)*('Changes &amp; Events'!$B$6:$B$17&lt;&gt;"")),'Changes &amp; Events'!$I$6:$I$17),'Your Pay &amp; Benefits'!$D$35))</f>
      </c>
      <c r="BM67" s="7">
        <f>IF($B67="","",IFERROR(LOOKUP(2,1/(((('Changes &amp; Events'!$C$6:$C$17="Deduction start")+('Changes &amp; Events'!$C$6:$C$17="Deduction stop"))*('Changes &amp; Events'!$D$6:$D$17="Premiums"))*('Changes &amp; Events'!$B$6:$B$17&lt;=$B67)*('Changes &amp; Events'!$B$6:$B$17&lt;&gt;"")),'Changes &amp; Events'!$I$6:$I$17),'Your Pay &amp; Benefits'!$D$40+'Your Pay &amp; Benefits'!$D$41+'Your Pay &amp; Benefits'!$D$42))</f>
      </c>
      <c r="BN67" s="7">
        <f>IF($B67="","",IFERROR(LOOKUP(2,1/(((('Changes &amp; Events'!$C$6:$C$17="Deduction start")+('Changes &amp; Events'!$C$6:$C$17="Deduction stop"))*('Changes &amp; Events'!$D$6:$D$17="Commuter"))*('Changes &amp; Events'!$B$6:$B$17&lt;=$B67)*('Changes &amp; Events'!$B$6:$B$17&lt;&gt;"")),'Changes &amp; Events'!$I$6:$I$17),'Your Pay &amp; Benefits'!$D$43))</f>
      </c>
      <c r="BO67" s="7">
        <f>IF($B67="","",IFERROR(LOOKUP(2,1/(((('Changes &amp; Events'!$C$6:$C$17="Deduction start")+('Changes &amp; Events'!$C$6:$C$17="Deduction stop"))*('Changes &amp; Events'!$D$6:$D$17="Other pre-tax"))*('Changes &amp; Events'!$B$6:$B$17&lt;=$B67)*('Changes &amp; Events'!$B$6:$B$17&lt;&gt;"")),'Changes &amp; Events'!$I$6:$I$17),'Your Pay &amp; Benefits'!$D$44))</f>
      </c>
      <c r="BP67" s="7">
        <f>IF($B67="","",IFERROR(LOOKUP(2,1/(((('Changes &amp; Events'!$C$6:$C$17="Deduction start")+('Changes &amp; Events'!$C$6:$C$17="Deduction stop"))*('Changes &amp; Events'!$D$6:$D$17="Other post-tax"))*('Changes &amp; Events'!$B$6:$B$17&lt;=$B67)*('Changes &amp; Events'!$B$6:$B$17&lt;&gt;"")),'Changes &amp; Events'!$I$6:$I$17),'Your Pay &amp; Benefits'!$D$45))</f>
      </c>
      <c r="BQ67" s="6">
        <f>IF($B67="","",IFERROR(LOOKUP(2,1/(((('Changes &amp; Events'!$C$6:$C$17="Deduction start")+('Changes &amp; Events'!$C$6:$C$17="Deduction stop"))*('Changes &amp; Events'!$D$6:$D$17="Health FSA"))*('Changes &amp; Events'!$B$6:$B$17&lt;=$B67)*('Changes &amp; Events'!$B$6:$B$17&lt;&gt;"")),'Changes &amp; Events'!$J$6:$J$17),0))</f>
      </c>
      <c r="BR67" s="6">
        <f>IF($B67="","",IFERROR(LOOKUP(2,1/(((('Changes &amp; Events'!$C$6:$C$17="Deduction start")+('Changes &amp; Events'!$C$6:$C$17="Deduction stop"))*('Changes &amp; Events'!$D$6:$D$17="Dependent-care FSA"))*('Changes &amp; Events'!$B$6:$B$17&lt;=$B67)*('Changes &amp; Events'!$B$6:$B$17&lt;&gt;"")),'Changes &amp; Events'!$J$6:$J$17),0))</f>
      </c>
      <c r="BS67" s="6">
        <f>IF($B67="","",IF(SUMPRODUCT(('Changes &amp; Events'!$C$6:$C$17="Deduction start")*('Changes &amp; Events'!$B$6:$B$17&lt;=$B67)*('Changes &amp; Events'!$B$6:$B$17&lt;&gt;"")*('Changes &amp; Events'!$D$6:$D$17="Health FSA"))&gt;0,1,0))</f>
      </c>
      <c r="BT67" s="6">
        <f>IF($B67="","",IF(SUMPRODUCT(('Changes &amp; Events'!$C$6:$C$17="Deduction start")*('Changes &amp; Events'!$B$6:$B$17&lt;=$B67)*('Changes &amp; Events'!$B$6:$B$17&lt;&gt;"")*('Changes &amp; Events'!$D$6:$D$17="Dependent-care FSA"))&gt;0,1,0))</f>
      </c>
      <c r="BU67" s="24">
        <f>IF($B67="","",IF('Your Pay &amp; Benefits'!$C$13,SUMPRODUCT(($AH67&gt;=INDEX('How This Works &amp; Sources'!$B$29:$J$36,0,IF('Your Pay &amp; Benefits'!$C$12="MFJ",1,IF('Your Pay &amp; Benefits'!$C$12="HoH",7,4))))*INDEX('How This Works &amp; Sources'!$B$29:$J$36,0,IF('Your Pay &amp; Benefits'!$C$12="MFJ",1,IF('Your Pay &amp; Benefits'!$C$12="HoH",7,4))+2)),SUMPRODUCT(($AH67&gt;=INDEX('How This Works &amp; Sources'!$B$19:$J$26,0,IF('Your Pay &amp; Benefits'!$C$12="MFJ",1,IF('Your Pay &amp; Benefits'!$C$12="HoH",7,4))))*INDEX('How This Works &amp; Sources'!$B$19:$J$26,0,IF('Your Pay &amp; Benefits'!$C$12="MFJ",1,IF('Your Pay &amp; Benefits'!$C$12="HoH",7,4))+2))))</f>
      </c>
      <c r="BV67" s="24">
        <f>IF($B67="","",IF($BZ67&lt;&gt;"",$BZ67,IF($CA67&lt;&gt;"",$CA67,IF($CB67&lt;&gt;"",$CB67,IF($CC67&lt;&gt;"",$CC67,0)))))</f>
      </c>
      <c r="BW67" s="7">
        <f>IF($B67="","",IF($AN67="MD",IF(OR($AU67="Married",$AU67="Head of household"),SUMPRODUCT(($AZ67&gt;INDEX('How This Works &amp; Sources'!$B$114:$J$120,0,1))*($AZ67-INDEX('How This Works &amp; Sources'!$B$114:$J$120,0,1))*INDEX('How This Works &amp; Sources'!$B$114:$J$120,0,1+2)),SUMPRODUCT(($AZ67&gt;INDEX('How This Works &amp; Sources'!$B$103:$J$109,0,7))*($AZ67-INDEX('How This Works &amp; Sources'!$B$103:$J$109,0,7))*INDEX('How This Works &amp; Sources'!$B$103:$J$109,0,7+2))),IF($AN67="MO",SUMPRODUCT(($AZ67&gt;INDEX('How This Works &amp; Sources'!$B$125:$J$132,0,1))*($AZ67-INDEX('How This Works &amp; Sources'!$B$125:$J$132,0,1))*INDEX('How This Works &amp; Sources'!$B$125:$J$132,0,1+2)),IF($AN67="MT",IF($AU67="Head of household",SUMPRODUCT(($AZ67&gt;INDEX('How This Works &amp; Sources'!$B$137:$J$139,0,1))*($AZ67-INDEX('How This Works &amp; Sources'!$B$137:$J$139,0,1))*INDEX('How This Works &amp; Sources'!$B$137:$J$139,0,1+2)),IF($AU67="Married",SUMPRODUCT(($AZ67&gt;INDEX('How This Works &amp; Sources'!$B$125:$J$132,0,7))*($AZ67-INDEX('How This Works &amp; Sources'!$B$125:$J$132,0,7))*INDEX('How This Works &amp; Sources'!$B$125:$J$132,0,7+2)),SUMPRODUCT(($AZ67&gt;INDEX('How This Works &amp; Sources'!$B$125:$J$132,0,4))*($AZ67-INDEX('How This Works &amp; Sources'!$B$125:$J$132,0,4))*INDEX('How This Works &amp; Sources'!$B$125:$J$132,0,4+2)))),IF($AN67="ND",IF($AU67="Head of household",SUMPRODUCT(($AZ67&gt;INDEX('How This Works &amp; Sources'!$B$144:$J$150,0,1))*($AZ67-INDEX('How This Works &amp; Sources'!$B$144:$J$150,0,1))*INDEX('How This Works &amp; Sources'!$B$144:$J$150,0,1+2)),IF($AU67="Married",SUMPRODUCT(($AZ67&gt;INDEX('How This Works &amp; Sources'!$B$137:$J$139,0,7))*($AZ67-INDEX('How This Works &amp; Sources'!$B$137:$J$139,0,7))*INDEX('How This Works &amp; Sources'!$B$137:$J$139,0,7+2)),SUMPRODUCT(($AZ67&gt;INDEX('How This Works &amp; Sources'!$B$137:$J$139,0,4))*($AZ67-INDEX('How This Works &amp; Sources'!$B$137:$J$139,0,4))*INDEX('How This Works &amp; Sources'!$B$137:$J$139,0,4+2)))),IF($AN67="NJ",IF('Your Pay &amp; Benefits'!$C$77="B",SUMPRODUCT(($AZ67&gt;INDEX('How This Works &amp; Sources'!$B$155:$J$162,0,4))*($AZ67-INDEX('How This Works &amp; Sources'!$B$155:$J$162,0,4))*INDEX('How This Works &amp; Sources'!$B$155:$J$162,0,4+2)),IF('Your Pay &amp; Benefits'!$C$77="C",SUMPRODUCT(($AZ67&gt;INDEX('How This Works &amp; Sources'!$B$155:$J$162,0,7))*($AZ67-INDEX('How This Works &amp; Sources'!$B$155:$J$162,0,7))*INDEX('How This Works &amp; Sources'!$B$155:$J$162,0,7+2)),IF('Your Pay &amp; Benefits'!$C$77="D",SUMPRODUCT(($AZ67&gt;INDEX('How This Works &amp; Sources'!$B$167:$J$179,0,1))*($AZ67-INDEX('How This Works &amp; Sources'!$B$167:$J$179,0,1))*INDEX('How This Works &amp; Sources'!$B$167:$J$179,0,1+2)),IF('Your Pay &amp; Benefits'!$C$77="E",SUMPRODUCT(($AZ67&gt;INDEX('How This Works &amp; Sources'!$B$167:$J$179,0,4))*($AZ67-INDEX('How This Works &amp; Sources'!$B$167:$J$179,0,4))*INDEX('How This Works &amp; Sources'!$B$167:$J$179,0,4+2)),SUMPRODUCT(($AZ67&gt;INDEX('How This Works &amp; Sources'!$B$155:$J$162,0,1))*($AZ67-INDEX('How This Works &amp; Sources'!$B$155:$J$162,0,1))*INDEX('How This Works &amp; Sources'!$B$155:$J$162,0,1+2)))))),IF($AN67="NY",IF($AU67="Married",IF($AZ67&gt;=2155350,$AZ67*IF($AZ67&gt;25000000,0.117,IF($AZ67&gt;5000000,0.111,0.1045)),SUMPRODUCT(($AZ67&gt;INDEX('How This Works &amp; Sources'!$B$184:$J$198,0,1))*($AZ67-INDEX('How This Works &amp; Sources'!$B$184:$J$198,0,1))*INDEX('How This Works &amp; Sources'!$B$184:$J$198,0,1+2))),IF($AZ67&gt;=1077550,$AZ67*IF($AZ67&gt;25000000,0.117,IF($AZ67&gt;5000000,0.111,0.1045)),SUMPRODUCT(($AZ67&gt;INDEX('How This Works &amp; Sources'!$B$167:$J$179,0,7))*($AZ67-INDEX('How This Works &amp; Sources'!$B$167:$J$179,0,7))*INDEX('How This Works &amp; Sources'!$B$167:$J$179,0,7+2)))),"")))))))</f>
      </c>
      <c r="BX67" s="7">
        <f>IF($B67="","",IF($AN67="AL",IF(OR($AU67="Married",$AU67="Head of household"),SUMPRODUCT(($AZ67&gt;INDEX('How This Works &amp; Sources'!$B$82:$J$86,0,4))*($AZ67-INDEX('How This Works &amp; Sources'!$B$82:$J$86,0,4))*INDEX('How This Works &amp; Sources'!$B$82:$J$86,0,4+2)),SUMPRODUCT(($AZ67&gt;INDEX('How This Works &amp; Sources'!$B$82:$J$86,0,1))*($AZ67-INDEX('How This Works &amp; Sources'!$B$82:$J$86,0,1))*INDEX('How This Works &amp; Sources'!$B$82:$J$86,0,1+2))),IF($AN67="KS",IF($AU67="Married",SUMPRODUCT(($AZ67&gt;INDEX('How This Works &amp; Sources'!$B$103:$J$109,0,4))*($AZ67-INDEX('How This Works &amp; Sources'!$B$103:$J$109,0,4))*INDEX('How This Works &amp; Sources'!$B$103:$J$109,0,4+2)),SUMPRODUCT(($AZ67&gt;INDEX('How This Works &amp; Sources'!$B$103:$J$109,0,1))*($AZ67-INDEX('How This Works &amp; Sources'!$B$103:$J$109,0,1))*INDEX('How This Works &amp; Sources'!$B$103:$J$109,0,1+2))),IF($AN67="MN",IF($AU67="Married",SUMPRODUCT(($AZ67&gt;INDEX('How This Works &amp; Sources'!$B$114:$J$120,0,7))*($AZ67-INDEX('How This Works &amp; Sources'!$B$114:$J$120,0,7))*INDEX('How This Works &amp; Sources'!$B$114:$J$120,0,7+2)),SUMPRODUCT(($AZ67&gt;INDEX('How This Works &amp; Sources'!$B$114:$J$120,0,4))*($AZ67-INDEX('How This Works &amp; Sources'!$B$114:$J$120,0,4))*INDEX('How This Works &amp; Sources'!$B$114:$J$120,0,4+2))),IF($AN67="NE",MAX(IF($AU67="Married",SUMPRODUCT(($AZ67&gt;INDEX('How This Works &amp; Sources'!$B$144:$J$150,0,7))*($AZ67-INDEX('How This Works &amp; Sources'!$B$144:$J$150,0,7))*INDEX('How This Works &amp; Sources'!$B$144:$J$150,0,7+2)),SUMPRODUCT(($AZ67&gt;INDEX('How This Works &amp; Sources'!$B$144:$J$150,0,4))*($AZ67-INDEX('How This Works &amp; Sources'!$B$144:$J$150,0,4))*INDEX('How This Works &amp; Sources'!$B$144:$J$150,0,4+2))),0.015*$AZ67),IF($AN67="OH",IF($B67&gt;=DATE(2026,8,1),SUMPRODUCT(($AZ67&gt;INDEX('How This Works &amp; Sources'!$B$203:$J$206,0,1))*($AZ67-INDEX('How This Works &amp; Sources'!$B$203:$J$206,0,1))*INDEX('How This Works &amp; Sources'!$B$203:$J$206,0,1+2)),SUMPRODUCT(($AZ67&gt;INDEX('How This Works &amp; Sources'!$B$184:$J$198,0,7))*($AZ67-INDEX('How This Works &amp; Sources'!$B$184:$J$198,0,7))*INDEX('How This Works &amp; Sources'!$B$184:$J$198,0,7+2))),IF($AN67="OK",IF($AU67="Married",SUMPRODUCT(($AZ67&gt;INDEX('How This Works &amp; Sources'!$B$203:$J$206,0,7))*($AZ67-INDEX('How This Works &amp; Sources'!$B$203:$J$206,0,7))*INDEX('How This Works &amp; Sources'!$B$203:$J$206,0,7+2)),SUMPRODUCT(($AZ67&gt;INDEX('How This Works &amp; Sources'!$B$203:$J$206,0,4))*($AZ67-INDEX('How This Works &amp; Sources'!$B$203:$J$206,0,4))*INDEX('How This Works &amp; Sources'!$B$203:$J$206,0,4+2))),IF($AN67="RI",SUMPRODUCT(($AZ67&gt;INDEX('How This Works &amp; Sources'!$B$211:$J$214,0,7))*($AZ67-INDEX('How This Works &amp; Sources'!$B$211:$J$214,0,7))*INDEX('How This Works &amp; Sources'!$B$211:$J$214,0,7+2)),IF($AN67="VT",IF($AU67="Married",SUMPRODUCT(($AZ67&gt;INDEX('How This Works &amp; Sources'!$B$228:$J$232,0,1))*($AZ67-INDEX('How This Works &amp; Sources'!$B$228:$J$232,0,1))*INDEX('How This Works &amp; Sources'!$B$228:$J$232,0,1+2)),SUMPRODUCT(($AZ67&gt;INDEX('How This Works &amp; Sources'!$B$219:$J$223,0,7))*($AZ67-INDEX('How This Works &amp; Sources'!$B$219:$J$223,0,7))*INDEX('How This Works &amp; Sources'!$B$219:$J$223,0,7+2))),IF($AN67="WV",IF($AU67="Married",SUMPRODUCT(($AZ67&gt;INDEX('How This Works &amp; Sources'!$B$237:$J$241,0,7))*($AZ67-INDEX('How This Works &amp; Sources'!$B$237:$J$241,0,7))*INDEX('How This Works &amp; Sources'!$B$237:$J$241,0,7+2)),SUMPRODUCT(($AZ67&gt;INDEX('How This Works &amp; Sources'!$B$228:$J$232,0,7))*($AZ67-INDEX('How This Works &amp; Sources'!$B$228:$J$232,0,7))*INDEX('How This Works &amp; Sources'!$B$228:$J$232,0,7+2))),""))))))))))</f>
      </c>
      <c r="BY67" s="7">
        <f>IF($B67="","",IF($AN67="AR",SUMPRODUCT(($AZ67&gt;INDEX('How This Works &amp; Sources'!$B$82:$J$86,0,7))*($AZ67-INDEX('How This Works &amp; Sources'!$B$82:$J$86,0,7))*INDEX('How This Works &amp; Sources'!$B$82:$J$86,0,7+2)),IF($AN67="DE",SUMPRODUCT(($AZ67&gt;INDEX('How This Works &amp; Sources'!$B$91:$J$98,0,1))*($AZ67-INDEX('How This Works &amp; Sources'!$B$91:$J$98,0,1))*INDEX('How This Works &amp; Sources'!$B$91:$J$98,0,1+2)),IF($AN67="HI",IF($AU67="Married",SUMPRODUCT(($AZ67&gt;INDEX('How This Works &amp; Sources'!$B$91:$J$98,0,7))*($AZ67-INDEX('How This Works &amp; Sources'!$B$91:$J$98,0,7))*INDEX('How This Works &amp; Sources'!$B$91:$J$98,0,7+2)),SUMPRODUCT(($AZ67&gt;INDEX('How This Works &amp; Sources'!$B$91:$J$98,0,4))*($AZ67-INDEX('How This Works &amp; Sources'!$B$91:$J$98,0,4))*INDEX('How This Works &amp; Sources'!$B$91:$J$98,0,4+2))),IF($AN67="SC",SUMPRODUCT(($AZ67&gt;INDEX('How This Works &amp; Sources'!$B$219:$J$223,0,1))*($AZ67-INDEX('How This Works &amp; Sources'!$B$219:$J$223,0,1))*INDEX('How This Works &amp; Sources'!$B$219:$J$223,0,1+2)),IF($AN67="VA",SUMPRODUCT(($AZ67&gt;INDEX('How This Works &amp; Sources'!$B$219:$J$223,0,4))*($AZ67-INDEX('How This Works &amp; Sources'!$B$219:$J$223,0,4))*INDEX('How This Works &amp; Sources'!$B$219:$J$223,0,4+2)),IF($AN67="WI",SUMPRODUCT(($AZ67&gt;INDEX('How This Works &amp; Sources'!$B$228:$J$232,0,4))*($AZ67-INDEX('How This Works &amp; Sources'!$B$228:$J$232,0,4))*INDEX('How This Works &amp; Sources'!$B$228:$J$232,0,4+2)),"")))))))</f>
      </c>
      <c r="BZ67" s="24">
        <f>IF($B67="","",IF($AN67="NJ",IF('Your Pay &amp; Benefits'!$C$77="B",SUMPRODUCT(($AZ67&gt;=INDEX('How This Works &amp; Sources'!$B$155:$J$162,0,4))*INDEX('How This Works &amp; Sources'!$B$155:$J$162,0,4+2)),IF('Your Pay &amp; Benefits'!$C$77="C",SUMPRODUCT(($AZ67&gt;=INDEX('How This Works &amp; Sources'!$B$155:$J$162,0,7))*INDEX('How This Works &amp; Sources'!$B$155:$J$162,0,7+2)),IF('Your Pay &amp; Benefits'!$C$77="D",SUMPRODUCT(($AZ67&gt;=INDEX('How This Works &amp; Sources'!$B$167:$J$179,0,1))*INDEX('How This Works &amp; Sources'!$B$167:$J$179,0,1+2)),IF('Your Pay &amp; Benefits'!$C$77="E",SUMPRODUCT(($AZ67&gt;=INDEX('How This Works &amp; Sources'!$B$167:$J$179,0,4))*INDEX('How This Works &amp; Sources'!$B$167:$J$179,0,4+2)),SUMPRODUCT(($AZ67&gt;=INDEX('How This Works &amp; Sources'!$B$155:$J$162,0,1))*INDEX('How This Works &amp; Sources'!$B$155:$J$162,0,1+2)))))),IF($AN67="OR",IF(OR($AU67="Married",AND($AU67="Single",$AS67&gt;=3)),SUMPRODUCT((MAX(0,$AY67-MIN(($P67-'How This Works &amp; Sources'!$C$10*$D67)*'Your Pay &amp; Benefits'!$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Sources'!$B$211:$J$214,0,4))*INDEX('How This Works &amp; Sources'!$B$211:$J$214,0,4+2)),SUMPRODUCT((MAX(0,$AY67-MIN(($P67-'How This Works &amp; Sources'!$C$10*$D67)*'Your Pay &amp; Benefits'!$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Sources'!$B$211:$J$214,0,1))*INDEX('How This Works &amp; Sources'!$B$211:$J$214,0,1+2)))*IF(($P67-'How This Works &amp; Sources'!$C$10*$D67)*'Your Pay &amp; Benefits'!$C$8&gt;=IF(OR($AU67="Married",AND($AU67="Single",$AS67&gt;=3)),IF($AY67&lt;250000,8750,IF($AY67&lt;260000,7000,IF($AY67&lt;270000,5250,IF($AY67&lt;280000,3500,IF($AY67&lt;290000,1750,0))))),IF($AY67&lt;125000,8750,IF($AY67&lt;130000,7000,IF($AY67&lt;135000,5250,IF($AY67&lt;140000,3500,IF($AY67&lt;145000,1750,0)))))),1,1-IF('Your Pay &amp; Benefits'!$C$13,SUMPRODUCT(($AH67&gt;=INDEX('How This Works &amp; Sources'!$B$29:$J$36,0,IF('Your Pay &amp; Benefits'!$C$12="MFJ",1,IF('Your Pay &amp; Benefits'!$C$12="HoH",7,4))))*INDEX('How This Works &amp; Sources'!$B$29:$J$36,0,IF('Your Pay &amp; Benefits'!$C$12="MFJ",1,IF('Your Pay &amp; Benefits'!$C$12="HoH",7,4))+2)),SUMPRODUCT(($AH67&gt;=INDEX('How This Works &amp; Sources'!$B$19:$J$26,0,IF('Your Pay &amp; Benefits'!$C$12="MFJ",1,IF('Your Pay &amp; Benefits'!$C$12="HoH",7,4))))*INDEX('How This Works &amp; Sources'!$B$19:$J$26,0,IF('Your Pay &amp; Benefits'!$C$12="MFJ",1,IF('Your Pay &amp; Benefits'!$C$12="HoH",7,4))+2)))),IF($AN67="MI",IF($AY67&gt;5900*$AS67,0.0425,0),""))))</f>
      </c>
      <c r="CA67" s="24">
        <f>IF($B67="","",IF($AN67="AL",IF(OR($AU67="Married",$AU67="Head of household"),SUMPRODUCT(($AZ67&gt;=INDEX('How This Works &amp; Sources'!$B$82:$J$86,0,4))*INDEX('How This Works &amp; Sources'!$B$82:$J$86,0,4+2)),SUMPRODUCT(($AZ67&gt;=INDEX('How This Works &amp; Sources'!$B$82:$J$86,0,1))*INDEX('How This Works &amp; Sources'!$B$82:$J$86,0,1+2)))*(1-IF('Your Pay &amp; Benefits'!$C$13,SUMPRODUCT(($AH67&gt;=INDEX('How This Works &amp; Sources'!$B$29:$J$36,0,IF('Your Pay &amp; Benefits'!$C$12="MFJ",1,IF('Your Pay &amp; Benefits'!$C$12="HoH",7,4))))*INDEX('How This Works &amp; Sources'!$B$29:$J$36,0,IF('Your Pay &amp; Benefits'!$C$12="MFJ",1,IF('Your Pay &amp; Benefits'!$C$12="HoH",7,4))+2)),SUMPRODUCT(($AH67&gt;=INDEX('How This Works &amp; Sources'!$B$19:$J$26,0,IF('Your Pay &amp; Benefits'!$C$12="MFJ",1,IF('Your Pay &amp; Benefits'!$C$12="HoH",7,4))))*INDEX('How This Works &amp; Sources'!$B$19:$J$26,0,IF('Your Pay &amp; Benefits'!$C$12="MFJ",1,IF('Your Pay &amp; Benefits'!$C$12="HoH",7,4))+2)))),IF($AN67="KS",IF($AU67="Married",SUMPRODUCT(($AZ67&gt;=INDEX('How This Works &amp; Sources'!$B$103:$J$109,0,4))*INDEX('How This Works &amp; Sources'!$B$103:$J$109,0,4+2)),SUMPRODUCT(($AZ67&gt;=INDEX('How This Works &amp; Sources'!$B$103:$J$109,0,1))*INDEX('How This Works &amp; Sources'!$B$103:$J$109,0,1+2))),IF($AN67="MD",IF(OR($AU67="Married",$AU67="Head of household"),SUMPRODUCT(($AZ67&gt;=INDEX('How This Works &amp; Sources'!$B$114:$J$120,0,1))*INDEX('How This Works &amp; Sources'!$B$114:$J$120,0,1+2)),SUMPRODUCT(($AZ67&gt;=INDEX('How This Works &amp; Sources'!$B$103:$J$109,0,7))*INDEX('How This Works &amp; Sources'!$B$103:$J$109,0,7+2)))+'Your Pay &amp; Benefits'!$C$74,IF($AN67="MT",IF($AU67="Head of household",SUMPRODUCT(($AZ67&gt;=INDEX('How This Works &amp; Sources'!$B$137:$J$139,0,1))*INDEX('How This Works &amp; Sources'!$B$137:$J$139,0,1+2)),IF($AU67="Married",SUMPRODUCT(($AZ67&gt;=INDEX('How This Works &amp; Sources'!$B$125:$J$132,0,7))*INDEX('How This Works &amp; Sources'!$B$125:$J$132,0,7+2)),SUMPRODUCT(($AZ67&gt;=INDEX('How This Works &amp; Sources'!$B$125:$J$132,0,4))*INDEX('How This Works &amp; Sources'!$B$125:$J$132,0,4+2)))),IF($AN67="ND",IF($AU67="Head of household",SUMPRODUCT(($AZ67&gt;=INDEX('How This Works &amp; Sources'!$B$144:$J$150,0,1))*INDEX('How This Works &amp; Sources'!$B$144:$J$150,0,1+2)),IF($AU67="Married",SUMPRODUCT(($AZ67&gt;=INDEX('How This Works &amp; Sources'!$B$137:$J$139,0,7))*INDEX('How This Works &amp; Sources'!$B$137:$J$139,0,7+2)),SUMPRODUCT(($AZ67&gt;=INDEX('How This Works &amp; Sources'!$B$137:$J$139,0,4))*INDEX('How This Works &amp; Sources'!$B$137:$J$139,0,4+2)))),IF($AN67="NY",IF($AU67="Married",IF($AZ67&gt;=2155350,IF($AZ67&gt;25000000,0.117,IF($AZ67&gt;5000000,0.111,0.1045)),SUMPRODUCT(($AZ67&gt;=INDEX('How This Works &amp; Sources'!$B$184:$J$198,0,1))*INDEX('How This Works &amp; Sources'!$B$184:$J$198,0,1+2))),IF($AZ67&gt;=1077550,IF($AZ67&gt;25000000,0.117,IF($AZ67&gt;5000000,0.111,0.1045)),SUMPRODUCT(($AZ67&gt;=INDEX('How This Works &amp; Sources'!$B$167:$J$179,0,7))*INDEX('How This Works &amp; Sources'!$B$167:$J$179,0,7+2)))),"")))))))</f>
      </c>
      <c r="CB67" s="24">
        <f>IF($B67="","",IF($AN67="CA",SUMPRODUCT(($AJ67&gt;=INDEX('How This Works &amp; Sources'!$B$39:$J$48,0,IF($AU67="Married",4,IF($AU67="Head of household",7,1))))*INDEX('How This Works &amp; Sources'!$B$39:$J$48,0,IF($AU67="Married",4,IF($AU67="Head of household",7,1))+2)),IF($AN67="HI",IF($AU67="Married",SUMPRODUCT(($AZ67&gt;=INDEX('How This Works &amp; Sources'!$B$91:$J$98,0,7))*INDEX('How This Works &amp; Sources'!$B$91:$J$98,0,7+2)),SUMPRODUCT(($AZ67&gt;=INDEX('How This Works &amp; Sources'!$B$91:$J$98,0,4))*INDEX('How This Works &amp; Sources'!$B$91:$J$98,0,4+2))),IF($AN67="MN",IF($AU67="Married",SUMPRODUCT(($AZ67&gt;=INDEX('How This Works &amp; Sources'!$B$114:$J$120,0,7))*INDEX('How This Works &amp; Sources'!$B$114:$J$120,0,7+2)),SUMPRODUCT(($AZ67&gt;=INDEX('How This Works &amp; Sources'!$B$114:$J$120,0,4))*INDEX('How This Works &amp; Sources'!$B$114:$J$120,0,4+2))),IF($AN67="MO",SUMPRODUCT(($AZ67&gt;=INDEX('How This Works &amp; Sources'!$B$125:$J$132,0,1))*INDEX('How This Works &amp; Sources'!$B$125:$J$132,0,1+2)),IF($AN67="NE",MAX(IF($AU67="Married",SUMPRODUCT(($AZ67&gt;=INDEX('How This Works &amp; Sources'!$B$144:$J$150,0,7))*INDEX('How This Works &amp; Sources'!$B$144:$J$150,0,7+2)),SUMPRODUCT(($AZ67&gt;=INDEX('How This Works &amp; Sources'!$B$144:$J$150,0,4))*INDEX('How This Works &amp; Sources'!$B$144:$J$150,0,4+2))),0.015),IF($AN67="OH",IF($B67&gt;=DATE(2026,8,1),SUMPRODUCT(($AZ67&gt;=INDEX('How This Works &amp; Sources'!$B$203:$J$206,0,1))*INDEX('How This Works &amp; Sources'!$B$203:$J$206,0,1+2)),SUMPRODUCT(($AZ67&gt;=INDEX('How This Works &amp; Sources'!$B$184:$J$198,0,7))*INDEX('How This Works &amp; Sources'!$B$184:$J$198,0,7+2))),IF($AN67="OK",IF($AU67="Married",SUMPRODUCT(($AZ67&gt;=INDEX('How This Works &amp; Sources'!$B$203:$J$206,0,7))*INDEX('How This Works &amp; Sources'!$B$203:$J$206,0,7+2)),SUMPRODUCT(($AZ67&gt;=INDEX('How This Works &amp; Sources'!$B$203:$J$206,0,4))*INDEX('How This Works &amp; Sources'!$B$203:$J$206,0,4+2))),IF($AN67="RI",SUMPRODUCT(($AZ67&gt;=INDEX('How This Works &amp; Sources'!$B$211:$J$214,0,7))*INDEX('How This Works &amp; Sources'!$B$211:$J$214,0,7+2)),IF($AN67="SC",SUMPRODUCT(($AZ67&gt;=INDEX('How This Works &amp; Sources'!$B$219:$J$223,0,1))*INDEX('How This Works &amp; Sources'!$B$219:$J$223,0,1+2)),IF($AN67="VT",IF($AU67="Married",SUMPRODUCT(($AZ67&gt;=INDEX('How This Works &amp; Sources'!$B$228:$J$232,0,1))*INDEX('How This Works &amp; Sources'!$B$228:$J$232,0,1+2)),SUMPRODUCT(($AZ67&gt;=INDEX('How This Works &amp; Sources'!$B$219:$J$223,0,7))*INDEX('How This Works &amp; Sources'!$B$219:$J$223,0,7+2))),IF($AN67="WV",IF($AU67="Married",SUMPRODUCT(($AZ67&gt;=INDEX('How This Works &amp; Sources'!$B$237:$J$241,0,7))*INDEX('How This Works &amp; Sources'!$B$237:$J$241,0,7+2)),SUMPRODUCT(($AZ67&gt;=INDEX('How This Works &amp; Sources'!$B$228:$J$232,0,7))*INDEX('How This Works &amp; Sources'!$B$228:$J$232,0,7+2))),IF($AN67="IN",(0.0295+'Your Pay &amp; Benefits'!$C$76),"")))))))))))))</f>
      </c>
      <c r="CC67" s="24">
        <f>IF($B67="","",IF($AN67="AR",SUMPRODUCT(($AZ67&gt;=INDEX('How This Works &amp; Sources'!$B$82:$J$86,0,7))*INDEX('How This Works &amp; Sources'!$B$82:$J$86,0,7+2)),IF($AN67="DE",SUMPRODUCT(($AZ67&gt;=INDEX('How This Works &amp; Sources'!$B$91:$J$98,0,1))*INDEX('How This Works &amp; Sources'!$B$91:$J$98,0,1+2)),IF($AN67="VA",SUMPRODUCT(($AZ67&gt;=INDEX('How This Works &amp; Sources'!$B$219:$J$223,0,4))*INDEX('How This Works &amp; Sources'!$B$219:$J$223,0,4+2)),IF($AN67="WI",SUMPRODUCT(($AZ67&gt;=INDEX('How This Works &amp; Sources'!$B$228:$J$232,0,4))*INDEX('How This Works &amp; Sources'!$B$228:$J$232,0,4+2)),IF($AN67="AZ",'Your Pay &amp; Benefits'!$C$82,IF($AN67="CO",IF($AY67&gt;IF($AU67="Married",10000,5000),0.044,0),IF($AN67="IA",IF($AY67&gt;IF($AU67="Head of household",19500,IF($AU67="Married",26000,13000)),0.038,0),IF($AN67="ID",IF($AY67&gt;IF($AU67="Married",32000,16094),0.053,0),IF($AN67="IL",IF($AY67&gt;(2925*$AS67+1000*$AT67),0.0495,0),IF($AN67="KY",IF($AI67&gt;3360,0.035,0),IF($AN67="LA",0.0309,IF($AN67="MA",IF(MAX(0,$AY67-MIN(($BD66+$Q67+$R67+$S67),2000)-IF($AS67=0,0,IF($AS67=1,4400,1000*$AS67+3400)))&gt;=1107750,0.09,0.05),IF($AN67="MS",IF($AI67-IF($AU67="Head of household",3400,IF($AU67="Married",4600,2300))-'Your Pay &amp; Benefits'!$C$85&gt;10000,0.04,0),IF($AN67="PA",0.0307,"")))))))))))))))</f>
      </c>
      <c r="CD67" s="21">
        <f>IF(YEAR(IF('Your Pay &amp; Benefits'!$C$7="Weekly",'Your Pay &amp; Benefits'!$C$9+7*(($BE66+1)-1),IF('Your Pay &amp; Benefits'!$C$7="Biweekly",'Your Pay &amp; Benefits'!$C$9+14*(($BE66+1)-1),IF('Your Pay &amp; Benefits'!$C$7="Semimonthly",DATE(YEAR('Your Pay &amp; Benefits'!$C$9),MONTH('Your Pay &amp; Benefits'!$C$9)+INT((($BE66+1)-1)/2),MIN(DAY('Your Pay &amp; Benefits'!$C$9),DAY(EOMONTH(DATE(YEAR('Your Pay &amp; Benefits'!$C$9),MONTH('Your Pay &amp; Benefits'!$C$9)+INT((($BE66+1)-1)/2),1),0))))+IF(MOD(($BE66+1)-1,2)=1,15,0),EDATE('Your Pay &amp; Benefits'!$C$9,($BE66+1)-1)))))&lt;&gt;'Your Pay &amp; Benefits'!$C$10,"",IF('Your Pay &amp; Benefits'!$C$7="Weekly",'Your Pay &amp; Benefits'!$C$9+7*(($BE66+1)-1),IF('Your Pay &amp; Benefits'!$C$7="Biweekly",'Your Pay &amp; Benefits'!$C$9+14*(($BE66+1)-1),IF('Your Pay &amp; Benefits'!$C$7="Semimonthly",DATE(YEAR('Your Pay &amp; Benefits'!$C$9),MONTH('Your Pay &amp; Benefits'!$C$9)+INT((($BE66+1)-1)/2),MIN(DAY('Your Pay &amp; Benefits'!$C$9),DAY(EOMONTH(DATE(YEAR('Your Pay &amp; Benefits'!$C$9),MONTH('Your Pay &amp; Benefits'!$C$9)+INT((($BE66+1)-1)/2),1),0))))+IF(MOD(($BE66+1)-1,2)=1,15,0),EDATE('Your Pay &amp; Benefits'!$C$9,($BE66+1)-1)))))</f>
      </c>
      <c r="CE67" s="21">
        <f>IF(MIN(IF(AND('Your Pay &amp; Benefits'!$C$58&gt;MAX($B$6:$B66),'Your Pay &amp; Benefits'!$C$58&gt;=DATE('Your Pay &amp; Benefits'!$C$10,1,1),'Your Pay &amp; Benefits'!$C$58&lt;=DATE('Your Pay &amp; Benefits'!$C$10,12,31)),'Your Pay &amp; Benefits'!$C$58,999999),IF(AND('Your Pay &amp; Benefits'!$C$59&gt;MAX($B$6:$B66),'Your Pay &amp; Benefits'!$C$59&gt;=DATE('Your Pay &amp; Benefits'!$C$10,1,1),'Your Pay &amp; Benefits'!$C$59&lt;=DATE('Your Pay &amp; Benefits'!$C$10,12,31)),'Your Pay &amp; Benefits'!$C$59,999999),IF(AND('Your Pay &amp; Benefits'!$C$60&gt;MAX($B$6:$B66),'Your Pay &amp; Benefits'!$C$60&gt;=DATE('Your Pay &amp; Benefits'!$C$10,1,1),'Your Pay &amp; Benefits'!$C$60&lt;=DATE('Your Pay &amp; Benefits'!$C$10,12,31)),'Your Pay &amp; Benefits'!$C$60,999999),IF(AND('Your Pay &amp; Benefits'!$C$61&gt;MAX($B$6:$B66),'Your Pay &amp; Benefits'!$C$61&gt;=DATE('Your Pay &amp; Benefits'!$C$10,1,1),'Your Pay &amp; Benefits'!$C$61&lt;=DATE('Your Pay &amp; Benefits'!$C$10,12,31)),'Your Pay &amp; Benefits'!$C$61,999999),IF(AND('Your Pay &amp; Benefits'!$C$62&gt;MAX($B$6:$B66),'Your Pay &amp; Benefits'!$C$62&gt;=DATE('Your Pay &amp; Benefits'!$C$10,1,1),'Your Pay &amp; Benefits'!$C$62&lt;=DATE('Your Pay &amp; Benefits'!$C$10,12,31)),'Your Pay &amp; Benefits'!$C$62,999999),IF(AND('Your Pay &amp; Benefits'!$C$63&gt;MAX($B$6:$B66),'Your Pay &amp; Benefits'!$C$63&gt;=DATE('Your Pay &amp; Benefits'!$C$10,1,1),'Your Pay &amp; Benefits'!$C$63&lt;=DATE('Your Pay &amp; Benefits'!$C$10,12,31)),'Your Pay &amp; Benefits'!$C$63,999999),IF(AND('Your Pay &amp; Benefits'!$C$64&gt;MAX($B$6:$B66),'Your Pay &amp; Benefits'!$C$64&gt;=DATE('Your Pay &amp; Benefits'!$C$10,1,1),'Your Pay &amp; Benefits'!$C$64&lt;=DATE('Your Pay &amp; Benefits'!$C$10,12,31)),'Your Pay &amp; Benefits'!$C$64,999999),IF(AND('Your Pay &amp; Benefits'!$C$65&gt;MAX($B$6:$B66),'Your Pay &amp; Benefits'!$C$65&gt;=DATE('Your Pay &amp; Benefits'!$C$10,1,1),'Your Pay &amp; Benefits'!$C$65&lt;=DATE('Your Pay &amp; Benefits'!$C$10,12,31)),'Your Pay &amp; Benefits'!$C$65,999999),IF(AND('Your Pay &amp; Benefits'!$C$66&gt;MAX($B$6:$B66),'Your Pay &amp; Benefits'!$C$66&gt;=DATE('Your Pay &amp; Benefits'!$C$10,1,1),'Your Pay &amp; Benefits'!$C$66&lt;=DATE('Your Pay &amp; Benefits'!$C$10,12,31)),'Your Pay &amp; Benefits'!$C$66,999999),IF(AND('Your Pay &amp; Benefits'!$C$67&gt;MAX($B$6:$B66),'Your Pay &amp; Benefits'!$C$67&gt;=DATE('Your Pay &amp; Benefits'!$C$10,1,1),'Your Pay &amp; Benefits'!$C$67&lt;=DATE('Your Pay &amp; Benefits'!$C$10,12,31)),'Your Pay &amp; Benefits'!$C$67,999999))=999999,"",MIN(IF(AND('Your Pay &amp; Benefits'!$C$58&gt;MAX($B$6:$B66),'Your Pay &amp; Benefits'!$C$58&gt;=DATE('Your Pay &amp; Benefits'!$C$10,1,1),'Your Pay &amp; Benefits'!$C$58&lt;=DATE('Your Pay &amp; Benefits'!$C$10,12,31)),'Your Pay &amp; Benefits'!$C$58,999999),IF(AND('Your Pay &amp; Benefits'!$C$59&gt;MAX($B$6:$B66),'Your Pay &amp; Benefits'!$C$59&gt;=DATE('Your Pay &amp; Benefits'!$C$10,1,1),'Your Pay &amp; Benefits'!$C$59&lt;=DATE('Your Pay &amp; Benefits'!$C$10,12,31)),'Your Pay &amp; Benefits'!$C$59,999999),IF(AND('Your Pay &amp; Benefits'!$C$60&gt;MAX($B$6:$B66),'Your Pay &amp; Benefits'!$C$60&gt;=DATE('Your Pay &amp; Benefits'!$C$10,1,1),'Your Pay &amp; Benefits'!$C$60&lt;=DATE('Your Pay &amp; Benefits'!$C$10,12,31)),'Your Pay &amp; Benefits'!$C$60,999999),IF(AND('Your Pay &amp; Benefits'!$C$61&gt;MAX($B$6:$B66),'Your Pay &amp; Benefits'!$C$61&gt;=DATE('Your Pay &amp; Benefits'!$C$10,1,1),'Your Pay &amp; Benefits'!$C$61&lt;=DATE('Your Pay &amp; Benefits'!$C$10,12,31)),'Your Pay &amp; Benefits'!$C$61,999999),IF(AND('Your Pay &amp; Benefits'!$C$62&gt;MAX($B$6:$B66),'Your Pay &amp; Benefits'!$C$62&gt;=DATE('Your Pay &amp; Benefits'!$C$10,1,1),'Your Pay &amp; Benefits'!$C$62&lt;=DATE('Your Pay &amp; Benefits'!$C$10,12,31)),'Your Pay &amp; Benefits'!$C$62,999999),IF(AND('Your Pay &amp; Benefits'!$C$63&gt;MAX($B$6:$B66),'Your Pay &amp; Benefits'!$C$63&gt;=DATE('Your Pay &amp; Benefits'!$C$10,1,1),'Your Pay &amp; Benefits'!$C$63&lt;=DATE('Your Pay &amp; Benefits'!$C$10,12,31)),'Your Pay &amp; Benefits'!$C$63,999999),IF(AND('Your Pay &amp; Benefits'!$C$64&gt;MAX($B$6:$B66),'Your Pay &amp; Benefits'!$C$64&gt;=DATE('Your Pay &amp; Benefits'!$C$10,1,1),'Your Pay &amp; Benefits'!$C$64&lt;=DATE('Your Pay &amp; Benefits'!$C$10,12,31)),'Your Pay &amp; Benefits'!$C$64,999999),IF(AND('Your Pay &amp; Benefits'!$C$65&gt;MAX($B$6:$B66),'Your Pay &amp; Benefits'!$C$65&gt;=DATE('Your Pay &amp; Benefits'!$C$10,1,1),'Your Pay &amp; Benefits'!$C$65&lt;=DATE('Your Pay &amp; Benefits'!$C$10,12,31)),'Your Pay &amp; Benefits'!$C$65,999999),IF(AND('Your Pay &amp; Benefits'!$C$66&gt;MAX($B$6:$B66),'Your Pay &amp; Benefits'!$C$66&gt;=DATE('Your Pay &amp; Benefits'!$C$10,1,1),'Your Pay &amp; Benefits'!$C$66&lt;=DATE('Your Pay &amp; Benefits'!$C$10,12,31)),'Your Pay &amp; Benefits'!$C$66,999999),IF(AND('Your Pay &amp; Benefits'!$C$67&gt;MAX($B$6:$B66),'Your Pay &amp; Benefits'!$C$67&gt;=DATE('Your Pay &amp; Benefits'!$C$10,1,1),'Your Pay &amp; Benefits'!$C$67&lt;=DATE('Your Pay &amp; Benefits'!$C$10,12,31)),'Your Pay &amp; Benefits'!$C$67,999999)))</f>
      </c>
      <c r="CF67">
        <f>IF($B67="","",IF($D67=0,$Y67,""))</f>
      </c>
    </row>
    <row r="68">
      <c r="A68" t="n">
        <v>63</v>
      </c>
      <c r="B68" s="21">
        <f>IF(AND($CD68="",$CE68=""),"",IF($CE68="",$CD68,IF($CD68="",$CE68,MIN($CD68,$CE68))))</f>
      </c>
      <c r="C68" s="7">
        <f>IF($B68="","",IF($BF68=0,0,IF('Your Pay &amp; Benefits'!$C$4="Annual salary",ROUND($AK68/IF(AND('Your Pay &amp; Benefits'!$C$88="Actual paydays",MONTH('Your Pay &amp; Benefits'!$C$9)=1),MAX(1,MAX($BE$6:$BE$68)),'Your Pay &amp; Benefits'!$C$8),2),$AK68)))</f>
      </c>
      <c r="D68" s="7">
        <f>IF($B68="","",SUMIF('Your Pay &amp; Benefits'!$C$58:$C$67,$B68,'Your Pay &amp; Benefits'!$D$58:$D$67))</f>
      </c>
      <c r="E68" s="7">
        <f>IF($B68="","",ROUND(MAX(0,MIN(IF($AL68="Percent",$AM68*($C68+$D68),$AM68),MAX(0,'Your Pay &amp; Benefits'!$C$34-$AC67))),2))</f>
      </c>
      <c r="F68" s="7">
        <f>IF($B68="","",ROUND(MAX(0,MIN(IF('Your Pay &amp; Benefits'!$C$32="Percent",'Your Pay &amp; Benefits'!$D$32*($C68+$D68),'Your Pay &amp; Benefits'!$D$32),MAX(0,'Your Pay &amp; Benefits'!$C$34-$AC67-$E68))),2))</f>
      </c>
      <c r="G68" s="7">
        <f>IF($B68="","",IF($BF68=0,0,ROUND(MAX(0,MIN($BL68,'Your Pay &amp; Benefits'!$C$37-'Your Pay &amp; Benefits'!$C$54-$BI67)),2)))</f>
      </c>
      <c r="H68" s="7">
        <f>IF($B68="","",IF(OR($BF68=0,$BQ68=1),0,ROUND(MAX(0,MIN(IF($BS68=1,ROUND(MAX(0,MIN($BJ68,'How This Works &amp; Sources'!$C$13)-$BG67)/MAX(1,MAX($BE$6:$BE$68)-($BE67)),2),ROUND(MIN($BJ68,'How This Works &amp; Sources'!$C$13)/'Your Pay &amp; Benefits'!$C$8,2)),MIN($BJ68,'How This Works &amp; Sources'!$C$13)-$BG67)),2)))</f>
      </c>
      <c r="I68" s="7">
        <f>IF($B68="","",IF(OR($BF68=0,$BR68=1),0,ROUND(MAX(0,MIN(IF($BT68=1,ROUND(MAX(0,MIN($BK68,IF('Your Pay &amp; Benefits'!$C$12="MFJ",'How This Works &amp; Sources'!$C$14,'How This Works &amp; Sources'!$C$15))-$BH67)/MAX(1,MAX($BE$6:$BE$68)-($BE67)),2),ROUND(MIN($BK68,IF('Your Pay &amp; Benefits'!$C$12="MFJ",'How This Works &amp; Sources'!$C$14,'How This Works &amp; Sources'!$C$15))/'Your Pay &amp; Benefits'!$C$8,2)),MIN($BK68,IF('Your Pay &amp; Benefits'!$C$12="MFJ",'How This Works &amp; Sources'!$C$14,'How This Works &amp; Sources'!$C$15))-$BH67)),2)))</f>
      </c>
      <c r="J68" s="7">
        <f>IF($B68="","",IF($BF68=0,0,$BM68))</f>
      </c>
      <c r="K68" s="7">
        <f>IF($B68="","",IF($BF68=0,0,$BN68+$BO68))</f>
      </c>
      <c r="L68" s="7">
        <f>IF($B68="","",IF($BF68=0,0,'Your Pay &amp; Benefits'!$D$46))</f>
      </c>
      <c r="M68" s="7">
        <f>IF($B68="","",$C68+$D68+$L68-$E68-$G68-$H68-$I68-$J68-$K68)</f>
      </c>
      <c r="N68" s="7">
        <f>IF($B68="","",$C68+$D68+$L68-$G68-$H68-$I68-$J68-$K68)</f>
      </c>
      <c r="O68" s="7">
        <f>IF($B68="","",$C68+$D68+$L68-$E68-$H68-$I68-$J68-$K68-IF(OR($AN68="CA",$AN68="NJ"),0,$G68))</f>
      </c>
      <c r="P68" s="7">
        <f>IF($B68="","",IF('Your Pay &amp; Benefits'!$C$18,0,ROUND(MAX(0,IF('Your Pay &amp; Benefits'!$C$13,SUMPRODUCT(($AH68&gt;INDEX('How This Works &amp; Sources'!$B$29:$J$36,0,IF('Your Pay &amp; Benefits'!$C$12="MFJ",1,IF('Your Pay &amp; Benefits'!$C$12="HoH",7,4))))*($AH68-INDEX('How This Works &amp; Sources'!$B$29:$J$36,0,IF('Your Pay &amp; Benefits'!$C$12="MFJ",1,IF('Your Pay &amp; Benefits'!$C$12="HoH",7,4))))*INDEX('How This Works &amp; Sources'!$B$29:$J$36,0,IF('Your Pay &amp; Benefits'!$C$12="MFJ",1,IF('Your Pay &amp; Benefits'!$C$12="HoH",7,4))+2)),SUMPRODUCT(($AH68&gt;INDEX('How This Works &amp; Sources'!$B$19:$J$26,0,IF('Your Pay &amp; Benefits'!$C$12="MFJ",1,IF('Your Pay &amp; Benefits'!$C$12="HoH",7,4))))*($AH68-INDEX('How This Works &amp; Sources'!$B$19:$J$26,0,IF('Your Pay &amp; Benefits'!$C$12="MFJ",1,IF('Your Pay &amp; Benefits'!$C$12="HoH",7,4))))*INDEX('How This Works &amp; Sources'!$B$19:$J$26,0,IF('Your Pay &amp; Benefits'!$C$12="MFJ",1,IF('Your Pay &amp; Benefits'!$C$12="HoH",7,4))+2)))/'Your Pay &amp; Benefits'!$C$8-$AO68/'Your Pay &amp; Benefits'!$C$8)+$AR68+IF('Your Pay &amp; Benefits'!$C$89="Aggregate",MAX(0,IF('Your Pay &amp; Benefits'!$C$13,SUMPRODUCT((($AH68+$D68)&gt;INDEX('How This Works &amp; Sources'!$B$29:$J$36,0,IF('Your Pay &amp; Benefits'!$C$12="MFJ",1,IF('Your Pay &amp; Benefits'!$C$12="HoH",7,4))))*(($AH68+$D68)-INDEX('How This Works &amp; Sources'!$B$29:$J$36,0,IF('Your Pay &amp; Benefits'!$C$12="MFJ",1,IF('Your Pay &amp; Benefits'!$C$12="HoH",7,4))))*INDEX('How This Works &amp; Sources'!$B$29:$J$36,0,IF('Your Pay &amp; Benefits'!$C$12="MFJ",1,IF('Your Pay &amp; Benefits'!$C$12="HoH",7,4))+2)),SUMPRODUCT((($AH68+$D68)&gt;INDEX('How This Works &amp; Sources'!$B$19:$J$26,0,IF('Your Pay &amp; Benefits'!$C$12="MFJ",1,IF('Your Pay &amp; Benefits'!$C$12="HoH",7,4))))*(($AH68+$D68)-INDEX('How This Works &amp; Sources'!$B$19:$J$26,0,IF('Your Pay &amp; Benefits'!$C$12="MFJ",1,IF('Your Pay &amp; Benefits'!$C$12="HoH",7,4))))*INDEX('How This Works &amp; Sources'!$B$19:$J$26,0,IF('Your Pay &amp; Benefits'!$C$12="MFJ",1,IF('Your Pay &amp; Benefits'!$C$12="HoH",7,4))+2)))-IF('Your Pay &amp; Benefits'!$C$13,SUMPRODUCT(($AH68&gt;INDEX('How This Works &amp; Sources'!$B$29:$J$36,0,IF('Your Pay &amp; Benefits'!$C$12="MFJ",1,IF('Your Pay &amp; Benefits'!$C$12="HoH",7,4))))*($AH68-INDEX('How This Works &amp; Sources'!$B$29:$J$36,0,IF('Your Pay &amp; Benefits'!$C$12="MFJ",1,IF('Your Pay &amp; Benefits'!$C$12="HoH",7,4))))*INDEX('How This Works &amp; Sources'!$B$29:$J$36,0,IF('Your Pay &amp; Benefits'!$C$12="MFJ",1,IF('Your Pay &amp; Benefits'!$C$12="HoH",7,4))+2)),SUMPRODUCT(($AH68&gt;INDEX('How This Works &amp; Sources'!$B$19:$J$26,0,IF('Your Pay &amp; Benefits'!$C$12="MFJ",1,IF('Your Pay &amp; Benefits'!$C$12="HoH",7,4))))*($AH68-INDEX('How This Works &amp; Sources'!$B$19:$J$26,0,IF('Your Pay &amp; Benefits'!$C$12="MFJ",1,IF('Your Pay &amp; Benefits'!$C$12="HoH",7,4))))*INDEX('How This Works &amp; Sources'!$B$19:$J$26,0,IF('Your Pay &amp; Benefits'!$C$12="MFJ",1,IF('Your Pay &amp; Benefits'!$C$12="HoH",7,4))+2)))),'How This Works &amp; Sources'!$C$10*$D68),2)))</f>
      </c>
      <c r="Q68" s="7">
        <f>IF($B68="","",ROUND('How This Works &amp; Sources'!$C$4*MIN($N68,MAX(0,'How This Works &amp; Sources'!$C$3-($AX68+$AB67-$AW68))),2))</f>
      </c>
      <c r="R68" s="7">
        <f>IF($B68="","",ROUND('How This Works &amp; Sources'!$C$5*$N68,2))</f>
      </c>
      <c r="S68" s="7">
        <f>IF($B68="","",ROUND('How This Works &amp; Sources'!$C$6*MAX(0,MIN($N68,$AG67+$N68-'How This Works &amp; Sources'!$C$7)),2))</f>
      </c>
      <c r="T68" s="7">
        <f>IF($B68="","",IF('Your Pay &amp; Benefits'!$C$26,0,IF($AN68="CA",ROUND(IF($AI68&lt;=IF(($AS68+$AT68)&gt;=2,VLOOKUP($AN68,StateTables!$A$6:$AB$56,10,FALSE),VLOOKUP($AN68,StateTables!$A$6:$AB$56,9,FALSE)),0,MAX(0,SUMPRODUCT(($AJ68&gt;INDEX('How This Works &amp; Sources'!$B$39:$J$48,0,IF($AU68="Married",4,IF($AU68="Head of household",7,1))))*($AJ68-INDEX('How This Works &amp; Sources'!$B$39:$J$48,0,IF($AU68="Married",4,IF($AU68="Head of household",7,1))))*INDEX('How This Works &amp; Sources'!$B$39:$J$48,0,IF($AU68="Married",4,IF($AU68="Head of household",7,1))+2))-VLOOKUP($AN68,StateTables!$A$6:$AB$56,11,FALSE)*$AS68)/'Your Pay &amp; Benefits'!$C$8)+'Your Pay &amp; Benefits'!$C$25+VLOOKUP($AN68,StateTables!$A$6:$AB$56,13,FALSE)*$D68,2),IF(VLOOKUP($AN68,StateTables!$A$6:$AB$56,4,FALSE)="None",0,IF(ISNUMBER(SEARCH("MANUAL",VLOOKUP($AN68,StateTables!$A$6:$AB$56,5,FALSE))),'Your Pay &amp; Benefits'!$C$28,ROUND(MAX(0,$BA68+$BB68)/'Your Pay &amp; Benefits'!$C$8+'Your Pay &amp; Benefits'!$C$25+$BC68,2))))))</f>
      </c>
      <c r="U68" s="7">
        <f>IF($B68="","",IF(VLOOKUP($AN68,StateTables!$A$6:$AB$56,24,FALSE)="flatq",IF(OR(MONTH($B68)=1,MONTH($B68)=4,MONTH($B68)=7,MONTH($B68)=10),VLOOKUP($AN68,StateTables!$A$6:$AB$56,25,FALSE),0),IF(VLOOKUP($AN68,StateTables!$A$6:$AB$56,24,FALSE)="dbl",MIN(ROUND(0.005*$N68,2),ROUND(0.6*52/'Your Pay &amp; Benefits'!$C$8,2)),IF(OR(VLOOKUP($AN68,StateTables!$A$6:$AB$56,15,FALSE)="",VLOOKUP($AN68,StateTables!$A$6:$AB$56,15,FALSE)=0),0,ROUND(VLOOKUP($AN68,StateTables!$A$6:$AB$56,15,FALSE)*IF(OR(VLOOKUP($AN68,StateTables!$A$6:$AB$56,16,FALSE)="",VLOOKUP($AN68,StateTables!$A$6:$AB$56,16,FALSE)=0),$N68,MIN($N68,MAX(0,VLOOKUP($AN68,StateTables!$A$6:$AB$56,16,FALSE)-($AX68+$AB67-$AW68)))),2))))+IF(VLOOKUP($AN68,StateTables!$A$6:$AB$56,27,FALSE)="flatq",IF(OR(MONTH($B68)=1,MONTH($B68)=4,MONTH($B68)=7,MONTH($B68)=10),VLOOKUP($AN68,StateTables!$A$6:$AB$56,28,FALSE),0),IF(VLOOKUP($AN68,StateTables!$A$6:$AB$56,27,FALSE)="dbl",MIN(ROUND(0.005*$N68,2),ROUND(0.6*52/'Your Pay &amp; Benefits'!$C$8,2)),IF(OR(VLOOKUP($AN68,StateTables!$A$6:$AB$56,18,FALSE)="",VLOOKUP($AN68,StateTables!$A$6:$AB$56,18,FALSE)=0),0,ROUND(VLOOKUP($AN68,StateTables!$A$6:$AB$56,18,FALSE)*IF(OR(VLOOKUP($AN68,StateTables!$A$6:$AB$56,19,FALSE)="",VLOOKUP($AN68,StateTables!$A$6:$AB$56,19,FALSE)=0),$N68,MIN($N68,MAX(0,VLOOKUP($AN68,StateTables!$A$6:$AB$56,19,FALSE)-($AX68+$AB67-$AW68)))),2)))))</f>
      </c>
      <c r="V68" s="7">
        <f>IF($B68="","",IF($AN68="NY",IF('Your Pay &amp; Benefits'!$C$78,ROUND(SUMPRODUCT((MAX(0,($O68-$D68)*'Your Pay &amp; Benefits'!$C$8-(IF($AU68="Married",5500,5000)+1000*$AS68))&gt;INDEX('How This Works &amp; Sources'!$B$184:$J$198,0,4))*(MAX(0,($O68-$D68)*'Your Pay &amp; Benefits'!$C$8-(IF($AU68="Married",5500,5000)+1000*$AS68))-INDEX('How This Works &amp; Sources'!$B$184:$J$198,0,4))*INDEX('How This Works &amp; Sources'!$B$184:$J$198,0,4+2))/'Your Pay &amp; Benefits'!$C$8+0.0425*$D68,2),0)+IF('Your Pay &amp; Benefits'!$C$79="Resident",ROUND(0.1675*$T68,2),IF('Your Pay &amp; Benefits'!$C$79="Nonresident",ROUND(0.005*MAX(0,($O68-$D68)-(IF($AU68="Married",7950,7400)+1000*$AS68)/'Your Pay &amp; Benefits'!$C$8),2),0)),IF($AN68="PA",IF('Your Pay &amp; Benefits'!$C$80="None",'Your Pay &amp; Benefits'!$C$27+ROUND('Your Pay &amp; Benefits'!$C$81*($C68+$D68),2),ROUND(IF('Your Pay &amp; Benefits'!$C$80="Resident",IF($B68&lt;DATE(2026,7,1),0.0374,0.03735),IF($B68&lt;DATE(2026,7,1),0.0343,0.03425))*($C68+$D68),2)),IF($BF68=0,ROUND('Your Pay &amp; Benefits'!$C$81*($C68+$D68),2),'Your Pay &amp; Benefits'!$C$27+ROUND('Your Pay &amp; Benefits'!$C$81*($C68+$D68),2)))))</f>
      </c>
      <c r="W68" s="7">
        <f>IF($B68="","",IF($BF68=0,0,$BP68))</f>
      </c>
      <c r="X68" s="7">
        <f>IF($B68="","",SUM($E68:$K68)+$P68+$Q68+$R68+$S68+$T68+$U68+$V68+$W68)</f>
      </c>
      <c r="Y68" s="22">
        <f>IF($B68="","",$C68+$D68-$X68)</f>
      </c>
      <c r="Z68" s="7">
        <f>IF($B68="","",$Z67+$C68+$D68)</f>
      </c>
      <c r="AA68" s="7">
        <f>IF($B68="","",$AA67+$Y68)</f>
      </c>
      <c r="AB68" s="7">
        <f>IF($B68="","",$AB67+MIN($N68,MAX(0,'How This Works &amp; Sources'!$C$3-($AX68+$AB67-$AW68))))</f>
      </c>
      <c r="AC68" s="7">
        <f>IF($B68="","",$AC67+$E68+$F68)</f>
      </c>
      <c r="AD68" s="3">
        <f>IF($B68="","",IF(AND($AB67&lt;'How This Works &amp; Sources'!$C$3,$AB68&gt;='How This Works &amp; Sources'!$C$3),"★ Social Security maxed on this check — from the next check your net rises by about $"&amp;TEXT(ROUND('How This Works &amp; Sources'!$C$4*$N68,2),"#,##0.00")&amp;". ","")&amp;IF(AND($AC67&lt;'Your Pay &amp; Benefits'!$C$34,$AC68&gt;='Your Pay &amp; Benefits'!$C$34),"★ 401(k) reaches the $"&amp;TEXT('Your Pay &amp; Benefits'!$C$34,"#,##0")&amp;" cap on this check — deferrals stop and net pay rises. ","")&amp;IF(AND($AG67&lt;'How This Works &amp; Sources'!$C$7,$AG68&gt;='How This Works &amp; Sources'!$C$7),"★ Wages pass $200,000 — the 0.9% Additional Medicare Tax starts here. ","")&amp;IF(AND($BJ68&gt;0,$H68&gt;0,$BG67&lt;MIN($BJ68,'How This Works &amp; Sources'!$C$13),$BG67+$H68&gt;=MIN($BJ68,'How This Works &amp; Sources'!$C$13)),"★ Health FSA election is now fully deferred for the year. ",""))</f>
      </c>
      <c r="AE68" s="41" t="n"/>
      <c r="AF68" s="7">
        <f>IF(OR($B68="",$AE68=""),"",$AE68-$Y68)</f>
      </c>
      <c r="AG68" s="7">
        <f>IF($B68="","",$AG67+$N68)</f>
      </c>
      <c r="AH68" s="7">
        <f>IF($B68="","",MAX(0,($M68-$D68)*'Your Pay &amp; Benefits'!$C$8+$AP68-$AQ68-IF('Your Pay &amp; Benefits'!$C$13,0,IF('Your Pay &amp; Benefits'!$C$12="MFJ",'How This Works &amp; Sources'!$C$8,'How This Works &amp; Sources'!$C$9))))</f>
      </c>
      <c r="AI68" s="7">
        <f>IF($B68="","",$O68*'Your Pay &amp; Benefits'!$C$8)</f>
      </c>
      <c r="AJ68" s="7">
        <f>IF($B68="","",MAX(0,$AI68-VLOOKUP($AN68,StateTables!$A$6:$AB$56,12,FALSE)*$AT68-IF(($AS68+$AT68)&gt;=2,VLOOKUP($AN68,StateTables!$A$6:$AB$56,8,FALSE),VLOOKUP($AN68,StateTables!$A$6:$AB$56,7,FALSE))))</f>
      </c>
      <c r="AK68" s="7">
        <f>IF($B68="","",IFERROR(LOOKUP(2,1/(('Changes &amp; Events'!$C$6:$C$17="Salary change")*('Changes &amp; Events'!$B$6:$B$17&lt;=$B68)*('Changes &amp; Events'!$B$6:$B$17&lt;&gt;"")),'Changes &amp; Events'!$D$6:$D$17),IF('Your Pay &amp; Benefits'!$C$4="Annual salary",'Your Pay &amp; Benefits'!$C$5,'Your Pay &amp; Benefits'!$C$6)))</f>
      </c>
      <c r="AL68">
        <f>IF($B68="","",IFERROR(LOOKUP(2,1/(('Changes &amp; Events'!$C$6:$C$17="401(k) change")*('Changes &amp; Events'!$B$6:$B$17&lt;=$B68)*('Changes &amp; Events'!$B$6:$B$17&lt;&gt;"")),'Changes &amp; Events'!$D$6:$D$17),'Your Pay &amp; Benefits'!$C$30))</f>
      </c>
      <c r="AM68" s="7">
        <f>IF($B68="","",IFERROR(LOOKUP(2,1/(('Changes &amp; Events'!$C$6:$C$17="401(k) change")*('Changes &amp; Events'!$B$6:$B$17&lt;=$B68)*('Changes &amp; Events'!$B$6:$B$17&lt;&gt;"")),'Changes &amp; Events'!$E$6:$E$17),'Your Pay &amp; Benefits'!$D$31))</f>
      </c>
      <c r="AN68">
        <f>IF($B68="","",IFERROR(LOOKUP(2,1/(('Changes &amp; Events'!$C$6:$C$17="State move")*('Changes &amp; Events'!$B$6:$B$17&lt;=$B68)*('Changes &amp; Events'!$B$6:$B$17&lt;&gt;"")),'Changes &amp; Events'!$D$6:$D$17),'Your Pay &amp; Benefits'!$C$21))</f>
      </c>
      <c r="AO68" s="7">
        <f>IF($B68="","",IFERROR(LOOKUP(2,1/(('Changes &amp; Events'!$C$6:$C$17="W-4 change")*('Changes &amp; Events'!$B$6:$B$17&lt;=$B68)*('Changes &amp; Events'!$B$6:$B$17&lt;&gt;"")),'Changes &amp; Events'!$D$6:$D$17),'Your Pay &amp; Benefits'!$C$14))</f>
      </c>
      <c r="AP68" s="7">
        <f>IF($B68="","",IFERROR(LOOKUP(2,1/(('Changes &amp; Events'!$C$6:$C$17="W-4 change")*('Changes &amp; Events'!$B$6:$B$17&lt;=$B68)*('Changes &amp; Events'!$B$6:$B$17&lt;&gt;"")),'Changes &amp; Events'!$E$6:$E$17),'Your Pay &amp; Benefits'!$C$15))</f>
      </c>
      <c r="AQ68" s="7">
        <f>IF($B68="","",IFERROR(LOOKUP(2,1/(('Changes &amp; Events'!$C$6:$C$17="W-4 change")*('Changes &amp; Events'!$B$6:$B$17&lt;=$B68)*('Changes &amp; Events'!$B$6:$B$17&lt;&gt;"")),'Changes &amp; Events'!$F$6:$F$17),'Your Pay &amp; Benefits'!$C$16))</f>
      </c>
      <c r="AR68" s="7">
        <f>IF($B68="","",IFERROR(LOOKUP(2,1/(('Changes &amp; Events'!$C$6:$C$17="W-4 change")*('Changes &amp; Events'!$B$6:$B$17&lt;=$B68)*('Changes &amp; Events'!$B$6:$B$17&lt;&gt;"")),'Changes &amp; Events'!$G$6:$G$17),'Your Pay &amp; Benefits'!$C$17))</f>
      </c>
      <c r="AS68" s="6">
        <f>IF($B68="","",IFERROR(LOOKUP(2,1/((('Changes &amp; Events'!$C$6:$C$17="State move")+('Changes &amp; Events'!$C$6:$C$17="State cert change"))*('Changes &amp; Events'!$B$6:$B$17&lt;=$B68)*('Changes &amp; Events'!$B$6:$B$17&lt;&gt;"")),'Changes &amp; Events'!$F$6:$F$17),'Your Pay &amp; Benefits'!$C$23))</f>
      </c>
      <c r="AT68" s="6">
        <f>IF($B68="","",IFERROR(LOOKUP(2,1/((('Changes &amp; Events'!$C$6:$C$17="State move")+('Changes &amp; Events'!$C$6:$C$17="State cert change"))*('Changes &amp; Events'!$B$6:$B$17&lt;=$B68)*('Changes &amp; Events'!$B$6:$B$17&lt;&gt;"")),'Changes &amp; Events'!$G$6:$G$17),'Your Pay &amp; Benefits'!$C$24))</f>
      </c>
      <c r="AU68">
        <f>IF($B68="","",IFERROR(LOOKUP(2,1/(('Changes &amp; Events'!$C$6:$C$17="State move")*('Changes &amp; Events'!$B$6:$B$17&lt;=$B68)*('Changes &amp; Events'!$B$6:$B$17&lt;&gt;"")),'Changes &amp; Events'!$E$6:$E$17),'Your Pay &amp; Benefits'!$C$22))</f>
      </c>
      <c r="AV68" s="6">
        <f>IF($B68="","",1+COUNTIFS('Changes &amp; Events'!$C$6:$C$17,"Employer change",'Changes &amp; Events'!$B$6:$B$17,"&lt;="&amp;$B68,'Changes &amp; Events'!$B$6:$B$17,"&lt;&gt;"))</f>
      </c>
      <c r="AW68" s="7">
        <f>IF($B68="","",IF($AV68=1,'Your Pay &amp; Benefits'!$C$49,IF(IFERROR(MATCH(IFERROR(LOOKUP(2,1/(('Changes &amp; Events'!$C$6:$C$17="Employer change")*('Changes &amp; Events'!$B$6:$B$17&lt;=$B68)*('Changes &amp; Events'!$B$6:$B$17&lt;&gt;"")),'Changes &amp; Events'!$B$6:$B$17),""),$B$6:$B$68,1),1)&lt;=1,'Your Pay &amp; Benefits'!$C$49,INDEX($AB$6:$AB$68,MATCH(IFERROR(LOOKUP(2,1/(('Changes &amp; Events'!$C$6:$C$17="Employer change")*('Changes &amp; Events'!$B$6:$B$17&lt;=$B68)*('Changes &amp; Events'!$B$6:$B$17&lt;&gt;"")),'Changes &amp; Events'!$B$6:$B$17),""),$B$6:$B$68,1)-1))))</f>
      </c>
      <c r="AX68" s="7">
        <f>IF($B68="","",IF($AV68=1,'Your Pay &amp; Benefits'!$C$49,IFERROR(LOOKUP(2,1/(('Changes &amp; Events'!$C$6:$C$17="Employer change")*('Changes &amp; Events'!$B$6:$B$17&lt;=$B68)*('Changes &amp; Events'!$B$6:$B$17&lt;&gt;"")),'Changes &amp; Events'!$D$6:$D$17),0)))</f>
      </c>
      <c r="AY68" s="7">
        <f>IF($B68="","",($O68-$D68)*'Your Pay &amp; Benefits'!$C$8)</f>
      </c>
      <c r="AZ68" s="7">
        <f>IF($B68="","",IF($AN68="AL",MAX(0,$AY68-IF($AU68="Married",IF($AY68&lt;=25999,8500,MAX(5000,8500-175*CEILING(($AY68-25999)/500,1))),IF($AU68="Head of household",IF($AY68&lt;=25999,5200,MAX(2500,5200-135*CEILING(($AY68-25999)/500,1))),IF($AY68&lt;=25999,3000,MAX(2500,3000-25*CEILING(($AY68-25999)/500,1)))))-($P68-'How This Works &amp; Sources'!$C$10*$D68)*'Your Pay &amp; Benefits'!$C$8-IF(OR($AU68="Married",$AU68="Head of household"),3000,1500)-$AT68*IF($AY68&lt;=50000,1000,IF($AY68&lt;=100000,500,300))),IF($AN68="AR",IF(MAX(0,$AY68-2470)&lt;97701,INT(MAX(0,$AY68-2470)/100)*100+50,MAX(0,$AY68-2470)),IF($AN68="DE",MAX(0,$AI68-3250),IF($AN68="HI",MAX(0,$AI68-1144*$AS68-4350),IF($AN68="KS",MAX(0,$AI68-(9160*IF($AU68="Married",2,1)+2320*$AT68+IF($AU68="Head of household",2320,0))),IF($AN68="MD",MAX(0,$AI68-3400-3200*$AS68),IF($AN68="MN",MAX(0,$AY68-5300*$AS68),IF($AN68="MO",MAX(0,$AI68-IF($AU68="Head of household",24150,IF($AU68="Married",IF('Your Pay &amp; Benefits'!$C$83,16100,32200),16100))),IF($AN68="MT",$AY68,IF($AN68="ND",($C68+$L68)*'Your Pay &amp; Benefits'!$C$8,IF($AN68="NE",MAX(0,$AY68-2440*$AS68),IF($AN68="NJ",MAX(0,$AY68-1000*$AS68),IF($AN68="NY",MAX(0,$AY68-(IF($AU68="Married",7950,7400)+1000*$AS68)),IF($AN68="OH",MAX(0,$AY68-650*$AS68),IF($AN68="OK",MAX(0,$AY68-1000*$AS68),IF($AN68="RI",MAX(0,$AI68-1000*$AS68),IF($AN68="SC",MAX(0,$AI68-5000*$AS68-IF($AS68=0,0,MIN(0.1*$AI68,7500))),IF($AN68="VA",MAX(0,$AI68-IF($AU68="Married",17500,8750)-930*$AS68-800*$AT68),IF($AN68="VT",MAX(0,$AI68-5400*$AS68),IF($AN68="WI",MAX(0,$AI68-MAX(0,IF($AU68="Married",9461-0.2*MAX(0,$AI68-25727),6702-0.12*MAX(0,$AI68-17780)))-400*$AS68),IF($AN68="WV",MAX(0,$AI68-2000*$AS68),$AI68))))))))))))))))))))))</f>
      </c>
      <c r="BA68" s="7">
        <f>IF($B68="","",IF($BW68&lt;&gt;"",$BW68,IF($BX68&lt;&gt;"",$BX68,IF($BY68&lt;&gt;"",$BY68,0))))</f>
      </c>
      <c r="BB68" s="7">
        <f>IF($B68="","",IF($AN68="AR",-29*$AS68,IF($AN68="DE",-110*$AS68,IF($AN68="MD",$AZ68*'Your Pay &amp; Benefits'!$C$74,IF($AN68="AZ",'Your Pay &amp; Benefits'!$C$82*($M68-$D68)*'Your Pay &amp; Benefits'!$C$8,IF($AN68="CO",0.044*MAX(0,$AY68-IF($AU68="Married",10000,5000)),IF($AN68="IA",MAX(0,0.038*MAX(0,$AY68-IF($AU68="Head of household",19500,IF($AU68="Married",26000,13000)))-40*$AS68),IF($AN68="ID",0.053*MAX(0,$AY68-IF($AU68="Married",32000,16094)),IF($AN68="IL",0.0495*MAX(0,$AY68-(2925*$AS68+1000*$AT68)),IF($AN68="IN",(0.0295+'Your Pay &amp; Benefits'!$C$76)*MAX(0,$AY68-(1000*$AS68+1500*$AT68+3000*'Your Pay &amp; Benefits'!$C$86)),IF($AN68="KY",0.035*MAX(0,$AI68-3360),IF($AN68="LA",IF('Your Pay &amp; Benefits'!$C$84="0",0.0309*$AI68,0.0309*MAX(0,$AI68-IF('Your Pay &amp; Benefits'!$C$84="2",25750,12875))),IF($AN68="MA",0.05*MIN(MAX(0,$AY68-MIN(($BD67+$Q68+$R68+$S68),2000)-IF($AS68=0,0,IF($AS68=1,4400,1000*$AS68+3400))),1107750)+0.09*MAX(0,MAX(0,$AY68-MIN(($BD67+$Q68+$R68+$S68),2000)-IF($AS68=0,0,IF($AS68=1,4400,1000*$AS68+3400)))-1107750)-IF($AU68="Head of household",120,0)-110*'Your Pay &amp; Benefits'!$C$75,IF($AN68="MI",0.0425*MAX(0,$AY68-5900*$AS68),IF($AN68="MS",0.04*MAX(0,$AI68-IF($AU68="Head of household",3400,IF($AU68="Married",4600,2300))-'Your Pay &amp; Benefits'!$C$85-10000),IF($AN68="OR",IF(OR($AU68="Married",AND($AU68="Single",$AS68&gt;=3)),SUMPRODUCT((MAX(0,$AY68-MIN(($P68-'How This Works &amp; Sources'!$C$10*$D68)*'Your Pay &amp; Benefits'!$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Sources'!$B$211:$J$214,0,4))*(MAX(0,$AY68-MIN(($P68-'How This Works &amp; Sources'!$C$10*$D68)*'Your Pay &amp; Benefits'!$C$8,IF(OR($AU68="Married",AND($AU68="Single",$AS68&gt;=3)),IF($AY68&lt;250000,8750,IF($AY68&lt;260000,7000,IF($AY68&lt;270000,5250,IF($AY68&lt;280000,3500,IF($AY68&lt;290000,1750,0))))),IF($AY68&lt;125000,8750,IF($AY68&lt;130000,7000,IF($AY68&lt;135000,5250,IF($AY68&lt;140000,3500,IF($AY68&lt;145000,1750,0)))))))-IF(OR($AU68="Married",AND($AU68="Single",$AS68&gt;=3)),5820,2910))-INDEX('How This Works &amp; Sources'!$B$211:$J$214,0,4))*INDEX('How This Works &amp; Sources'!$B$211:$J$214,0,4+2)),SUMPRODUCT((MAX(0,$AY68-MIN(($P68-'How This Works &amp; Sources'!$C$10*$D68)*'Your Pay &amp; Benefits'!$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Sources'!$B$211:$J$214,0,1))*(MAX(0,$AY68-MIN(($P68-'How This Works &amp; Sources'!$C$10*$D68)*'Your Pay &amp; Benefits'!$C$8,IF(OR($AU68="Married",AND($AU68="Single",$AS68&gt;=3)),IF($AY68&lt;250000,8750,IF($AY68&lt;260000,7000,IF($AY68&lt;270000,5250,IF($AY68&lt;280000,3500,IF($AY68&lt;290000,1750,0))))),IF($AY68&lt;125000,8750,IF($AY68&lt;130000,7000,IF($AY68&lt;135000,5250,IF($AY68&lt;140000,3500,IF($AY68&lt;145000,1750,0)))))))-IF(OR($AU68="Married",AND($AU68="Single",$AS68&gt;=3)),5820,2910))-INDEX('How This Works &amp; Sources'!$B$211:$J$214,0,1))*INDEX('How This Works &amp; Sources'!$B$211:$J$214,0,1+2)))+263-263*IF(IF($AU68="Married",$AY68&gt;200000,$AY68&gt;100000),0,$AS68),IF($AN68="PA",0.0307*(($O68+$E68+$G68)*'Your Pay &amp; Benefits'!$C$8),IF($AN68="NY",IF($AU68="Married",IF($AZ68&gt;=2155350,0,IF($AZ68&gt;=1077550,0.48,IF($AZ68&gt;=373200,1.21,IF($AZ68&gt;=323200,0.21,IF($AZ68&gt;=211550,-0.19,IF($AZ68&gt;=157650,-2.8,IF($AZ68&gt;=107650,-0.8,IF($AZ68&gt;=96800,0.05,IF($AZ68&gt;=80650,-0.1,IF($AZ68&gt;=13900,0.4,IF($AZ68&gt;=11700,-0.3,IF($AZ68&gt;=8500,0.5,0)))))))))))),IF($AZ68&gt;=1077550,0,IF($AZ68&gt;=265400,4.29,IF($AZ68&gt;=215400,2.29,IF($AZ68&gt;=157650,2.29,IF($AZ68&gt;=107650,0.29,IF($AZ68&gt;=96800,0.05,IF($AZ68&gt;=80650,-0.1,IF($AZ68&gt;=13900,0.4,IF($AZ68&gt;=11700,-0.3,IF($AZ68&gt;=8500,0.5,0))))))))))),0))))))))))))))))))</f>
      </c>
      <c r="BC68" s="7">
        <f>IF($B68="","",IF($AN68="AL",0.05*$D68,IF($AN68="AR",0.039*$D68,IF($AN68="ID",0.053*$D68,IF($AN68="IN",(0.0295+'Your Pay &amp; Benefits'!$C$76)*$D68,IF($AN68="KS",0.05*$D68,IF($AN68="MA",0.09*MIN($D68,MAX(0,MAX(0,$AY68-MIN(($BD67+$Q68+$R68+$S68),2000)-IF($AS68=0,0,IF($AS68=1,4400,1000*$AS68+3400)))+$D68-1107750))+0.05*($D68-MIN($D68,MAX(0,MAX(0,$AY68-MIN(($BD67+$Q68+$R68+$S68),2000)-IF($AS68=0,0,IF($AS68=1,4400,1000*$AS68+3400)))+$D68-1107750))),IF($AN68="MD",(0.065+'Your Pay &amp; Benefits'!$C$74)*$D68,IF($AN68="MI",0.0425*$D68,IF($AN68="MN",0.0625*$D68,IF($AN68="MO",0.047*$D68,IF($AN68="MT",0.05*$D68,IF($AN68="ND",0.015*$D68,IF($AN68="NE",0.035*$D68,IF($AN68="NJ",IF('Your Pay &amp; Benefits'!$C$77="B",SUMPRODUCT(($D68*'Your Pay &amp; Benefits'!$C$8&gt;INDEX('How This Works &amp; Sources'!$B$155:$J$162,0,4))*($D68*'Your Pay &amp; Benefits'!$C$8-INDEX('How This Works &amp; Sources'!$B$155:$J$162,0,4))*INDEX('How This Works &amp; Sources'!$B$155:$J$162,0,4+2)),IF('Your Pay &amp; Benefits'!$C$77="C",SUMPRODUCT(($D68*'Your Pay &amp; Benefits'!$C$8&gt;INDEX('How This Works &amp; Sources'!$B$155:$J$162,0,7))*($D68*'Your Pay &amp; Benefits'!$C$8-INDEX('How This Works &amp; Sources'!$B$155:$J$162,0,7))*INDEX('How This Works &amp; Sources'!$B$155:$J$162,0,7+2)),IF('Your Pay &amp; Benefits'!$C$77="D",SUMPRODUCT(($D68*'Your Pay &amp; Benefits'!$C$8&gt;INDEX('How This Works &amp; Sources'!$B$167:$J$179,0,1))*($D68*'Your Pay &amp; Benefits'!$C$8-INDEX('How This Works &amp; Sources'!$B$167:$J$179,0,1))*INDEX('How This Works &amp; Sources'!$B$167:$J$179,0,1+2)),IF('Your Pay &amp; Benefits'!$C$77="E",SUMPRODUCT(($D68*'Your Pay &amp; Benefits'!$C$8&gt;INDEX('How This Works &amp; Sources'!$B$167:$J$179,0,4))*($D68*'Your Pay &amp; Benefits'!$C$8-INDEX('How This Works &amp; Sources'!$B$167:$J$179,0,4))*INDEX('How This Works &amp; Sources'!$B$167:$J$179,0,4+2)),SUMPRODUCT(($D68*'Your Pay &amp; Benefits'!$C$8&gt;INDEX('How This Works &amp; Sources'!$B$155:$J$162,0,1))*($D68*'Your Pay &amp; Benefits'!$C$8-INDEX('How This Works &amp; Sources'!$B$155:$J$162,0,1))*INDEX('How This Works &amp; Sources'!$B$155:$J$162,0,1+2))))))/'Your Pay &amp; Benefits'!$C$8,IF($AN68="NY",0.117*$D68,IF($AN68="OH",0.0275*$D68,IF($AN68="OK",0.045*$D68,IF($AN68="OR",0.08*$D68,IF($AN68="WI",IF($AY68&lt;12760,0.0354,IF($AY68&lt;25520,0.0465,IF($AY68&lt;280950,0.053,0.0765)))*$D68,0))))))))))))))))))))</f>
      </c>
      <c r="BD68" s="7">
        <f>IF($B68="","",$BD67+$Q68+$R68+$S68)</f>
      </c>
      <c r="BE68" s="6">
        <f>IF($B68="",$BE67,$BE67+$BF68)</f>
      </c>
      <c r="BF68" s="6">
        <f>IF($B68="","",IF(AND(IF(YEAR(IF('Your Pay &amp; Benefits'!$C$7="Weekly",'Your Pay &amp; Benefits'!$C$9+7*(($BE67+1)-1),IF('Your Pay &amp; Benefits'!$C$7="Biweekly",'Your Pay &amp; Benefits'!$C$9+14*(($BE67+1)-1),IF('Your Pay &amp; Benefits'!$C$7="Semimonthly",DATE(YEAR('Your Pay &amp; Benefits'!$C$9),MONTH('Your Pay &amp; Benefits'!$C$9)+INT((($BE67+1)-1)/2),MIN(DAY('Your Pay &amp; Benefits'!$C$9),DAY(EOMONTH(DATE(YEAR('Your Pay &amp; Benefits'!$C$9),MONTH('Your Pay &amp; Benefits'!$C$9)+INT((($BE67+1)-1)/2),1),0))))+IF(MOD(($BE67+1)-1,2)=1,15,0),EDATE('Your Pay &amp; Benefits'!$C$9,($BE67+1)-1)))))&lt;&gt;'Your Pay &amp; Benefits'!$C$10,"",IF('Your Pay &amp; Benefits'!$C$7="Weekly",'Your Pay &amp; Benefits'!$C$9+7*(($BE67+1)-1),IF('Your Pay &amp; Benefits'!$C$7="Biweekly",'Your Pay &amp; Benefits'!$C$9+14*(($BE67+1)-1),IF('Your Pay &amp; Benefits'!$C$7="Semimonthly",DATE(YEAR('Your Pay &amp; Benefits'!$C$9),MONTH('Your Pay &amp; Benefits'!$C$9)+INT((($BE67+1)-1)/2),MIN(DAY('Your Pay &amp; Benefits'!$C$9),DAY(EOMONTH(DATE(YEAR('Your Pay &amp; Benefits'!$C$9),MONTH('Your Pay &amp; Benefits'!$C$9)+INT((($BE67+1)-1)/2),1),0))))+IF(MOD(($BE67+1)-1,2)=1,15,0),EDATE('Your Pay &amp; Benefits'!$C$9,($BE67+1)-1)))))&lt;&gt;"",$B68=IF(YEAR(IF('Your Pay &amp; Benefits'!$C$7="Weekly",'Your Pay &amp; Benefits'!$C$9+7*(($BE67+1)-1),IF('Your Pay &amp; Benefits'!$C$7="Biweekly",'Your Pay &amp; Benefits'!$C$9+14*(($BE67+1)-1),IF('Your Pay &amp; Benefits'!$C$7="Semimonthly",DATE(YEAR('Your Pay &amp; Benefits'!$C$9),MONTH('Your Pay &amp; Benefits'!$C$9)+INT((($BE67+1)-1)/2),MIN(DAY('Your Pay &amp; Benefits'!$C$9),DAY(EOMONTH(DATE(YEAR('Your Pay &amp; Benefits'!$C$9),MONTH('Your Pay &amp; Benefits'!$C$9)+INT((($BE67+1)-1)/2),1),0))))+IF(MOD(($BE67+1)-1,2)=1,15,0),EDATE('Your Pay &amp; Benefits'!$C$9,($BE67+1)-1)))))&lt;&gt;'Your Pay &amp; Benefits'!$C$10,"",IF('Your Pay &amp; Benefits'!$C$7="Weekly",'Your Pay &amp; Benefits'!$C$9+7*(($BE67+1)-1),IF('Your Pay &amp; Benefits'!$C$7="Biweekly",'Your Pay &amp; Benefits'!$C$9+14*(($BE67+1)-1),IF('Your Pay &amp; Benefits'!$C$7="Semimonthly",DATE(YEAR('Your Pay &amp; Benefits'!$C$9),MONTH('Your Pay &amp; Benefits'!$C$9)+INT((($BE67+1)-1)/2),MIN(DAY('Your Pay &amp; Benefits'!$C$9),DAY(EOMONTH(DATE(YEAR('Your Pay &amp; Benefits'!$C$9),MONTH('Your Pay &amp; Benefits'!$C$9)+INT((($BE67+1)-1)/2),1),0))))+IF(MOD(($BE67+1)-1,2)=1,15,0),EDATE('Your Pay &amp; Benefits'!$C$9,($BE67+1)-1)))))),1,0))</f>
      </c>
      <c r="BG68" s="7">
        <f>IF($B68="","",$BG67+$H68)</f>
      </c>
      <c r="BH68" s="7">
        <f>IF($B68="","",$BH67+$I68)</f>
      </c>
      <c r="BI68" s="7">
        <f>IF($B68="","",$BI67+$G68)</f>
      </c>
      <c r="BJ68" s="7">
        <f>IF($B68="","",IFERROR(LOOKUP(2,1/(((('Changes &amp; Events'!$C$6:$C$17="Deduction start"))*('Changes &amp; Events'!$D$6:$D$17="Health FSA"))*('Changes &amp; Events'!$B$6:$B$17&lt;=$B68)*('Changes &amp; Events'!$B$6:$B$17&lt;&gt;"")),'Changes &amp; Events'!$E$6:$E$17),'Your Pay &amp; Benefits'!$D$38))</f>
      </c>
      <c r="BK68" s="7">
        <f>IF($B68="","",IFERROR(LOOKUP(2,1/(((('Changes &amp; Events'!$C$6:$C$17="Deduction start"))*('Changes &amp; Events'!$D$6:$D$17="Dependent-care FSA"))*('Changes &amp; Events'!$B$6:$B$17&lt;=$B68)*('Changes &amp; Events'!$B$6:$B$17&lt;&gt;"")),'Changes &amp; Events'!$E$6:$E$17),'Your Pay &amp; Benefits'!$D$39))</f>
      </c>
      <c r="BL68" s="7">
        <f>IF($B68="","",IFERROR(LOOKUP(2,1/(((('Changes &amp; Events'!$C$6:$C$17="Deduction start")+('Changes &amp; Events'!$C$6:$C$17="Deduction stop"))*('Changes &amp; Events'!$D$6:$D$17="HSA"))*('Changes &amp; Events'!$B$6:$B$17&lt;=$B68)*('Changes &amp; Events'!$B$6:$B$17&lt;&gt;"")),'Changes &amp; Events'!$I$6:$I$17),'Your Pay &amp; Benefits'!$D$35))</f>
      </c>
      <c r="BM68" s="7">
        <f>IF($B68="","",IFERROR(LOOKUP(2,1/(((('Changes &amp; Events'!$C$6:$C$17="Deduction start")+('Changes &amp; Events'!$C$6:$C$17="Deduction stop"))*('Changes &amp; Events'!$D$6:$D$17="Premiums"))*('Changes &amp; Events'!$B$6:$B$17&lt;=$B68)*('Changes &amp; Events'!$B$6:$B$17&lt;&gt;"")),'Changes &amp; Events'!$I$6:$I$17),'Your Pay &amp; Benefits'!$D$40+'Your Pay &amp; Benefits'!$D$41+'Your Pay &amp; Benefits'!$D$42))</f>
      </c>
      <c r="BN68" s="7">
        <f>IF($B68="","",IFERROR(LOOKUP(2,1/(((('Changes &amp; Events'!$C$6:$C$17="Deduction start")+('Changes &amp; Events'!$C$6:$C$17="Deduction stop"))*('Changes &amp; Events'!$D$6:$D$17="Commuter"))*('Changes &amp; Events'!$B$6:$B$17&lt;=$B68)*('Changes &amp; Events'!$B$6:$B$17&lt;&gt;"")),'Changes &amp; Events'!$I$6:$I$17),'Your Pay &amp; Benefits'!$D$43))</f>
      </c>
      <c r="BO68" s="7">
        <f>IF($B68="","",IFERROR(LOOKUP(2,1/(((('Changes &amp; Events'!$C$6:$C$17="Deduction start")+('Changes &amp; Events'!$C$6:$C$17="Deduction stop"))*('Changes &amp; Events'!$D$6:$D$17="Other pre-tax"))*('Changes &amp; Events'!$B$6:$B$17&lt;=$B68)*('Changes &amp; Events'!$B$6:$B$17&lt;&gt;"")),'Changes &amp; Events'!$I$6:$I$17),'Your Pay &amp; Benefits'!$D$44))</f>
      </c>
      <c r="BP68" s="7">
        <f>IF($B68="","",IFERROR(LOOKUP(2,1/(((('Changes &amp; Events'!$C$6:$C$17="Deduction start")+('Changes &amp; Events'!$C$6:$C$17="Deduction stop"))*('Changes &amp; Events'!$D$6:$D$17="Other post-tax"))*('Changes &amp; Events'!$B$6:$B$17&lt;=$B68)*('Changes &amp; Events'!$B$6:$B$17&lt;&gt;"")),'Changes &amp; Events'!$I$6:$I$17),'Your Pay &amp; Benefits'!$D$45))</f>
      </c>
      <c r="BQ68" s="6">
        <f>IF($B68="","",IFERROR(LOOKUP(2,1/(((('Changes &amp; Events'!$C$6:$C$17="Deduction start")+('Changes &amp; Events'!$C$6:$C$17="Deduction stop"))*('Changes &amp; Events'!$D$6:$D$17="Health FSA"))*('Changes &amp; Events'!$B$6:$B$17&lt;=$B68)*('Changes &amp; Events'!$B$6:$B$17&lt;&gt;"")),'Changes &amp; Events'!$J$6:$J$17),0))</f>
      </c>
      <c r="BR68" s="6">
        <f>IF($B68="","",IFERROR(LOOKUP(2,1/(((('Changes &amp; Events'!$C$6:$C$17="Deduction start")+('Changes &amp; Events'!$C$6:$C$17="Deduction stop"))*('Changes &amp; Events'!$D$6:$D$17="Dependent-care FSA"))*('Changes &amp; Events'!$B$6:$B$17&lt;=$B68)*('Changes &amp; Events'!$B$6:$B$17&lt;&gt;"")),'Changes &amp; Events'!$J$6:$J$17),0))</f>
      </c>
      <c r="BS68" s="6">
        <f>IF($B68="","",IF(SUMPRODUCT(('Changes &amp; Events'!$C$6:$C$17="Deduction start")*('Changes &amp; Events'!$B$6:$B$17&lt;=$B68)*('Changes &amp; Events'!$B$6:$B$17&lt;&gt;"")*('Changes &amp; Events'!$D$6:$D$17="Health FSA"))&gt;0,1,0))</f>
      </c>
      <c r="BT68" s="6">
        <f>IF($B68="","",IF(SUMPRODUCT(('Changes &amp; Events'!$C$6:$C$17="Deduction start")*('Changes &amp; Events'!$B$6:$B$17&lt;=$B68)*('Changes &amp; Events'!$B$6:$B$17&lt;&gt;"")*('Changes &amp; Events'!$D$6:$D$17="Dependent-care FSA"))&gt;0,1,0))</f>
      </c>
      <c r="BU68" s="24">
        <f>IF($B68="","",IF('Your Pay &amp; Benefits'!$C$13,SUMPRODUCT(($AH68&gt;=INDEX('How This Works &amp; Sources'!$B$29:$J$36,0,IF('Your Pay &amp; Benefits'!$C$12="MFJ",1,IF('Your Pay &amp; Benefits'!$C$12="HoH",7,4))))*INDEX('How This Works &amp; Sources'!$B$29:$J$36,0,IF('Your Pay &amp; Benefits'!$C$12="MFJ",1,IF('Your Pay &amp; Benefits'!$C$12="HoH",7,4))+2)),SUMPRODUCT(($AH68&gt;=INDEX('How This Works &amp; Sources'!$B$19:$J$26,0,IF('Your Pay &amp; Benefits'!$C$12="MFJ",1,IF('Your Pay &amp; Benefits'!$C$12="HoH",7,4))))*INDEX('How This Works &amp; Sources'!$B$19:$J$26,0,IF('Your Pay &amp; Benefits'!$C$12="MFJ",1,IF('Your Pay &amp; Benefits'!$C$12="HoH",7,4))+2))))</f>
      </c>
      <c r="BV68" s="24">
        <f>IF($B68="","",IF($BZ68&lt;&gt;"",$BZ68,IF($CA68&lt;&gt;"",$CA68,IF($CB68&lt;&gt;"",$CB68,IF($CC68&lt;&gt;"",$CC68,0)))))</f>
      </c>
      <c r="BW68" s="7">
        <f>IF($B68="","",IF($AN68="MD",IF(OR($AU68="Married",$AU68="Head of household"),SUMPRODUCT(($AZ68&gt;INDEX('How This Works &amp; Sources'!$B$114:$J$120,0,1))*($AZ68-INDEX('How This Works &amp; Sources'!$B$114:$J$120,0,1))*INDEX('How This Works &amp; Sources'!$B$114:$J$120,0,1+2)),SUMPRODUCT(($AZ68&gt;INDEX('How This Works &amp; Sources'!$B$103:$J$109,0,7))*($AZ68-INDEX('How This Works &amp; Sources'!$B$103:$J$109,0,7))*INDEX('How This Works &amp; Sources'!$B$103:$J$109,0,7+2))),IF($AN68="MO",SUMPRODUCT(($AZ68&gt;INDEX('How This Works &amp; Sources'!$B$125:$J$132,0,1))*($AZ68-INDEX('How This Works &amp; Sources'!$B$125:$J$132,0,1))*INDEX('How This Works &amp; Sources'!$B$125:$J$132,0,1+2)),IF($AN68="MT",IF($AU68="Head of household",SUMPRODUCT(($AZ68&gt;INDEX('How This Works &amp; Sources'!$B$137:$J$139,0,1))*($AZ68-INDEX('How This Works &amp; Sources'!$B$137:$J$139,0,1))*INDEX('How This Works &amp; Sources'!$B$137:$J$139,0,1+2)),IF($AU68="Married",SUMPRODUCT(($AZ68&gt;INDEX('How This Works &amp; Sources'!$B$125:$J$132,0,7))*($AZ68-INDEX('How This Works &amp; Sources'!$B$125:$J$132,0,7))*INDEX('How This Works &amp; Sources'!$B$125:$J$132,0,7+2)),SUMPRODUCT(($AZ68&gt;INDEX('How This Works &amp; Sources'!$B$125:$J$132,0,4))*($AZ68-INDEX('How This Works &amp; Sources'!$B$125:$J$132,0,4))*INDEX('How This Works &amp; Sources'!$B$125:$J$132,0,4+2)))),IF($AN68="ND",IF($AU68="Head of household",SUMPRODUCT(($AZ68&gt;INDEX('How This Works &amp; Sources'!$B$144:$J$150,0,1))*($AZ68-INDEX('How This Works &amp; Sources'!$B$144:$J$150,0,1))*INDEX('How This Works &amp; Sources'!$B$144:$J$150,0,1+2)),IF($AU68="Married",SUMPRODUCT(($AZ68&gt;INDEX('How This Works &amp; Sources'!$B$137:$J$139,0,7))*($AZ68-INDEX('How This Works &amp; Sources'!$B$137:$J$139,0,7))*INDEX('How This Works &amp; Sources'!$B$137:$J$139,0,7+2)),SUMPRODUCT(($AZ68&gt;INDEX('How This Works &amp; Sources'!$B$137:$J$139,0,4))*($AZ68-INDEX('How This Works &amp; Sources'!$B$137:$J$139,0,4))*INDEX('How This Works &amp; Sources'!$B$137:$J$139,0,4+2)))),IF($AN68="NJ",IF('Your Pay &amp; Benefits'!$C$77="B",SUMPRODUCT(($AZ68&gt;INDEX('How This Works &amp; Sources'!$B$155:$J$162,0,4))*($AZ68-INDEX('How This Works &amp; Sources'!$B$155:$J$162,0,4))*INDEX('How This Works &amp; Sources'!$B$155:$J$162,0,4+2)),IF('Your Pay &amp; Benefits'!$C$77="C",SUMPRODUCT(($AZ68&gt;INDEX('How This Works &amp; Sources'!$B$155:$J$162,0,7))*($AZ68-INDEX('How This Works &amp; Sources'!$B$155:$J$162,0,7))*INDEX('How This Works &amp; Sources'!$B$155:$J$162,0,7+2)),IF('Your Pay &amp; Benefits'!$C$77="D",SUMPRODUCT(($AZ68&gt;INDEX('How This Works &amp; Sources'!$B$167:$J$179,0,1))*($AZ68-INDEX('How This Works &amp; Sources'!$B$167:$J$179,0,1))*INDEX('How This Works &amp; Sources'!$B$167:$J$179,0,1+2)),IF('Your Pay &amp; Benefits'!$C$77="E",SUMPRODUCT(($AZ68&gt;INDEX('How This Works &amp; Sources'!$B$167:$J$179,0,4))*($AZ68-INDEX('How This Works &amp; Sources'!$B$167:$J$179,0,4))*INDEX('How This Works &amp; Sources'!$B$167:$J$179,0,4+2)),SUMPRODUCT(($AZ68&gt;INDEX('How This Works &amp; Sources'!$B$155:$J$162,0,1))*($AZ68-INDEX('How This Works &amp; Sources'!$B$155:$J$162,0,1))*INDEX('How This Works &amp; Sources'!$B$155:$J$162,0,1+2)))))),IF($AN68="NY",IF($AU68="Married",IF($AZ68&gt;=2155350,$AZ68*IF($AZ68&gt;25000000,0.117,IF($AZ68&gt;5000000,0.111,0.1045)),SUMPRODUCT(($AZ68&gt;INDEX('How This Works &amp; Sources'!$B$184:$J$198,0,1))*($AZ68-INDEX('How This Works &amp; Sources'!$B$184:$J$198,0,1))*INDEX('How This Works &amp; Sources'!$B$184:$J$198,0,1+2))),IF($AZ68&gt;=1077550,$AZ68*IF($AZ68&gt;25000000,0.117,IF($AZ68&gt;5000000,0.111,0.1045)),SUMPRODUCT(($AZ68&gt;INDEX('How This Works &amp; Sources'!$B$167:$J$179,0,7))*($AZ68-INDEX('How This Works &amp; Sources'!$B$167:$J$179,0,7))*INDEX('How This Works &amp; Sources'!$B$167:$J$179,0,7+2)))),"")))))))</f>
      </c>
      <c r="BX68" s="7">
        <f>IF($B68="","",IF($AN68="AL",IF(OR($AU68="Married",$AU68="Head of household"),SUMPRODUCT(($AZ68&gt;INDEX('How This Works &amp; Sources'!$B$82:$J$86,0,4))*($AZ68-INDEX('How This Works &amp; Sources'!$B$82:$J$86,0,4))*INDEX('How This Works &amp; Sources'!$B$82:$J$86,0,4+2)),SUMPRODUCT(($AZ68&gt;INDEX('How This Works &amp; Sources'!$B$82:$J$86,0,1))*($AZ68-INDEX('How This Works &amp; Sources'!$B$82:$J$86,0,1))*INDEX('How This Works &amp; Sources'!$B$82:$J$86,0,1+2))),IF($AN68="KS",IF($AU68="Married",SUMPRODUCT(($AZ68&gt;INDEX('How This Works &amp; Sources'!$B$103:$J$109,0,4))*($AZ68-INDEX('How This Works &amp; Sources'!$B$103:$J$109,0,4))*INDEX('How This Works &amp; Sources'!$B$103:$J$109,0,4+2)),SUMPRODUCT(($AZ68&gt;INDEX('How This Works &amp; Sources'!$B$103:$J$109,0,1))*($AZ68-INDEX('How This Works &amp; Sources'!$B$103:$J$109,0,1))*INDEX('How This Works &amp; Sources'!$B$103:$J$109,0,1+2))),IF($AN68="MN",IF($AU68="Married",SUMPRODUCT(($AZ68&gt;INDEX('How This Works &amp; Sources'!$B$114:$J$120,0,7))*($AZ68-INDEX('How This Works &amp; Sources'!$B$114:$J$120,0,7))*INDEX('How This Works &amp; Sources'!$B$114:$J$120,0,7+2)),SUMPRODUCT(($AZ68&gt;INDEX('How This Works &amp; Sources'!$B$114:$J$120,0,4))*($AZ68-INDEX('How This Works &amp; Sources'!$B$114:$J$120,0,4))*INDEX('How This Works &amp; Sources'!$B$114:$J$120,0,4+2))),IF($AN68="NE",MAX(IF($AU68="Married",SUMPRODUCT(($AZ68&gt;INDEX('How This Works &amp; Sources'!$B$144:$J$150,0,7))*($AZ68-INDEX('How This Works &amp; Sources'!$B$144:$J$150,0,7))*INDEX('How This Works &amp; Sources'!$B$144:$J$150,0,7+2)),SUMPRODUCT(($AZ68&gt;INDEX('How This Works &amp; Sources'!$B$144:$J$150,0,4))*($AZ68-INDEX('How This Works &amp; Sources'!$B$144:$J$150,0,4))*INDEX('How This Works &amp; Sources'!$B$144:$J$150,0,4+2))),0.015*$AZ68),IF($AN68="OH",IF($B68&gt;=DATE(2026,8,1),SUMPRODUCT(($AZ68&gt;INDEX('How This Works &amp; Sources'!$B$203:$J$206,0,1))*($AZ68-INDEX('How This Works &amp; Sources'!$B$203:$J$206,0,1))*INDEX('How This Works &amp; Sources'!$B$203:$J$206,0,1+2)),SUMPRODUCT(($AZ68&gt;INDEX('How This Works &amp; Sources'!$B$184:$J$198,0,7))*($AZ68-INDEX('How This Works &amp; Sources'!$B$184:$J$198,0,7))*INDEX('How This Works &amp; Sources'!$B$184:$J$198,0,7+2))),IF($AN68="OK",IF($AU68="Married",SUMPRODUCT(($AZ68&gt;INDEX('How This Works &amp; Sources'!$B$203:$J$206,0,7))*($AZ68-INDEX('How This Works &amp; Sources'!$B$203:$J$206,0,7))*INDEX('How This Works &amp; Sources'!$B$203:$J$206,0,7+2)),SUMPRODUCT(($AZ68&gt;INDEX('How This Works &amp; Sources'!$B$203:$J$206,0,4))*($AZ68-INDEX('How This Works &amp; Sources'!$B$203:$J$206,0,4))*INDEX('How This Works &amp; Sources'!$B$203:$J$206,0,4+2))),IF($AN68="RI",SUMPRODUCT(($AZ68&gt;INDEX('How This Works &amp; Sources'!$B$211:$J$214,0,7))*($AZ68-INDEX('How This Works &amp; Sources'!$B$211:$J$214,0,7))*INDEX('How This Works &amp; Sources'!$B$211:$J$214,0,7+2)),IF($AN68="VT",IF($AU68="Married",SUMPRODUCT(($AZ68&gt;INDEX('How This Works &amp; Sources'!$B$228:$J$232,0,1))*($AZ68-INDEX('How This Works &amp; Sources'!$B$228:$J$232,0,1))*INDEX('How This Works &amp; Sources'!$B$228:$J$232,0,1+2)),SUMPRODUCT(($AZ68&gt;INDEX('How This Works &amp; Sources'!$B$219:$J$223,0,7))*($AZ68-INDEX('How This Works &amp; Sources'!$B$219:$J$223,0,7))*INDEX('How This Works &amp; Sources'!$B$219:$J$223,0,7+2))),IF($AN68="WV",IF($AU68="Married",SUMPRODUCT(($AZ68&gt;INDEX('How This Works &amp; Sources'!$B$237:$J$241,0,7))*($AZ68-INDEX('How This Works &amp; Sources'!$B$237:$J$241,0,7))*INDEX('How This Works &amp; Sources'!$B$237:$J$241,0,7+2)),SUMPRODUCT(($AZ68&gt;INDEX('How This Works &amp; Sources'!$B$228:$J$232,0,7))*($AZ68-INDEX('How This Works &amp; Sources'!$B$228:$J$232,0,7))*INDEX('How This Works &amp; Sources'!$B$228:$J$232,0,7+2))),""))))))))))</f>
      </c>
      <c r="BY68" s="7">
        <f>IF($B68="","",IF($AN68="AR",SUMPRODUCT(($AZ68&gt;INDEX('How This Works &amp; Sources'!$B$82:$J$86,0,7))*($AZ68-INDEX('How This Works &amp; Sources'!$B$82:$J$86,0,7))*INDEX('How This Works &amp; Sources'!$B$82:$J$86,0,7+2)),IF($AN68="DE",SUMPRODUCT(($AZ68&gt;INDEX('How This Works &amp; Sources'!$B$91:$J$98,0,1))*($AZ68-INDEX('How This Works &amp; Sources'!$B$91:$J$98,0,1))*INDEX('How This Works &amp; Sources'!$B$91:$J$98,0,1+2)),IF($AN68="HI",IF($AU68="Married",SUMPRODUCT(($AZ68&gt;INDEX('How This Works &amp; Sources'!$B$91:$J$98,0,7))*($AZ68-INDEX('How This Works &amp; Sources'!$B$91:$J$98,0,7))*INDEX('How This Works &amp; Sources'!$B$91:$J$98,0,7+2)),SUMPRODUCT(($AZ68&gt;INDEX('How This Works &amp; Sources'!$B$91:$J$98,0,4))*($AZ68-INDEX('How This Works &amp; Sources'!$B$91:$J$98,0,4))*INDEX('How This Works &amp; Sources'!$B$91:$J$98,0,4+2))),IF($AN68="SC",SUMPRODUCT(($AZ68&gt;INDEX('How This Works &amp; Sources'!$B$219:$J$223,0,1))*($AZ68-INDEX('How This Works &amp; Sources'!$B$219:$J$223,0,1))*INDEX('How This Works &amp; Sources'!$B$219:$J$223,0,1+2)),IF($AN68="VA",SUMPRODUCT(($AZ68&gt;INDEX('How This Works &amp; Sources'!$B$219:$J$223,0,4))*($AZ68-INDEX('How This Works &amp; Sources'!$B$219:$J$223,0,4))*INDEX('How This Works &amp; Sources'!$B$219:$J$223,0,4+2)),IF($AN68="WI",SUMPRODUCT(($AZ68&gt;INDEX('How This Works &amp; Sources'!$B$228:$J$232,0,4))*($AZ68-INDEX('How This Works &amp; Sources'!$B$228:$J$232,0,4))*INDEX('How This Works &amp; Sources'!$B$228:$J$232,0,4+2)),"")))))))</f>
      </c>
      <c r="BZ68" s="24">
        <f>IF($B68="","",IF($AN68="NJ",IF('Your Pay &amp; Benefits'!$C$77="B",SUMPRODUCT(($AZ68&gt;=INDEX('How This Works &amp; Sources'!$B$155:$J$162,0,4))*INDEX('How This Works &amp; Sources'!$B$155:$J$162,0,4+2)),IF('Your Pay &amp; Benefits'!$C$77="C",SUMPRODUCT(($AZ68&gt;=INDEX('How This Works &amp; Sources'!$B$155:$J$162,0,7))*INDEX('How This Works &amp; Sources'!$B$155:$J$162,0,7+2)),IF('Your Pay &amp; Benefits'!$C$77="D",SUMPRODUCT(($AZ68&gt;=INDEX('How This Works &amp; Sources'!$B$167:$J$179,0,1))*INDEX('How This Works &amp; Sources'!$B$167:$J$179,0,1+2)),IF('Your Pay &amp; Benefits'!$C$77="E",SUMPRODUCT(($AZ68&gt;=INDEX('How This Works &amp; Sources'!$B$167:$J$179,0,4))*INDEX('How This Works &amp; Sources'!$B$167:$J$179,0,4+2)),SUMPRODUCT(($AZ68&gt;=INDEX('How This Works &amp; Sources'!$B$155:$J$162,0,1))*INDEX('How This Works &amp; Sources'!$B$155:$J$162,0,1+2)))))),IF($AN68="OR",IF(OR($AU68="Married",AND($AU68="Single",$AS68&gt;=3)),SUMPRODUCT((MAX(0,$AY68-MIN(($P68-'How This Works &amp; Sources'!$C$10*$D68)*'Your Pay &amp; Benefits'!$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Sources'!$B$211:$J$214,0,4))*INDEX('How This Works &amp; Sources'!$B$211:$J$214,0,4+2)),SUMPRODUCT((MAX(0,$AY68-MIN(($P68-'How This Works &amp; Sources'!$C$10*$D68)*'Your Pay &amp; Benefits'!$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Sources'!$B$211:$J$214,0,1))*INDEX('How This Works &amp; Sources'!$B$211:$J$214,0,1+2)))*IF(($P68-'How This Works &amp; Sources'!$C$10*$D68)*'Your Pay &amp; Benefits'!$C$8&gt;=IF(OR($AU68="Married",AND($AU68="Single",$AS68&gt;=3)),IF($AY68&lt;250000,8750,IF($AY68&lt;260000,7000,IF($AY68&lt;270000,5250,IF($AY68&lt;280000,3500,IF($AY68&lt;290000,1750,0))))),IF($AY68&lt;125000,8750,IF($AY68&lt;130000,7000,IF($AY68&lt;135000,5250,IF($AY68&lt;140000,3500,IF($AY68&lt;145000,1750,0)))))),1,1-IF('Your Pay &amp; Benefits'!$C$13,SUMPRODUCT(($AH68&gt;=INDEX('How This Works &amp; Sources'!$B$29:$J$36,0,IF('Your Pay &amp; Benefits'!$C$12="MFJ",1,IF('Your Pay &amp; Benefits'!$C$12="HoH",7,4))))*INDEX('How This Works &amp; Sources'!$B$29:$J$36,0,IF('Your Pay &amp; Benefits'!$C$12="MFJ",1,IF('Your Pay &amp; Benefits'!$C$12="HoH",7,4))+2)),SUMPRODUCT(($AH68&gt;=INDEX('How This Works &amp; Sources'!$B$19:$J$26,0,IF('Your Pay &amp; Benefits'!$C$12="MFJ",1,IF('Your Pay &amp; Benefits'!$C$12="HoH",7,4))))*INDEX('How This Works &amp; Sources'!$B$19:$J$26,0,IF('Your Pay &amp; Benefits'!$C$12="MFJ",1,IF('Your Pay &amp; Benefits'!$C$12="HoH",7,4))+2)))),IF($AN68="MI",IF($AY68&gt;5900*$AS68,0.0425,0),""))))</f>
      </c>
      <c r="CA68" s="24">
        <f>IF($B68="","",IF($AN68="AL",IF(OR($AU68="Married",$AU68="Head of household"),SUMPRODUCT(($AZ68&gt;=INDEX('How This Works &amp; Sources'!$B$82:$J$86,0,4))*INDEX('How This Works &amp; Sources'!$B$82:$J$86,0,4+2)),SUMPRODUCT(($AZ68&gt;=INDEX('How This Works &amp; Sources'!$B$82:$J$86,0,1))*INDEX('How This Works &amp; Sources'!$B$82:$J$86,0,1+2)))*(1-IF('Your Pay &amp; Benefits'!$C$13,SUMPRODUCT(($AH68&gt;=INDEX('How This Works &amp; Sources'!$B$29:$J$36,0,IF('Your Pay &amp; Benefits'!$C$12="MFJ",1,IF('Your Pay &amp; Benefits'!$C$12="HoH",7,4))))*INDEX('How This Works &amp; Sources'!$B$29:$J$36,0,IF('Your Pay &amp; Benefits'!$C$12="MFJ",1,IF('Your Pay &amp; Benefits'!$C$12="HoH",7,4))+2)),SUMPRODUCT(($AH68&gt;=INDEX('How This Works &amp; Sources'!$B$19:$J$26,0,IF('Your Pay &amp; Benefits'!$C$12="MFJ",1,IF('Your Pay &amp; Benefits'!$C$12="HoH",7,4))))*INDEX('How This Works &amp; Sources'!$B$19:$J$26,0,IF('Your Pay &amp; Benefits'!$C$12="MFJ",1,IF('Your Pay &amp; Benefits'!$C$12="HoH",7,4))+2)))),IF($AN68="KS",IF($AU68="Married",SUMPRODUCT(($AZ68&gt;=INDEX('How This Works &amp; Sources'!$B$103:$J$109,0,4))*INDEX('How This Works &amp; Sources'!$B$103:$J$109,0,4+2)),SUMPRODUCT(($AZ68&gt;=INDEX('How This Works &amp; Sources'!$B$103:$J$109,0,1))*INDEX('How This Works &amp; Sources'!$B$103:$J$109,0,1+2))),IF($AN68="MD",IF(OR($AU68="Married",$AU68="Head of household"),SUMPRODUCT(($AZ68&gt;=INDEX('How This Works &amp; Sources'!$B$114:$J$120,0,1))*INDEX('How This Works &amp; Sources'!$B$114:$J$120,0,1+2)),SUMPRODUCT(($AZ68&gt;=INDEX('How This Works &amp; Sources'!$B$103:$J$109,0,7))*INDEX('How This Works &amp; Sources'!$B$103:$J$109,0,7+2)))+'Your Pay &amp; Benefits'!$C$74,IF($AN68="MT",IF($AU68="Head of household",SUMPRODUCT(($AZ68&gt;=INDEX('How This Works &amp; Sources'!$B$137:$J$139,0,1))*INDEX('How This Works &amp; Sources'!$B$137:$J$139,0,1+2)),IF($AU68="Married",SUMPRODUCT(($AZ68&gt;=INDEX('How This Works &amp; Sources'!$B$125:$J$132,0,7))*INDEX('How This Works &amp; Sources'!$B$125:$J$132,0,7+2)),SUMPRODUCT(($AZ68&gt;=INDEX('How This Works &amp; Sources'!$B$125:$J$132,0,4))*INDEX('How This Works &amp; Sources'!$B$125:$J$132,0,4+2)))),IF($AN68="ND",IF($AU68="Head of household",SUMPRODUCT(($AZ68&gt;=INDEX('How This Works &amp; Sources'!$B$144:$J$150,0,1))*INDEX('How This Works &amp; Sources'!$B$144:$J$150,0,1+2)),IF($AU68="Married",SUMPRODUCT(($AZ68&gt;=INDEX('How This Works &amp; Sources'!$B$137:$J$139,0,7))*INDEX('How This Works &amp; Sources'!$B$137:$J$139,0,7+2)),SUMPRODUCT(($AZ68&gt;=INDEX('How This Works &amp; Sources'!$B$137:$J$139,0,4))*INDEX('How This Works &amp; Sources'!$B$137:$J$139,0,4+2)))),IF($AN68="NY",IF($AU68="Married",IF($AZ68&gt;=2155350,IF($AZ68&gt;25000000,0.117,IF($AZ68&gt;5000000,0.111,0.1045)),SUMPRODUCT(($AZ68&gt;=INDEX('How This Works &amp; Sources'!$B$184:$J$198,0,1))*INDEX('How This Works &amp; Sources'!$B$184:$J$198,0,1+2))),IF($AZ68&gt;=1077550,IF($AZ68&gt;25000000,0.117,IF($AZ68&gt;5000000,0.111,0.1045)),SUMPRODUCT(($AZ68&gt;=INDEX('How This Works &amp; Sources'!$B$167:$J$179,0,7))*INDEX('How This Works &amp; Sources'!$B$167:$J$179,0,7+2)))),"")))))))</f>
      </c>
      <c r="CB68" s="24">
        <f>IF($B68="","",IF($AN68="CA",SUMPRODUCT(($AJ68&gt;=INDEX('How This Works &amp; Sources'!$B$39:$J$48,0,IF($AU68="Married",4,IF($AU68="Head of household",7,1))))*INDEX('How This Works &amp; Sources'!$B$39:$J$48,0,IF($AU68="Married",4,IF($AU68="Head of household",7,1))+2)),IF($AN68="HI",IF($AU68="Married",SUMPRODUCT(($AZ68&gt;=INDEX('How This Works &amp; Sources'!$B$91:$J$98,0,7))*INDEX('How This Works &amp; Sources'!$B$91:$J$98,0,7+2)),SUMPRODUCT(($AZ68&gt;=INDEX('How This Works &amp; Sources'!$B$91:$J$98,0,4))*INDEX('How This Works &amp; Sources'!$B$91:$J$98,0,4+2))),IF($AN68="MN",IF($AU68="Married",SUMPRODUCT(($AZ68&gt;=INDEX('How This Works &amp; Sources'!$B$114:$J$120,0,7))*INDEX('How This Works &amp; Sources'!$B$114:$J$120,0,7+2)),SUMPRODUCT(($AZ68&gt;=INDEX('How This Works &amp; Sources'!$B$114:$J$120,0,4))*INDEX('How This Works &amp; Sources'!$B$114:$J$120,0,4+2))),IF($AN68="MO",SUMPRODUCT(($AZ68&gt;=INDEX('How This Works &amp; Sources'!$B$125:$J$132,0,1))*INDEX('How This Works &amp; Sources'!$B$125:$J$132,0,1+2)),IF($AN68="NE",MAX(IF($AU68="Married",SUMPRODUCT(($AZ68&gt;=INDEX('How This Works &amp; Sources'!$B$144:$J$150,0,7))*INDEX('How This Works &amp; Sources'!$B$144:$J$150,0,7+2)),SUMPRODUCT(($AZ68&gt;=INDEX('How This Works &amp; Sources'!$B$144:$J$150,0,4))*INDEX('How This Works &amp; Sources'!$B$144:$J$150,0,4+2))),0.015),IF($AN68="OH",IF($B68&gt;=DATE(2026,8,1),SUMPRODUCT(($AZ68&gt;=INDEX('How This Works &amp; Sources'!$B$203:$J$206,0,1))*INDEX('How This Works &amp; Sources'!$B$203:$J$206,0,1+2)),SUMPRODUCT(($AZ68&gt;=INDEX('How This Works &amp; Sources'!$B$184:$J$198,0,7))*INDEX('How This Works &amp; Sources'!$B$184:$J$198,0,7+2))),IF($AN68="OK",IF($AU68="Married",SUMPRODUCT(($AZ68&gt;=INDEX('How This Works &amp; Sources'!$B$203:$J$206,0,7))*INDEX('How This Works &amp; Sources'!$B$203:$J$206,0,7+2)),SUMPRODUCT(($AZ68&gt;=INDEX('How This Works &amp; Sources'!$B$203:$J$206,0,4))*INDEX('How This Works &amp; Sources'!$B$203:$J$206,0,4+2))),IF($AN68="RI",SUMPRODUCT(($AZ68&gt;=INDEX('How This Works &amp; Sources'!$B$211:$J$214,0,7))*INDEX('How This Works &amp; Sources'!$B$211:$J$214,0,7+2)),IF($AN68="SC",SUMPRODUCT(($AZ68&gt;=INDEX('How This Works &amp; Sources'!$B$219:$J$223,0,1))*INDEX('How This Works &amp; Sources'!$B$219:$J$223,0,1+2)),IF($AN68="VT",IF($AU68="Married",SUMPRODUCT(($AZ68&gt;=INDEX('How This Works &amp; Sources'!$B$228:$J$232,0,1))*INDEX('How This Works &amp; Sources'!$B$228:$J$232,0,1+2)),SUMPRODUCT(($AZ68&gt;=INDEX('How This Works &amp; Sources'!$B$219:$J$223,0,7))*INDEX('How This Works &amp; Sources'!$B$219:$J$223,0,7+2))),IF($AN68="WV",IF($AU68="Married",SUMPRODUCT(($AZ68&gt;=INDEX('How This Works &amp; Sources'!$B$237:$J$241,0,7))*INDEX('How This Works &amp; Sources'!$B$237:$J$241,0,7+2)),SUMPRODUCT(($AZ68&gt;=INDEX('How This Works &amp; Sources'!$B$228:$J$232,0,7))*INDEX('How This Works &amp; Sources'!$B$228:$J$232,0,7+2))),IF($AN68="IN",(0.0295+'Your Pay &amp; Benefits'!$C$76),"")))))))))))))</f>
      </c>
      <c r="CC68" s="24">
        <f>IF($B68="","",IF($AN68="AR",SUMPRODUCT(($AZ68&gt;=INDEX('How This Works &amp; Sources'!$B$82:$J$86,0,7))*INDEX('How This Works &amp; Sources'!$B$82:$J$86,0,7+2)),IF($AN68="DE",SUMPRODUCT(($AZ68&gt;=INDEX('How This Works &amp; Sources'!$B$91:$J$98,0,1))*INDEX('How This Works &amp; Sources'!$B$91:$J$98,0,1+2)),IF($AN68="VA",SUMPRODUCT(($AZ68&gt;=INDEX('How This Works &amp; Sources'!$B$219:$J$223,0,4))*INDEX('How This Works &amp; Sources'!$B$219:$J$223,0,4+2)),IF($AN68="WI",SUMPRODUCT(($AZ68&gt;=INDEX('How This Works &amp; Sources'!$B$228:$J$232,0,4))*INDEX('How This Works &amp; Sources'!$B$228:$J$232,0,4+2)),IF($AN68="AZ",'Your Pay &amp; Benefits'!$C$82,IF($AN68="CO",IF($AY68&gt;IF($AU68="Married",10000,5000),0.044,0),IF($AN68="IA",IF($AY68&gt;IF($AU68="Head of household",19500,IF($AU68="Married",26000,13000)),0.038,0),IF($AN68="ID",IF($AY68&gt;IF($AU68="Married",32000,16094),0.053,0),IF($AN68="IL",IF($AY68&gt;(2925*$AS68+1000*$AT68),0.0495,0),IF($AN68="KY",IF($AI68&gt;3360,0.035,0),IF($AN68="LA",0.0309,IF($AN68="MA",IF(MAX(0,$AY68-MIN(($BD67+$Q68+$R68+$S68),2000)-IF($AS68=0,0,IF($AS68=1,4400,1000*$AS68+3400)))&gt;=1107750,0.09,0.05),IF($AN68="MS",IF($AI68-IF($AU68="Head of household",3400,IF($AU68="Married",4600,2300))-'Your Pay &amp; Benefits'!$C$85&gt;10000,0.04,0),IF($AN68="PA",0.0307,"")))))))))))))))</f>
      </c>
      <c r="CD68" s="21">
        <f>IF(YEAR(IF('Your Pay &amp; Benefits'!$C$7="Weekly",'Your Pay &amp; Benefits'!$C$9+7*(($BE67+1)-1),IF('Your Pay &amp; Benefits'!$C$7="Biweekly",'Your Pay &amp; Benefits'!$C$9+14*(($BE67+1)-1),IF('Your Pay &amp; Benefits'!$C$7="Semimonthly",DATE(YEAR('Your Pay &amp; Benefits'!$C$9),MONTH('Your Pay &amp; Benefits'!$C$9)+INT((($BE67+1)-1)/2),MIN(DAY('Your Pay &amp; Benefits'!$C$9),DAY(EOMONTH(DATE(YEAR('Your Pay &amp; Benefits'!$C$9),MONTH('Your Pay &amp; Benefits'!$C$9)+INT((($BE67+1)-1)/2),1),0))))+IF(MOD(($BE67+1)-1,2)=1,15,0),EDATE('Your Pay &amp; Benefits'!$C$9,($BE67+1)-1)))))&lt;&gt;'Your Pay &amp; Benefits'!$C$10,"",IF('Your Pay &amp; Benefits'!$C$7="Weekly",'Your Pay &amp; Benefits'!$C$9+7*(($BE67+1)-1),IF('Your Pay &amp; Benefits'!$C$7="Biweekly",'Your Pay &amp; Benefits'!$C$9+14*(($BE67+1)-1),IF('Your Pay &amp; Benefits'!$C$7="Semimonthly",DATE(YEAR('Your Pay &amp; Benefits'!$C$9),MONTH('Your Pay &amp; Benefits'!$C$9)+INT((($BE67+1)-1)/2),MIN(DAY('Your Pay &amp; Benefits'!$C$9),DAY(EOMONTH(DATE(YEAR('Your Pay &amp; Benefits'!$C$9),MONTH('Your Pay &amp; Benefits'!$C$9)+INT((($BE67+1)-1)/2),1),0))))+IF(MOD(($BE67+1)-1,2)=1,15,0),EDATE('Your Pay &amp; Benefits'!$C$9,($BE67+1)-1)))))</f>
      </c>
      <c r="CE68" s="21">
        <f>IF(MIN(IF(AND('Your Pay &amp; Benefits'!$C$58&gt;MAX($B$6:$B67),'Your Pay &amp; Benefits'!$C$58&gt;=DATE('Your Pay &amp; Benefits'!$C$10,1,1),'Your Pay &amp; Benefits'!$C$58&lt;=DATE('Your Pay &amp; Benefits'!$C$10,12,31)),'Your Pay &amp; Benefits'!$C$58,999999),IF(AND('Your Pay &amp; Benefits'!$C$59&gt;MAX($B$6:$B67),'Your Pay &amp; Benefits'!$C$59&gt;=DATE('Your Pay &amp; Benefits'!$C$10,1,1),'Your Pay &amp; Benefits'!$C$59&lt;=DATE('Your Pay &amp; Benefits'!$C$10,12,31)),'Your Pay &amp; Benefits'!$C$59,999999),IF(AND('Your Pay &amp; Benefits'!$C$60&gt;MAX($B$6:$B67),'Your Pay &amp; Benefits'!$C$60&gt;=DATE('Your Pay &amp; Benefits'!$C$10,1,1),'Your Pay &amp; Benefits'!$C$60&lt;=DATE('Your Pay &amp; Benefits'!$C$10,12,31)),'Your Pay &amp; Benefits'!$C$60,999999),IF(AND('Your Pay &amp; Benefits'!$C$61&gt;MAX($B$6:$B67),'Your Pay &amp; Benefits'!$C$61&gt;=DATE('Your Pay &amp; Benefits'!$C$10,1,1),'Your Pay &amp; Benefits'!$C$61&lt;=DATE('Your Pay &amp; Benefits'!$C$10,12,31)),'Your Pay &amp; Benefits'!$C$61,999999),IF(AND('Your Pay &amp; Benefits'!$C$62&gt;MAX($B$6:$B67),'Your Pay &amp; Benefits'!$C$62&gt;=DATE('Your Pay &amp; Benefits'!$C$10,1,1),'Your Pay &amp; Benefits'!$C$62&lt;=DATE('Your Pay &amp; Benefits'!$C$10,12,31)),'Your Pay &amp; Benefits'!$C$62,999999),IF(AND('Your Pay &amp; Benefits'!$C$63&gt;MAX($B$6:$B67),'Your Pay &amp; Benefits'!$C$63&gt;=DATE('Your Pay &amp; Benefits'!$C$10,1,1),'Your Pay &amp; Benefits'!$C$63&lt;=DATE('Your Pay &amp; Benefits'!$C$10,12,31)),'Your Pay &amp; Benefits'!$C$63,999999),IF(AND('Your Pay &amp; Benefits'!$C$64&gt;MAX($B$6:$B67),'Your Pay &amp; Benefits'!$C$64&gt;=DATE('Your Pay &amp; Benefits'!$C$10,1,1),'Your Pay &amp; Benefits'!$C$64&lt;=DATE('Your Pay &amp; Benefits'!$C$10,12,31)),'Your Pay &amp; Benefits'!$C$64,999999),IF(AND('Your Pay &amp; Benefits'!$C$65&gt;MAX($B$6:$B67),'Your Pay &amp; Benefits'!$C$65&gt;=DATE('Your Pay &amp; Benefits'!$C$10,1,1),'Your Pay &amp; Benefits'!$C$65&lt;=DATE('Your Pay &amp; Benefits'!$C$10,12,31)),'Your Pay &amp; Benefits'!$C$65,999999),IF(AND('Your Pay &amp; Benefits'!$C$66&gt;MAX($B$6:$B67),'Your Pay &amp; Benefits'!$C$66&gt;=DATE('Your Pay &amp; Benefits'!$C$10,1,1),'Your Pay &amp; Benefits'!$C$66&lt;=DATE('Your Pay &amp; Benefits'!$C$10,12,31)),'Your Pay &amp; Benefits'!$C$66,999999),IF(AND('Your Pay &amp; Benefits'!$C$67&gt;MAX($B$6:$B67),'Your Pay &amp; Benefits'!$C$67&gt;=DATE('Your Pay &amp; Benefits'!$C$10,1,1),'Your Pay &amp; Benefits'!$C$67&lt;=DATE('Your Pay &amp; Benefits'!$C$10,12,31)),'Your Pay &amp; Benefits'!$C$67,999999))=999999,"",MIN(IF(AND('Your Pay &amp; Benefits'!$C$58&gt;MAX($B$6:$B67),'Your Pay &amp; Benefits'!$C$58&gt;=DATE('Your Pay &amp; Benefits'!$C$10,1,1),'Your Pay &amp; Benefits'!$C$58&lt;=DATE('Your Pay &amp; Benefits'!$C$10,12,31)),'Your Pay &amp; Benefits'!$C$58,999999),IF(AND('Your Pay &amp; Benefits'!$C$59&gt;MAX($B$6:$B67),'Your Pay &amp; Benefits'!$C$59&gt;=DATE('Your Pay &amp; Benefits'!$C$10,1,1),'Your Pay &amp; Benefits'!$C$59&lt;=DATE('Your Pay &amp; Benefits'!$C$10,12,31)),'Your Pay &amp; Benefits'!$C$59,999999),IF(AND('Your Pay &amp; Benefits'!$C$60&gt;MAX($B$6:$B67),'Your Pay &amp; Benefits'!$C$60&gt;=DATE('Your Pay &amp; Benefits'!$C$10,1,1),'Your Pay &amp; Benefits'!$C$60&lt;=DATE('Your Pay &amp; Benefits'!$C$10,12,31)),'Your Pay &amp; Benefits'!$C$60,999999),IF(AND('Your Pay &amp; Benefits'!$C$61&gt;MAX($B$6:$B67),'Your Pay &amp; Benefits'!$C$61&gt;=DATE('Your Pay &amp; Benefits'!$C$10,1,1),'Your Pay &amp; Benefits'!$C$61&lt;=DATE('Your Pay &amp; Benefits'!$C$10,12,31)),'Your Pay &amp; Benefits'!$C$61,999999),IF(AND('Your Pay &amp; Benefits'!$C$62&gt;MAX($B$6:$B67),'Your Pay &amp; Benefits'!$C$62&gt;=DATE('Your Pay &amp; Benefits'!$C$10,1,1),'Your Pay &amp; Benefits'!$C$62&lt;=DATE('Your Pay &amp; Benefits'!$C$10,12,31)),'Your Pay &amp; Benefits'!$C$62,999999),IF(AND('Your Pay &amp; Benefits'!$C$63&gt;MAX($B$6:$B67),'Your Pay &amp; Benefits'!$C$63&gt;=DATE('Your Pay &amp; Benefits'!$C$10,1,1),'Your Pay &amp; Benefits'!$C$63&lt;=DATE('Your Pay &amp; Benefits'!$C$10,12,31)),'Your Pay &amp; Benefits'!$C$63,999999),IF(AND('Your Pay &amp; Benefits'!$C$64&gt;MAX($B$6:$B67),'Your Pay &amp; Benefits'!$C$64&gt;=DATE('Your Pay &amp; Benefits'!$C$10,1,1),'Your Pay &amp; Benefits'!$C$64&lt;=DATE('Your Pay &amp; Benefits'!$C$10,12,31)),'Your Pay &amp; Benefits'!$C$64,999999),IF(AND('Your Pay &amp; Benefits'!$C$65&gt;MAX($B$6:$B67),'Your Pay &amp; Benefits'!$C$65&gt;=DATE('Your Pay &amp; Benefits'!$C$10,1,1),'Your Pay &amp; Benefits'!$C$65&lt;=DATE('Your Pay &amp; Benefits'!$C$10,12,31)),'Your Pay &amp; Benefits'!$C$65,999999),IF(AND('Your Pay &amp; Benefits'!$C$66&gt;MAX($B$6:$B67),'Your Pay &amp; Benefits'!$C$66&gt;=DATE('Your Pay &amp; Benefits'!$C$10,1,1),'Your Pay &amp; Benefits'!$C$66&lt;=DATE('Your Pay &amp; Benefits'!$C$10,12,31)),'Your Pay &amp; Benefits'!$C$66,999999),IF(AND('Your Pay &amp; Benefits'!$C$67&gt;MAX($B$6:$B67),'Your Pay &amp; Benefits'!$C$67&gt;=DATE('Your Pay &amp; Benefits'!$C$10,1,1),'Your Pay &amp; Benefits'!$C$67&lt;=DATE('Your Pay &amp; Benefits'!$C$10,12,31)),'Your Pay &amp; Benefits'!$C$67,999999)))</f>
      </c>
      <c r="CF68">
        <f>IF($B68="","",IF($D68=0,$Y68,""))</f>
      </c>
    </row>
  </sheetData>
  <sheetProtection selectLockedCells="0" selectUnlockedCells="0" sheet="1" objects="0" insertRows="1" insertHyperlinks="1" autoFilter="1" scenarios="0" formatColumns="1" deleteColumns="1" insertColumns="1" pivotTables="1" deleteRows="1" formatCells="1" formatRows="1" sort="1"/>
  <mergeCells count="1">
    <mergeCell ref="B4:J4"/>
  </mergeCells>
  <conditionalFormatting sqref="T6:T68">
    <cfRule type="expression" priority="1" dxfId="1">
      <formula>AND($B6&lt;&gt;"",ISNUMBER(SEARCH("MANUAL",IFERROR(VLOOKUP($AN6,StateTables!$A$6:$AB$56,5,FALSE),""))),NOT('Your Pay &amp; Benefits'!$C$26),OR('Your Pay &amp; Benefits'!$C$28="",'Your Pay &amp; Benefits'!$C$28&lt;=0))</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tabColor rgb="00ED7D31"/>
    <outlinePr summaryBelow="1" summaryRight="1"/>
    <pageSetUpPr/>
  </sheetPr>
  <dimension ref="A1:J22"/>
  <sheetViews>
    <sheetView workbookViewId="0">
      <selection activeCell="A1" sqref="A1"/>
    </sheetView>
  </sheetViews>
  <sheetFormatPr baseColWidth="8" defaultRowHeight="15"/>
  <cols>
    <col width="2" customWidth="1" min="1" max="1"/>
    <col width="15" customWidth="1" min="2" max="2"/>
    <col width="21" customWidth="1" min="3" max="3"/>
    <col width="15" customWidth="1" min="4" max="4"/>
    <col width="15" customWidth="1" min="5" max="5"/>
    <col width="15" customWidth="1" min="6" max="6"/>
    <col width="15" customWidth="1" min="7" max="7"/>
    <col width="76" customWidth="1" min="8" max="8"/>
    <col hidden="1" width="15" customWidth="1" min="9" max="9"/>
    <col hidden="1" width="11" customWidth="1" min="10" max="10"/>
  </cols>
  <sheetData>
    <row r="1">
      <c r="B1" s="9" t="inlineStr">
        <is>
          <t>Changes &amp; Events — Earner 1</t>
        </is>
      </c>
    </row>
    <row r="2">
      <c r="B2" s="2" t="inlineStr">
        <is>
          <t>One row per change, effective on one of your pay dates. The schedule uses each event from its date forward; the Your Pay &amp; Benefits tab values apply until the first event of that type.</t>
        </is>
      </c>
    </row>
    <row r="3">
      <c r="B3" s="2" t="inlineStr">
        <is>
          <t>Employer change resets the Social Security wage cap (it is per-employer in real payroll) — enter any SS wages already taxed at the new employer in Value 1 (usually 0). The 401(k) cap does NOT reset: it is a per-person IRS limit. 'Deduction start/stop' begins or ends a paycheck deduction mid-year — a premium starting, an FSA/HSA election from a qualifying life event (birth, marriage, a spouse's job change), a commuter benefit ending.</t>
        </is>
      </c>
    </row>
    <row r="4"/>
    <row r="5">
      <c r="B5" s="81" t="inlineStr">
        <is>
          <t>Effective pay date</t>
        </is>
      </c>
      <c r="C5" s="81" t="inlineStr">
        <is>
          <t>Type</t>
        </is>
      </c>
      <c r="D5" s="81" t="inlineStr">
        <is>
          <t>Value 1</t>
        </is>
      </c>
      <c r="E5" s="81" t="inlineStr">
        <is>
          <t>Value 2</t>
        </is>
      </c>
      <c r="F5" s="81" t="inlineStr">
        <is>
          <t>Value 3</t>
        </is>
      </c>
      <c r="G5" s="81" t="inlineStr">
        <is>
          <t>Value 4</t>
        </is>
      </c>
      <c r="H5" s="81" t="inlineStr">
        <is>
          <t>Notes — what each type expects</t>
        </is>
      </c>
      <c r="I5" s="81" t="inlineStr">
        <is>
          <t>Resolved $ (engine)</t>
        </is>
      </c>
      <c r="J5" s="81" t="inlineStr">
        <is>
          <t>Stop? (engine)</t>
        </is>
      </c>
    </row>
    <row r="6">
      <c r="B6" s="38" t="n"/>
      <c r="C6" s="36" t="n"/>
      <c r="D6" s="36" t="n"/>
      <c r="E6" s="36" t="n"/>
      <c r="F6" s="36" t="n"/>
      <c r="G6" s="36" t="n"/>
      <c r="H6" s="2" t="inlineStr">
        <is>
          <t>Salary: V1=new salary · 401(k): V1=Percent/Fixed, V2=value · State move: V1=state, V2=status, V3=reg allow, V4=est allow · Employer: V1=SS wages already taxed at new employer · W-4: V1=Step 3, V2=4(a), V3=4(b), V4=4(c) · State cert: V3=reg allow, V4=est allow · Deduction start/stop: V1=which deduction (HSA, Health FSA, Dependent-care FSA, Premiums, Commuter, Other pre-tax, Other post-tax); start V2=new amount ($/check — but for an FSA, the new ANNUAL election)</t>
        </is>
      </c>
      <c r="I6" s="16">
        <f>IF($C6="Deduction stop",0,$E6)</f>
      </c>
      <c r="J6" s="20">
        <f>IF($C6="Deduction stop",1,IF($C6="Deduction start",0,""))</f>
      </c>
    </row>
    <row r="7">
      <c r="B7" s="38" t="n"/>
      <c r="C7" s="36" t="n"/>
      <c r="D7" s="36" t="n"/>
      <c r="E7" s="36" t="n"/>
      <c r="F7" s="36" t="n"/>
      <c r="G7" s="36" t="n"/>
      <c r="I7" s="16">
        <f>IF($C7="Deduction stop",0,$E7)</f>
      </c>
      <c r="J7" s="20">
        <f>IF($C7="Deduction stop",1,IF($C7="Deduction start",0,""))</f>
      </c>
    </row>
    <row r="8">
      <c r="B8" s="38" t="n"/>
      <c r="C8" s="36" t="n"/>
      <c r="D8" s="36" t="n"/>
      <c r="E8" s="36" t="n"/>
      <c r="F8" s="36" t="n"/>
      <c r="G8" s="36" t="n"/>
      <c r="I8" s="16">
        <f>IF($C8="Deduction stop",0,$E8)</f>
      </c>
      <c r="J8" s="20">
        <f>IF($C8="Deduction stop",1,IF($C8="Deduction start",0,""))</f>
      </c>
    </row>
    <row r="9">
      <c r="B9" s="38" t="n"/>
      <c r="C9" s="36" t="n"/>
      <c r="D9" s="36" t="n"/>
      <c r="E9" s="36" t="n"/>
      <c r="F9" s="36" t="n"/>
      <c r="G9" s="36" t="n"/>
      <c r="I9" s="16">
        <f>IF($C9="Deduction stop",0,$E9)</f>
      </c>
      <c r="J9" s="20">
        <f>IF($C9="Deduction stop",1,IF($C9="Deduction start",0,""))</f>
      </c>
    </row>
    <row r="10">
      <c r="B10" s="38" t="n"/>
      <c r="C10" s="36" t="n"/>
      <c r="D10" s="36" t="n"/>
      <c r="E10" s="36" t="n"/>
      <c r="F10" s="36" t="n"/>
      <c r="G10" s="36" t="n"/>
      <c r="I10" s="16">
        <f>IF($C10="Deduction stop",0,$E10)</f>
      </c>
      <c r="J10" s="20">
        <f>IF($C10="Deduction stop",1,IF($C10="Deduction start",0,""))</f>
      </c>
    </row>
    <row r="11">
      <c r="B11" s="38" t="n"/>
      <c r="C11" s="36" t="n"/>
      <c r="D11" s="36" t="n"/>
      <c r="E11" s="36" t="n"/>
      <c r="F11" s="36" t="n"/>
      <c r="G11" s="36" t="n"/>
      <c r="I11" s="16">
        <f>IF($C11="Deduction stop",0,$E11)</f>
      </c>
      <c r="J11" s="20">
        <f>IF($C11="Deduction stop",1,IF($C11="Deduction start",0,""))</f>
      </c>
    </row>
    <row r="12">
      <c r="B12" s="38" t="n"/>
      <c r="C12" s="36" t="n"/>
      <c r="D12" s="36" t="n"/>
      <c r="E12" s="36" t="n"/>
      <c r="F12" s="36" t="n"/>
      <c r="G12" s="36" t="n"/>
      <c r="I12" s="16">
        <f>IF($C12="Deduction stop",0,$E12)</f>
      </c>
      <c r="J12" s="20">
        <f>IF($C12="Deduction stop",1,IF($C12="Deduction start",0,""))</f>
      </c>
    </row>
    <row r="13">
      <c r="B13" s="38" t="n"/>
      <c r="C13" s="36" t="n"/>
      <c r="D13" s="36" t="n"/>
      <c r="E13" s="36" t="n"/>
      <c r="F13" s="36" t="n"/>
      <c r="G13" s="36" t="n"/>
      <c r="I13" s="16">
        <f>IF($C13="Deduction stop",0,$E13)</f>
      </c>
      <c r="J13" s="20">
        <f>IF($C13="Deduction stop",1,IF($C13="Deduction start",0,""))</f>
      </c>
    </row>
    <row r="14">
      <c r="B14" s="38" t="n"/>
      <c r="C14" s="36" t="n"/>
      <c r="D14" s="36" t="n"/>
      <c r="E14" s="36" t="n"/>
      <c r="F14" s="36" t="n"/>
      <c r="G14" s="36" t="n"/>
      <c r="I14" s="16">
        <f>IF($C14="Deduction stop",0,$E14)</f>
      </c>
      <c r="J14" s="20">
        <f>IF($C14="Deduction stop",1,IF($C14="Deduction start",0,""))</f>
      </c>
    </row>
    <row r="15">
      <c r="B15" s="38" t="n"/>
      <c r="C15" s="36" t="n"/>
      <c r="D15" s="36" t="n"/>
      <c r="E15" s="36" t="n"/>
      <c r="F15" s="36" t="n"/>
      <c r="G15" s="36" t="n"/>
      <c r="I15" s="16">
        <f>IF($C15="Deduction stop",0,$E15)</f>
      </c>
      <c r="J15" s="20">
        <f>IF($C15="Deduction stop",1,IF($C15="Deduction start",0,""))</f>
      </c>
    </row>
    <row r="16">
      <c r="B16" s="38" t="n"/>
      <c r="C16" s="36" t="n"/>
      <c r="D16" s="36" t="n"/>
      <c r="E16" s="36" t="n"/>
      <c r="F16" s="36" t="n"/>
      <c r="G16" s="36" t="n"/>
      <c r="I16" s="16">
        <f>IF($C16="Deduction stop",0,$E16)</f>
      </c>
      <c r="J16" s="20">
        <f>IF($C16="Deduction stop",1,IF($C16="Deduction start",0,""))</f>
      </c>
    </row>
    <row r="17">
      <c r="B17" s="38" t="n"/>
      <c r="C17" s="36" t="n"/>
      <c r="D17" s="36" t="n"/>
      <c r="E17" s="36" t="n"/>
      <c r="F17" s="36" t="n"/>
      <c r="G17" s="36" t="n"/>
      <c r="I17" s="16">
        <f>IF($C17="Deduction stop",0,$E17)</f>
      </c>
      <c r="J17" s="20">
        <f>IF($C17="Deduction stop",1,IF($C17="Deduction start",0,""))</f>
      </c>
    </row>
    <row r="18"/>
    <row r="19">
      <c r="B19" s="8">
        <f>IF(SUMPRODUCT((B6:B17&lt;&gt;"")*(COUNTIF('Your Year'!$B$6:$B$68,B6:B17)=0))&gt;0,"⚠ NOTE: an event date above does not fall exactly on a pay date. Events take effect on the first pay date on or after their date; a date after the final pay date never takes effect.","")</f>
      </c>
    </row>
    <row r="20"/>
    <row r="21">
      <c r="B21" s="2" t="inlineStr">
        <is>
          <t>Deduction start/stop — how it works: name the deduction in Value 1 exactly as listed in the note above. A start replaces the Your Pay &amp; Benefits amount from that pay date forward; a stop sets it to $0. For HSA, Premiums, Commuter and the two 'Other' lines the amount is dollars per check. For a Health FSA or Dependent-care FSA start, Value 2 is the new ANNUAL election: the planner spreads what is left of it over the paydays that remain in the year, the way payroll does after a qualifying life event. A later start for the same deduction overrides an earlier stop, and vice versa.</t>
        </is>
      </c>
    </row>
    <row r="22">
      <c r="B22" s="2" t="inlineStr">
        <is>
          <t>FSA elections normally can only change mid-year after a qualifying life event (birth, adoption, marriage, divorce, a spouse's job or coverage change) — your plan's rules govern what is allowed; this planner just does the math for the change you enter.</t>
        </is>
      </c>
    </row>
  </sheetData>
  <sheetProtection selectLockedCells="0" selectUnlockedCells="0" sheet="1" objects="0" insertRows="1" insertHyperlinks="1" autoFilter="1" scenarios="0" formatColumns="1" deleteColumns="1" insertColumns="1" pivotTables="1" deleteRows="1" formatCells="1" formatRows="1" sort="1"/>
  <mergeCells count="5">
    <mergeCell ref="B22:H22"/>
    <mergeCell ref="B21:H21"/>
    <mergeCell ref="B2:H2"/>
    <mergeCell ref="B3:H3"/>
    <mergeCell ref="B19:H19"/>
  </mergeCells>
  <dataValidations count="1">
    <dataValidation sqref="C6:C17" showDropDown="0" showInputMessage="0" showErrorMessage="0" allowBlank="0" type="list">
      <formula1>"Salary change,401(k) change,State move,Employer change,W-4 change,State cert change,Deduction start,Deduction stop"</formula1>
    </dataValidation>
  </dataValidations>
  <pageMargins left="0.75" right="0.75" top="1" bottom="1" header="0.5" footer="0.5"/>
</worksheet>
</file>

<file path=xl/worksheets/sheet5.xml><?xml version="1.0" encoding="utf-8"?>
<worksheet xmlns="http://schemas.openxmlformats.org/spreadsheetml/2006/main">
  <sheetPr>
    <tabColor rgb="00FFC000"/>
    <outlinePr summaryBelow="1" summaryRight="1"/>
    <pageSetUpPr/>
  </sheetPr>
  <dimension ref="A1:F102"/>
  <sheetViews>
    <sheetView zoomScale="100" workbookViewId="0">
      <selection activeCell="A1" sqref="A1"/>
    </sheetView>
  </sheetViews>
  <sheetFormatPr baseColWidth="8" defaultRowHeight="15"/>
  <cols>
    <col width="2" customWidth="1" min="1" max="1"/>
    <col width="46" customWidth="1" min="2" max="2"/>
    <col width="17" customWidth="1" min="3" max="3"/>
    <col width="15" customWidth="1" min="4" max="4"/>
    <col width="74" customWidth="1" min="5" max="5"/>
    <col width="52" customWidth="1" min="6" max="6"/>
  </cols>
  <sheetData>
    <row r="1">
      <c r="B1" s="64" t="inlineStr">
        <is>
          <t>Second Earner — Earner 2's pay &amp; benefits</t>
        </is>
      </c>
      <c r="E1" s="79" t="inlineStr">
        <is>
          <t>Second earner in this household?</t>
        </is>
      </c>
      <c r="F1" s="52" t="inlineStr">
        <is>
          <t>No</t>
        </is>
      </c>
    </row>
    <row r="2" ht="28" customHeight="1">
      <c r="B2" s="66" t="inlineStr">
        <is>
          <t>Earner 2 (optional). This tab feeds Your Year — Earner 2; Household and Your Goals merge it with Earner 1. Leave pay at $0 and Earner 2 adds nothing.</t>
        </is>
      </c>
      <c r="E2" s="51">
        <f>IF($F$1="Yes","Switch ON — fill in the gold cells below; Earner 2 joins Household and Your Goals.","Switch OFF — this tab is idle: with pay at $0, Earner 2 adds nothing to Household or Your Goals. The switch is a guide — the math always follows the numbers actually entered.")</f>
      </c>
    </row>
    <row r="3">
      <c r="B3" s="67" t="inlineStr">
        <is>
          <t>1 · Pay &amp; schedule</t>
        </is>
      </c>
      <c r="C3" s="48" t="n"/>
      <c r="D3" s="48" t="n"/>
      <c r="E3" s="48" t="n"/>
    </row>
    <row r="4">
      <c r="B4" t="inlineStr">
        <is>
          <t>Pay basis</t>
        </is>
      </c>
      <c r="C4" s="68" t="inlineStr">
        <is>
          <t>Annual salary</t>
        </is>
      </c>
      <c r="E4" s="2" t="inlineStr">
        <is>
          <t>Choose 'Annual salary' or 'Per-check gross'.</t>
        </is>
      </c>
    </row>
    <row r="5">
      <c r="B5" t="inlineStr">
        <is>
          <t>Annual salary ($)</t>
        </is>
      </c>
      <c r="C5" s="70" t="n">
        <v>0</v>
      </c>
    </row>
    <row r="6">
      <c r="B6" t="inlineStr">
        <is>
          <t>OR gross pay per check ($)</t>
        </is>
      </c>
      <c r="C6" s="70" t="n">
        <v>0</v>
      </c>
      <c r="E6" s="2" t="inlineStr">
        <is>
          <t>Used only when pay basis is 'Per-check gross'.</t>
        </is>
      </c>
    </row>
    <row r="7">
      <c r="B7" t="inlineStr">
        <is>
          <t>Pay frequency</t>
        </is>
      </c>
      <c r="C7" s="68" t="inlineStr">
        <is>
          <t>Biweekly</t>
        </is>
      </c>
      <c r="E7" s="2" t="inlineStr">
        <is>
          <t>Weekly / Biweekly / Semimonthly / Monthly.</t>
        </is>
      </c>
    </row>
    <row r="8">
      <c r="B8" t="inlineStr">
        <is>
          <t>Pay periods per year (auto)</t>
        </is>
      </c>
      <c r="C8" s="13">
        <f>IF(C7="Weekly",52,IF(C7="Biweekly",26,IF(C7="Semimonthly",24,12)))</f>
      </c>
    </row>
    <row r="9">
      <c r="B9" t="inlineStr">
        <is>
          <t>First pay date of the year</t>
        </is>
      </c>
      <c r="C9" s="74" t="n">
        <v>46024</v>
      </c>
      <c r="E9" s="2" t="inlineStr">
        <is>
          <t>The first payday of the planning year on your employer's cycle. A biweekly cycle can produce 27 paydays in a year — the schedule handles that naturally.</t>
        </is>
      </c>
    </row>
    <row r="10">
      <c r="B10" t="inlineStr">
        <is>
          <t>Planning year</t>
        </is>
      </c>
      <c r="C10" s="73" t="n">
        <v>2026</v>
      </c>
    </row>
    <row r="11">
      <c r="B11" s="67" t="inlineStr">
        <is>
          <t>2 · Federal Form W-4 (as filed)</t>
        </is>
      </c>
      <c r="C11" s="48" t="n"/>
      <c r="D11" s="48" t="n"/>
      <c r="E11" s="48" t="n"/>
    </row>
    <row r="12">
      <c r="B12" t="inlineStr">
        <is>
          <t>Filing status (Step 1c)</t>
        </is>
      </c>
      <c r="C12" s="68" t="inlineStr">
        <is>
          <t>Single</t>
        </is>
      </c>
      <c r="E12" s="2" t="inlineStr">
        <is>
          <t>Single / MFJ / HoH — exactly as on your W-4.</t>
        </is>
      </c>
    </row>
    <row r="13">
      <c r="B13" t="inlineStr">
        <is>
          <t>Step 2 box checked?</t>
        </is>
      </c>
      <c r="C13" s="68" t="b">
        <v>0</v>
      </c>
      <c r="E13" s="2" t="inlineStr">
        <is>
          <t>Only if you checked the multiple-jobs box in Step 2(c).</t>
        </is>
      </c>
    </row>
    <row r="14">
      <c r="B14" t="inlineStr">
        <is>
          <t>Step 3 — dependents &amp; credits ($/yr)</t>
        </is>
      </c>
      <c r="C14" s="70" t="n">
        <v>0</v>
      </c>
    </row>
    <row r="15">
      <c r="B15" t="inlineStr">
        <is>
          <t>Step 4(a) — other income ($/yr)</t>
        </is>
      </c>
      <c r="C15" s="70" t="n">
        <v>0</v>
      </c>
    </row>
    <row r="16">
      <c r="B16" t="inlineStr">
        <is>
          <t>Step 4(b) — deductions ($/yr)</t>
        </is>
      </c>
      <c r="C16" s="70" t="n">
        <v>0</v>
      </c>
      <c r="E16" s="2" t="inlineStr">
        <is>
          <t>Amount above the standard deduction, from the W-4 Deductions Worksheet.</t>
        </is>
      </c>
    </row>
    <row r="17">
      <c r="B17" t="inlineStr">
        <is>
          <t>Step 4(c) — extra withholding ($/check)</t>
        </is>
      </c>
      <c r="C17" s="70" t="n">
        <v>0</v>
      </c>
    </row>
    <row r="18">
      <c r="B18" t="inlineStr">
        <is>
          <t>Exempt from federal withholding?</t>
        </is>
      </c>
      <c r="C18" s="68" t="b">
        <v>0</v>
      </c>
    </row>
    <row r="19">
      <c r="B19" t="inlineStr">
        <is>
          <t>Your age at year-end</t>
        </is>
      </c>
      <c r="C19" s="73" t="n">
        <v>40</v>
      </c>
      <c r="E19" s="2" t="inlineStr">
        <is>
          <t>Drives the 401(k) catch-up cap (50+: +$8,000; 60–63: +$11,250).</t>
        </is>
      </c>
    </row>
    <row r="20">
      <c r="B20" s="67" t="inlineStr">
        <is>
          <t>3 · State withholding certificate</t>
        </is>
      </c>
      <c r="C20" s="48" t="n"/>
      <c r="D20" s="48" t="n"/>
      <c r="E20" s="48" t="n"/>
    </row>
    <row r="21">
      <c r="B21" t="inlineStr">
        <is>
          <t>State</t>
        </is>
      </c>
      <c r="C21" s="68" t="inlineStr">
        <is>
          <t>CA</t>
        </is>
      </c>
      <c r="E21" s="2" t="inlineStr">
        <is>
          <t>Most states compute live in v0.2 — see StateTables for which, and for the state-specific meaning of the allowance fields below.</t>
        </is>
      </c>
    </row>
    <row r="22">
      <c r="B22" t="inlineStr">
        <is>
          <t>State filing status</t>
        </is>
      </c>
      <c r="C22" s="68" t="inlineStr">
        <is>
          <t>Single</t>
        </is>
      </c>
      <c r="E22" s="2" t="inlineStr">
        <is>
          <t>Single / Married / Head of household (as your state defines them).</t>
        </is>
      </c>
    </row>
    <row r="23">
      <c r="B23" t="inlineStr">
        <is>
          <t>State regular allowances / exemptions</t>
        </is>
      </c>
      <c r="C23" s="73" t="n">
        <v>0</v>
      </c>
    </row>
    <row r="24">
      <c r="B24" t="inlineStr">
        <is>
          <t>State estimated-deduction allowances</t>
        </is>
      </c>
      <c r="C24" s="73" t="n">
        <v>0</v>
      </c>
      <c r="E24" s="2" t="inlineStr">
        <is>
          <t>CA DE 4 line 1b (Worksheet B) — one allowance per $1,000 of expected deductions above the standard deduction.</t>
        </is>
      </c>
    </row>
    <row r="25">
      <c r="B25" t="inlineStr">
        <is>
          <t>Extra state withholding ($/check)</t>
        </is>
      </c>
      <c r="C25" s="70" t="n">
        <v>0</v>
      </c>
    </row>
    <row r="26">
      <c r="B26" t="inlineStr">
        <is>
          <t>Exempt from state withholding?</t>
        </is>
      </c>
      <c r="C26" s="68" t="b">
        <v>0</v>
      </c>
    </row>
    <row r="27">
      <c r="B27" t="inlineStr">
        <is>
          <t>Local withholding ($/check, if any)</t>
        </is>
      </c>
      <c r="C27" s="70" t="n">
        <v>0</v>
      </c>
      <c r="E27" s="2" t="inlineStr">
        <is>
          <t>Flat per-check local tax (e.g., a city tax your employer withholds). NYC, Yonkers and Philadelphia compute from the section-8 settings below; a generic local rate is also there.</t>
        </is>
      </c>
    </row>
    <row r="28">
      <c r="B28" t="inlineStr">
        <is>
          <t>State withholding per check — copy from your paystub ($/check, manual-entry states only)</t>
        </is>
      </c>
      <c r="C28" s="70" t="n">
        <v>0</v>
      </c>
      <c r="E28" s="2">
        <f>IF(AND(ISNUMBER(SEARCH("MANUAL",IFERROR(VLOOKUP($C$21,StateTables!$A$6:$AB$56,5,FALSE),""))),NOT($C$26),OR($C$28="",$C$28&lt;=0)),"⚠⚠ STATE TAX NOT ENTERED — "&amp;$C$21&amp;" is a manual-entry state and the 'State withholding per check' field in row 28 of this tab is blank or $0, so this plan currently shows $0 state withholding and take-home pay that is too high. Copy the amount from one regular pay stub — the line labeled 'State Tax', 'State WH' or 'ST W/H' beside your state code — into the yellow row-28 field now; until you do, treat every state and net figure in this workbook as INCOMPLETE.",IF(AND(ISNUMBER(SEARCH("MANUAL",IFERROR(VLOOKUP($C$21,StateTables!$A$6:$AB$56,5,FALSE),""))),NOT($C$26)),"✓ Manual-entry state: this plan uses the "&amp;TEXT($C$28,"$#,##0.00")&amp;" per check you copied from your pay stub into row 28 as the "&amp;$C$21&amp;" withholding on every paycheck — update it whenever your stub amount changes.","Manual-entry states only (CT, DC, GA, ME, NC, NM, UT): copy your state withholding per check from a regular pay stub — the line labeled 'State Tax', 'State WH' or 'ST W/H' beside your state code. Every other state ignores this field and computes automatically."))</f>
      </c>
    </row>
    <row r="29">
      <c r="B29" s="67" t="inlineStr">
        <is>
          <t>4 · Your deductions</t>
        </is>
      </c>
      <c r="C29" s="48" t="n"/>
      <c r="D29" s="48" t="n"/>
      <c r="E29" s="48" t="n"/>
    </row>
    <row r="30">
      <c r="B30" t="inlineStr">
        <is>
          <t>401(k)/403(b)/457 pre-tax — mode</t>
        </is>
      </c>
      <c r="C30" s="68" t="inlineStr">
        <is>
          <t>Percent</t>
        </is>
      </c>
      <c r="D30" s="70" t="n">
        <v>0</v>
      </c>
      <c r="E30" s="2" t="inlineStr">
        <is>
          <t>Percent = a decimal (0.05 = 5% of gross). Fixed = $ per check. Pre-tax 401(k) lowers income tax but NOT Social Security/Medicare tax.</t>
        </is>
      </c>
    </row>
    <row r="31">
      <c r="B31" t="inlineStr">
        <is>
          <t>401(k)/403(b)/457 pre-tax — value</t>
        </is>
      </c>
      <c r="D31" s="70" t="n">
        <v>0</v>
      </c>
    </row>
    <row r="32">
      <c r="B32" t="inlineStr">
        <is>
          <t>Roth 401(k) — mode</t>
        </is>
      </c>
      <c r="C32" s="68" t="inlineStr">
        <is>
          <t>Percent</t>
        </is>
      </c>
      <c r="D32" s="70" t="n">
        <v>0</v>
      </c>
      <c r="E32" s="2" t="inlineStr">
        <is>
          <t>Roth is post-tax but counts toward the same IRS deferral cap as pre-tax.</t>
        </is>
      </c>
    </row>
    <row r="33">
      <c r="B33" t="inlineStr">
        <is>
          <t>Roth 401(k) — value</t>
        </is>
      </c>
    </row>
    <row r="34">
      <c r="B34" t="inlineStr">
        <is>
          <t>401(k) deferral cap for you (auto)</t>
        </is>
      </c>
      <c r="C34" s="16">
        <f>24500+IF(AND(C19&gt;=60,C19&lt;=63),11250,IF(C19&gt;=50,8000,0))</f>
      </c>
      <c r="E34" s="17" t="inlineStr">
        <is>
          <t>2026 IRS cap $24,500 + catch-up by your age.</t>
        </is>
      </c>
    </row>
    <row r="35">
      <c r="B35" t="inlineStr">
        <is>
          <t>HSA contribution ($/check, through payroll)</t>
        </is>
      </c>
      <c r="D35" s="70" t="n">
        <v>0</v>
      </c>
      <c r="E35" s="2" t="inlineStr">
        <is>
          <t>Through payroll it lowers income tax AND FICA. Requires an HDHP.</t>
        </is>
      </c>
    </row>
    <row r="36">
      <c r="B36" t="inlineStr">
        <is>
          <t>HSA coverage tier</t>
        </is>
      </c>
      <c r="C36" s="68" t="inlineStr">
        <is>
          <t>Self-only</t>
        </is>
      </c>
      <c r="E36" s="2" t="inlineStr">
        <is>
          <t>Self-only / Family.</t>
        </is>
      </c>
    </row>
    <row r="37">
      <c r="B37" t="inlineStr">
        <is>
          <t>HSA annual limit for you (auto)</t>
        </is>
      </c>
      <c r="C37" s="16">
        <f>(IF(C36="Family",'How This Works &amp; Sources'!$C$12,'How This Works &amp; Sources'!$C$11))+IF(C19&gt;=55,1000,0)</f>
      </c>
    </row>
    <row r="38">
      <c r="B38" t="inlineStr">
        <is>
          <t>Health FSA — annual election ($/yr)</t>
        </is>
      </c>
      <c r="D38" s="70" t="n">
        <v>0</v>
      </c>
      <c r="E38" s="2" t="inlineStr">
        <is>
          <t>Spread evenly across checks; the IRS limit is enforced. Use-it-or-lose-it: elect what you will actually spend.</t>
        </is>
      </c>
    </row>
    <row r="39">
      <c r="B39" t="inlineStr">
        <is>
          <t>Dependent-care FSA — annual election ($/yr)</t>
        </is>
      </c>
      <c r="D39" s="70" t="n">
        <v>0</v>
      </c>
      <c r="E39" s="2" t="inlineStr">
        <is>
          <t>Spread evenly; IRS limit enforced. Both spouses need earned income.</t>
        </is>
      </c>
    </row>
    <row r="40">
      <c r="B40" t="inlineStr">
        <is>
          <t>Medical premium ($/check, pre-tax §125)</t>
        </is>
      </c>
      <c r="D40" s="70" t="n">
        <v>0</v>
      </c>
    </row>
    <row r="41">
      <c r="B41" t="inlineStr">
        <is>
          <t>Dental premium ($/check, pre-tax §125)</t>
        </is>
      </c>
      <c r="D41" s="70" t="n">
        <v>0</v>
      </c>
    </row>
    <row r="42">
      <c r="B42" t="inlineStr">
        <is>
          <t>Vision premium ($/check, pre-tax §125)</t>
        </is>
      </c>
      <c r="D42" s="70" t="n">
        <v>0</v>
      </c>
    </row>
    <row r="43">
      <c r="B43" t="inlineStr">
        <is>
          <t>Commuter/parking ($/check, pre-tax)</t>
        </is>
      </c>
      <c r="D43" s="70" t="n">
        <v>0</v>
      </c>
    </row>
    <row r="44">
      <c r="B44" t="inlineStr">
        <is>
          <t>Other pre-tax deduction ($/check)</t>
        </is>
      </c>
      <c r="D44" s="70" t="n">
        <v>0</v>
      </c>
    </row>
    <row r="45">
      <c r="B45" t="inlineStr">
        <is>
          <t>Other post-tax deduction ($/check)</t>
        </is>
      </c>
      <c r="D45" s="70" t="n">
        <v>0</v>
      </c>
      <c r="E45" s="2" t="inlineStr">
        <is>
          <t>Flat voluntary deductions that do not reduce any tax.</t>
        </is>
      </c>
    </row>
    <row r="46">
      <c r="B46" t="inlineStr">
        <is>
          <t>Imputed income ($/check)</t>
        </is>
      </c>
      <c r="D46" s="70" t="n">
        <v>0</v>
      </c>
      <c r="E46" s="2" t="inlineStr">
        <is>
          <t>Taxable but not paid in cash (e.g., group-term life over $50K). It raises taxable wages without raising gross pay.</t>
        </is>
      </c>
    </row>
    <row r="47">
      <c r="B47" s="67" t="inlineStr">
        <is>
          <t>5 · Starting balances (skip if you start Jan 1 at this job)</t>
        </is>
      </c>
      <c r="C47" s="48" t="n"/>
      <c r="D47" s="48" t="n"/>
      <c r="E47" s="48" t="n"/>
    </row>
    <row r="48">
      <c r="B48" t="inlineStr">
        <is>
          <t>Gross wages already paid this year ($)</t>
        </is>
      </c>
      <c r="C48" s="70" t="n">
        <v>0</v>
      </c>
    </row>
    <row r="49">
      <c r="B49" t="inlineStr">
        <is>
          <t>Social Security wages already taxed ($)</t>
        </is>
      </c>
      <c r="C49" s="70" t="n">
        <v>0</v>
      </c>
      <c r="E49" s="2" t="inlineStr">
        <is>
          <t>From your last pay stub's YTD figures. Drives when the SS cap bites.</t>
        </is>
      </c>
    </row>
    <row r="50">
      <c r="B50" t="inlineStr">
        <is>
          <t>Medicare wages already taxed ($)</t>
        </is>
      </c>
      <c r="C50" s="70" t="n">
        <v>0</v>
      </c>
      <c r="E50" s="2" t="inlineStr">
        <is>
          <t>Drives the $200,000 Additional Medicare threshold.</t>
        </is>
      </c>
    </row>
    <row r="51">
      <c r="B51" t="inlineStr">
        <is>
          <t>401(k) already deferred this year ($)</t>
        </is>
      </c>
      <c r="C51" s="70" t="n">
        <v>0</v>
      </c>
    </row>
    <row r="52">
      <c r="B52" t="inlineStr">
        <is>
          <t>Health FSA already deferred ($)</t>
        </is>
      </c>
      <c r="C52" s="70" t="n">
        <v>0</v>
      </c>
    </row>
    <row r="53">
      <c r="B53" t="inlineStr">
        <is>
          <t>Dependent-care FSA already deferred ($)</t>
        </is>
      </c>
      <c r="C53" s="70" t="n">
        <v>0</v>
      </c>
    </row>
    <row r="54">
      <c r="B54" t="inlineStr">
        <is>
          <t>HSA already contributed ($)</t>
        </is>
      </c>
      <c r="C54" s="70" t="n">
        <v>0</v>
      </c>
    </row>
    <row r="55">
      <c r="B55" t="inlineStr">
        <is>
          <t>Federal withholding already taken ($, info)</t>
        </is>
      </c>
      <c r="C55" s="70" t="n">
        <v>0</v>
      </c>
      <c r="E55" s="2" t="inlineStr">
        <is>
          <t>For your Year-End Year-End True-Up view; not used in the per-check math.</t>
        </is>
      </c>
    </row>
    <row r="56">
      <c r="B56" t="inlineStr">
        <is>
          <t>State withholding already taken ($, info)</t>
        </is>
      </c>
      <c r="C56" s="70" t="n">
        <v>0</v>
      </c>
    </row>
    <row r="57">
      <c r="B57" s="5" t="inlineStr">
        <is>
          <t>Date</t>
        </is>
      </c>
      <c r="D57" s="5" t="inlineStr">
        <is>
          <t>Amount ($)</t>
        </is>
      </c>
      <c r="E57" s="10" t="inlineStr">
        <is>
          <t>6 · One-off payments (bonuses, commissions, other one-time pay)</t>
        </is>
      </c>
    </row>
    <row r="58">
      <c r="B58" t="inlineStr">
        <is>
          <t>One-off #1</t>
        </is>
      </c>
      <c r="C58" s="74" t="n"/>
      <c r="D58" s="70" t="n">
        <v>0</v>
      </c>
      <c r="E58" s="2" t="inlineStr">
        <is>
          <t>Each one-off gets its own row in the schedule on its date (or rides the row if it falls on a pay date). Federal withholding follows the method in row 89; states apply their published supplemental rule where one exists. Dates outside the planning year cannot be scheduled — see the warning under the table.</t>
        </is>
      </c>
    </row>
    <row r="59">
      <c r="B59" t="inlineStr">
        <is>
          <t>One-off #2</t>
        </is>
      </c>
      <c r="C59" s="74" t="n"/>
      <c r="D59" s="70" t="n">
        <v>0</v>
      </c>
    </row>
    <row r="60">
      <c r="B60" t="inlineStr">
        <is>
          <t>One-off #3</t>
        </is>
      </c>
      <c r="C60" s="74" t="n"/>
      <c r="D60" s="70" t="n">
        <v>0</v>
      </c>
    </row>
    <row r="61">
      <c r="B61" t="inlineStr">
        <is>
          <t>One-off #4</t>
        </is>
      </c>
      <c r="C61" s="74" t="n"/>
      <c r="D61" s="70" t="n">
        <v>0</v>
      </c>
    </row>
    <row r="62">
      <c r="B62" t="inlineStr">
        <is>
          <t>One-off #5</t>
        </is>
      </c>
      <c r="C62" s="74" t="n"/>
      <c r="D62" s="70" t="n">
        <v>0</v>
      </c>
    </row>
    <row r="63">
      <c r="B63" t="inlineStr">
        <is>
          <t>One-off #6</t>
        </is>
      </c>
      <c r="C63" s="74" t="n"/>
      <c r="D63" s="70" t="n">
        <v>0</v>
      </c>
    </row>
    <row r="64">
      <c r="B64" t="inlineStr">
        <is>
          <t>One-off #7</t>
        </is>
      </c>
      <c r="C64" s="74" t="n"/>
      <c r="D64" s="70" t="n">
        <v>0</v>
      </c>
    </row>
    <row r="65">
      <c r="B65" t="inlineStr">
        <is>
          <t>One-off #8</t>
        </is>
      </c>
      <c r="C65" s="74" t="n"/>
      <c r="D65" s="70" t="n">
        <v>0</v>
      </c>
    </row>
    <row r="66">
      <c r="B66" t="inlineStr">
        <is>
          <t>One-off #9</t>
        </is>
      </c>
      <c r="C66" s="74" t="n"/>
      <c r="D66" s="70" t="n">
        <v>0</v>
      </c>
    </row>
    <row r="67">
      <c r="B67" t="inlineStr">
        <is>
          <t>One-off #10</t>
        </is>
      </c>
      <c r="C67" s="74" t="n"/>
      <c r="D67" s="70" t="n">
        <v>0</v>
      </c>
    </row>
    <row r="68">
      <c r="B68" t="inlineStr">
        <is>
          <t>One-off total entered</t>
        </is>
      </c>
      <c r="C68" s="16">
        <f>SUM(D58:D67)</f>
      </c>
    </row>
    <row r="69">
      <c r="B69" t="inlineStr">
        <is>
          <t>One-off total scheduled</t>
        </is>
      </c>
      <c r="C69" s="16">
        <f>SUM('Your Year — Earner 2'!D6:D68)</f>
      </c>
      <c r="E69" s="2" t="inlineStr">
        <is>
          <t>If these two totals differ, a one-off date falls outside the planning year and could not be scheduled.</t>
        </is>
      </c>
    </row>
    <row r="70">
      <c r="B70" s="8">
        <f>IF(SUMPRODUCT((C58:C67&lt;&gt;"")*(YEAR(C58:C67)&lt;&gt;C10))&gt;0,"⚠ WARNING: a one-off date falls OUTSIDE the planning year — it cannot be scheduled and is excluded above. ","")&amp;IF(SUMPRODUCT((C58:C67&lt;&gt;"")*(COUNTIF(C58:C67,C58:C67)&gt;1))&gt;0,"⚠ NOTE: duplicate one-off dates are combined into a single schedule row.","")</f>
      </c>
    </row>
    <row r="71">
      <c r="B71" s="67" t="inlineStr">
        <is>
          <t>7 · In-year changes (raises, moves, new employer, new W-4)</t>
        </is>
      </c>
      <c r="C71" s="48" t="n"/>
      <c r="D71" s="48" t="n"/>
      <c r="E71" s="48" t="n"/>
    </row>
    <row r="72">
      <c r="B72" s="3" t="inlineStr">
        <is>
          <t>Life happens mid-year: use the Changes &amp; Changes &amp; Events tab. Each event takes effect on a pay date and the schedule resolves salary, 401(k), state, W-4, and employer (Social Security cap) changes from that date forward.</t>
        </is>
      </c>
    </row>
    <row r="73">
      <c r="B73" s="67" t="inlineStr">
        <is>
          <t>8 · State-specific settings (only the row for your state matters)</t>
        </is>
      </c>
      <c r="C73" s="48" t="n"/>
      <c r="D73" s="48" t="n"/>
      <c r="E73" s="48" t="n"/>
    </row>
    <row r="74">
      <c r="B74" t="inlineStr">
        <is>
          <t>MD county tax rate (decimal)</t>
        </is>
      </c>
      <c r="C74" s="75" t="n">
        <v>0.032</v>
      </c>
      <c r="E74" s="2" t="inlineStr">
        <is>
          <t>Maryland: your county's flat rate from the MD guide (2.25%–3.30%; Anne Arundel &amp; Frederick are graduated — enter an approximate flat rate). Also used for MD lump-sum bonuses.</t>
        </is>
      </c>
    </row>
    <row r="75">
      <c r="B75" t="inlineStr">
        <is>
          <t>MA — number of blind exemptions (you + spouse)</t>
        </is>
      </c>
      <c r="C75" s="73" t="n">
        <v>0</v>
      </c>
      <c r="E75" s="2" t="inlineStr">
        <is>
          <t>Massachusetts: each blind person subtracts $110/yr of tax.</t>
        </is>
      </c>
    </row>
    <row r="76">
      <c r="B76" t="inlineStr">
        <is>
          <t>IN county tax rate (decimal)</t>
        </is>
      </c>
      <c r="C76" s="75" t="n">
        <v>0</v>
      </c>
      <c r="E76" s="2" t="inlineStr">
        <is>
          <t>Indiana: your Jan-1 county of residence rate (0.50%–3.00%, Departmental Notice #1 county table).</t>
        </is>
      </c>
    </row>
    <row r="77">
      <c r="B77" t="inlineStr">
        <is>
          <t>NJ rate table letter (from your NJ-W4)</t>
        </is>
      </c>
      <c r="C77" s="68" t="inlineStr">
        <is>
          <t>A</t>
        </is>
      </c>
      <c r="E77" s="2" t="inlineStr">
        <is>
          <t>New Jersey: the rate table (A–E) you selected on Form NJ-W4.</t>
        </is>
      </c>
    </row>
    <row r="78">
      <c r="B78" t="inlineStr">
        <is>
          <t>NYC resident?</t>
        </is>
      </c>
      <c r="C78" s="68" t="b">
        <v>0</v>
      </c>
      <c r="E78" s="2" t="inlineStr">
        <is>
          <t>New York City resident tax applies if you live in NYC.</t>
        </is>
      </c>
    </row>
    <row r="79">
      <c r="B79" t="inlineStr">
        <is>
          <t>Yonkers status</t>
        </is>
      </c>
      <c r="C79" s="68" t="inlineStr">
        <is>
          <t>None</t>
        </is>
      </c>
      <c r="E79" s="2" t="inlineStr">
        <is>
          <t>Resident: 16.75% of your NY State tax. Nonresident: 0.50% earnings tax on Yonkers wages.</t>
        </is>
      </c>
    </row>
    <row r="80">
      <c r="B80" t="inlineStr">
        <is>
          <t>Philadelphia status</t>
        </is>
      </c>
      <c r="C80" s="68" t="inlineStr">
        <is>
          <t>None</t>
        </is>
      </c>
      <c r="E80" s="2" t="inlineStr">
        <is>
          <t>Philadelphia wage tax on gross pay: resident 3.74% → 3.735% from Jul 1, 2026; nonresident 3.43% → 3.425%.</t>
        </is>
      </c>
    </row>
    <row r="81">
      <c r="B81" t="inlineStr">
        <is>
          <t>Local income-tax rate (decimal, generic)</t>
        </is>
      </c>
      <c r="C81" s="75" t="n">
        <v>0</v>
      </c>
      <c r="E81" s="2" t="inlineStr">
        <is>
          <t>Any other local wage tax your employer withholds as a % of gross pay (e.g., a PA Act 32 EIT or an Ohio/Kentucky city tax). Added to row 27's flat amount; not used for NYC/Yonkers/Philadelphia.</t>
        </is>
      </c>
    </row>
    <row r="82">
      <c r="B82" t="inlineStr">
        <is>
          <t>AZ elected withholding % (decimal)</t>
        </is>
      </c>
      <c r="C82" s="75" t="n">
        <v>0.02</v>
      </c>
      <c r="E82" s="2" t="inlineStr">
        <is>
          <t>Arizona: the percentage you elected on Form A-4 (menu 0.5%–3.5% of federal taxable wages; 2.0% is the no-form default).</t>
        </is>
      </c>
    </row>
    <row r="83">
      <c r="B83" t="inlineStr">
        <is>
          <t>Spouse works? (two-earner household)</t>
        </is>
      </c>
      <c r="C83" s="68" t="b">
        <v>0</v>
      </c>
      <c r="E83" s="2" t="inlineStr">
        <is>
          <t>Missouri: married with a working spouse uses the $16,100 standard deduction; spouse not working uses $32,200.</t>
        </is>
      </c>
    </row>
    <row r="84">
      <c r="B84" t="inlineStr">
        <is>
          <t>LA standard-deduction claim (0 / 1 / 2)</t>
        </is>
      </c>
      <c r="C84" s="68" t="inlineStr">
        <is>
          <t>1</t>
        </is>
      </c>
      <c r="E84" s="2" t="inlineStr">
        <is>
          <t>Louisiana Form L-4 Block A: 0 = none, 1 = single/MFS amount ($12,875), 2 = joint/HoH amount ($25,750).</t>
        </is>
      </c>
    </row>
    <row r="85">
      <c r="B85" t="inlineStr">
        <is>
          <t>MS total exemption claimed ($/yr)</t>
        </is>
      </c>
      <c r="C85" s="70" t="n">
        <v>0</v>
      </c>
      <c r="E85" s="2" t="inlineStr">
        <is>
          <t>Mississippi Form 89-350 Line 6 total: e.g. Single $6,000; Married $12,000; plus $1,500 per dependent; +$1,500 per age-65/blind condition.</t>
        </is>
      </c>
    </row>
    <row r="86">
      <c r="B86" t="inlineStr">
        <is>
          <t>IN adopted-child exemptions (count)</t>
        </is>
      </c>
      <c r="C86" s="73" t="n">
        <v>0</v>
      </c>
      <c r="E86" s="2" t="inlineStr">
        <is>
          <t>Indiana WH-4 line 8: $3,000/yr each (other dependents use row 24 at $1,500/yr each).</t>
        </is>
      </c>
    </row>
    <row r="87">
      <c r="B87" s="2" t="inlineStr">
        <is>
          <t>How rows 23–24 are read, by state: CA — DE 4 lines 1a/1b. KS — row 23 counts $9,160 personal exemptions (MFJ = 2 built in), row 24 counts $2,320 dependents. GA — row 24 counts $5,000 dependents. IA — row 23 counts $40 allowance units from your IA W-4 dollar total. VA — row 23 counts $930 exemptions, row 24 counts $800 age-65/blind exemptions. IN — rows 23/24/86 as labeled. Most other states: row 23 = exemptions/allowances on your state certificate, row 24 unused.</t>
        </is>
      </c>
    </row>
    <row r="88">
      <c r="B88" t="inlineStr">
        <is>
          <t>Salary split in a 27/53-payday year</t>
        </is>
      </c>
      <c r="C88" s="68" t="inlineStr">
        <is>
          <t>Actual paydays</t>
        </is>
      </c>
      <c r="E88" s="2" t="inlineStr">
        <is>
          <t>Some years have 27 biweekly (or 53 weekly) paydays. 'Actual paydays' divides your annual salary by the real count so the year totals your salary; 'Standard periods' divides by 26/52 the way payroll does, so gross runs over salary. Applies only when the schedule starts in January (mid-year starters keep the standard split — use 'Per-check gross' for an exact check amount). Withholding annualization always uses standard periods.</t>
        </is>
      </c>
    </row>
    <row r="89">
      <c r="B89" t="inlineStr">
        <is>
          <t>One-off (bonus) federal withholding method</t>
        </is>
      </c>
      <c r="C89" s="68" t="inlineStr">
        <is>
          <t>Flat 22%</t>
        </is>
      </c>
      <c r="E89" s="2" t="inlineStr">
        <is>
          <t>Flat 22%: the IRS optional flat rate on supplemental wages — available only when federal tax was withheld from your regular wages in the current or prior year (Pub 15). Aggregate: the bonus is taxed as extra annual wages at your marginal bracket. States keep their own published supplemental rules either way.</t>
        </is>
      </c>
    </row>
    <row r="90"/>
    <row r="91" ht="20" customHeight="1">
      <c r="B91" s="47" t="inlineStr">
        <is>
          <t>9 · Paystub check — calibrate against your last real check (optional)</t>
        </is>
      </c>
      <c r="C91" s="48" t="n"/>
      <c r="D91" s="48" t="n"/>
      <c r="E91" s="48" t="n"/>
      <c r="F91" s="48" t="n"/>
    </row>
    <row r="92" ht="40" customHeight="1">
      <c r="B92" s="61" t="inlineStr">
        <is>
          <t>Copy the lines from ONE recent, ordinary paystub (no bonus, no arrears) for Earner 2. The planner puts its own first scheduled check beside yours. This check changes NOTHING by itself — any fix is entered by you, in the open, as the labeled adjustment in row 101.</t>
        </is>
      </c>
    </row>
    <row r="93">
      <c r="B93" s="76" t="inlineStr">
        <is>
          <t>Line from your paystub</t>
        </is>
      </c>
      <c r="C93" s="76" t="inlineStr">
        <is>
          <t>Your last stub</t>
        </is>
      </c>
      <c r="D93" s="76" t="inlineStr">
        <is>
          <t>Planner's first check</t>
        </is>
      </c>
      <c r="E93" s="76" t="inlineStr">
        <is>
          <t>Difference</t>
        </is>
      </c>
      <c r="F93" s="76" t="inlineStr">
        <is>
          <t>What a difference usually means</t>
        </is>
      </c>
    </row>
    <row r="94">
      <c r="B94" s="64" t="inlineStr">
        <is>
          <t>Gross pay</t>
        </is>
      </c>
      <c r="C94" s="77" t="n"/>
      <c r="D94" s="78">
        <f>IF('Your Year — Earner 2'!$B$6="","",'Your Year — Earner 2'!C6)</f>
      </c>
      <c r="E94" s="78">
        <f>IF(OR($C94="",$D94=""),"",$C94-$D94)</f>
      </c>
      <c r="F94" s="51" t="inlineStr">
        <is>
          <t>A different salary or frequency — re-check quick six 1–2.</t>
        </is>
      </c>
    </row>
    <row r="95">
      <c r="B95" s="64" t="inlineStr">
        <is>
          <t>Federal withholding</t>
        </is>
      </c>
      <c r="C95" s="77" t="n"/>
      <c r="D95" s="78">
        <f>IF('Your Year — Earner 2'!$B$6="","",'Your Year — Earner 2'!P6)</f>
      </c>
      <c r="E95" s="78">
        <f>IF(OR($C95="",$D95=""),"",$C95-$D95)</f>
      </c>
      <c r="F95" s="51" t="inlineStr">
        <is>
          <t>The W-4 on file differs from section 2 (credits, 4(a)–4(c)).</t>
        </is>
      </c>
    </row>
    <row r="96">
      <c r="B96" s="64" t="inlineStr">
        <is>
          <t>Social Security</t>
        </is>
      </c>
      <c r="C96" s="77" t="n"/>
      <c r="D96" s="78">
        <f>IF('Your Year — Earner 2'!$B$6="","",'Your Year — Earner 2'!Q6)</f>
      </c>
      <c r="E96" s="78">
        <f>IF(OR($C96="",$D96=""),"",$C96-$D96)</f>
      </c>
      <c r="F96" s="51" t="inlineStr">
        <is>
          <t>Year-to-date wages (section 5) move the wage-base cap.</t>
        </is>
      </c>
    </row>
    <row r="97">
      <c r="B97" s="64" t="inlineStr">
        <is>
          <t>Medicare (incl. additional)</t>
        </is>
      </c>
      <c r="C97" s="77" t="n"/>
      <c r="D97" s="78">
        <f>IF('Your Year — Earner 2'!$B$6="","",'Your Year — Earner 2'!R6+'Your Year — Earner 2'!S6)</f>
      </c>
      <c r="E97" s="78">
        <f>IF(OR($C97="",$D97=""),"",$C97-$D97)</f>
      </c>
      <c r="F97" s="51" t="inlineStr">
        <is>
          <t>Includes the 0.9% additional Medicare tax once wages pass $200,000 (single) / $250,000 (MFJ).</t>
        </is>
      </c>
    </row>
    <row r="98">
      <c r="B98" s="64" t="inlineStr">
        <is>
          <t>State withholding (incl. state programs)</t>
        </is>
      </c>
      <c r="C98" s="77" t="n"/>
      <c r="D98" s="78">
        <f>IF('Your Year — Earner 2'!$B$6="","",'Your Year — Earner 2'!T6+'Your Year — Earner 2'!U6)</f>
      </c>
      <c r="E98" s="78">
        <f>IF(OR($C98="",$D98=""),"",$C98-$D98)</f>
      </c>
      <c r="F98" s="51" t="inlineStr">
        <is>
          <t>State certificate (section 3) — or a manual-state amount (row 28).</t>
        </is>
      </c>
    </row>
    <row r="99">
      <c r="B99" s="79" t="inlineStr">
        <is>
          <t>NET PAY</t>
        </is>
      </c>
      <c r="C99" s="77" t="n"/>
      <c r="D99" s="78">
        <f>IF('Your Year — Earner 2'!$B$6="","",'Your Year — Earner 2'!Y6)</f>
      </c>
      <c r="E99" s="78">
        <f>IF(OR($C99="",$D99=""),"",$C99-$D99)</f>
      </c>
      <c r="F99" s="51" t="inlineStr">
        <is>
          <t>The line that matters — see the verdict below.</t>
        </is>
      </c>
    </row>
    <row r="100" ht="44" customHeight="1">
      <c r="B100" s="80">
        <f>IF(OR($C$99="",$D$99=""),"Enter your stub's net pay (row 99) — and the lines above — to see the verdict.",IF(ABS($E$99)&lt;=MAX(5,0.01*ABS($C$99)),"✓ CLOSE ENOUGH — your stub and the planner agree within "&amp;TEXT(ABS($E$99),"$#,##0.00")&amp;" on the net line. Small gaps are normal: rounding, or a deduction that lands unevenly.","⚠ THE FIVE NUMBERS DON'T RECONCILE — net differs by "&amp;TEXT(ABS($E$99),"$#,##0.00")&amp;". Work down the Difference column: the biggest gap names the cause — a wrong frequency, a deduction not yet in section 4, or a mid-year start that needs section 5 balances. Fix the cause; don't paper over it."))</f>
      </c>
    </row>
    <row r="101" ht="40" customHeight="1">
      <c r="B101" s="61" t="inlineStr">
        <is>
          <t>LABELED ADJUSTMENT — "Paystub calibration": if one line differs by the same amount every check and you cannot find the cause, enter the federal difference as extra withholding (Step 4(c), row 17) and the state difference as extra state withholding (row 25), and note it as paystub calibration. The difference is filed under that label — never blended silently into the tax math, and the engine's own numbers stay untouched.</t>
        </is>
      </c>
    </row>
    <row r="102" ht="28" customHeight="1">
      <c r="B102" s="62" t="inlineStr">
        <is>
          <t>One-check disclaimer: a single stub is a sample of one. Bonuses, arrears, benefit catch-ups, and 27-payday years all distort one check. Calibrate on a plain, regular check — and re-check after any change in pay or elections.</t>
        </is>
      </c>
    </row>
  </sheetData>
  <sheetProtection selectLockedCells="0" selectUnlockedCells="0" sheet="1" objects="0" insertRows="1" insertHyperlinks="1" autoFilter="1" scenarios="0" formatColumns="1" deleteColumns="1" insertColumns="1" pivotTables="1" deleteRows="1" formatCells="1" formatRows="1" sort="1"/>
  <mergeCells count="9">
    <mergeCell ref="B91:F91"/>
    <mergeCell ref="B100:F100"/>
    <mergeCell ref="E2:F2"/>
    <mergeCell ref="B70:E70"/>
    <mergeCell ref="B72:E72"/>
    <mergeCell ref="B87:E87"/>
    <mergeCell ref="B101:F101"/>
    <mergeCell ref="B102:F102"/>
    <mergeCell ref="B92:F92"/>
  </mergeCells>
  <conditionalFormatting sqref="E28">
    <cfRule type="expression" priority="1" dxfId="0">
      <formula>AND(ISNUMBER(SEARCH("MANUAL",IFERROR(VLOOKUP($C$21,StateTables!$A$6:$AB$56,5,FALSE),""))),NOT($C$26),OR($C$28="",$C$28&lt;=0))</formula>
    </cfRule>
  </conditionalFormatting>
  <dataValidations count="20">
    <dataValidation sqref="C4" showDropDown="0" showInputMessage="0" showErrorMessage="0" allowBlank="0" type="list">
      <formula1>"Annual salary,Per-check gross"</formula1>
    </dataValidation>
    <dataValidation sqref="C7" showDropDown="0" showInputMessage="0" showErrorMessage="0" allowBlank="0" type="list">
      <formula1>"Weekly,Biweekly,Semimonthly,Monthly"</formula1>
    </dataValidation>
    <dataValidation sqref="C12" showDropDown="0" showInputMessage="0" showErrorMessage="0" allowBlank="0" type="list">
      <formula1>"Single,MFJ,HoH"</formula1>
    </dataValidation>
    <dataValidation sqref="C13" showDropDown="0" showInputMessage="0" showErrorMessage="0" allowBlank="0" type="list">
      <formula1>"TRUE,FALSE"</formula1>
    </dataValidation>
    <dataValidation sqref="C18" showDropDown="0" showInputMessage="0" showErrorMessage="0" allowBlank="0" type="list">
      <formula1>"TRUE,FALSE"</formula1>
    </dataValidation>
    <dataValidation sqref="C21" showDropDown="0" showInputMessage="0" showErrorMessage="0" allowBlank="0" type="list">
      <formula1>"AK,AL,AR,AZ,CA,CO,CT,DC,DE,FL,GA,HI,IA,ID,IL,IN,KS,KY,LA,MA,MD,ME,MI,MN,MO,MS,MT,NC,ND,NE,NH,NJ,NM,NV,NY,OH,OK,OR,PA,RI,SC,SD,TN,TX,UT,VA,VT,WA,WI,WV,WY"</formula1>
    </dataValidation>
    <dataValidation sqref="C22" showDropDown="0" showInputMessage="0" showErrorMessage="0" allowBlank="0" type="list">
      <formula1>"Single,Married,Head of household"</formula1>
    </dataValidation>
    <dataValidation sqref="C26" showDropDown="0" showInputMessage="0" showErrorMessage="0" allowBlank="0" type="list">
      <formula1>"TRUE,FALSE"</formula1>
    </dataValidation>
    <dataValidation sqref="C30" showDropDown="0" showInputMessage="0" showErrorMessage="0" allowBlank="0" type="list">
      <formula1>"Percent,Fixed"</formula1>
    </dataValidation>
    <dataValidation sqref="C32" showDropDown="0" showInputMessage="0" showErrorMessage="0" allowBlank="0" type="list">
      <formula1>"Percent,Fixed"</formula1>
    </dataValidation>
    <dataValidation sqref="C36" showDropDown="0" showInputMessage="0" showErrorMessage="0" allowBlank="0" type="list">
      <formula1>"Self-only,Family"</formula1>
    </dataValidation>
    <dataValidation sqref="C78" showDropDown="0" showInputMessage="0" showErrorMessage="0" allowBlank="0" type="list">
      <formula1>"TRUE,FALSE"</formula1>
    </dataValidation>
    <dataValidation sqref="C83" showDropDown="0" showInputMessage="0" showErrorMessage="0" allowBlank="0" type="list">
      <formula1>"TRUE,FALSE"</formula1>
    </dataValidation>
    <dataValidation sqref="C79" showDropDown="0" showInputMessage="0" showErrorMessage="0" allowBlank="0" type="list">
      <formula1>"None,Resident,Nonresident"</formula1>
    </dataValidation>
    <dataValidation sqref="C80" showDropDown="0" showInputMessage="0" showErrorMessage="0" allowBlank="0" type="list">
      <formula1>"None,Resident,Nonresident"</formula1>
    </dataValidation>
    <dataValidation sqref="C77" showDropDown="0" showInputMessage="0" showErrorMessage="0" allowBlank="0" type="list">
      <formula1>"A,B,C,D,E"</formula1>
    </dataValidation>
    <dataValidation sqref="C84" showDropDown="0" showInputMessage="0" showErrorMessage="0" allowBlank="0" type="list">
      <formula1>"0,1,2"</formula1>
    </dataValidation>
    <dataValidation sqref="C88" showDropDown="0" showInputMessage="0" showErrorMessage="0" allowBlank="0" type="list">
      <formula1>"Actual paydays,Standard periods"</formula1>
    </dataValidation>
    <dataValidation sqref="C89" showDropDown="0" showInputMessage="0" showErrorMessage="0" allowBlank="0" type="list">
      <formula1>"Flat 22%,Aggregate"</formula1>
    </dataValidation>
    <dataValidation sqref="F1" showDropDown="0" showInputMessage="0" showErrorMessage="0" allowBlank="1" type="list">
      <formula1>"Yes,No"</formula1>
    </dataValidation>
  </dataValidations>
  <pageMargins left="0.75" right="0.75" top="1" bottom="1" header="0.5" footer="0.5"/>
</worksheet>
</file>

<file path=xl/worksheets/sheet6.xml><?xml version="1.0" encoding="utf-8"?>
<worksheet xmlns="http://schemas.openxmlformats.org/spreadsheetml/2006/main">
  <sheetPr>
    <tabColor rgb="001F4E79"/>
    <outlinePr summaryBelow="1" summaryRight="1"/>
    <pageSetUpPr fitToPage="1"/>
  </sheetPr>
  <dimension ref="A1:CF68"/>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2" customWidth="1" min="2" max="2"/>
    <col width="12" customWidth="1" min="3" max="3"/>
    <col width="11" customWidth="1" min="4" max="4"/>
    <col width="12" customWidth="1" min="5" max="5"/>
    <col width="11" customWidth="1" min="6" max="6"/>
    <col width="10" customWidth="1" min="7" max="7"/>
    <col width="11" customWidth="1" min="8" max="8"/>
    <col width="11" customWidth="1" min="9" max="9"/>
    <col width="12" customWidth="1" min="10" max="10"/>
    <col width="11" customWidth="1" min="11" max="11"/>
    <col width="11" customWidth="1" min="12" max="12"/>
    <col width="13" customWidth="1" min="13" max="13"/>
    <col width="12" customWidth="1" min="14" max="14"/>
    <col width="13" customWidth="1" min="15" max="15"/>
    <col width="11" customWidth="1" min="16" max="16"/>
    <col width="11" customWidth="1" min="17" max="17"/>
    <col width="10" customWidth="1" min="18" max="18"/>
    <col width="11" customWidth="1" min="19" max="19"/>
    <col width="11" customWidth="1" min="20" max="20"/>
    <col width="11" customWidth="1" min="21" max="21"/>
    <col width="10" customWidth="1" min="22" max="22"/>
    <col width="11" customWidth="1" min="23" max="23"/>
    <col width="12" customWidth="1" min="24" max="24"/>
    <col width="12" customWidth="1" min="25" max="25"/>
    <col width="12" customWidth="1" min="26" max="26"/>
    <col width="12" customWidth="1" min="27" max="27"/>
    <col width="12" customWidth="1" min="28" max="28"/>
    <col width="11" customWidth="1" min="29" max="29"/>
    <col width="62" customWidth="1" min="30" max="30"/>
    <col width="13" customWidth="1" min="31" max="31"/>
    <col width="10" customWidth="1" min="32" max="32"/>
    <col hidden="1" width="12" customWidth="1" min="33" max="33"/>
    <col hidden="1" width="13" customWidth="1" min="34" max="34"/>
    <col hidden="1" width="13" customWidth="1" min="35" max="35"/>
    <col hidden="1" width="13" customWidth="1" min="36" max="36"/>
    <col hidden="1" width="12" customWidth="1" min="37" max="37"/>
    <col hidden="1" width="11" customWidth="1" min="38" max="38"/>
    <col hidden="1" width="12" customWidth="1" min="39" max="39"/>
    <col hidden="1" width="9" customWidth="1" min="40" max="40"/>
    <col hidden="1" width="11" customWidth="1" min="41" max="41"/>
    <col hidden="1" width="11" customWidth="1" min="42" max="42"/>
    <col hidden="1" width="11" customWidth="1" min="43" max="43"/>
    <col hidden="1" width="11" customWidth="1" min="44" max="44"/>
    <col hidden="1" width="11" customWidth="1" min="45" max="45"/>
    <col hidden="1" width="11" customWidth="1" min="46" max="46"/>
    <col hidden="1" width="13" customWidth="1" min="47" max="47"/>
    <col hidden="1" width="9" customWidth="1" min="48" max="48"/>
    <col hidden="1" width="12" customWidth="1" min="49" max="49"/>
    <col hidden="1" width="12" customWidth="1" min="50" max="50"/>
    <col hidden="1" width="13" customWidth="1" min="51" max="51"/>
    <col hidden="1" width="13" customWidth="1" min="52" max="52"/>
    <col hidden="1" width="13" customWidth="1" min="53" max="53"/>
    <col hidden="1" width="13" customWidth="1" min="54" max="54"/>
    <col hidden="1" width="12" customWidth="1" min="55" max="55"/>
    <col hidden="1" width="12" customWidth="1" min="56" max="56"/>
    <col hidden="1" width="10" customWidth="1" min="57" max="57"/>
    <col hidden="1" width="10" customWidth="1" min="58" max="58"/>
    <col hidden="1" width="12" customWidth="1" min="59" max="59"/>
    <col hidden="1" width="12" customWidth="1" min="60" max="60"/>
    <col hidden="1" width="12" customWidth="1" min="61" max="61"/>
    <col hidden="1" width="13" customWidth="1" min="62" max="62"/>
    <col hidden="1" width="13" customWidth="1" min="63" max="63"/>
    <col hidden="1" width="12" customWidth="1" min="64" max="64"/>
    <col hidden="1" width="12" customWidth="1" min="65" max="65"/>
    <col hidden="1" width="12" customWidth="1" min="66" max="66"/>
    <col hidden="1" width="12" customWidth="1" min="67" max="67"/>
    <col hidden="1" width="12" customWidth="1" min="68" max="68"/>
    <col hidden="1" width="10" customWidth="1" min="69" max="69"/>
    <col hidden="1" width="10" customWidth="1" min="70" max="70"/>
    <col hidden="1" width="10" customWidth="1" min="71" max="71"/>
    <col hidden="1" width="10" customWidth="1" min="72" max="72"/>
    <col hidden="1" width="11" customWidth="1" min="73" max="73"/>
    <col hidden="1" width="11" customWidth="1" min="74" max="74"/>
    <col hidden="1" width="11" customWidth="1" min="75" max="75"/>
    <col hidden="1" width="11" customWidth="1" min="76" max="76"/>
    <col hidden="1" width="11" customWidth="1" min="77" max="77"/>
    <col hidden="1" width="11" customWidth="1" min="78" max="78"/>
    <col hidden="1" width="11" customWidth="1" min="79" max="79"/>
    <col hidden="1" width="11" customWidth="1" min="80" max="80"/>
    <col hidden="1" width="11" customWidth="1" min="81" max="81"/>
    <col hidden="1" width="11" customWidth="1" min="82" max="82"/>
    <col hidden="1" width="11" customWidth="1" min="83" max="83"/>
    <col hidden="1" width="13" customWidth="1" min="84" max="84"/>
  </cols>
  <sheetData>
    <row r="1">
      <c r="B1" s="9" t="inlineStr">
        <is>
          <t>Your Year — Earner 2, paycheck by paycheck</t>
        </is>
      </c>
    </row>
    <row r="2">
      <c r="B2" s="5" t="inlineStr">
        <is>
          <t>Paydays projected:</t>
        </is>
      </c>
      <c r="C2" s="6">
        <f>SUM(BF6:BF68)</f>
      </c>
      <c r="D2" s="5" t="inlineStr">
        <is>
          <t>Total gross:</t>
        </is>
      </c>
      <c r="E2" s="7">
        <f>SUM(C6:C68)+SUM(D6:D68)</f>
      </c>
      <c r="F2" s="5" t="inlineStr">
        <is>
          <t>Projected annual take-home:</t>
        </is>
      </c>
      <c r="G2" s="7">
        <f>SUM(Y6:Y68)</f>
      </c>
    </row>
    <row r="3">
      <c r="B3" s="5" t="inlineStr">
        <is>
          <t>Total federal WH:</t>
        </is>
      </c>
      <c r="C3" s="7">
        <f>SUM(P6:P68)</f>
      </c>
      <c r="D3" s="5" t="inlineStr">
        <is>
          <t>Total FICA:</t>
        </is>
      </c>
      <c r="E3" s="7">
        <f>SUM(Q6:Q68)+SUM(R6:R68)+SUM(S6:S68)</f>
      </c>
      <c r="F3" s="5" t="inlineStr">
        <is>
          <t>Total state WH:</t>
        </is>
      </c>
      <c r="G3" s="7">
        <f>SUM(T6:T68)</f>
      </c>
    </row>
    <row r="4">
      <c r="B4" s="2" t="inlineStr">
        <is>
          <t>★ notes appear on the exact checks where a cap or threshold changes your pay. Type each real net into 'Actual net' as the year unfolds. ⚠ Manual-entry states: if the per-check amount on Second Earner row 28 is blank, the State WH column is shaded red and shows $0 — that is missing data, not a real zero.</t>
        </is>
      </c>
    </row>
    <row r="5">
      <c r="A5" s="19" t="inlineStr">
        <is>
          <t>#</t>
        </is>
      </c>
      <c r="B5" s="19" t="inlineStr">
        <is>
          <t>Pay date</t>
        </is>
      </c>
      <c r="C5" s="19" t="inlineStr">
        <is>
          <t>Gross pay</t>
        </is>
      </c>
      <c r="D5" s="19" t="inlineStr">
        <is>
          <t>One-off pay</t>
        </is>
      </c>
      <c r="E5" s="19" t="inlineStr">
        <is>
          <t>401(k) pre-tax</t>
        </is>
      </c>
      <c r="F5" s="19" t="inlineStr">
        <is>
          <t>Roth 401(k)</t>
        </is>
      </c>
      <c r="G5" s="19" t="inlineStr">
        <is>
          <t>HSA</t>
        </is>
      </c>
      <c r="H5" s="19" t="inlineStr">
        <is>
          <t>Health FSA</t>
        </is>
      </c>
      <c r="I5" s="19" t="inlineStr">
        <is>
          <t>Dep-care FSA</t>
        </is>
      </c>
      <c r="J5" s="19" t="inlineStr">
        <is>
          <t>Premiums (§125)</t>
        </is>
      </c>
      <c r="K5" s="19" t="inlineStr">
        <is>
          <t>Other pre-tax</t>
        </is>
      </c>
      <c r="L5" s="19" t="inlineStr">
        <is>
          <t>Imputed income</t>
        </is>
      </c>
      <c r="M5" s="19" t="inlineStr">
        <is>
          <t>Federal taxable wages</t>
        </is>
      </c>
      <c r="N5" s="19" t="inlineStr">
        <is>
          <t>FICA wages</t>
        </is>
      </c>
      <c r="O5" s="19" t="inlineStr">
        <is>
          <t>State taxable wages</t>
        </is>
      </c>
      <c r="P5" s="19" t="inlineStr">
        <is>
          <t>Federal WH</t>
        </is>
      </c>
      <c r="Q5" s="19" t="inlineStr">
        <is>
          <t>Social Security</t>
        </is>
      </c>
      <c r="R5" s="19" t="inlineStr">
        <is>
          <t>Medicare</t>
        </is>
      </c>
      <c r="S5" s="19" t="inlineStr">
        <is>
          <t>Addl Medicare</t>
        </is>
      </c>
      <c r="T5" s="19" t="inlineStr">
        <is>
          <t>State WH</t>
        </is>
      </c>
      <c r="U5" s="19" t="inlineStr">
        <is>
          <t>State programs</t>
        </is>
      </c>
      <c r="V5" s="19" t="inlineStr">
        <is>
          <t>Local WH</t>
        </is>
      </c>
      <c r="W5" s="19" t="inlineStr">
        <is>
          <t>Other post-tax</t>
        </is>
      </c>
      <c r="X5" s="19" t="inlineStr">
        <is>
          <t>Total deducted</t>
        </is>
      </c>
      <c r="Y5" s="19" t="inlineStr">
        <is>
          <t>NET PAY</t>
        </is>
      </c>
      <c r="Z5" s="19" t="inlineStr">
        <is>
          <t>YTD gross</t>
        </is>
      </c>
      <c r="AA5" s="19" t="inlineStr">
        <is>
          <t>YTD net</t>
        </is>
      </c>
      <c r="AB5" s="19" t="inlineStr">
        <is>
          <t>SS wages YTD</t>
        </is>
      </c>
      <c r="AC5" s="19" t="inlineStr">
        <is>
          <t>401(k) YTD</t>
        </is>
      </c>
      <c r="AD5" s="19" t="inlineStr">
        <is>
          <t>★ Cap events</t>
        </is>
      </c>
      <c r="AE5" s="19" t="inlineStr">
        <is>
          <t>Actual net (you fill in)</t>
        </is>
      </c>
      <c r="AF5" s="19" t="inlineStr">
        <is>
          <t>Variance</t>
        </is>
      </c>
      <c r="AG5" s="19" t="inlineStr">
        <is>
          <t>Medicare wages YTD</t>
        </is>
      </c>
      <c r="AH5" s="19" t="inlineStr">
        <is>
          <t>Fed adj. annual wage (engine)</t>
        </is>
      </c>
      <c r="AI5" s="19" t="inlineStr">
        <is>
          <t>State annual wages (engine)</t>
        </is>
      </c>
      <c r="AJ5" s="19" t="inlineStr">
        <is>
          <t>State taxable, annual (engine)</t>
        </is>
      </c>
      <c r="AK5" s="19" t="inlineStr">
        <is>
          <t>Salary basis (resolved)</t>
        </is>
      </c>
      <c r="AL5" s="19" t="inlineStr">
        <is>
          <t>401(k) mode (resolved)</t>
        </is>
      </c>
      <c r="AM5" s="19" t="inlineStr">
        <is>
          <t>401(k) value (resolved)</t>
        </is>
      </c>
      <c r="AN5" s="19" t="inlineStr">
        <is>
          <t>State (resolved)</t>
        </is>
      </c>
      <c r="AO5" s="19" t="inlineStr">
        <is>
          <t>W-4 Step 3 (resolved)</t>
        </is>
      </c>
      <c r="AP5" s="19" t="inlineStr">
        <is>
          <t>W-4 4(a) (resolved)</t>
        </is>
      </c>
      <c r="AQ5" s="19" t="inlineStr">
        <is>
          <t>W-4 4(b) (resolved)</t>
        </is>
      </c>
      <c r="AR5" s="19" t="inlineStr">
        <is>
          <t>W-4 4(c) (resolved)</t>
        </is>
      </c>
      <c r="AS5" s="19" t="inlineStr">
        <is>
          <t>State reg allow. (resolved)</t>
        </is>
      </c>
      <c r="AT5" s="19" t="inlineStr">
        <is>
          <t>State est allow. (resolved)</t>
        </is>
      </c>
      <c r="AU5" s="19" t="inlineStr">
        <is>
          <t>State status (resolved)</t>
        </is>
      </c>
      <c r="AV5" s="19" t="inlineStr">
        <is>
          <t>Employer segment</t>
        </is>
      </c>
      <c r="AW5" s="19" t="inlineStr">
        <is>
          <t>Seg. SS marker (engine)</t>
        </is>
      </c>
      <c r="AX5" s="19" t="inlineStr">
        <is>
          <t>Seg. SS start balance (engine)</t>
        </is>
      </c>
      <c r="AY5" s="19" t="inlineStr">
        <is>
          <t>State annual wages, regular (engine)</t>
        </is>
      </c>
      <c r="AZ5" s="19" t="inlineStr">
        <is>
          <t>State taxable wages, annual (engine)</t>
        </is>
      </c>
      <c r="BA5" s="19" t="inlineStr">
        <is>
          <t>State bracket tax, annual (engine)</t>
        </is>
      </c>
      <c r="BB5" s="19" t="inlineStr">
        <is>
          <t>State direct tax / credits, annual (engine)</t>
        </is>
      </c>
      <c r="BC5" s="19" t="inlineStr">
        <is>
          <t>State one-off tax (engine)</t>
        </is>
      </c>
      <c r="BD5" s="19" t="inlineStr">
        <is>
          <t>FICA $ YTD (engine)</t>
        </is>
      </c>
      <c r="BE5" s="19" t="inlineStr">
        <is>
          <t>Payday count (engine)</t>
        </is>
      </c>
      <c r="BF5" s="19" t="inlineStr">
        <is>
          <t>Is payday row (engine)</t>
        </is>
      </c>
      <c r="BG5" s="19" t="inlineStr">
        <is>
          <t>Health FSA YTD (engine)</t>
        </is>
      </c>
      <c r="BH5" s="19" t="inlineStr">
        <is>
          <t>Dep-care FSA YTD (engine)</t>
        </is>
      </c>
      <c r="BI5" s="19" t="inlineStr">
        <is>
          <t>HSA YTD (engine)</t>
        </is>
      </c>
      <c r="BJ5" s="19" t="inlineStr">
        <is>
          <t>Health FSA election (resolved)</t>
        </is>
      </c>
      <c r="BK5" s="19" t="inlineStr">
        <is>
          <t>Dep-care FSA election (resolved)</t>
        </is>
      </c>
      <c r="BL5" s="19" t="inlineStr">
        <is>
          <t>HSA $/check (resolved)</t>
        </is>
      </c>
      <c r="BM5" s="19" t="inlineStr">
        <is>
          <t>Premiums $/check (resolved)</t>
        </is>
      </c>
      <c r="BN5" s="19" t="inlineStr">
        <is>
          <t>Commuter $/check (resolved)</t>
        </is>
      </c>
      <c r="BO5" s="19" t="inlineStr">
        <is>
          <t>Other pre-tax $/check (resolved)</t>
        </is>
      </c>
      <c r="BP5" s="19" t="inlineStr">
        <is>
          <t>Other post-tax $/check (resolved)</t>
        </is>
      </c>
      <c r="BQ5" s="19" t="inlineStr">
        <is>
          <t>Health FSA stopped (engine)</t>
        </is>
      </c>
      <c r="BR5" s="19" t="inlineStr">
        <is>
          <t>Dep-care FSA stopped (engine)</t>
        </is>
      </c>
      <c r="BS5" s="19" t="inlineStr">
        <is>
          <t>Health FSA event-started (engine)</t>
        </is>
      </c>
      <c r="BT5" s="19" t="inlineStr">
        <is>
          <t>Dep-care FSA event-started (engine)</t>
        </is>
      </c>
      <c r="BU5" s="19" t="inlineStr">
        <is>
          <t>Federal marginal rate (engine)</t>
        </is>
      </c>
      <c r="BV5" s="19" t="inlineStr">
        <is>
          <t>State marginal rate (engine)</t>
        </is>
      </c>
      <c r="BW5" s="19" t="inlineStr">
        <is>
          <t>State bracket tax, annual (engine) — part 1 of 3</t>
        </is>
      </c>
      <c r="BX5" s="19" t="inlineStr">
        <is>
          <t>State bracket tax, annual (engine) — part 2 of 3</t>
        </is>
      </c>
      <c r="BY5" s="19" t="inlineStr">
        <is>
          <t>State bracket tax, annual (engine) — part 3 of 3</t>
        </is>
      </c>
      <c r="BZ5" s="19" t="inlineStr">
        <is>
          <t>State marginal rate (engine) — part 1 of 4</t>
        </is>
      </c>
      <c r="CA5" s="19" t="inlineStr">
        <is>
          <t>State marginal rate (engine) — part 2 of 4</t>
        </is>
      </c>
      <c r="CB5" s="19" t="inlineStr">
        <is>
          <t>State marginal rate (engine) — part 3 of 4</t>
        </is>
      </c>
      <c r="CC5" s="19" t="inlineStr">
        <is>
          <t>State marginal rate (engine) — part 4 of 4</t>
        </is>
      </c>
      <c r="CD5" s="19" t="inlineStr">
        <is>
          <t>Next scheduled pay date (engine)</t>
        </is>
      </c>
      <c r="CE5" s="19" t="inlineStr">
        <is>
          <t>Next one-off date (engine)</t>
        </is>
      </c>
      <c r="CF5" t="inlineStr">
        <is>
          <t>Regular net (strip helper)</t>
        </is>
      </c>
    </row>
    <row r="6">
      <c r="A6" t="n">
        <v>1</v>
      </c>
      <c r="B6" s="21">
        <f>IF(AND($CD6="",$CE6=""),"",IF($CE6="",$CD6,IF($CD6="",$CE6,MIN($CD6,$CE6))))</f>
      </c>
      <c r="C6" s="7">
        <f>IF($B6="","",IF($BF6=0,0,IF('Second Earner'!$C$4="Annual salary",ROUND($AK6/IF(AND('Second Earner'!$C$88="Actual paydays",MONTH('Second Earner'!$C$9)=1),MAX(1,MAX($BE$6:$BE$68)),'Second Earner'!$C$8),2),$AK6)))</f>
      </c>
      <c r="D6" s="7">
        <f>IF($B6="","",SUMIF('Second Earner'!$C$58:$C$67,$B6,'Second Earner'!$D$58:$D$67))</f>
      </c>
      <c r="E6" s="7">
        <f>IF($B6="","",ROUND(MAX(0,MIN(IF($AL6="Percent",$AM6*($C6+$D6),$AM6),MAX(0,'Second Earner'!$C$34-'Second Earner'!$C$51))),2))</f>
      </c>
      <c r="F6" s="7">
        <f>IF($B6="","",ROUND(MAX(0,MIN(IF('Second Earner'!$C$32="Percent",'Second Earner'!$D$32*($C6+$D6),'Second Earner'!$D$32),MAX(0,'Second Earner'!$C$34-'Second Earner'!$C$51-$E6))),2))</f>
      </c>
      <c r="G6" s="7">
        <f>IF($B6="","",IF($BF6=0,0,ROUND(MAX(0,MIN($BL6,'Second Earner'!$C$37-'Second Earner'!$C$54-0)),2)))</f>
      </c>
      <c r="H6" s="7">
        <f>IF($B6="","",IF(OR($BF6=0,$BQ6=1),0,ROUND(MAX(0,MIN(IF($BS6=1,ROUND(MAX(0,MIN($BJ6,'How This Works &amp; Sources'!$C$13)-'Second Earner'!$C$52)/MAX(1,MAX($BE$6:$BE$68)-(0)),2),ROUND(MIN($BJ6,'How This Works &amp; Sources'!$C$13)/'Second Earner'!$C$8,2)),MIN($BJ6,'How This Works &amp; Sources'!$C$13)-'Second Earner'!$C$52)),2)))</f>
      </c>
      <c r="I6" s="7">
        <f>IF($B6="","",IF(OR($BF6=0,$BR6=1),0,ROUND(MAX(0,MIN(IF($BT6=1,ROUND(MAX(0,MIN($BK6,IF('Second Earner'!$C$12="MFJ",'How This Works &amp; Sources'!$C$14,'How This Works &amp; Sources'!$C$15))-'Second Earner'!$C$53)/MAX(1,MAX($BE$6:$BE$68)-(0)),2),ROUND(MIN($BK6,IF('Second Earner'!$C$12="MFJ",'How This Works &amp; Sources'!$C$14,'How This Works &amp; Sources'!$C$15))/'Second Earner'!$C$8,2)),MIN($BK6,IF('Second Earner'!$C$12="MFJ",'How This Works &amp; Sources'!$C$14,'How This Works &amp; Sources'!$C$15))-'Second Earner'!$C$53)),2)))</f>
      </c>
      <c r="J6" s="7">
        <f>IF($B6="","",IF($BF6=0,0,$BM6))</f>
      </c>
      <c r="K6" s="7">
        <f>IF($B6="","",IF($BF6=0,0,$BN6+$BO6))</f>
      </c>
      <c r="L6" s="7">
        <f>IF($B6="","",IF($BF6=0,0,'Second Earner'!$D$46))</f>
      </c>
      <c r="M6" s="7">
        <f>IF($B6="","",$C6+$D6+$L6-$E6-$G6-$H6-$I6-$J6-$K6)</f>
      </c>
      <c r="N6" s="7">
        <f>IF($B6="","",$C6+$D6+$L6-$G6-$H6-$I6-$J6-$K6)</f>
      </c>
      <c r="O6" s="7">
        <f>IF($B6="","",$C6+$D6+$L6-$E6-$H6-$I6-$J6-$K6-IF(OR($AN6="CA",$AN6="NJ"),0,$G6))</f>
      </c>
      <c r="P6" s="7">
        <f>IF($B6="","",IF('Second Earner'!$C$18,0,ROUND(MAX(0,IF('Second Earner'!$C$13,SUMPRODUCT(($AH6&gt;INDEX('How This Works &amp; Sources'!$B$29:$J$36,0,IF('Second Earner'!$C$12="MFJ",1,IF('Second Earner'!$C$12="HoH",7,4))))*($AH6-INDEX('How This Works &amp; Sources'!$B$29:$J$36,0,IF('Second Earner'!$C$12="MFJ",1,IF('Second Earner'!$C$12="HoH",7,4))))*INDEX('How This Works &amp; Sources'!$B$29:$J$36,0,IF('Second Earner'!$C$12="MFJ",1,IF('Second Earner'!$C$12="HoH",7,4))+2)),SUMPRODUCT(($AH6&gt;INDEX('How This Works &amp; Sources'!$B$19:$J$26,0,IF('Second Earner'!$C$12="MFJ",1,IF('Second Earner'!$C$12="HoH",7,4))))*($AH6-INDEX('How This Works &amp; Sources'!$B$19:$J$26,0,IF('Second Earner'!$C$12="MFJ",1,IF('Second Earner'!$C$12="HoH",7,4))))*INDEX('How This Works &amp; Sources'!$B$19:$J$26,0,IF('Second Earner'!$C$12="MFJ",1,IF('Second Earner'!$C$12="HoH",7,4))+2)))/'Second Earner'!$C$8-$AO6/'Second Earner'!$C$8)+$AR6+IF('Second Earner'!$C$89="Aggregate",MAX(0,IF('Second Earner'!$C$13,SUMPRODUCT((($AH6+$D6)&gt;INDEX('How This Works &amp; Sources'!$B$29:$J$36,0,IF('Second Earner'!$C$12="MFJ",1,IF('Second Earner'!$C$12="HoH",7,4))))*(($AH6+$D6)-INDEX('How This Works &amp; Sources'!$B$29:$J$36,0,IF('Second Earner'!$C$12="MFJ",1,IF('Second Earner'!$C$12="HoH",7,4))))*INDEX('How This Works &amp; Sources'!$B$29:$J$36,0,IF('Second Earner'!$C$12="MFJ",1,IF('Second Earner'!$C$12="HoH",7,4))+2)),SUMPRODUCT((($AH6+$D6)&gt;INDEX('How This Works &amp; Sources'!$B$19:$J$26,0,IF('Second Earner'!$C$12="MFJ",1,IF('Second Earner'!$C$12="HoH",7,4))))*(($AH6+$D6)-INDEX('How This Works &amp; Sources'!$B$19:$J$26,0,IF('Second Earner'!$C$12="MFJ",1,IF('Second Earner'!$C$12="HoH",7,4))))*INDEX('How This Works &amp; Sources'!$B$19:$J$26,0,IF('Second Earner'!$C$12="MFJ",1,IF('Second Earner'!$C$12="HoH",7,4))+2)))-IF('Second Earner'!$C$13,SUMPRODUCT(($AH6&gt;INDEX('How This Works &amp; Sources'!$B$29:$J$36,0,IF('Second Earner'!$C$12="MFJ",1,IF('Second Earner'!$C$12="HoH",7,4))))*($AH6-INDEX('How This Works &amp; Sources'!$B$29:$J$36,0,IF('Second Earner'!$C$12="MFJ",1,IF('Second Earner'!$C$12="HoH",7,4))))*INDEX('How This Works &amp; Sources'!$B$29:$J$36,0,IF('Second Earner'!$C$12="MFJ",1,IF('Second Earner'!$C$12="HoH",7,4))+2)),SUMPRODUCT(($AH6&gt;INDEX('How This Works &amp; Sources'!$B$19:$J$26,0,IF('Second Earner'!$C$12="MFJ",1,IF('Second Earner'!$C$12="HoH",7,4))))*($AH6-INDEX('How This Works &amp; Sources'!$B$19:$J$26,0,IF('Second Earner'!$C$12="MFJ",1,IF('Second Earner'!$C$12="HoH",7,4))))*INDEX('How This Works &amp; Sources'!$B$19:$J$26,0,IF('Second Earner'!$C$12="MFJ",1,IF('Second Earner'!$C$12="HoH",7,4))+2)))),'How This Works &amp; Sources'!$C$10*$D6),2)))</f>
      </c>
      <c r="Q6" s="7">
        <f>IF($B6="","",ROUND('How This Works &amp; Sources'!$C$4*MIN($N6,MAX(0,'How This Works &amp; Sources'!$C$3-($AX6+'Second Earner'!$C$49-$AW6))),2))</f>
      </c>
      <c r="R6" s="7">
        <f>IF($B6="","",ROUND('How This Works &amp; Sources'!$C$5*$N6,2))</f>
      </c>
      <c r="S6" s="7">
        <f>IF($B6="","",ROUND('How This Works &amp; Sources'!$C$6*MAX(0,MIN($N6,'Second Earner'!$C$50+$N6-'How This Works &amp; Sources'!$C$7)),2))</f>
      </c>
      <c r="T6" s="7">
        <f>IF($B6="","",IF('Second Earner'!$C$26,0,IF($AN6="CA",ROUND(IF($AI6&lt;=IF(($AS6+$AT6)&gt;=2,VLOOKUP($AN6,StateTables!$A$6:$AB$56,10,FALSE),VLOOKUP($AN6,StateTables!$A$6:$AB$56,9,FALSE)),0,MAX(0,SUMPRODUCT(($AJ6&gt;INDEX('How This Works &amp; Sources'!$B$39:$J$48,0,IF($AU6="Married",4,IF($AU6="Head of household",7,1))))*($AJ6-INDEX('How This Works &amp; Sources'!$B$39:$J$48,0,IF($AU6="Married",4,IF($AU6="Head of household",7,1))))*INDEX('How This Works &amp; Sources'!$B$39:$J$48,0,IF($AU6="Married",4,IF($AU6="Head of household",7,1))+2))-VLOOKUP($AN6,StateTables!$A$6:$AB$56,11,FALSE)*$AS6)/'Second Earner'!$C$8)+'Second Earner'!$C$25+VLOOKUP($AN6,StateTables!$A$6:$AB$56,13,FALSE)*$D6,2),IF(VLOOKUP($AN6,StateTables!$A$6:$AB$56,4,FALSE)="None",0,IF(ISNUMBER(SEARCH("MANUAL",VLOOKUP($AN6,StateTables!$A$6:$AB$56,5,FALSE))),'Second Earner'!$C$28,ROUND(MAX(0,$BA6+$BB6)/'Second Earner'!$C$8+'Second Earner'!$C$25+$BC6,2))))))</f>
      </c>
      <c r="U6" s="7">
        <f>IF($B6="","",IF(VLOOKUP($AN6,StateTables!$A$6:$AB$56,24,FALSE)="flatq",IF(OR(MONTH($B6)=1,MONTH($B6)=4,MONTH($B6)=7,MONTH($B6)=10),VLOOKUP($AN6,StateTables!$A$6:$AB$56,25,FALSE),0),IF(VLOOKUP($AN6,StateTables!$A$6:$AB$56,24,FALSE)="dbl",MIN(ROUND(0.005*$N6,2),ROUND(0.6*52/'Second Earner'!$C$8,2)),IF(OR(VLOOKUP($AN6,StateTables!$A$6:$AB$56,15,FALSE)="",VLOOKUP($AN6,StateTables!$A$6:$AB$56,15,FALSE)=0),0,ROUND(VLOOKUP($AN6,StateTables!$A$6:$AB$56,15,FALSE)*IF(OR(VLOOKUP($AN6,StateTables!$A$6:$AB$56,16,FALSE)="",VLOOKUP($AN6,StateTables!$A$6:$AB$56,16,FALSE)=0),$N6,MIN($N6,MAX(0,VLOOKUP($AN6,StateTables!$A$6:$AB$56,16,FALSE)-($AX6+'Second Earner'!$C$49-$AW6)))),2))))+IF(VLOOKUP($AN6,StateTables!$A$6:$AB$56,27,FALSE)="flatq",IF(OR(MONTH($B6)=1,MONTH($B6)=4,MONTH($B6)=7,MONTH($B6)=10),VLOOKUP($AN6,StateTables!$A$6:$AB$56,28,FALSE),0),IF(VLOOKUP($AN6,StateTables!$A$6:$AB$56,27,FALSE)="dbl",MIN(ROUND(0.005*$N6,2),ROUND(0.6*52/'Second Earner'!$C$8,2)),IF(OR(VLOOKUP($AN6,StateTables!$A$6:$AB$56,18,FALSE)="",VLOOKUP($AN6,StateTables!$A$6:$AB$56,18,FALSE)=0),0,ROUND(VLOOKUP($AN6,StateTables!$A$6:$AB$56,18,FALSE)*IF(OR(VLOOKUP($AN6,StateTables!$A$6:$AB$56,19,FALSE)="",VLOOKUP($AN6,StateTables!$A$6:$AB$56,19,FALSE)=0),$N6,MIN($N6,MAX(0,VLOOKUP($AN6,StateTables!$A$6:$AB$56,19,FALSE)-($AX6+'Second Earner'!$C$49-$AW6)))),2)))))</f>
      </c>
      <c r="V6" s="7">
        <f>IF($B6="","",IF($AN6="NY",IF('Second Earner'!$C$78,ROUND(SUMPRODUCT((MAX(0,($O6-$D6)*'Second Earner'!$C$8-(IF($AU6="Married",5500,5000)+1000*$AS6))&gt;INDEX('How This Works &amp; Sources'!$B$184:$J$198,0,4))*(MAX(0,($O6-$D6)*'Second Earner'!$C$8-(IF($AU6="Married",5500,5000)+1000*$AS6))-INDEX('How This Works &amp; Sources'!$B$184:$J$198,0,4))*INDEX('How This Works &amp; Sources'!$B$184:$J$198,0,4+2))/'Second Earner'!$C$8+0.0425*$D6,2),0)+IF('Second Earner'!$C$79="Resident",ROUND(0.1675*$T6,2),IF('Second Earner'!$C$79="Nonresident",ROUND(0.005*MAX(0,($O6-$D6)-(IF($AU6="Married",7950,7400)+1000*$AS6)/'Second Earner'!$C$8),2),0)),IF($AN6="PA",IF('Second Earner'!$C$80="None",'Second Earner'!$C$27+ROUND('Second Earner'!$C$81*($C6+$D6),2),ROUND(IF('Second Earner'!$C$80="Resident",IF($B6&lt;DATE(2026,7,1),0.0374,0.03735),IF($B6&lt;DATE(2026,7,1),0.0343,0.03425))*($C6+$D6),2)),IF($BF6=0,ROUND('Second Earner'!$C$81*($C6+$D6),2),'Second Earner'!$C$27+ROUND('Second Earner'!$C$81*($C6+$D6),2)))))</f>
      </c>
      <c r="W6" s="7">
        <f>IF($B6="","",IF($BF6=0,0,$BP6))</f>
      </c>
      <c r="X6" s="7">
        <f>IF($B6="","",SUM($E6:$K6)+$P6+$Q6+$R6+$S6+$T6+$U6+$V6+$W6)</f>
      </c>
      <c r="Y6" s="22">
        <f>IF($B6="","",$C6+$D6-$X6)</f>
      </c>
      <c r="Z6" s="7">
        <f>IF($B6="","",'Second Earner'!$C$48+$C6+$D6)</f>
      </c>
      <c r="AA6" s="7">
        <f>IF($B6="","",0+$Y6)</f>
      </c>
      <c r="AB6" s="7">
        <f>IF($B6="","",'Second Earner'!$C$49+MIN($N6,MAX(0,'How This Works &amp; Sources'!$C$3-($AX6+'Second Earner'!$C$49-$AW6))))</f>
      </c>
      <c r="AC6" s="7">
        <f>IF($B6="","",'Second Earner'!$C$51+$E6+$F6)</f>
      </c>
      <c r="AD6" s="3">
        <f>IF($B6="","",IF(AND('Second Earner'!$C$49&lt;'How This Works &amp; Sources'!$C$3,$AB6&gt;='How This Works &amp; Sources'!$C$3),"★ Social Security maxed on this check — from the next check your net rises by about $"&amp;TEXT(ROUND('How This Works &amp; Sources'!$C$4*$N6,2),"#,##0.00")&amp;". ","")&amp;IF(AND('Second Earner'!$C$51&lt;'Second Earner'!$C$34,$AC6&gt;='Second Earner'!$C$34),"★ 401(k) reaches the $"&amp;TEXT('Second Earner'!$C$34,"#,##0")&amp;" cap on this check — deferrals stop and net pay rises. ","")&amp;IF(AND('Second Earner'!$C$50&lt;'How This Works &amp; Sources'!$C$7,$AG6&gt;='How This Works &amp; Sources'!$C$7),"★ Wages pass $200,000 — the 0.9% Additional Medicare Tax starts here. ","")&amp;IF(AND($BJ6&gt;0,$H6&gt;0,'Second Earner'!$C$52&lt;MIN($BJ6,'How This Works &amp; Sources'!$C$13),'Second Earner'!$C$52+$H6&gt;=MIN($BJ6,'How This Works &amp; Sources'!$C$13)),"★ Health FSA election is now fully deferred for the year. ",""))</f>
      </c>
      <c r="AE6" s="41" t="n"/>
      <c r="AF6" s="7">
        <f>IF(OR($B6="",$AE6=""),"",$AE6-$Y6)</f>
      </c>
      <c r="AG6" s="7">
        <f>IF($B6="","",'Second Earner'!$C$50+$N6)</f>
      </c>
      <c r="AH6" s="7">
        <f>IF($B6="","",MAX(0,($M6-$D6)*'Second Earner'!$C$8+$AP6-$AQ6-IF('Second Earner'!$C$13,0,IF('Second Earner'!$C$12="MFJ",'How This Works &amp; Sources'!$C$8,'How This Works &amp; Sources'!$C$9))))</f>
      </c>
      <c r="AI6" s="7">
        <f>IF($B6="","",$O6*'Second Earner'!$C$8)</f>
      </c>
      <c r="AJ6" s="7">
        <f>IF($B6="","",MAX(0,$AI6-VLOOKUP($AN6,StateTables!$A$6:$AB$56,12,FALSE)*$AT6-IF(($AS6+$AT6)&gt;=2,VLOOKUP($AN6,StateTables!$A$6:$AB$56,8,FALSE),VLOOKUP($AN6,StateTables!$A$6:$AB$56,7,FALSE))))</f>
      </c>
      <c r="AK6" s="7">
        <f>IF($B6="","",IFERROR(LOOKUP(2,1/(('Changes — Earner 2'!$C$6:$C$17="Salary change")*('Changes — Earner 2'!$B$6:$B$17&lt;=$B6)*('Changes — Earner 2'!$B$6:$B$17&lt;&gt;"")),'Changes — Earner 2'!$D$6:$D$17),IF('Second Earner'!$C$4="Annual salary",'Second Earner'!$C$5,'Second Earner'!$C$6)))</f>
      </c>
      <c r="AL6">
        <f>IF($B6="","",IFERROR(LOOKUP(2,1/(('Changes — Earner 2'!$C$6:$C$17="401(k) change")*('Changes — Earner 2'!$B$6:$B$17&lt;=$B6)*('Changes — Earner 2'!$B$6:$B$17&lt;&gt;"")),'Changes — Earner 2'!$D$6:$D$17),'Second Earner'!$C$30))</f>
      </c>
      <c r="AM6" s="7">
        <f>IF($B6="","",IFERROR(LOOKUP(2,1/(('Changes — Earner 2'!$C$6:$C$17="401(k) change")*('Changes — Earner 2'!$B$6:$B$17&lt;=$B6)*('Changes — Earner 2'!$B$6:$B$17&lt;&gt;"")),'Changes — Earner 2'!$E$6:$E$17),'Second Earner'!$D$31))</f>
      </c>
      <c r="AN6">
        <f>IF($B6="","",IFERROR(LOOKUP(2,1/(('Changes — Earner 2'!$C$6:$C$17="State move")*('Changes — Earner 2'!$B$6:$B$17&lt;=$B6)*('Changes — Earner 2'!$B$6:$B$17&lt;&gt;"")),'Changes — Earner 2'!$D$6:$D$17),'Second Earner'!$C$21))</f>
      </c>
      <c r="AO6" s="7">
        <f>IF($B6="","",IFERROR(LOOKUP(2,1/(('Changes — Earner 2'!$C$6:$C$17="W-4 change")*('Changes — Earner 2'!$B$6:$B$17&lt;=$B6)*('Changes — Earner 2'!$B$6:$B$17&lt;&gt;"")),'Changes — Earner 2'!$D$6:$D$17),'Second Earner'!$C$14))</f>
      </c>
      <c r="AP6" s="7">
        <f>IF($B6="","",IFERROR(LOOKUP(2,1/(('Changes — Earner 2'!$C$6:$C$17="W-4 change")*('Changes — Earner 2'!$B$6:$B$17&lt;=$B6)*('Changes — Earner 2'!$B$6:$B$17&lt;&gt;"")),'Changes — Earner 2'!$E$6:$E$17),'Second Earner'!$C$15))</f>
      </c>
      <c r="AQ6" s="7">
        <f>IF($B6="","",IFERROR(LOOKUP(2,1/(('Changes — Earner 2'!$C$6:$C$17="W-4 change")*('Changes — Earner 2'!$B$6:$B$17&lt;=$B6)*('Changes — Earner 2'!$B$6:$B$17&lt;&gt;"")),'Changes — Earner 2'!$F$6:$F$17),'Second Earner'!$C$16))</f>
      </c>
      <c r="AR6" s="7">
        <f>IF($B6="","",IFERROR(LOOKUP(2,1/(('Changes — Earner 2'!$C$6:$C$17="W-4 change")*('Changes — Earner 2'!$B$6:$B$17&lt;=$B6)*('Changes — Earner 2'!$B$6:$B$17&lt;&gt;"")),'Changes — Earner 2'!$G$6:$G$17),'Second Earner'!$C$17))</f>
      </c>
      <c r="AS6" s="6">
        <f>IF($B6="","",IFERROR(LOOKUP(2,1/((('Changes — Earner 2'!$C$6:$C$17="State move")+('Changes — Earner 2'!$C$6:$C$17="State cert change"))*('Changes — Earner 2'!$B$6:$B$17&lt;=$B6)*('Changes — Earner 2'!$B$6:$B$17&lt;&gt;"")),'Changes — Earner 2'!$F$6:$F$17),'Second Earner'!$C$23))</f>
      </c>
      <c r="AT6" s="6">
        <f>IF($B6="","",IFERROR(LOOKUP(2,1/((('Changes — Earner 2'!$C$6:$C$17="State move")+('Changes — Earner 2'!$C$6:$C$17="State cert change"))*('Changes — Earner 2'!$B$6:$B$17&lt;=$B6)*('Changes — Earner 2'!$B$6:$B$17&lt;&gt;"")),'Changes — Earner 2'!$G$6:$G$17),'Second Earner'!$C$24))</f>
      </c>
      <c r="AU6">
        <f>IF($B6="","",IFERROR(LOOKUP(2,1/(('Changes — Earner 2'!$C$6:$C$17="State move")*('Changes — Earner 2'!$B$6:$B$17&lt;=$B6)*('Changes — Earner 2'!$B$6:$B$17&lt;&gt;"")),'Changes — Earner 2'!$E$6:$E$17),'Second Earner'!$C$22))</f>
      </c>
      <c r="AV6" s="6">
        <f>IF($B6="","",1+COUNTIFS('Changes — Earner 2'!$C$6:$C$17,"Employer change",'Changes — Earner 2'!$B$6:$B$17,"&lt;="&amp;$B6,'Changes — Earner 2'!$B$6:$B$17,"&lt;&gt;"))</f>
      </c>
      <c r="AW6" s="7">
        <f>IF($B6="","",IF($AV6=1,'Second Earner'!$C$49,IF(IFERROR(MATCH(IFERROR(LOOKUP(2,1/(('Changes — Earner 2'!$C$6:$C$17="Employer change")*('Changes — Earner 2'!$B$6:$B$17&lt;=$B6)*('Changes — Earner 2'!$B$6:$B$17&lt;&gt;"")),'Changes — Earner 2'!$B$6:$B$17),""),$B$6:$B$68,1),1)&lt;=1,'Second Earner'!$C$49,INDEX($AB$6:$AB$68,MATCH(IFERROR(LOOKUP(2,1/(('Changes — Earner 2'!$C$6:$C$17="Employer change")*('Changes — Earner 2'!$B$6:$B$17&lt;=$B6)*('Changes — Earner 2'!$B$6:$B$17&lt;&gt;"")),'Changes — Earner 2'!$B$6:$B$17),""),$B$6:$B$68,1)-1))))</f>
      </c>
      <c r="AX6" s="7">
        <f>IF($B6="","",IF($AV6=1,'Second Earner'!$C$49,IFERROR(LOOKUP(2,1/(('Changes — Earner 2'!$C$6:$C$17="Employer change")*('Changes — Earner 2'!$B$6:$B$17&lt;=$B6)*('Changes — Earner 2'!$B$6:$B$17&lt;&gt;"")),'Changes — Earner 2'!$D$6:$D$17),0)))</f>
      </c>
      <c r="AY6" s="7">
        <f>IF($B6="","",($O6-$D6)*'Second Earner'!$C$8)</f>
      </c>
      <c r="AZ6" s="7">
        <f>IF($B6="","",IF($AN6="AL",MAX(0,$AY6-IF($AU6="Married",IF($AY6&lt;=25999,8500,MAX(5000,8500-175*CEILING(($AY6-25999)/500,1))),IF($AU6="Head of household",IF($AY6&lt;=25999,5200,MAX(2500,5200-135*CEILING(($AY6-25999)/500,1))),IF($AY6&lt;=25999,3000,MAX(2500,3000-25*CEILING(($AY6-25999)/500,1)))))-($P6-'How This Works &amp; Sources'!$C$10*$D6)*'Second Earner'!$C$8-IF(OR($AU6="Married",$AU6="Head of household"),3000,1500)-$AT6*IF($AY6&lt;=50000,1000,IF($AY6&lt;=100000,500,300))),IF($AN6="AR",IF(MAX(0,$AY6-2470)&lt;97701,INT(MAX(0,$AY6-2470)/100)*100+50,MAX(0,$AY6-2470)),IF($AN6="DE",MAX(0,$AI6-3250),IF($AN6="HI",MAX(0,$AI6-1144*$AS6-4350),IF($AN6="KS",MAX(0,$AI6-(9160*IF($AU6="Married",2,1)+2320*$AT6+IF($AU6="Head of household",2320,0))),IF($AN6="MD",MAX(0,$AI6-3400-3200*$AS6),IF($AN6="MN",MAX(0,$AY6-5300*$AS6),IF($AN6="MO",MAX(0,$AI6-IF($AU6="Head of household",24150,IF($AU6="Married",IF('Second Earner'!$C$83,16100,32200),16100))),IF($AN6="MT",$AY6,IF($AN6="ND",($C6+$L6)*'Second Earner'!$C$8,IF($AN6="NE",MAX(0,$AY6-2440*$AS6),IF($AN6="NJ",MAX(0,$AY6-1000*$AS6),IF($AN6="NY",MAX(0,$AY6-(IF($AU6="Married",7950,7400)+1000*$AS6)),IF($AN6="OH",MAX(0,$AY6-650*$AS6),IF($AN6="OK",MAX(0,$AY6-1000*$AS6),IF($AN6="RI",MAX(0,$AI6-1000*$AS6),IF($AN6="SC",MAX(0,$AI6-5000*$AS6-IF($AS6=0,0,MIN(0.1*$AI6,7500))),IF($AN6="VA",MAX(0,$AI6-IF($AU6="Married",17500,8750)-930*$AS6-800*$AT6),IF($AN6="VT",MAX(0,$AI6-5400*$AS6),IF($AN6="WI",MAX(0,$AI6-MAX(0,IF($AU6="Married",9461-0.2*MAX(0,$AI6-25727),6702-0.12*MAX(0,$AI6-17780)))-400*$AS6),IF($AN6="WV",MAX(0,$AI6-2000*$AS6),$AI6))))))))))))))))))))))</f>
      </c>
      <c r="BA6" s="7">
        <f>IF($B6="","",IF($BW6&lt;&gt;"",$BW6,IF($BX6&lt;&gt;"",$BX6,IF($BY6&lt;&gt;"",$BY6,0))))</f>
      </c>
      <c r="BB6" s="7">
        <f>IF($B6="","",IF($AN6="AR",-29*$AS6,IF($AN6="DE",-110*$AS6,IF($AN6="MD",$AZ6*'Second Earner'!$C$74,IF($AN6="AZ",'Second Earner'!$C$82*($M6-$D6)*'Second Earner'!$C$8,IF($AN6="CO",0.044*MAX(0,$AY6-IF($AU6="Married",10000,5000)),IF($AN6="IA",MAX(0,0.038*MAX(0,$AY6-IF($AU6="Head of household",19500,IF($AU6="Married",26000,13000)))-40*$AS6),IF($AN6="ID",0.053*MAX(0,$AY6-IF($AU6="Married",32000,16094)),IF($AN6="IL",0.0495*MAX(0,$AY6-(2925*$AS6+1000*$AT6)),IF($AN6="IN",(0.0295+'Second Earner'!$C$76)*MAX(0,$AY6-(1000*$AS6+1500*$AT6+3000*'Second Earner'!$C$86)),IF($AN6="KY",0.035*MAX(0,$AI6-3360),IF($AN6="LA",IF('Second Earner'!$C$84="0",0.0309*$AI6,0.0309*MAX(0,$AI6-IF('Second Earner'!$C$84="2",25750,12875))),IF($AN6="MA",0.05*MIN(MAX(0,$AY6-MIN((0+$Q6+$R6+$S6),2000)-IF($AS6=0,0,IF($AS6=1,4400,1000*$AS6+3400))),1107750)+0.09*MAX(0,MAX(0,$AY6-MIN((0+$Q6+$R6+$S6),2000)-IF($AS6=0,0,IF($AS6=1,4400,1000*$AS6+3400)))-1107750)-IF($AU6="Head of household",120,0)-110*'Second Earner'!$C$75,IF($AN6="MI",0.0425*MAX(0,$AY6-5900*$AS6),IF($AN6="MS",0.04*MAX(0,$AI6-IF($AU6="Head of household",3400,IF($AU6="Married",4600,2300))-'Second Earner'!$C$85-10000),IF($AN6="OR",IF(OR($AU6="Married",AND($AU6="Single",$AS6&gt;=3)),SUMPRODUCT((MAX(0,$AY6-MIN(($P6-'How This Works &amp; Sources'!$C$10*$D6)*'Second Earner'!$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Sources'!$B$211:$J$214,0,4))*(MAX(0,$AY6-MIN(($P6-'How This Works &amp; Sources'!$C$10*$D6)*'Second Earner'!$C$8,IF(OR($AU6="Married",AND($AU6="Single",$AS6&gt;=3)),IF($AY6&lt;250000,8750,IF($AY6&lt;260000,7000,IF($AY6&lt;270000,5250,IF($AY6&lt;280000,3500,IF($AY6&lt;290000,1750,0))))),IF($AY6&lt;125000,8750,IF($AY6&lt;130000,7000,IF($AY6&lt;135000,5250,IF($AY6&lt;140000,3500,IF($AY6&lt;145000,1750,0)))))))-IF(OR($AU6="Married",AND($AU6="Single",$AS6&gt;=3)),5820,2910))-INDEX('How This Works &amp; Sources'!$B$211:$J$214,0,4))*INDEX('How This Works &amp; Sources'!$B$211:$J$214,0,4+2)),SUMPRODUCT((MAX(0,$AY6-MIN(($P6-'How This Works &amp; Sources'!$C$10*$D6)*'Second Earner'!$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Sources'!$B$211:$J$214,0,1))*(MAX(0,$AY6-MIN(($P6-'How This Works &amp; Sources'!$C$10*$D6)*'Second Earner'!$C$8,IF(OR($AU6="Married",AND($AU6="Single",$AS6&gt;=3)),IF($AY6&lt;250000,8750,IF($AY6&lt;260000,7000,IF($AY6&lt;270000,5250,IF($AY6&lt;280000,3500,IF($AY6&lt;290000,1750,0))))),IF($AY6&lt;125000,8750,IF($AY6&lt;130000,7000,IF($AY6&lt;135000,5250,IF($AY6&lt;140000,3500,IF($AY6&lt;145000,1750,0)))))))-IF(OR($AU6="Married",AND($AU6="Single",$AS6&gt;=3)),5820,2910))-INDEX('How This Works &amp; Sources'!$B$211:$J$214,0,1))*INDEX('How This Works &amp; Sources'!$B$211:$J$214,0,1+2)))+263-263*IF(IF($AU6="Married",$AY6&gt;200000,$AY6&gt;100000),0,$AS6),IF($AN6="PA",0.0307*(($O6+$E6+$G6)*'Second Earner'!$C$8),IF($AN6="NY",IF($AU6="Married",IF($AZ6&gt;=2155350,0,IF($AZ6&gt;=1077550,0.48,IF($AZ6&gt;=373200,1.21,IF($AZ6&gt;=323200,0.21,IF($AZ6&gt;=211550,-0.19,IF($AZ6&gt;=157650,-2.8,IF($AZ6&gt;=107650,-0.8,IF($AZ6&gt;=96800,0.05,IF($AZ6&gt;=80650,-0.1,IF($AZ6&gt;=13900,0.4,IF($AZ6&gt;=11700,-0.3,IF($AZ6&gt;=8500,0.5,0)))))))))))),IF($AZ6&gt;=1077550,0,IF($AZ6&gt;=265400,4.29,IF($AZ6&gt;=215400,2.29,IF($AZ6&gt;=157650,2.29,IF($AZ6&gt;=107650,0.29,IF($AZ6&gt;=96800,0.05,IF($AZ6&gt;=80650,-0.1,IF($AZ6&gt;=13900,0.4,IF($AZ6&gt;=11700,-0.3,IF($AZ6&gt;=8500,0.5,0))))))))))),0))))))))))))))))))</f>
      </c>
      <c r="BC6" s="7">
        <f>IF($B6="","",IF($AN6="AL",0.05*$D6,IF($AN6="AR",0.039*$D6,IF($AN6="ID",0.053*$D6,IF($AN6="IN",(0.0295+'Second Earner'!$C$76)*$D6,IF($AN6="KS",0.05*$D6,IF($AN6="MA",0.09*MIN($D6,MAX(0,MAX(0,$AY6-MIN((0+$Q6+$R6+$S6),2000)-IF($AS6=0,0,IF($AS6=1,4400,1000*$AS6+3400)))+$D6-1107750))+0.05*($D6-MIN($D6,MAX(0,MAX(0,$AY6-MIN((0+$Q6+$R6+$S6),2000)-IF($AS6=0,0,IF($AS6=1,4400,1000*$AS6+3400)))+$D6-1107750))),IF($AN6="MD",(0.065+'Second Earner'!$C$74)*$D6,IF($AN6="MI",0.0425*$D6,IF($AN6="MN",0.0625*$D6,IF($AN6="MO",0.047*$D6,IF($AN6="MT",0.05*$D6,IF($AN6="ND",0.015*$D6,IF($AN6="NE",0.035*$D6,IF($AN6="NJ",IF('Second Earner'!$C$77="B",SUMPRODUCT(($D6*'Second Earner'!$C$8&gt;INDEX('How This Works &amp; Sources'!$B$155:$J$162,0,4))*($D6*'Second Earner'!$C$8-INDEX('How This Works &amp; Sources'!$B$155:$J$162,0,4))*INDEX('How This Works &amp; Sources'!$B$155:$J$162,0,4+2)),IF('Second Earner'!$C$77="C",SUMPRODUCT(($D6*'Second Earner'!$C$8&gt;INDEX('How This Works &amp; Sources'!$B$155:$J$162,0,7))*($D6*'Second Earner'!$C$8-INDEX('How This Works &amp; Sources'!$B$155:$J$162,0,7))*INDEX('How This Works &amp; Sources'!$B$155:$J$162,0,7+2)),IF('Second Earner'!$C$77="D",SUMPRODUCT(($D6*'Second Earner'!$C$8&gt;INDEX('How This Works &amp; Sources'!$B$167:$J$179,0,1))*($D6*'Second Earner'!$C$8-INDEX('How This Works &amp; Sources'!$B$167:$J$179,0,1))*INDEX('How This Works &amp; Sources'!$B$167:$J$179,0,1+2)),IF('Second Earner'!$C$77="E",SUMPRODUCT(($D6*'Second Earner'!$C$8&gt;INDEX('How This Works &amp; Sources'!$B$167:$J$179,0,4))*($D6*'Second Earner'!$C$8-INDEX('How This Works &amp; Sources'!$B$167:$J$179,0,4))*INDEX('How This Works &amp; Sources'!$B$167:$J$179,0,4+2)),SUMPRODUCT(($D6*'Second Earner'!$C$8&gt;INDEX('How This Works &amp; Sources'!$B$155:$J$162,0,1))*($D6*'Second Earner'!$C$8-INDEX('How This Works &amp; Sources'!$B$155:$J$162,0,1))*INDEX('How This Works &amp; Sources'!$B$155:$J$162,0,1+2))))))/'Second Earner'!$C$8,IF($AN6="NY",0.117*$D6,IF($AN6="OH",0.0275*$D6,IF($AN6="OK",0.045*$D6,IF($AN6="OR",0.08*$D6,IF($AN6="WI",IF($AY6&lt;12760,0.0354,IF($AY6&lt;25520,0.0465,IF($AY6&lt;280950,0.053,0.0765)))*$D6,0))))))))))))))))))))</f>
      </c>
      <c r="BD6" s="7">
        <f>IF($B6="","",0+$Q6+$R6+$S6)</f>
      </c>
      <c r="BE6" s="6">
        <f>IF($B6="",0,0+$BF6)</f>
      </c>
      <c r="BF6" s="6">
        <f>IF($B6="","",IF(AND(IF(YEAR(IF('Second Earner'!$C$7="Weekly",'Second Earner'!$C$9+7*((0+1)-1),IF('Second Earner'!$C$7="Biweekly",'Second Earner'!$C$9+14*((0+1)-1),IF('Second Earner'!$C$7="Semimonthly",DATE(YEAR('Second Earner'!$C$9),MONTH('Second Earner'!$C$9)+INT(((0+1)-1)/2),MIN(DAY('Second Earner'!$C$9),DAY(EOMONTH(DATE(YEAR('Second Earner'!$C$9),MONTH('Second Earner'!$C$9)+INT(((0+1)-1)/2),1),0))))+IF(MOD((0+1)-1,2)=1,15,0),EDATE('Second Earner'!$C$9,(0+1)-1)))))&lt;&gt;'Second Earner'!$C$10,"",IF('Second Earner'!$C$7="Weekly",'Second Earner'!$C$9+7*((0+1)-1),IF('Second Earner'!$C$7="Biweekly",'Second Earner'!$C$9+14*((0+1)-1),IF('Second Earner'!$C$7="Semimonthly",DATE(YEAR('Second Earner'!$C$9),MONTH('Second Earner'!$C$9)+INT(((0+1)-1)/2),MIN(DAY('Second Earner'!$C$9),DAY(EOMONTH(DATE(YEAR('Second Earner'!$C$9),MONTH('Second Earner'!$C$9)+INT(((0+1)-1)/2),1),0))))+IF(MOD((0+1)-1,2)=1,15,0),EDATE('Second Earner'!$C$9,(0+1)-1)))))&lt;&gt;"",$B6=IF(YEAR(IF('Second Earner'!$C$7="Weekly",'Second Earner'!$C$9+7*((0+1)-1),IF('Second Earner'!$C$7="Biweekly",'Second Earner'!$C$9+14*((0+1)-1),IF('Second Earner'!$C$7="Semimonthly",DATE(YEAR('Second Earner'!$C$9),MONTH('Second Earner'!$C$9)+INT(((0+1)-1)/2),MIN(DAY('Second Earner'!$C$9),DAY(EOMONTH(DATE(YEAR('Second Earner'!$C$9),MONTH('Second Earner'!$C$9)+INT(((0+1)-1)/2),1),0))))+IF(MOD((0+1)-1,2)=1,15,0),EDATE('Second Earner'!$C$9,(0+1)-1)))))&lt;&gt;'Second Earner'!$C$10,"",IF('Second Earner'!$C$7="Weekly",'Second Earner'!$C$9+7*((0+1)-1),IF('Second Earner'!$C$7="Biweekly",'Second Earner'!$C$9+14*((0+1)-1),IF('Second Earner'!$C$7="Semimonthly",DATE(YEAR('Second Earner'!$C$9),MONTH('Second Earner'!$C$9)+INT(((0+1)-1)/2),MIN(DAY('Second Earner'!$C$9),DAY(EOMONTH(DATE(YEAR('Second Earner'!$C$9),MONTH('Second Earner'!$C$9)+INT(((0+1)-1)/2),1),0))))+IF(MOD((0+1)-1,2)=1,15,0),EDATE('Second Earner'!$C$9,(0+1)-1)))))),1,0))</f>
      </c>
      <c r="BG6" s="7">
        <f>IF($B6="","",'Second Earner'!$C$52+$H6)</f>
      </c>
      <c r="BH6" s="7">
        <f>IF($B6="","",'Second Earner'!$C$53+$I6)</f>
      </c>
      <c r="BI6" s="7">
        <f>IF($B6="","",0+$G6)</f>
      </c>
      <c r="BJ6" s="7">
        <f>IF($B6="","",IFERROR(LOOKUP(2,1/(((('Changes — Earner 2'!$C$6:$C$17="Deduction start"))*('Changes — Earner 2'!$D$6:$D$17="Health FSA"))*('Changes — Earner 2'!$B$6:$B$17&lt;=$B6)*('Changes — Earner 2'!$B$6:$B$17&lt;&gt;"")),'Changes — Earner 2'!$E$6:$E$17),'Second Earner'!$D$38))</f>
      </c>
      <c r="BK6" s="7">
        <f>IF($B6="","",IFERROR(LOOKUP(2,1/(((('Changes — Earner 2'!$C$6:$C$17="Deduction start"))*('Changes — Earner 2'!$D$6:$D$17="Dependent-care FSA"))*('Changes — Earner 2'!$B$6:$B$17&lt;=$B6)*('Changes — Earner 2'!$B$6:$B$17&lt;&gt;"")),'Changes — Earner 2'!$E$6:$E$17),'Second Earner'!$D$39))</f>
      </c>
      <c r="BL6" s="7">
        <f>IF($B6="","",IFERROR(LOOKUP(2,1/(((('Changes — Earner 2'!$C$6:$C$17="Deduction start")+('Changes — Earner 2'!$C$6:$C$17="Deduction stop"))*('Changes — Earner 2'!$D$6:$D$17="HSA"))*('Changes — Earner 2'!$B$6:$B$17&lt;=$B6)*('Changes — Earner 2'!$B$6:$B$17&lt;&gt;"")),'Changes — Earner 2'!$I$6:$I$17),'Second Earner'!$D$35))</f>
      </c>
      <c r="BM6" s="7">
        <f>IF($B6="","",IFERROR(LOOKUP(2,1/(((('Changes — Earner 2'!$C$6:$C$17="Deduction start")+('Changes — Earner 2'!$C$6:$C$17="Deduction stop"))*('Changes — Earner 2'!$D$6:$D$17="Premiums"))*('Changes — Earner 2'!$B$6:$B$17&lt;=$B6)*('Changes — Earner 2'!$B$6:$B$17&lt;&gt;"")),'Changes — Earner 2'!$I$6:$I$17),'Second Earner'!$D$40+'Second Earner'!$D$41+'Second Earner'!$D$42))</f>
      </c>
      <c r="BN6" s="7">
        <f>IF($B6="","",IFERROR(LOOKUP(2,1/(((('Changes — Earner 2'!$C$6:$C$17="Deduction start")+('Changes — Earner 2'!$C$6:$C$17="Deduction stop"))*('Changes — Earner 2'!$D$6:$D$17="Commuter"))*('Changes — Earner 2'!$B$6:$B$17&lt;=$B6)*('Changes — Earner 2'!$B$6:$B$17&lt;&gt;"")),'Changes — Earner 2'!$I$6:$I$17),'Second Earner'!$D$43))</f>
      </c>
      <c r="BO6" s="7">
        <f>IF($B6="","",IFERROR(LOOKUP(2,1/(((('Changes — Earner 2'!$C$6:$C$17="Deduction start")+('Changes — Earner 2'!$C$6:$C$17="Deduction stop"))*('Changes — Earner 2'!$D$6:$D$17="Other pre-tax"))*('Changes — Earner 2'!$B$6:$B$17&lt;=$B6)*('Changes — Earner 2'!$B$6:$B$17&lt;&gt;"")),'Changes — Earner 2'!$I$6:$I$17),'Second Earner'!$D$44))</f>
      </c>
      <c r="BP6" s="7">
        <f>IF($B6="","",IFERROR(LOOKUP(2,1/(((('Changes — Earner 2'!$C$6:$C$17="Deduction start")+('Changes — Earner 2'!$C$6:$C$17="Deduction stop"))*('Changes — Earner 2'!$D$6:$D$17="Other post-tax"))*('Changes — Earner 2'!$B$6:$B$17&lt;=$B6)*('Changes — Earner 2'!$B$6:$B$17&lt;&gt;"")),'Changes — Earner 2'!$I$6:$I$17),'Second Earner'!$D$45))</f>
      </c>
      <c r="BQ6" s="6">
        <f>IF($B6="","",IFERROR(LOOKUP(2,1/(((('Changes — Earner 2'!$C$6:$C$17="Deduction start")+('Changes — Earner 2'!$C$6:$C$17="Deduction stop"))*('Changes — Earner 2'!$D$6:$D$17="Health FSA"))*('Changes — Earner 2'!$B$6:$B$17&lt;=$B6)*('Changes — Earner 2'!$B$6:$B$17&lt;&gt;"")),'Changes — Earner 2'!$J$6:$J$17),0))</f>
      </c>
      <c r="BR6" s="6">
        <f>IF($B6="","",IFERROR(LOOKUP(2,1/(((('Changes — Earner 2'!$C$6:$C$17="Deduction start")+('Changes — Earner 2'!$C$6:$C$17="Deduction stop"))*('Changes — Earner 2'!$D$6:$D$17="Dependent-care FSA"))*('Changes — Earner 2'!$B$6:$B$17&lt;=$B6)*('Changes — Earner 2'!$B$6:$B$17&lt;&gt;"")),'Changes — Earner 2'!$J$6:$J$17),0))</f>
      </c>
      <c r="BS6" s="6">
        <f>IF($B6="","",IF(SUMPRODUCT(('Changes — Earner 2'!$C$6:$C$17="Deduction start")*('Changes — Earner 2'!$B$6:$B$17&lt;=$B6)*('Changes — Earner 2'!$B$6:$B$17&lt;&gt;"")*('Changes — Earner 2'!$D$6:$D$17="Health FSA"))&gt;0,1,0))</f>
      </c>
      <c r="BT6" s="6">
        <f>IF($B6="","",IF(SUMPRODUCT(('Changes — Earner 2'!$C$6:$C$17="Deduction start")*('Changes — Earner 2'!$B$6:$B$17&lt;=$B6)*('Changes — Earner 2'!$B$6:$B$17&lt;&gt;"")*('Changes — Earner 2'!$D$6:$D$17="Dependent-care FSA"))&gt;0,1,0))</f>
      </c>
      <c r="BU6" s="24">
        <f>IF($B6="","",IF('Second Earner'!$C$13,SUMPRODUCT(($AH6&gt;=INDEX('How This Works &amp; Sources'!$B$29:$J$36,0,IF('Second Earner'!$C$12="MFJ",1,IF('Second Earner'!$C$12="HoH",7,4))))*INDEX('How This Works &amp; Sources'!$B$29:$J$36,0,IF('Second Earner'!$C$12="MFJ",1,IF('Second Earner'!$C$12="HoH",7,4))+2)),SUMPRODUCT(($AH6&gt;=INDEX('How This Works &amp; Sources'!$B$19:$J$26,0,IF('Second Earner'!$C$12="MFJ",1,IF('Second Earner'!$C$12="HoH",7,4))))*INDEX('How This Works &amp; Sources'!$B$19:$J$26,0,IF('Second Earner'!$C$12="MFJ",1,IF('Second Earner'!$C$12="HoH",7,4))+2))))</f>
      </c>
      <c r="BV6" s="24">
        <f>IF($B6="","",IF($BZ6&lt;&gt;"",$BZ6,IF($CA6&lt;&gt;"",$CA6,IF($CB6&lt;&gt;"",$CB6,IF($CC6&lt;&gt;"",$CC6,0)))))</f>
      </c>
      <c r="BW6" s="7">
        <f>IF($B6="","",IF($AN6="AR",SUMPRODUCT(($AZ6&gt;INDEX('How This Works &amp; Sources'!$B$82:$J$86,0,7))*($AZ6-INDEX('How This Works &amp; Sources'!$B$82:$J$86,0,7))*INDEX('How This Works &amp; Sources'!$B$82:$J$86,0,7+2)),IF($AN6="MD",IF(OR($AU6="Married",$AU6="Head of household"),SUMPRODUCT(($AZ6&gt;INDEX('How This Works &amp; Sources'!$B$114:$J$120,0,1))*($AZ6-INDEX('How This Works &amp; Sources'!$B$114:$J$120,0,1))*INDEX('How This Works &amp; Sources'!$B$114:$J$120,0,1+2)),SUMPRODUCT(($AZ6&gt;INDEX('How This Works &amp; Sources'!$B$103:$J$109,0,7))*($AZ6-INDEX('How This Works &amp; Sources'!$B$103:$J$109,0,7))*INDEX('How This Works &amp; Sources'!$B$103:$J$109,0,7+2))),IF($AN6="MT",IF($AU6="Head of household",SUMPRODUCT(($AZ6&gt;INDEX('How This Works &amp; Sources'!$B$137:$J$139,0,1))*($AZ6-INDEX('How This Works &amp; Sources'!$B$137:$J$139,0,1))*INDEX('How This Works &amp; Sources'!$B$137:$J$139,0,1+2)),IF($AU6="Married",SUMPRODUCT(($AZ6&gt;INDEX('How This Works &amp; Sources'!$B$125:$J$132,0,7))*($AZ6-INDEX('How This Works &amp; Sources'!$B$125:$J$132,0,7))*INDEX('How This Works &amp; Sources'!$B$125:$J$132,0,7+2)),SUMPRODUCT(($AZ6&gt;INDEX('How This Works &amp; Sources'!$B$125:$J$132,0,4))*($AZ6-INDEX('How This Works &amp; Sources'!$B$125:$J$132,0,4))*INDEX('How This Works &amp; Sources'!$B$125:$J$132,0,4+2)))),IF($AN6="ND",IF($AU6="Head of household",SUMPRODUCT(($AZ6&gt;INDEX('How This Works &amp; Sources'!$B$144:$J$150,0,1))*($AZ6-INDEX('How This Works &amp; Sources'!$B$144:$J$150,0,1))*INDEX('How This Works &amp; Sources'!$B$144:$J$150,0,1+2)),IF($AU6="Married",SUMPRODUCT(($AZ6&gt;INDEX('How This Works &amp; Sources'!$B$137:$J$139,0,7))*($AZ6-INDEX('How This Works &amp; Sources'!$B$137:$J$139,0,7))*INDEX('How This Works &amp; Sources'!$B$137:$J$139,0,7+2)),SUMPRODUCT(($AZ6&gt;INDEX('How This Works &amp; Sources'!$B$137:$J$139,0,4))*($AZ6-INDEX('How This Works &amp; Sources'!$B$137:$J$139,0,4))*INDEX('How This Works &amp; Sources'!$B$137:$J$139,0,4+2)))),IF($AN6="NJ",IF('Second Earner'!$C$77="B",SUMPRODUCT(($AZ6&gt;INDEX('How This Works &amp; Sources'!$B$155:$J$162,0,4))*($AZ6-INDEX('How This Works &amp; Sources'!$B$155:$J$162,0,4))*INDEX('How This Works &amp; Sources'!$B$155:$J$162,0,4+2)),IF('Second Earner'!$C$77="C",SUMPRODUCT(($AZ6&gt;INDEX('How This Works &amp; Sources'!$B$155:$J$162,0,7))*($AZ6-INDEX('How This Works &amp; Sources'!$B$155:$J$162,0,7))*INDEX('How This Works &amp; Sources'!$B$155:$J$162,0,7+2)),IF('Second Earner'!$C$77="D",SUMPRODUCT(($AZ6&gt;INDEX('How This Works &amp; Sources'!$B$167:$J$179,0,1))*($AZ6-INDEX('How This Works &amp; Sources'!$B$167:$J$179,0,1))*INDEX('How This Works &amp; Sources'!$B$167:$J$179,0,1+2)),IF('Second Earner'!$C$77="E",SUMPRODUCT(($AZ6&gt;INDEX('How This Works &amp; Sources'!$B$167:$J$179,0,4))*($AZ6-INDEX('How This Works &amp; Sources'!$B$167:$J$179,0,4))*INDEX('How This Works &amp; Sources'!$B$167:$J$179,0,4+2)),SUMPRODUCT(($AZ6&gt;INDEX('How This Works &amp; Sources'!$B$155:$J$162,0,1))*($AZ6-INDEX('How This Works &amp; Sources'!$B$155:$J$162,0,1))*INDEX('How This Works &amp; Sources'!$B$155:$J$162,0,1+2)))))),IF($AN6="NY",IF($AU6="Married",IF($AZ6&gt;=2155350,$AZ6*IF($AZ6&gt;25000000,0.117,IF($AZ6&gt;5000000,0.111,0.1045)),SUMPRODUCT(($AZ6&gt;INDEX('How This Works &amp; Sources'!$B$184:$J$198,0,1))*($AZ6-INDEX('How This Works &amp; Sources'!$B$184:$J$198,0,1))*INDEX('How This Works &amp; Sources'!$B$184:$J$198,0,1+2))),IF($AZ6&gt;=1077550,$AZ6*IF($AZ6&gt;25000000,0.117,IF($AZ6&gt;5000000,0.111,0.1045)),SUMPRODUCT(($AZ6&gt;INDEX('How This Works &amp; Sources'!$B$167:$J$179,0,7))*($AZ6-INDEX('How This Works &amp; Sources'!$B$167:$J$179,0,7))*INDEX('How This Works &amp; Sources'!$B$167:$J$179,0,7+2)))),"")))))))</f>
      </c>
      <c r="BX6" s="7">
        <f>IF($B6="","",IF($AN6="AL",IF(OR($AU6="Married",$AU6="Head of household"),SUMPRODUCT(($AZ6&gt;INDEX('How This Works &amp; Sources'!$B$82:$J$86,0,4))*($AZ6-INDEX('How This Works &amp; Sources'!$B$82:$J$86,0,4))*INDEX('How This Works &amp; Sources'!$B$82:$J$86,0,4+2)),SUMPRODUCT(($AZ6&gt;INDEX('How This Works &amp; Sources'!$B$82:$J$86,0,1))*($AZ6-INDEX('How This Works &amp; Sources'!$B$82:$J$86,0,1))*INDEX('How This Works &amp; Sources'!$B$82:$J$86,0,1+2))),IF($AN6="KS",IF($AU6="Married",SUMPRODUCT(($AZ6&gt;INDEX('How This Works &amp; Sources'!$B$103:$J$109,0,4))*($AZ6-INDEX('How This Works &amp; Sources'!$B$103:$J$109,0,4))*INDEX('How This Works &amp; Sources'!$B$103:$J$109,0,4+2)),SUMPRODUCT(($AZ6&gt;INDEX('How This Works &amp; Sources'!$B$103:$J$109,0,1))*($AZ6-INDEX('How This Works &amp; Sources'!$B$103:$J$109,0,1))*INDEX('How This Works &amp; Sources'!$B$103:$J$109,0,1+2))),IF($AN6="MN",IF($AU6="Married",SUMPRODUCT(($AZ6&gt;INDEX('How This Works &amp; Sources'!$B$114:$J$120,0,7))*($AZ6-INDEX('How This Works &amp; Sources'!$B$114:$J$120,0,7))*INDEX('How This Works &amp; Sources'!$B$114:$J$120,0,7+2)),SUMPRODUCT(($AZ6&gt;INDEX('How This Works &amp; Sources'!$B$114:$J$120,0,4))*($AZ6-INDEX('How This Works &amp; Sources'!$B$114:$J$120,0,4))*INDEX('How This Works &amp; Sources'!$B$114:$J$120,0,4+2))),IF($AN6="MO",SUMPRODUCT(($AZ6&gt;INDEX('How This Works &amp; Sources'!$B$125:$J$132,0,1))*($AZ6-INDEX('How This Works &amp; Sources'!$B$125:$J$132,0,1))*INDEX('How This Works &amp; Sources'!$B$125:$J$132,0,1+2)),IF($AN6="NE",MAX(IF($AU6="Married",SUMPRODUCT(($AZ6&gt;INDEX('How This Works &amp; Sources'!$B$144:$J$150,0,7))*($AZ6-INDEX('How This Works &amp; Sources'!$B$144:$J$150,0,7))*INDEX('How This Works &amp; Sources'!$B$144:$J$150,0,7+2)),SUMPRODUCT(($AZ6&gt;INDEX('How This Works &amp; Sources'!$B$144:$J$150,0,4))*($AZ6-INDEX('How This Works &amp; Sources'!$B$144:$J$150,0,4))*INDEX('How This Works &amp; Sources'!$B$144:$J$150,0,4+2))),0.015*$AZ6),IF($AN6="OH",IF($B6&gt;=DATE(2026,8,1),SUMPRODUCT(($AZ6&gt;INDEX('How This Works &amp; Sources'!$B$203:$J$206,0,1))*($AZ6-INDEX('How This Works &amp; Sources'!$B$203:$J$206,0,1))*INDEX('How This Works &amp; Sources'!$B$203:$J$206,0,1+2)),SUMPRODUCT(($AZ6&gt;INDEX('How This Works &amp; Sources'!$B$184:$J$198,0,7))*($AZ6-INDEX('How This Works &amp; Sources'!$B$184:$J$198,0,7))*INDEX('How This Works &amp; Sources'!$B$184:$J$198,0,7+2))),IF($AN6="OK",IF($AU6="Married",SUMPRODUCT(($AZ6&gt;INDEX('How This Works &amp; Sources'!$B$203:$J$206,0,7))*($AZ6-INDEX('How This Works &amp; Sources'!$B$203:$J$206,0,7))*INDEX('How This Works &amp; Sources'!$B$203:$J$206,0,7+2)),SUMPRODUCT(($AZ6&gt;INDEX('How This Works &amp; Sources'!$B$203:$J$206,0,4))*($AZ6-INDEX('How This Works &amp; Sources'!$B$203:$J$206,0,4))*INDEX('How This Works &amp; Sources'!$B$203:$J$206,0,4+2))),IF($AN6="VT",IF($AU6="Married",SUMPRODUCT(($AZ6&gt;INDEX('How This Works &amp; Sources'!$B$228:$J$232,0,1))*($AZ6-INDEX('How This Works &amp; Sources'!$B$228:$J$232,0,1))*INDEX('How This Works &amp; Sources'!$B$228:$J$232,0,1+2)),SUMPRODUCT(($AZ6&gt;INDEX('How This Works &amp; Sources'!$B$219:$J$223,0,7))*($AZ6-INDEX('How This Works &amp; Sources'!$B$219:$J$223,0,7))*INDEX('How This Works &amp; Sources'!$B$219:$J$223,0,7+2))),IF($AN6="WV",IF($AU6="Married",SUMPRODUCT(($AZ6&gt;INDEX('How This Works &amp; Sources'!$B$237:$J$241,0,7))*($AZ6-INDEX('How This Works &amp; Sources'!$B$237:$J$241,0,7))*INDEX('How This Works &amp; Sources'!$B$237:$J$241,0,7+2)),SUMPRODUCT(($AZ6&gt;INDEX('How This Works &amp; Sources'!$B$228:$J$232,0,7))*($AZ6-INDEX('How This Works &amp; Sources'!$B$228:$J$232,0,7))*INDEX('How This Works &amp; Sources'!$B$228:$J$232,0,7+2))),""))))))))))</f>
      </c>
      <c r="BY6" s="7">
        <f>IF($B6="","",IF($AN6="DE",SUMPRODUCT(($AZ6&gt;INDEX('How This Works &amp; Sources'!$B$91:$J$98,0,1))*($AZ6-INDEX('How This Works &amp; Sources'!$B$91:$J$98,0,1))*INDEX('How This Works &amp; Sources'!$B$91:$J$98,0,1+2)),IF($AN6="HI",IF($AU6="Married",SUMPRODUCT(($AZ6&gt;INDEX('How This Works &amp; Sources'!$B$91:$J$98,0,7))*($AZ6-INDEX('How This Works &amp; Sources'!$B$91:$J$98,0,7))*INDEX('How This Works &amp; Sources'!$B$91:$J$98,0,7+2)),SUMPRODUCT(($AZ6&gt;INDEX('How This Works &amp; Sources'!$B$91:$J$98,0,4))*($AZ6-INDEX('How This Works &amp; Sources'!$B$91:$J$98,0,4))*INDEX('How This Works &amp; Sources'!$B$91:$J$98,0,4+2))),IF($AN6="RI",SUMPRODUCT(($AZ6&gt;INDEX('How This Works &amp; Sources'!$B$211:$J$214,0,7))*($AZ6-INDEX('How This Works &amp; Sources'!$B$211:$J$214,0,7))*INDEX('How This Works &amp; Sources'!$B$211:$J$214,0,7+2)),IF($AN6="SC",SUMPRODUCT(($AZ6&gt;INDEX('How This Works &amp; Sources'!$B$219:$J$223,0,1))*($AZ6-INDEX('How This Works &amp; Sources'!$B$219:$J$223,0,1))*INDEX('How This Works &amp; Sources'!$B$219:$J$223,0,1+2)),IF($AN6="VA",SUMPRODUCT(($AZ6&gt;INDEX('How This Works &amp; Sources'!$B$219:$J$223,0,4))*($AZ6-INDEX('How This Works &amp; Sources'!$B$219:$J$223,0,4))*INDEX('How This Works &amp; Sources'!$B$219:$J$223,0,4+2)),IF($AN6="WI",SUMPRODUCT(($AZ6&gt;INDEX('How This Works &amp; Sources'!$B$228:$J$232,0,4))*($AZ6-INDEX('How This Works &amp; Sources'!$B$228:$J$232,0,4))*INDEX('How This Works &amp; Sources'!$B$228:$J$232,0,4+2)),"")))))))</f>
      </c>
      <c r="BZ6" s="24">
        <f>IF($B6="","",IF($AN6="KS",IF($AU6="Married",SUMPRODUCT(($AZ6&gt;=INDEX('How This Works &amp; Sources'!$B$103:$J$109,0,4))*INDEX('How This Works &amp; Sources'!$B$103:$J$109,0,4+2)),SUMPRODUCT(($AZ6&gt;=INDEX('How This Works &amp; Sources'!$B$103:$J$109,0,1))*INDEX('How This Works &amp; Sources'!$B$103:$J$109,0,1+2))),IF($AN6="MT",IF($AU6="Head of household",SUMPRODUCT(($AZ6&gt;=INDEX('How This Works &amp; Sources'!$B$137:$J$139,0,1))*INDEX('How This Works &amp; Sources'!$B$137:$J$139,0,1+2)),IF($AU6="Married",SUMPRODUCT(($AZ6&gt;=INDEX('How This Works &amp; Sources'!$B$125:$J$132,0,7))*INDEX('How This Works &amp; Sources'!$B$125:$J$132,0,7+2)),SUMPRODUCT(($AZ6&gt;=INDEX('How This Works &amp; Sources'!$B$125:$J$132,0,4))*INDEX('How This Works &amp; Sources'!$B$125:$J$132,0,4+2)))),IF($AN6="OR",IF(OR($AU6="Married",AND($AU6="Single",$AS6&gt;=3)),SUMPRODUCT((MAX(0,$AY6-MIN(($P6-'How This Works &amp; Sources'!$C$10*$D6)*'Second Earner'!$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Sources'!$B$211:$J$214,0,4))*INDEX('How This Works &amp; Sources'!$B$211:$J$214,0,4+2)),SUMPRODUCT((MAX(0,$AY6-MIN(($P6-'How This Works &amp; Sources'!$C$10*$D6)*'Second Earner'!$C$8,IF(OR($AU6="Married",AND($AU6="Single",$AS6&gt;=3)),IF($AY6&lt;250000,8750,IF($AY6&lt;260000,7000,IF($AY6&lt;270000,5250,IF($AY6&lt;280000,3500,IF($AY6&lt;290000,1750,0))))),IF($AY6&lt;125000,8750,IF($AY6&lt;130000,7000,IF($AY6&lt;135000,5250,IF($AY6&lt;140000,3500,IF($AY6&lt;145000,1750,0)))))))-IF(OR($AU6="Married",AND($AU6="Single",$AS6&gt;=3)),5820,2910))&gt;=INDEX('How This Works &amp; Sources'!$B$211:$J$214,0,1))*INDEX('How This Works &amp; Sources'!$B$211:$J$214,0,1+2)))*IF(($P6-'How This Works &amp; Sources'!$C$10*$D6)*'Second Earner'!$C$8&gt;=IF(OR($AU6="Married",AND($AU6="Single",$AS6&gt;=3)),IF($AY6&lt;250000,8750,IF($AY6&lt;260000,7000,IF($AY6&lt;270000,5250,IF($AY6&lt;280000,3500,IF($AY6&lt;290000,1750,0))))),IF($AY6&lt;125000,8750,IF($AY6&lt;130000,7000,IF($AY6&lt;135000,5250,IF($AY6&lt;140000,3500,IF($AY6&lt;145000,1750,0)))))),1,1-IF('Second Earner'!$C$13,SUMPRODUCT(($AH6&gt;=INDEX('How This Works &amp; Sources'!$B$29:$J$36,0,IF('Second Earner'!$C$12="MFJ",1,IF('Second Earner'!$C$12="HoH",7,4))))*INDEX('How This Works &amp; Sources'!$B$29:$J$36,0,IF('Second Earner'!$C$12="MFJ",1,IF('Second Earner'!$C$12="HoH",7,4))+2)),SUMPRODUCT(($AH6&gt;=INDEX('How This Works &amp; Sources'!$B$19:$J$26,0,IF('Second Earner'!$C$12="MFJ",1,IF('Second Earner'!$C$12="HoH",7,4))))*INDEX('How This Works &amp; Sources'!$B$19:$J$26,0,IF('Second Earner'!$C$12="MFJ",1,IF('Second Earner'!$C$12="HoH",7,4))+2)))),""))))</f>
      </c>
      <c r="CA6" s="24">
        <f>IF($B6="","",IF($AN6="CA",SUMPRODUCT(($AJ6&gt;=INDEX('How This Works &amp; Sources'!$B$39:$J$48,0,IF($AU6="Married",4,IF($AU6="Head of household",7,1))))*INDEX('How This Works &amp; Sources'!$B$39:$J$48,0,IF($AU6="Married",4,IF($AU6="Head of household",7,1))+2)),IF($AN6="AL",IF(OR($AU6="Married",$AU6="Head of household"),SUMPRODUCT(($AZ6&gt;=INDEX('How This Works &amp; Sources'!$B$82:$J$86,0,4))*INDEX('How This Works &amp; Sources'!$B$82:$J$86,0,4+2)),SUMPRODUCT(($AZ6&gt;=INDEX('How This Works &amp; Sources'!$B$82:$J$86,0,1))*INDEX('How This Works &amp; Sources'!$B$82:$J$86,0,1+2)))*(1-IF('Second Earner'!$C$13,SUMPRODUCT(($AH6&gt;=INDEX('How This Works &amp; Sources'!$B$29:$J$36,0,IF('Second Earner'!$C$12="MFJ",1,IF('Second Earner'!$C$12="HoH",7,4))))*INDEX('How This Works &amp; Sources'!$B$29:$J$36,0,IF('Second Earner'!$C$12="MFJ",1,IF('Second Earner'!$C$12="HoH",7,4))+2)),SUMPRODUCT(($AH6&gt;=INDEX('How This Works &amp; Sources'!$B$19:$J$26,0,IF('Second Earner'!$C$12="MFJ",1,IF('Second Earner'!$C$12="HoH",7,4))))*INDEX('How This Works &amp; Sources'!$B$19:$J$26,0,IF('Second Earner'!$C$12="MFJ",1,IF('Second Earner'!$C$12="HoH",7,4))+2)))),IF($AN6="ND",IF($AU6="Head of household",SUMPRODUCT(($AZ6&gt;=INDEX('How This Works &amp; Sources'!$B$144:$J$150,0,1))*INDEX('How This Works &amp; Sources'!$B$144:$J$150,0,1+2)),IF($AU6="Married",SUMPRODUCT(($AZ6&gt;=INDEX('How This Works &amp; Sources'!$B$137:$J$139,0,7))*INDEX('How This Works &amp; Sources'!$B$137:$J$139,0,7+2)),SUMPRODUCT(($AZ6&gt;=INDEX('How This Works &amp; Sources'!$B$137:$J$139,0,4))*INDEX('How This Works &amp; Sources'!$B$137:$J$139,0,4+2)))),IF($AN6="NJ",IF('Second Earner'!$C$77="B",SUMPRODUCT(($AZ6&gt;=INDEX('How This Works &amp; Sources'!$B$155:$J$162,0,4))*INDEX('How This Works &amp; Sources'!$B$155:$J$162,0,4+2)),IF('Second Earner'!$C$77="C",SUMPRODUCT(($AZ6&gt;=INDEX('How This Works &amp; Sources'!$B$155:$J$162,0,7))*INDEX('How This Works &amp; Sources'!$B$155:$J$162,0,7+2)),IF('Second Earner'!$C$77="D",SUMPRODUCT(($AZ6&gt;=INDEX('How This Works &amp; Sources'!$B$167:$J$179,0,1))*INDEX('How This Works &amp; Sources'!$B$167:$J$179,0,1+2)),IF('Second Earner'!$C$77="E",SUMPRODUCT(($AZ6&gt;=INDEX('How This Works &amp; Sources'!$B$167:$J$179,0,4))*INDEX('How This Works &amp; Sources'!$B$167:$J$179,0,4+2)),SUMPRODUCT(($AZ6&gt;=INDEX('How This Works &amp; Sources'!$B$155:$J$162,0,1))*INDEX('How This Works &amp; Sources'!$B$155:$J$162,0,1+2)))))),IF($AN6="NY",IF($AU6="Married",IF($AZ6&gt;=2155350,IF($AZ6&gt;25000000,0.117,IF($AZ6&gt;5000000,0.111,0.1045)),SUMPRODUCT(($AZ6&gt;=INDEX('How This Works &amp; Sources'!$B$184:$J$198,0,1))*INDEX('How This Works &amp; Sources'!$B$184:$J$198,0,1+2))),IF($AZ6&gt;=1077550,IF($AZ6&gt;25000000,0.117,IF($AZ6&gt;5000000,0.111,0.1045)),SUMPRODUCT(($AZ6&gt;=INDEX('How This Works &amp; Sources'!$B$167:$J$179,0,7))*INDEX('How This Works &amp; Sources'!$B$167:$J$179,0,7+2)))),IF($AN6="LA",0.0309,"")))))))</f>
      </c>
      <c r="CB6" s="24">
        <f>IF($B6="","",IF($AN6="HI",IF($AU6="Married",SUMPRODUCT(($AZ6&gt;=INDEX('How This Works &amp; Sources'!$B$91:$J$98,0,7))*INDEX('How This Works &amp; Sources'!$B$91:$J$98,0,7+2)),SUMPRODUCT(($AZ6&gt;=INDEX('How This Works &amp; Sources'!$B$91:$J$98,0,4))*INDEX('How This Works &amp; Sources'!$B$91:$J$98,0,4+2))),IF($AN6="MD",IF(OR($AU6="Married",$AU6="Head of household"),SUMPRODUCT(($AZ6&gt;=INDEX('How This Works &amp; Sources'!$B$114:$J$120,0,1))*INDEX('How This Works &amp; Sources'!$B$114:$J$120,0,1+2)),SUMPRODUCT(($AZ6&gt;=INDEX('How This Works &amp; Sources'!$B$103:$J$109,0,7))*INDEX('How This Works &amp; Sources'!$B$103:$J$109,0,7+2)))+'Second Earner'!$C$74,IF($AN6="MN",IF($AU6="Married",SUMPRODUCT(($AZ6&gt;=INDEX('How This Works &amp; Sources'!$B$114:$J$120,0,7))*INDEX('How This Works &amp; Sources'!$B$114:$J$120,0,7+2)),SUMPRODUCT(($AZ6&gt;=INDEX('How This Works &amp; Sources'!$B$114:$J$120,0,4))*INDEX('How This Works &amp; Sources'!$B$114:$J$120,0,4+2))),IF($AN6="MO",SUMPRODUCT(($AZ6&gt;=INDEX('How This Works &amp; Sources'!$B$125:$J$132,0,1))*INDEX('How This Works &amp; Sources'!$B$125:$J$132,0,1+2)),IF($AN6="NE",MAX(IF($AU6="Married",SUMPRODUCT(($AZ6&gt;=INDEX('How This Works &amp; Sources'!$B$144:$J$150,0,7))*INDEX('How This Works &amp; Sources'!$B$144:$J$150,0,7+2)),SUMPRODUCT(($AZ6&gt;=INDEX('How This Works &amp; Sources'!$B$144:$J$150,0,4))*INDEX('How This Works &amp; Sources'!$B$144:$J$150,0,4+2))),0.015),IF($AN6="OH",IF($B6&gt;=DATE(2026,8,1),SUMPRODUCT(($AZ6&gt;=INDEX('How This Works &amp; Sources'!$B$203:$J$206,0,1))*INDEX('How This Works &amp; Sources'!$B$203:$J$206,0,1+2)),SUMPRODUCT(($AZ6&gt;=INDEX('How This Works &amp; Sources'!$B$184:$J$198,0,7))*INDEX('How This Works &amp; Sources'!$B$184:$J$198,0,7+2))),IF($AN6="OK",IF($AU6="Married",SUMPRODUCT(($AZ6&gt;=INDEX('How This Works &amp; Sources'!$B$203:$J$206,0,7))*INDEX('How This Works &amp; Sources'!$B$203:$J$206,0,7+2)),SUMPRODUCT(($AZ6&gt;=INDEX('How This Works &amp; Sources'!$B$203:$J$206,0,4))*INDEX('How This Works &amp; Sources'!$B$203:$J$206,0,4+2))),IF($AN6="RI",SUMPRODUCT(($AZ6&gt;=INDEX('How This Works &amp; Sources'!$B$211:$J$214,0,7))*INDEX('How This Works &amp; Sources'!$B$211:$J$214,0,7+2)),IF($AN6="VT",IF($AU6="Married",SUMPRODUCT(($AZ6&gt;=INDEX('How This Works &amp; Sources'!$B$228:$J$232,0,1))*INDEX('How This Works &amp; Sources'!$B$228:$J$232,0,1+2)),SUMPRODUCT(($AZ6&gt;=INDEX('How This Works &amp; Sources'!$B$219:$J$223,0,7))*INDEX('How This Works &amp; Sources'!$B$219:$J$223,0,7+2))),IF($AN6="WV",IF($AU6="Married",SUMPRODUCT(($AZ6&gt;=INDEX('How This Works &amp; Sources'!$B$237:$J$241,0,7))*INDEX('How This Works &amp; Sources'!$B$237:$J$241,0,7+2)),SUMPRODUCT(($AZ6&gt;=INDEX('How This Works &amp; Sources'!$B$228:$J$232,0,7))*INDEX('How This Works &amp; Sources'!$B$228:$J$232,0,7+2))),IF($AN6="AZ",'Second Earner'!$C$82,IF($AN6="ID",IF($AY6&gt;IF($AU6="Married",32000,16094),0.053,0),"")))))))))))))</f>
      </c>
      <c r="CC6" s="24">
        <f>IF($B6="","",IF($AN6="AR",SUMPRODUCT(($AZ6&gt;=INDEX('How This Works &amp; Sources'!$B$82:$J$86,0,7))*INDEX('How This Works &amp; Sources'!$B$82:$J$86,0,7+2)),IF($AN6="DE",SUMPRODUCT(($AZ6&gt;=INDEX('How This Works &amp; Sources'!$B$91:$J$98,0,1))*INDEX('How This Works &amp; Sources'!$B$91:$J$98,0,1+2)),IF($AN6="SC",SUMPRODUCT(($AZ6&gt;=INDEX('How This Works &amp; Sources'!$B$219:$J$223,0,1))*INDEX('How This Works &amp; Sources'!$B$219:$J$223,0,1+2)),IF($AN6="VA",SUMPRODUCT(($AZ6&gt;=INDEX('How This Works &amp; Sources'!$B$219:$J$223,0,4))*INDEX('How This Works &amp; Sources'!$B$219:$J$223,0,4+2)),IF($AN6="WI",SUMPRODUCT(($AZ6&gt;=INDEX('How This Works &amp; Sources'!$B$228:$J$232,0,4))*INDEX('How This Works &amp; Sources'!$B$228:$J$232,0,4+2)),IF($AN6="CO",IF($AY6&gt;IF($AU6="Married",10000,5000),0.044,0),IF($AN6="IA",IF($AY6&gt;IF($AU6="Head of household",19500,IF($AU6="Married",26000,13000)),0.038,0),IF($AN6="IL",IF($AY6&gt;(2925*$AS6+1000*$AT6),0.0495,0),IF($AN6="IN",(0.0295+'Second Earner'!$C$76),IF($AN6="KY",IF($AI6&gt;3360,0.035,0),IF($AN6="MA",IF(MAX(0,$AY6-MIN((0+$Q6+$R6+$S6),2000)-IF($AS6=0,0,IF($AS6=1,4400,1000*$AS6+3400)))&gt;=1107750,0.09,0.05),IF($AN6="MI",IF($AY6&gt;5900*$AS6,0.0425,0),IF($AN6="MS",IF($AI6-IF($AU6="Head of household",3400,IF($AU6="Married",4600,2300))-'Second Earner'!$C$85&gt;10000,0.04,0),IF($AN6="PA",0.0307,"")))))))))))))))</f>
      </c>
      <c r="CD6" s="21">
        <f>IF(YEAR(IF('Second Earner'!$C$7="Weekly",'Second Earner'!$C$9+7*((0+1)-1),IF('Second Earner'!$C$7="Biweekly",'Second Earner'!$C$9+14*((0+1)-1),IF('Second Earner'!$C$7="Semimonthly",DATE(YEAR('Second Earner'!$C$9),MONTH('Second Earner'!$C$9)+INT(((0+1)-1)/2),MIN(DAY('Second Earner'!$C$9),DAY(EOMONTH(DATE(YEAR('Second Earner'!$C$9),MONTH('Second Earner'!$C$9)+INT(((0+1)-1)/2),1),0))))+IF(MOD((0+1)-1,2)=1,15,0),EDATE('Second Earner'!$C$9,(0+1)-1)))))&lt;&gt;'Second Earner'!$C$10,"",IF('Second Earner'!$C$7="Weekly",'Second Earner'!$C$9+7*((0+1)-1),IF('Second Earner'!$C$7="Biweekly",'Second Earner'!$C$9+14*((0+1)-1),IF('Second Earner'!$C$7="Semimonthly",DATE(YEAR('Second Earner'!$C$9),MONTH('Second Earner'!$C$9)+INT(((0+1)-1)/2),MIN(DAY('Second Earner'!$C$9),DAY(EOMONTH(DATE(YEAR('Second Earner'!$C$9),MONTH('Second Earner'!$C$9)+INT(((0+1)-1)/2),1),0))))+IF(MOD((0+1)-1,2)=1,15,0),EDATE('Second Earner'!$C$9,(0+1)-1)))))</f>
      </c>
      <c r="CE6" s="21">
        <f>IF(MIN(IF(AND('Second Earner'!$C$58&gt;0,'Second Earner'!$C$58&gt;=DATE('Second Earner'!$C$10,1,1),'Second Earner'!$C$58&lt;=DATE('Second Earner'!$C$10,12,31)),'Second Earner'!$C$58,999999),IF(AND('Second Earner'!$C$59&gt;0,'Second Earner'!$C$59&gt;=DATE('Second Earner'!$C$10,1,1),'Second Earner'!$C$59&lt;=DATE('Second Earner'!$C$10,12,31)),'Second Earner'!$C$59,999999),IF(AND('Second Earner'!$C$60&gt;0,'Second Earner'!$C$60&gt;=DATE('Second Earner'!$C$10,1,1),'Second Earner'!$C$60&lt;=DATE('Second Earner'!$C$10,12,31)),'Second Earner'!$C$60,999999),IF(AND('Second Earner'!$C$61&gt;0,'Second Earner'!$C$61&gt;=DATE('Second Earner'!$C$10,1,1),'Second Earner'!$C$61&lt;=DATE('Second Earner'!$C$10,12,31)),'Second Earner'!$C$61,999999),IF(AND('Second Earner'!$C$62&gt;0,'Second Earner'!$C$62&gt;=DATE('Second Earner'!$C$10,1,1),'Second Earner'!$C$62&lt;=DATE('Second Earner'!$C$10,12,31)),'Second Earner'!$C$62,999999),IF(AND('Second Earner'!$C$63&gt;0,'Second Earner'!$C$63&gt;=DATE('Second Earner'!$C$10,1,1),'Second Earner'!$C$63&lt;=DATE('Second Earner'!$C$10,12,31)),'Second Earner'!$C$63,999999),IF(AND('Second Earner'!$C$64&gt;0,'Second Earner'!$C$64&gt;=DATE('Second Earner'!$C$10,1,1),'Second Earner'!$C$64&lt;=DATE('Second Earner'!$C$10,12,31)),'Second Earner'!$C$64,999999),IF(AND('Second Earner'!$C$65&gt;0,'Second Earner'!$C$65&gt;=DATE('Second Earner'!$C$10,1,1),'Second Earner'!$C$65&lt;=DATE('Second Earner'!$C$10,12,31)),'Second Earner'!$C$65,999999),IF(AND('Second Earner'!$C$66&gt;0,'Second Earner'!$C$66&gt;=DATE('Second Earner'!$C$10,1,1),'Second Earner'!$C$66&lt;=DATE('Second Earner'!$C$10,12,31)),'Second Earner'!$C$66,999999),IF(AND('Second Earner'!$C$67&gt;0,'Second Earner'!$C$67&gt;=DATE('Second Earner'!$C$10,1,1),'Second Earner'!$C$67&lt;=DATE('Second Earner'!$C$10,12,31)),'Second Earner'!$C$67,999999))=999999,"",MIN(IF(AND('Second Earner'!$C$58&gt;0,'Second Earner'!$C$58&gt;=DATE('Second Earner'!$C$10,1,1),'Second Earner'!$C$58&lt;=DATE('Second Earner'!$C$10,12,31)),'Second Earner'!$C$58,999999),IF(AND('Second Earner'!$C$59&gt;0,'Second Earner'!$C$59&gt;=DATE('Second Earner'!$C$10,1,1),'Second Earner'!$C$59&lt;=DATE('Second Earner'!$C$10,12,31)),'Second Earner'!$C$59,999999),IF(AND('Second Earner'!$C$60&gt;0,'Second Earner'!$C$60&gt;=DATE('Second Earner'!$C$10,1,1),'Second Earner'!$C$60&lt;=DATE('Second Earner'!$C$10,12,31)),'Second Earner'!$C$60,999999),IF(AND('Second Earner'!$C$61&gt;0,'Second Earner'!$C$61&gt;=DATE('Second Earner'!$C$10,1,1),'Second Earner'!$C$61&lt;=DATE('Second Earner'!$C$10,12,31)),'Second Earner'!$C$61,999999),IF(AND('Second Earner'!$C$62&gt;0,'Second Earner'!$C$62&gt;=DATE('Second Earner'!$C$10,1,1),'Second Earner'!$C$62&lt;=DATE('Second Earner'!$C$10,12,31)),'Second Earner'!$C$62,999999),IF(AND('Second Earner'!$C$63&gt;0,'Second Earner'!$C$63&gt;=DATE('Second Earner'!$C$10,1,1),'Second Earner'!$C$63&lt;=DATE('Second Earner'!$C$10,12,31)),'Second Earner'!$C$63,999999),IF(AND('Second Earner'!$C$64&gt;0,'Second Earner'!$C$64&gt;=DATE('Second Earner'!$C$10,1,1),'Second Earner'!$C$64&lt;=DATE('Second Earner'!$C$10,12,31)),'Second Earner'!$C$64,999999),IF(AND('Second Earner'!$C$65&gt;0,'Second Earner'!$C$65&gt;=DATE('Second Earner'!$C$10,1,1),'Second Earner'!$C$65&lt;=DATE('Second Earner'!$C$10,12,31)),'Second Earner'!$C$65,999999),IF(AND('Second Earner'!$C$66&gt;0,'Second Earner'!$C$66&gt;=DATE('Second Earner'!$C$10,1,1),'Second Earner'!$C$66&lt;=DATE('Second Earner'!$C$10,12,31)),'Second Earner'!$C$66,999999),IF(AND('Second Earner'!$C$67&gt;0,'Second Earner'!$C$67&gt;=DATE('Second Earner'!$C$10,1,1),'Second Earner'!$C$67&lt;=DATE('Second Earner'!$C$10,12,31)),'Second Earner'!$C$67,999999)))</f>
      </c>
      <c r="CF6">
        <f>IF($B6="","",IF($D6=0,$Y6,""))</f>
      </c>
    </row>
    <row r="7">
      <c r="A7" t="n">
        <v>2</v>
      </c>
      <c r="B7" s="21">
        <f>IF(AND($CD7="",$CE7=""),"",IF($CE7="",$CD7,IF($CD7="",$CE7,MIN($CD7,$CE7))))</f>
      </c>
      <c r="C7" s="7">
        <f>IF($B7="","",IF($BF7=0,0,IF('Second Earner'!$C$4="Annual salary",ROUND($AK7/IF(AND('Second Earner'!$C$88="Actual paydays",MONTH('Second Earner'!$C$9)=1),MAX(1,MAX($BE$6:$BE$68)),'Second Earner'!$C$8),2),$AK7)))</f>
      </c>
      <c r="D7" s="7">
        <f>IF($B7="","",SUMIF('Second Earner'!$C$58:$C$67,$B7,'Second Earner'!$D$58:$D$67))</f>
      </c>
      <c r="E7" s="7">
        <f>IF($B7="","",ROUND(MAX(0,MIN(IF($AL7="Percent",$AM7*($C7+$D7),$AM7),MAX(0,'Second Earner'!$C$34-$AC6))),2))</f>
      </c>
      <c r="F7" s="7">
        <f>IF($B7="","",ROUND(MAX(0,MIN(IF('Second Earner'!$C$32="Percent",'Second Earner'!$D$32*($C7+$D7),'Second Earner'!$D$32),MAX(0,'Second Earner'!$C$34-$AC6-$E7))),2))</f>
      </c>
      <c r="G7" s="7">
        <f>IF($B7="","",IF($BF7=0,0,ROUND(MAX(0,MIN($BL7,'Second Earner'!$C$37-'Second Earner'!$C$54-$BI6)),2)))</f>
      </c>
      <c r="H7" s="7">
        <f>IF($B7="","",IF(OR($BF7=0,$BQ7=1),0,ROUND(MAX(0,MIN(IF($BS7=1,ROUND(MAX(0,MIN($BJ7,'How This Works &amp; Sources'!$C$13)-$BG6)/MAX(1,MAX($BE$6:$BE$68)-($BE6)),2),ROUND(MIN($BJ7,'How This Works &amp; Sources'!$C$13)/'Second Earner'!$C$8,2)),MIN($BJ7,'How This Works &amp; Sources'!$C$13)-$BG6)),2)))</f>
      </c>
      <c r="I7" s="7">
        <f>IF($B7="","",IF(OR($BF7=0,$BR7=1),0,ROUND(MAX(0,MIN(IF($BT7=1,ROUND(MAX(0,MIN($BK7,IF('Second Earner'!$C$12="MFJ",'How This Works &amp; Sources'!$C$14,'How This Works &amp; Sources'!$C$15))-$BH6)/MAX(1,MAX($BE$6:$BE$68)-($BE6)),2),ROUND(MIN($BK7,IF('Second Earner'!$C$12="MFJ",'How This Works &amp; Sources'!$C$14,'How This Works &amp; Sources'!$C$15))/'Second Earner'!$C$8,2)),MIN($BK7,IF('Second Earner'!$C$12="MFJ",'How This Works &amp; Sources'!$C$14,'How This Works &amp; Sources'!$C$15))-$BH6)),2)))</f>
      </c>
      <c r="J7" s="7">
        <f>IF($B7="","",IF($BF7=0,0,$BM7))</f>
      </c>
      <c r="K7" s="7">
        <f>IF($B7="","",IF($BF7=0,0,$BN7+$BO7))</f>
      </c>
      <c r="L7" s="7">
        <f>IF($B7="","",IF($BF7=0,0,'Second Earner'!$D$46))</f>
      </c>
      <c r="M7" s="7">
        <f>IF($B7="","",$C7+$D7+$L7-$E7-$G7-$H7-$I7-$J7-$K7)</f>
      </c>
      <c r="N7" s="7">
        <f>IF($B7="","",$C7+$D7+$L7-$G7-$H7-$I7-$J7-$K7)</f>
      </c>
      <c r="O7" s="7">
        <f>IF($B7="","",$C7+$D7+$L7-$E7-$H7-$I7-$J7-$K7-IF(OR($AN7="CA",$AN7="NJ"),0,$G7))</f>
      </c>
      <c r="P7" s="7">
        <f>IF($B7="","",IF('Second Earner'!$C$18,0,ROUND(MAX(0,IF('Second Earner'!$C$13,SUMPRODUCT(($AH7&gt;INDEX('How This Works &amp; Sources'!$B$29:$J$36,0,IF('Second Earner'!$C$12="MFJ",1,IF('Second Earner'!$C$12="HoH",7,4))))*($AH7-INDEX('How This Works &amp; Sources'!$B$29:$J$36,0,IF('Second Earner'!$C$12="MFJ",1,IF('Second Earner'!$C$12="HoH",7,4))))*INDEX('How This Works &amp; Sources'!$B$29:$J$36,0,IF('Second Earner'!$C$12="MFJ",1,IF('Second Earner'!$C$12="HoH",7,4))+2)),SUMPRODUCT(($AH7&gt;INDEX('How This Works &amp; Sources'!$B$19:$J$26,0,IF('Second Earner'!$C$12="MFJ",1,IF('Second Earner'!$C$12="HoH",7,4))))*($AH7-INDEX('How This Works &amp; Sources'!$B$19:$J$26,0,IF('Second Earner'!$C$12="MFJ",1,IF('Second Earner'!$C$12="HoH",7,4))))*INDEX('How This Works &amp; Sources'!$B$19:$J$26,0,IF('Second Earner'!$C$12="MFJ",1,IF('Second Earner'!$C$12="HoH",7,4))+2)))/'Second Earner'!$C$8-$AO7/'Second Earner'!$C$8)+$AR7+IF('Second Earner'!$C$89="Aggregate",MAX(0,IF('Second Earner'!$C$13,SUMPRODUCT((($AH7+$D7)&gt;INDEX('How This Works &amp; Sources'!$B$29:$J$36,0,IF('Second Earner'!$C$12="MFJ",1,IF('Second Earner'!$C$12="HoH",7,4))))*(($AH7+$D7)-INDEX('How This Works &amp; Sources'!$B$29:$J$36,0,IF('Second Earner'!$C$12="MFJ",1,IF('Second Earner'!$C$12="HoH",7,4))))*INDEX('How This Works &amp; Sources'!$B$29:$J$36,0,IF('Second Earner'!$C$12="MFJ",1,IF('Second Earner'!$C$12="HoH",7,4))+2)),SUMPRODUCT((($AH7+$D7)&gt;INDEX('How This Works &amp; Sources'!$B$19:$J$26,0,IF('Second Earner'!$C$12="MFJ",1,IF('Second Earner'!$C$12="HoH",7,4))))*(($AH7+$D7)-INDEX('How This Works &amp; Sources'!$B$19:$J$26,0,IF('Second Earner'!$C$12="MFJ",1,IF('Second Earner'!$C$12="HoH",7,4))))*INDEX('How This Works &amp; Sources'!$B$19:$J$26,0,IF('Second Earner'!$C$12="MFJ",1,IF('Second Earner'!$C$12="HoH",7,4))+2)))-IF('Second Earner'!$C$13,SUMPRODUCT(($AH7&gt;INDEX('How This Works &amp; Sources'!$B$29:$J$36,0,IF('Second Earner'!$C$12="MFJ",1,IF('Second Earner'!$C$12="HoH",7,4))))*($AH7-INDEX('How This Works &amp; Sources'!$B$29:$J$36,0,IF('Second Earner'!$C$12="MFJ",1,IF('Second Earner'!$C$12="HoH",7,4))))*INDEX('How This Works &amp; Sources'!$B$29:$J$36,0,IF('Second Earner'!$C$12="MFJ",1,IF('Second Earner'!$C$12="HoH",7,4))+2)),SUMPRODUCT(($AH7&gt;INDEX('How This Works &amp; Sources'!$B$19:$J$26,0,IF('Second Earner'!$C$12="MFJ",1,IF('Second Earner'!$C$12="HoH",7,4))))*($AH7-INDEX('How This Works &amp; Sources'!$B$19:$J$26,0,IF('Second Earner'!$C$12="MFJ",1,IF('Second Earner'!$C$12="HoH",7,4))))*INDEX('How This Works &amp; Sources'!$B$19:$J$26,0,IF('Second Earner'!$C$12="MFJ",1,IF('Second Earner'!$C$12="HoH",7,4))+2)))),'How This Works &amp; Sources'!$C$10*$D7),2)))</f>
      </c>
      <c r="Q7" s="7">
        <f>IF($B7="","",ROUND('How This Works &amp; Sources'!$C$4*MIN($N7,MAX(0,'How This Works &amp; Sources'!$C$3-($AX7+$AB6-$AW7))),2))</f>
      </c>
      <c r="R7" s="7">
        <f>IF($B7="","",ROUND('How This Works &amp; Sources'!$C$5*$N7,2))</f>
      </c>
      <c r="S7" s="7">
        <f>IF($B7="","",ROUND('How This Works &amp; Sources'!$C$6*MAX(0,MIN($N7,$AG6+$N7-'How This Works &amp; Sources'!$C$7)),2))</f>
      </c>
      <c r="T7" s="7">
        <f>IF($B7="","",IF('Second Earner'!$C$26,0,IF($AN7="CA",ROUND(IF($AI7&lt;=IF(($AS7+$AT7)&gt;=2,VLOOKUP($AN7,StateTables!$A$6:$AB$56,10,FALSE),VLOOKUP($AN7,StateTables!$A$6:$AB$56,9,FALSE)),0,MAX(0,SUMPRODUCT(($AJ7&gt;INDEX('How This Works &amp; Sources'!$B$39:$J$48,0,IF($AU7="Married",4,IF($AU7="Head of household",7,1))))*($AJ7-INDEX('How This Works &amp; Sources'!$B$39:$J$48,0,IF($AU7="Married",4,IF($AU7="Head of household",7,1))))*INDEX('How This Works &amp; Sources'!$B$39:$J$48,0,IF($AU7="Married",4,IF($AU7="Head of household",7,1))+2))-VLOOKUP($AN7,StateTables!$A$6:$AB$56,11,FALSE)*$AS7)/'Second Earner'!$C$8)+'Second Earner'!$C$25+VLOOKUP($AN7,StateTables!$A$6:$AB$56,13,FALSE)*$D7,2),IF(VLOOKUP($AN7,StateTables!$A$6:$AB$56,4,FALSE)="None",0,IF(ISNUMBER(SEARCH("MANUAL",VLOOKUP($AN7,StateTables!$A$6:$AB$56,5,FALSE))),'Second Earner'!$C$28,ROUND(MAX(0,$BA7+$BB7)/'Second Earner'!$C$8+'Second Earner'!$C$25+$BC7,2))))))</f>
      </c>
      <c r="U7" s="7">
        <f>IF($B7="","",IF(VLOOKUP($AN7,StateTables!$A$6:$AB$56,24,FALSE)="flatq",IF(OR(MONTH($B7)=1,MONTH($B7)=4,MONTH($B7)=7,MONTH($B7)=10),VLOOKUP($AN7,StateTables!$A$6:$AB$56,25,FALSE),0),IF(VLOOKUP($AN7,StateTables!$A$6:$AB$56,24,FALSE)="dbl",MIN(ROUND(0.005*$N7,2),ROUND(0.6*52/'Second Earner'!$C$8,2)),IF(OR(VLOOKUP($AN7,StateTables!$A$6:$AB$56,15,FALSE)="",VLOOKUP($AN7,StateTables!$A$6:$AB$56,15,FALSE)=0),0,ROUND(VLOOKUP($AN7,StateTables!$A$6:$AB$56,15,FALSE)*IF(OR(VLOOKUP($AN7,StateTables!$A$6:$AB$56,16,FALSE)="",VLOOKUP($AN7,StateTables!$A$6:$AB$56,16,FALSE)=0),$N7,MIN($N7,MAX(0,VLOOKUP($AN7,StateTables!$A$6:$AB$56,16,FALSE)-($AX7+$AB6-$AW7)))),2))))+IF(VLOOKUP($AN7,StateTables!$A$6:$AB$56,27,FALSE)="flatq",IF(OR(MONTH($B7)=1,MONTH($B7)=4,MONTH($B7)=7,MONTH($B7)=10),VLOOKUP($AN7,StateTables!$A$6:$AB$56,28,FALSE),0),IF(VLOOKUP($AN7,StateTables!$A$6:$AB$56,27,FALSE)="dbl",MIN(ROUND(0.005*$N7,2),ROUND(0.6*52/'Second Earner'!$C$8,2)),IF(OR(VLOOKUP($AN7,StateTables!$A$6:$AB$56,18,FALSE)="",VLOOKUP($AN7,StateTables!$A$6:$AB$56,18,FALSE)=0),0,ROUND(VLOOKUP($AN7,StateTables!$A$6:$AB$56,18,FALSE)*IF(OR(VLOOKUP($AN7,StateTables!$A$6:$AB$56,19,FALSE)="",VLOOKUP($AN7,StateTables!$A$6:$AB$56,19,FALSE)=0),$N7,MIN($N7,MAX(0,VLOOKUP($AN7,StateTables!$A$6:$AB$56,19,FALSE)-($AX7+$AB6-$AW7)))),2)))))</f>
      </c>
      <c r="V7" s="7">
        <f>IF($B7="","",IF($AN7="NY",IF('Second Earner'!$C$78,ROUND(SUMPRODUCT((MAX(0,($O7-$D7)*'Second Earner'!$C$8-(IF($AU7="Married",5500,5000)+1000*$AS7))&gt;INDEX('How This Works &amp; Sources'!$B$184:$J$198,0,4))*(MAX(0,($O7-$D7)*'Second Earner'!$C$8-(IF($AU7="Married",5500,5000)+1000*$AS7))-INDEX('How This Works &amp; Sources'!$B$184:$J$198,0,4))*INDEX('How This Works &amp; Sources'!$B$184:$J$198,0,4+2))/'Second Earner'!$C$8+0.0425*$D7,2),0)+IF('Second Earner'!$C$79="Resident",ROUND(0.1675*$T7,2),IF('Second Earner'!$C$79="Nonresident",ROUND(0.005*MAX(0,($O7-$D7)-(IF($AU7="Married",7950,7400)+1000*$AS7)/'Second Earner'!$C$8),2),0)),IF($AN7="PA",IF('Second Earner'!$C$80="None",'Second Earner'!$C$27+ROUND('Second Earner'!$C$81*($C7+$D7),2),ROUND(IF('Second Earner'!$C$80="Resident",IF($B7&lt;DATE(2026,7,1),0.0374,0.03735),IF($B7&lt;DATE(2026,7,1),0.0343,0.03425))*($C7+$D7),2)),IF($BF7=0,ROUND('Second Earner'!$C$81*($C7+$D7),2),'Second Earner'!$C$27+ROUND('Second Earner'!$C$81*($C7+$D7),2)))))</f>
      </c>
      <c r="W7" s="7">
        <f>IF($B7="","",IF($BF7=0,0,$BP7))</f>
      </c>
      <c r="X7" s="7">
        <f>IF($B7="","",SUM($E7:$K7)+$P7+$Q7+$R7+$S7+$T7+$U7+$V7+$W7)</f>
      </c>
      <c r="Y7" s="22">
        <f>IF($B7="","",$C7+$D7-$X7)</f>
      </c>
      <c r="Z7" s="7">
        <f>IF($B7="","",$Z6+$C7+$D7)</f>
      </c>
      <c r="AA7" s="7">
        <f>IF($B7="","",$AA6+$Y7)</f>
      </c>
      <c r="AB7" s="7">
        <f>IF($B7="","",$AB6+MIN($N7,MAX(0,'How This Works &amp; Sources'!$C$3-($AX7+$AB6-$AW7))))</f>
      </c>
      <c r="AC7" s="7">
        <f>IF($B7="","",$AC6+$E7+$F7)</f>
      </c>
      <c r="AD7" s="3">
        <f>IF($B7="","",IF(AND($AB6&lt;'How This Works &amp; Sources'!$C$3,$AB7&gt;='How This Works &amp; Sources'!$C$3),"★ Social Security maxed on this check — from the next check your net rises by about $"&amp;TEXT(ROUND('How This Works &amp; Sources'!$C$4*$N7,2),"#,##0.00")&amp;". ","")&amp;IF(AND($AC6&lt;'Second Earner'!$C$34,$AC7&gt;='Second Earner'!$C$34),"★ 401(k) reaches the $"&amp;TEXT('Second Earner'!$C$34,"#,##0")&amp;" cap on this check — deferrals stop and net pay rises. ","")&amp;IF(AND($AG6&lt;'How This Works &amp; Sources'!$C$7,$AG7&gt;='How This Works &amp; Sources'!$C$7),"★ Wages pass $200,000 — the 0.9% Additional Medicare Tax starts here. ","")&amp;IF(AND($BJ7&gt;0,$H7&gt;0,$BG6&lt;MIN($BJ7,'How This Works &amp; Sources'!$C$13),$BG6+$H7&gt;=MIN($BJ7,'How This Works &amp; Sources'!$C$13)),"★ Health FSA election is now fully deferred for the year. ",""))</f>
      </c>
      <c r="AE7" s="41" t="n"/>
      <c r="AF7" s="7">
        <f>IF(OR($B7="",$AE7=""),"",$AE7-$Y7)</f>
      </c>
      <c r="AG7" s="7">
        <f>IF($B7="","",$AG6+$N7)</f>
      </c>
      <c r="AH7" s="7">
        <f>IF($B7="","",MAX(0,($M7-$D7)*'Second Earner'!$C$8+$AP7-$AQ7-IF('Second Earner'!$C$13,0,IF('Second Earner'!$C$12="MFJ",'How This Works &amp; Sources'!$C$8,'How This Works &amp; Sources'!$C$9))))</f>
      </c>
      <c r="AI7" s="7">
        <f>IF($B7="","",$O7*'Second Earner'!$C$8)</f>
      </c>
      <c r="AJ7" s="7">
        <f>IF($B7="","",MAX(0,$AI7-VLOOKUP($AN7,StateTables!$A$6:$AB$56,12,FALSE)*$AT7-IF(($AS7+$AT7)&gt;=2,VLOOKUP($AN7,StateTables!$A$6:$AB$56,8,FALSE),VLOOKUP($AN7,StateTables!$A$6:$AB$56,7,FALSE))))</f>
      </c>
      <c r="AK7" s="7">
        <f>IF($B7="","",IFERROR(LOOKUP(2,1/(('Changes — Earner 2'!$C$6:$C$17="Salary change")*('Changes — Earner 2'!$B$6:$B$17&lt;=$B7)*('Changes — Earner 2'!$B$6:$B$17&lt;&gt;"")),'Changes — Earner 2'!$D$6:$D$17),IF('Second Earner'!$C$4="Annual salary",'Second Earner'!$C$5,'Second Earner'!$C$6)))</f>
      </c>
      <c r="AL7">
        <f>IF($B7="","",IFERROR(LOOKUP(2,1/(('Changes — Earner 2'!$C$6:$C$17="401(k) change")*('Changes — Earner 2'!$B$6:$B$17&lt;=$B7)*('Changes — Earner 2'!$B$6:$B$17&lt;&gt;"")),'Changes — Earner 2'!$D$6:$D$17),'Second Earner'!$C$30))</f>
      </c>
      <c r="AM7" s="7">
        <f>IF($B7="","",IFERROR(LOOKUP(2,1/(('Changes — Earner 2'!$C$6:$C$17="401(k) change")*('Changes — Earner 2'!$B$6:$B$17&lt;=$B7)*('Changes — Earner 2'!$B$6:$B$17&lt;&gt;"")),'Changes — Earner 2'!$E$6:$E$17),'Second Earner'!$D$31))</f>
      </c>
      <c r="AN7">
        <f>IF($B7="","",IFERROR(LOOKUP(2,1/(('Changes — Earner 2'!$C$6:$C$17="State move")*('Changes — Earner 2'!$B$6:$B$17&lt;=$B7)*('Changes — Earner 2'!$B$6:$B$17&lt;&gt;"")),'Changes — Earner 2'!$D$6:$D$17),'Second Earner'!$C$21))</f>
      </c>
      <c r="AO7" s="7">
        <f>IF($B7="","",IFERROR(LOOKUP(2,1/(('Changes — Earner 2'!$C$6:$C$17="W-4 change")*('Changes — Earner 2'!$B$6:$B$17&lt;=$B7)*('Changes — Earner 2'!$B$6:$B$17&lt;&gt;"")),'Changes — Earner 2'!$D$6:$D$17),'Second Earner'!$C$14))</f>
      </c>
      <c r="AP7" s="7">
        <f>IF($B7="","",IFERROR(LOOKUP(2,1/(('Changes — Earner 2'!$C$6:$C$17="W-4 change")*('Changes — Earner 2'!$B$6:$B$17&lt;=$B7)*('Changes — Earner 2'!$B$6:$B$17&lt;&gt;"")),'Changes — Earner 2'!$E$6:$E$17),'Second Earner'!$C$15))</f>
      </c>
      <c r="AQ7" s="7">
        <f>IF($B7="","",IFERROR(LOOKUP(2,1/(('Changes — Earner 2'!$C$6:$C$17="W-4 change")*('Changes — Earner 2'!$B$6:$B$17&lt;=$B7)*('Changes — Earner 2'!$B$6:$B$17&lt;&gt;"")),'Changes — Earner 2'!$F$6:$F$17),'Second Earner'!$C$16))</f>
      </c>
      <c r="AR7" s="7">
        <f>IF($B7="","",IFERROR(LOOKUP(2,1/(('Changes — Earner 2'!$C$6:$C$17="W-4 change")*('Changes — Earner 2'!$B$6:$B$17&lt;=$B7)*('Changes — Earner 2'!$B$6:$B$17&lt;&gt;"")),'Changes — Earner 2'!$G$6:$G$17),'Second Earner'!$C$17))</f>
      </c>
      <c r="AS7" s="6">
        <f>IF($B7="","",IFERROR(LOOKUP(2,1/((('Changes — Earner 2'!$C$6:$C$17="State move")+('Changes — Earner 2'!$C$6:$C$17="State cert change"))*('Changes — Earner 2'!$B$6:$B$17&lt;=$B7)*('Changes — Earner 2'!$B$6:$B$17&lt;&gt;"")),'Changes — Earner 2'!$F$6:$F$17),'Second Earner'!$C$23))</f>
      </c>
      <c r="AT7" s="6">
        <f>IF($B7="","",IFERROR(LOOKUP(2,1/((('Changes — Earner 2'!$C$6:$C$17="State move")+('Changes — Earner 2'!$C$6:$C$17="State cert change"))*('Changes — Earner 2'!$B$6:$B$17&lt;=$B7)*('Changes — Earner 2'!$B$6:$B$17&lt;&gt;"")),'Changes — Earner 2'!$G$6:$G$17),'Second Earner'!$C$24))</f>
      </c>
      <c r="AU7">
        <f>IF($B7="","",IFERROR(LOOKUP(2,1/(('Changes — Earner 2'!$C$6:$C$17="State move")*('Changes — Earner 2'!$B$6:$B$17&lt;=$B7)*('Changes — Earner 2'!$B$6:$B$17&lt;&gt;"")),'Changes — Earner 2'!$E$6:$E$17),'Second Earner'!$C$22))</f>
      </c>
      <c r="AV7" s="6">
        <f>IF($B7="","",1+COUNTIFS('Changes — Earner 2'!$C$6:$C$17,"Employer change",'Changes — Earner 2'!$B$6:$B$17,"&lt;="&amp;$B7,'Changes — Earner 2'!$B$6:$B$17,"&lt;&gt;"))</f>
      </c>
      <c r="AW7" s="7">
        <f>IF($B7="","",IF($AV7=1,'Second Earner'!$C$49,IF(IFERROR(MATCH(IFERROR(LOOKUP(2,1/(('Changes — Earner 2'!$C$6:$C$17="Employer change")*('Changes — Earner 2'!$B$6:$B$17&lt;=$B7)*('Changes — Earner 2'!$B$6:$B$17&lt;&gt;"")),'Changes — Earner 2'!$B$6:$B$17),""),$B$6:$B$68,1),1)&lt;=1,'Second Earner'!$C$49,INDEX($AB$6:$AB$68,MATCH(IFERROR(LOOKUP(2,1/(('Changes — Earner 2'!$C$6:$C$17="Employer change")*('Changes — Earner 2'!$B$6:$B$17&lt;=$B7)*('Changes — Earner 2'!$B$6:$B$17&lt;&gt;"")),'Changes — Earner 2'!$B$6:$B$17),""),$B$6:$B$68,1)-1))))</f>
      </c>
      <c r="AX7" s="7">
        <f>IF($B7="","",IF($AV7=1,'Second Earner'!$C$49,IFERROR(LOOKUP(2,1/(('Changes — Earner 2'!$C$6:$C$17="Employer change")*('Changes — Earner 2'!$B$6:$B$17&lt;=$B7)*('Changes — Earner 2'!$B$6:$B$17&lt;&gt;"")),'Changes — Earner 2'!$D$6:$D$17),0)))</f>
      </c>
      <c r="AY7" s="7">
        <f>IF($B7="","",($O7-$D7)*'Second Earner'!$C$8)</f>
      </c>
      <c r="AZ7" s="7">
        <f>IF($B7="","",IF($AN7="AL",MAX(0,$AY7-IF($AU7="Married",IF($AY7&lt;=25999,8500,MAX(5000,8500-175*CEILING(($AY7-25999)/500,1))),IF($AU7="Head of household",IF($AY7&lt;=25999,5200,MAX(2500,5200-135*CEILING(($AY7-25999)/500,1))),IF($AY7&lt;=25999,3000,MAX(2500,3000-25*CEILING(($AY7-25999)/500,1)))))-($P7-'How This Works &amp; Sources'!$C$10*$D7)*'Second Earner'!$C$8-IF(OR($AU7="Married",$AU7="Head of household"),3000,1500)-$AT7*IF($AY7&lt;=50000,1000,IF($AY7&lt;=100000,500,300))),IF($AN7="AR",IF(MAX(0,$AY7-2470)&lt;97701,INT(MAX(0,$AY7-2470)/100)*100+50,MAX(0,$AY7-2470)),IF($AN7="DE",MAX(0,$AI7-3250),IF($AN7="HI",MAX(0,$AI7-1144*$AS7-4350),IF($AN7="KS",MAX(0,$AI7-(9160*IF($AU7="Married",2,1)+2320*$AT7+IF($AU7="Head of household",2320,0))),IF($AN7="MD",MAX(0,$AI7-3400-3200*$AS7),IF($AN7="MN",MAX(0,$AY7-5300*$AS7),IF($AN7="MO",MAX(0,$AI7-IF($AU7="Head of household",24150,IF($AU7="Married",IF('Second Earner'!$C$83,16100,32200),16100))),IF($AN7="MT",$AY7,IF($AN7="ND",($C7+$L7)*'Second Earner'!$C$8,IF($AN7="NE",MAX(0,$AY7-2440*$AS7),IF($AN7="NJ",MAX(0,$AY7-1000*$AS7),IF($AN7="NY",MAX(0,$AY7-(IF($AU7="Married",7950,7400)+1000*$AS7)),IF($AN7="OH",MAX(0,$AY7-650*$AS7),IF($AN7="OK",MAX(0,$AY7-1000*$AS7),IF($AN7="RI",MAX(0,$AI7-1000*$AS7),IF($AN7="SC",MAX(0,$AI7-5000*$AS7-IF($AS7=0,0,MIN(0.1*$AI7,7500))),IF($AN7="VA",MAX(0,$AI7-IF($AU7="Married",17500,8750)-930*$AS7-800*$AT7),IF($AN7="VT",MAX(0,$AI7-5400*$AS7),IF($AN7="WI",MAX(0,$AI7-MAX(0,IF($AU7="Married",9461-0.2*MAX(0,$AI7-25727),6702-0.12*MAX(0,$AI7-17780)))-400*$AS7),IF($AN7="WV",MAX(0,$AI7-2000*$AS7),$AI7))))))))))))))))))))))</f>
      </c>
      <c r="BA7" s="7">
        <f>IF($B7="","",IF($BW7&lt;&gt;"",$BW7,IF($BX7&lt;&gt;"",$BX7,IF($BY7&lt;&gt;"",$BY7,0))))</f>
      </c>
      <c r="BB7" s="7">
        <f>IF($B7="","",IF($AN7="AR",-29*$AS7,IF($AN7="DE",-110*$AS7,IF($AN7="MD",$AZ7*'Second Earner'!$C$74,IF($AN7="AZ",'Second Earner'!$C$82*($M7-$D7)*'Second Earner'!$C$8,IF($AN7="CO",0.044*MAX(0,$AY7-IF($AU7="Married",10000,5000)),IF($AN7="IA",MAX(0,0.038*MAX(0,$AY7-IF($AU7="Head of household",19500,IF($AU7="Married",26000,13000)))-40*$AS7),IF($AN7="ID",0.053*MAX(0,$AY7-IF($AU7="Married",32000,16094)),IF($AN7="IL",0.0495*MAX(0,$AY7-(2925*$AS7+1000*$AT7)),IF($AN7="IN",(0.0295+'Second Earner'!$C$76)*MAX(0,$AY7-(1000*$AS7+1500*$AT7+3000*'Second Earner'!$C$86)),IF($AN7="KY",0.035*MAX(0,$AI7-3360),IF($AN7="LA",IF('Second Earner'!$C$84="0",0.0309*$AI7,0.0309*MAX(0,$AI7-IF('Second Earner'!$C$84="2",25750,12875))),IF($AN7="MA",0.05*MIN(MAX(0,$AY7-MIN(($BD6+$Q7+$R7+$S7),2000)-IF($AS7=0,0,IF($AS7=1,4400,1000*$AS7+3400))),1107750)+0.09*MAX(0,MAX(0,$AY7-MIN(($BD6+$Q7+$R7+$S7),2000)-IF($AS7=0,0,IF($AS7=1,4400,1000*$AS7+3400)))-1107750)-IF($AU7="Head of household",120,0)-110*'Second Earner'!$C$75,IF($AN7="MI",0.0425*MAX(0,$AY7-5900*$AS7),IF($AN7="MS",0.04*MAX(0,$AI7-IF($AU7="Head of household",3400,IF($AU7="Married",4600,2300))-'Second Earner'!$C$85-10000),IF($AN7="OR",IF(OR($AU7="Married",AND($AU7="Single",$AS7&gt;=3)),SUMPRODUCT((MAX(0,$AY7-MIN(($P7-'How This Works &amp; Sources'!$C$10*$D7)*'Second Earner'!$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Sources'!$B$211:$J$214,0,4))*(MAX(0,$AY7-MIN(($P7-'How This Works &amp; Sources'!$C$10*$D7)*'Second Earner'!$C$8,IF(OR($AU7="Married",AND($AU7="Single",$AS7&gt;=3)),IF($AY7&lt;250000,8750,IF($AY7&lt;260000,7000,IF($AY7&lt;270000,5250,IF($AY7&lt;280000,3500,IF($AY7&lt;290000,1750,0))))),IF($AY7&lt;125000,8750,IF($AY7&lt;130000,7000,IF($AY7&lt;135000,5250,IF($AY7&lt;140000,3500,IF($AY7&lt;145000,1750,0)))))))-IF(OR($AU7="Married",AND($AU7="Single",$AS7&gt;=3)),5820,2910))-INDEX('How This Works &amp; Sources'!$B$211:$J$214,0,4))*INDEX('How This Works &amp; Sources'!$B$211:$J$214,0,4+2)),SUMPRODUCT((MAX(0,$AY7-MIN(($P7-'How This Works &amp; Sources'!$C$10*$D7)*'Second Earner'!$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Sources'!$B$211:$J$214,0,1))*(MAX(0,$AY7-MIN(($P7-'How This Works &amp; Sources'!$C$10*$D7)*'Second Earner'!$C$8,IF(OR($AU7="Married",AND($AU7="Single",$AS7&gt;=3)),IF($AY7&lt;250000,8750,IF($AY7&lt;260000,7000,IF($AY7&lt;270000,5250,IF($AY7&lt;280000,3500,IF($AY7&lt;290000,1750,0))))),IF($AY7&lt;125000,8750,IF($AY7&lt;130000,7000,IF($AY7&lt;135000,5250,IF($AY7&lt;140000,3500,IF($AY7&lt;145000,1750,0)))))))-IF(OR($AU7="Married",AND($AU7="Single",$AS7&gt;=3)),5820,2910))-INDEX('How This Works &amp; Sources'!$B$211:$J$214,0,1))*INDEX('How This Works &amp; Sources'!$B$211:$J$214,0,1+2)))+263-263*IF(IF($AU7="Married",$AY7&gt;200000,$AY7&gt;100000),0,$AS7),IF($AN7="PA",0.0307*(($O7+$E7+$G7)*'Second Earner'!$C$8),IF($AN7="NY",IF($AU7="Married",IF($AZ7&gt;=2155350,0,IF($AZ7&gt;=1077550,0.48,IF($AZ7&gt;=373200,1.21,IF($AZ7&gt;=323200,0.21,IF($AZ7&gt;=211550,-0.19,IF($AZ7&gt;=157650,-2.8,IF($AZ7&gt;=107650,-0.8,IF($AZ7&gt;=96800,0.05,IF($AZ7&gt;=80650,-0.1,IF($AZ7&gt;=13900,0.4,IF($AZ7&gt;=11700,-0.3,IF($AZ7&gt;=8500,0.5,0)))))))))))),IF($AZ7&gt;=1077550,0,IF($AZ7&gt;=265400,4.29,IF($AZ7&gt;=215400,2.29,IF($AZ7&gt;=157650,2.29,IF($AZ7&gt;=107650,0.29,IF($AZ7&gt;=96800,0.05,IF($AZ7&gt;=80650,-0.1,IF($AZ7&gt;=13900,0.4,IF($AZ7&gt;=11700,-0.3,IF($AZ7&gt;=8500,0.5,0))))))))))),0))))))))))))))))))</f>
      </c>
      <c r="BC7" s="7">
        <f>IF($B7="","",IF($AN7="AL",0.05*$D7,IF($AN7="AR",0.039*$D7,IF($AN7="ID",0.053*$D7,IF($AN7="IN",(0.0295+'Second Earner'!$C$76)*$D7,IF($AN7="KS",0.05*$D7,IF($AN7="MA",0.09*MIN($D7,MAX(0,MAX(0,$AY7-MIN(($BD6+$Q7+$R7+$S7),2000)-IF($AS7=0,0,IF($AS7=1,4400,1000*$AS7+3400)))+$D7-1107750))+0.05*($D7-MIN($D7,MAX(0,MAX(0,$AY7-MIN(($BD6+$Q7+$R7+$S7),2000)-IF($AS7=0,0,IF($AS7=1,4400,1000*$AS7+3400)))+$D7-1107750))),IF($AN7="MD",(0.065+'Second Earner'!$C$74)*$D7,IF($AN7="MI",0.0425*$D7,IF($AN7="MN",0.0625*$D7,IF($AN7="MO",0.047*$D7,IF($AN7="MT",0.05*$D7,IF($AN7="ND",0.015*$D7,IF($AN7="NE",0.035*$D7,IF($AN7="NJ",IF('Second Earner'!$C$77="B",SUMPRODUCT(($D7*'Second Earner'!$C$8&gt;INDEX('How This Works &amp; Sources'!$B$155:$J$162,0,4))*($D7*'Second Earner'!$C$8-INDEX('How This Works &amp; Sources'!$B$155:$J$162,0,4))*INDEX('How This Works &amp; Sources'!$B$155:$J$162,0,4+2)),IF('Second Earner'!$C$77="C",SUMPRODUCT(($D7*'Second Earner'!$C$8&gt;INDEX('How This Works &amp; Sources'!$B$155:$J$162,0,7))*($D7*'Second Earner'!$C$8-INDEX('How This Works &amp; Sources'!$B$155:$J$162,0,7))*INDEX('How This Works &amp; Sources'!$B$155:$J$162,0,7+2)),IF('Second Earner'!$C$77="D",SUMPRODUCT(($D7*'Second Earner'!$C$8&gt;INDEX('How This Works &amp; Sources'!$B$167:$J$179,0,1))*($D7*'Second Earner'!$C$8-INDEX('How This Works &amp; Sources'!$B$167:$J$179,0,1))*INDEX('How This Works &amp; Sources'!$B$167:$J$179,0,1+2)),IF('Second Earner'!$C$77="E",SUMPRODUCT(($D7*'Second Earner'!$C$8&gt;INDEX('How This Works &amp; Sources'!$B$167:$J$179,0,4))*($D7*'Second Earner'!$C$8-INDEX('How This Works &amp; Sources'!$B$167:$J$179,0,4))*INDEX('How This Works &amp; Sources'!$B$167:$J$179,0,4+2)),SUMPRODUCT(($D7*'Second Earner'!$C$8&gt;INDEX('How This Works &amp; Sources'!$B$155:$J$162,0,1))*($D7*'Second Earner'!$C$8-INDEX('How This Works &amp; Sources'!$B$155:$J$162,0,1))*INDEX('How This Works &amp; Sources'!$B$155:$J$162,0,1+2))))))/'Second Earner'!$C$8,IF($AN7="NY",0.117*$D7,IF($AN7="OH",0.0275*$D7,IF($AN7="OK",0.045*$D7,IF($AN7="OR",0.08*$D7,IF($AN7="WI",IF($AY7&lt;12760,0.0354,IF($AY7&lt;25520,0.0465,IF($AY7&lt;280950,0.053,0.0765)))*$D7,0))))))))))))))))))))</f>
      </c>
      <c r="BD7" s="7">
        <f>IF($B7="","",$BD6+$Q7+$R7+$S7)</f>
      </c>
      <c r="BE7" s="6">
        <f>IF($B7="",$BE6,$BE6+$BF7)</f>
      </c>
      <c r="BF7" s="6">
        <f>IF($B7="","",IF(AND(IF(YEAR(IF('Second Earner'!$C$7="Weekly",'Second Earner'!$C$9+7*(($BE6+1)-1),IF('Second Earner'!$C$7="Biweekly",'Second Earner'!$C$9+14*(($BE6+1)-1),IF('Second Earner'!$C$7="Semimonthly",DATE(YEAR('Second Earner'!$C$9),MONTH('Second Earner'!$C$9)+INT((($BE6+1)-1)/2),MIN(DAY('Second Earner'!$C$9),DAY(EOMONTH(DATE(YEAR('Second Earner'!$C$9),MONTH('Second Earner'!$C$9)+INT((($BE6+1)-1)/2),1),0))))+IF(MOD(($BE6+1)-1,2)=1,15,0),EDATE('Second Earner'!$C$9,($BE6+1)-1)))))&lt;&gt;'Second Earner'!$C$10,"",IF('Second Earner'!$C$7="Weekly",'Second Earner'!$C$9+7*(($BE6+1)-1),IF('Second Earner'!$C$7="Biweekly",'Second Earner'!$C$9+14*(($BE6+1)-1),IF('Second Earner'!$C$7="Semimonthly",DATE(YEAR('Second Earner'!$C$9),MONTH('Second Earner'!$C$9)+INT((($BE6+1)-1)/2),MIN(DAY('Second Earner'!$C$9),DAY(EOMONTH(DATE(YEAR('Second Earner'!$C$9),MONTH('Second Earner'!$C$9)+INT((($BE6+1)-1)/2),1),0))))+IF(MOD(($BE6+1)-1,2)=1,15,0),EDATE('Second Earner'!$C$9,($BE6+1)-1)))))&lt;&gt;"",$B7=IF(YEAR(IF('Second Earner'!$C$7="Weekly",'Second Earner'!$C$9+7*(($BE6+1)-1),IF('Second Earner'!$C$7="Biweekly",'Second Earner'!$C$9+14*(($BE6+1)-1),IF('Second Earner'!$C$7="Semimonthly",DATE(YEAR('Second Earner'!$C$9),MONTH('Second Earner'!$C$9)+INT((($BE6+1)-1)/2),MIN(DAY('Second Earner'!$C$9),DAY(EOMONTH(DATE(YEAR('Second Earner'!$C$9),MONTH('Second Earner'!$C$9)+INT((($BE6+1)-1)/2),1),0))))+IF(MOD(($BE6+1)-1,2)=1,15,0),EDATE('Second Earner'!$C$9,($BE6+1)-1)))))&lt;&gt;'Second Earner'!$C$10,"",IF('Second Earner'!$C$7="Weekly",'Second Earner'!$C$9+7*(($BE6+1)-1),IF('Second Earner'!$C$7="Biweekly",'Second Earner'!$C$9+14*(($BE6+1)-1),IF('Second Earner'!$C$7="Semimonthly",DATE(YEAR('Second Earner'!$C$9),MONTH('Second Earner'!$C$9)+INT((($BE6+1)-1)/2),MIN(DAY('Second Earner'!$C$9),DAY(EOMONTH(DATE(YEAR('Second Earner'!$C$9),MONTH('Second Earner'!$C$9)+INT((($BE6+1)-1)/2),1),0))))+IF(MOD(($BE6+1)-1,2)=1,15,0),EDATE('Second Earner'!$C$9,($BE6+1)-1)))))),1,0))</f>
      </c>
      <c r="BG7" s="7">
        <f>IF($B7="","",$BG6+$H7)</f>
      </c>
      <c r="BH7" s="7">
        <f>IF($B7="","",$BH6+$I7)</f>
      </c>
      <c r="BI7" s="7">
        <f>IF($B7="","",$BI6+$G7)</f>
      </c>
      <c r="BJ7" s="7">
        <f>IF($B7="","",IFERROR(LOOKUP(2,1/(((('Changes — Earner 2'!$C$6:$C$17="Deduction start"))*('Changes — Earner 2'!$D$6:$D$17="Health FSA"))*('Changes — Earner 2'!$B$6:$B$17&lt;=$B7)*('Changes — Earner 2'!$B$6:$B$17&lt;&gt;"")),'Changes — Earner 2'!$E$6:$E$17),'Second Earner'!$D$38))</f>
      </c>
      <c r="BK7" s="7">
        <f>IF($B7="","",IFERROR(LOOKUP(2,1/(((('Changes — Earner 2'!$C$6:$C$17="Deduction start"))*('Changes — Earner 2'!$D$6:$D$17="Dependent-care FSA"))*('Changes — Earner 2'!$B$6:$B$17&lt;=$B7)*('Changes — Earner 2'!$B$6:$B$17&lt;&gt;"")),'Changes — Earner 2'!$E$6:$E$17),'Second Earner'!$D$39))</f>
      </c>
      <c r="BL7" s="7">
        <f>IF($B7="","",IFERROR(LOOKUP(2,1/(((('Changes — Earner 2'!$C$6:$C$17="Deduction start")+('Changes — Earner 2'!$C$6:$C$17="Deduction stop"))*('Changes — Earner 2'!$D$6:$D$17="HSA"))*('Changes — Earner 2'!$B$6:$B$17&lt;=$B7)*('Changes — Earner 2'!$B$6:$B$17&lt;&gt;"")),'Changes — Earner 2'!$I$6:$I$17),'Second Earner'!$D$35))</f>
      </c>
      <c r="BM7" s="7">
        <f>IF($B7="","",IFERROR(LOOKUP(2,1/(((('Changes — Earner 2'!$C$6:$C$17="Deduction start")+('Changes — Earner 2'!$C$6:$C$17="Deduction stop"))*('Changes — Earner 2'!$D$6:$D$17="Premiums"))*('Changes — Earner 2'!$B$6:$B$17&lt;=$B7)*('Changes — Earner 2'!$B$6:$B$17&lt;&gt;"")),'Changes — Earner 2'!$I$6:$I$17),'Second Earner'!$D$40+'Second Earner'!$D$41+'Second Earner'!$D$42))</f>
      </c>
      <c r="BN7" s="7">
        <f>IF($B7="","",IFERROR(LOOKUP(2,1/(((('Changes — Earner 2'!$C$6:$C$17="Deduction start")+('Changes — Earner 2'!$C$6:$C$17="Deduction stop"))*('Changes — Earner 2'!$D$6:$D$17="Commuter"))*('Changes — Earner 2'!$B$6:$B$17&lt;=$B7)*('Changes — Earner 2'!$B$6:$B$17&lt;&gt;"")),'Changes — Earner 2'!$I$6:$I$17),'Second Earner'!$D$43))</f>
      </c>
      <c r="BO7" s="7">
        <f>IF($B7="","",IFERROR(LOOKUP(2,1/(((('Changes — Earner 2'!$C$6:$C$17="Deduction start")+('Changes — Earner 2'!$C$6:$C$17="Deduction stop"))*('Changes — Earner 2'!$D$6:$D$17="Other pre-tax"))*('Changes — Earner 2'!$B$6:$B$17&lt;=$B7)*('Changes — Earner 2'!$B$6:$B$17&lt;&gt;"")),'Changes — Earner 2'!$I$6:$I$17),'Second Earner'!$D$44))</f>
      </c>
      <c r="BP7" s="7">
        <f>IF($B7="","",IFERROR(LOOKUP(2,1/(((('Changes — Earner 2'!$C$6:$C$17="Deduction start")+('Changes — Earner 2'!$C$6:$C$17="Deduction stop"))*('Changes — Earner 2'!$D$6:$D$17="Other post-tax"))*('Changes — Earner 2'!$B$6:$B$17&lt;=$B7)*('Changes — Earner 2'!$B$6:$B$17&lt;&gt;"")),'Changes — Earner 2'!$I$6:$I$17),'Second Earner'!$D$45))</f>
      </c>
      <c r="BQ7" s="6">
        <f>IF($B7="","",IFERROR(LOOKUP(2,1/(((('Changes — Earner 2'!$C$6:$C$17="Deduction start")+('Changes — Earner 2'!$C$6:$C$17="Deduction stop"))*('Changes — Earner 2'!$D$6:$D$17="Health FSA"))*('Changes — Earner 2'!$B$6:$B$17&lt;=$B7)*('Changes — Earner 2'!$B$6:$B$17&lt;&gt;"")),'Changes — Earner 2'!$J$6:$J$17),0))</f>
      </c>
      <c r="BR7" s="6">
        <f>IF($B7="","",IFERROR(LOOKUP(2,1/(((('Changes — Earner 2'!$C$6:$C$17="Deduction start")+('Changes — Earner 2'!$C$6:$C$17="Deduction stop"))*('Changes — Earner 2'!$D$6:$D$17="Dependent-care FSA"))*('Changes — Earner 2'!$B$6:$B$17&lt;=$B7)*('Changes — Earner 2'!$B$6:$B$17&lt;&gt;"")),'Changes — Earner 2'!$J$6:$J$17),0))</f>
      </c>
      <c r="BS7" s="6">
        <f>IF($B7="","",IF(SUMPRODUCT(('Changes — Earner 2'!$C$6:$C$17="Deduction start")*('Changes — Earner 2'!$B$6:$B$17&lt;=$B7)*('Changes — Earner 2'!$B$6:$B$17&lt;&gt;"")*('Changes — Earner 2'!$D$6:$D$17="Health FSA"))&gt;0,1,0))</f>
      </c>
      <c r="BT7" s="6">
        <f>IF($B7="","",IF(SUMPRODUCT(('Changes — Earner 2'!$C$6:$C$17="Deduction start")*('Changes — Earner 2'!$B$6:$B$17&lt;=$B7)*('Changes — Earner 2'!$B$6:$B$17&lt;&gt;"")*('Changes — Earner 2'!$D$6:$D$17="Dependent-care FSA"))&gt;0,1,0))</f>
      </c>
      <c r="BU7" s="24">
        <f>IF($B7="","",IF('Second Earner'!$C$13,SUMPRODUCT(($AH7&gt;=INDEX('How This Works &amp; Sources'!$B$29:$J$36,0,IF('Second Earner'!$C$12="MFJ",1,IF('Second Earner'!$C$12="HoH",7,4))))*INDEX('How This Works &amp; Sources'!$B$29:$J$36,0,IF('Second Earner'!$C$12="MFJ",1,IF('Second Earner'!$C$12="HoH",7,4))+2)),SUMPRODUCT(($AH7&gt;=INDEX('How This Works &amp; Sources'!$B$19:$J$26,0,IF('Second Earner'!$C$12="MFJ",1,IF('Second Earner'!$C$12="HoH",7,4))))*INDEX('How This Works &amp; Sources'!$B$19:$J$26,0,IF('Second Earner'!$C$12="MFJ",1,IF('Second Earner'!$C$12="HoH",7,4))+2))))</f>
      </c>
      <c r="BV7" s="24">
        <f>IF($B7="","",IF($BZ7&lt;&gt;"",$BZ7,IF($CA7&lt;&gt;"",$CA7,IF($CB7&lt;&gt;"",$CB7,IF($CC7&lt;&gt;"",$CC7,0)))))</f>
      </c>
      <c r="BW7" s="7">
        <f>IF($B7="","",IF($AN7="AR",SUMPRODUCT(($AZ7&gt;INDEX('How This Works &amp; Sources'!$B$82:$J$86,0,7))*($AZ7-INDEX('How This Works &amp; Sources'!$B$82:$J$86,0,7))*INDEX('How This Works &amp; Sources'!$B$82:$J$86,0,7+2)),IF($AN7="MD",IF(OR($AU7="Married",$AU7="Head of household"),SUMPRODUCT(($AZ7&gt;INDEX('How This Works &amp; Sources'!$B$114:$J$120,0,1))*($AZ7-INDEX('How This Works &amp; Sources'!$B$114:$J$120,0,1))*INDEX('How This Works &amp; Sources'!$B$114:$J$120,0,1+2)),SUMPRODUCT(($AZ7&gt;INDEX('How This Works &amp; Sources'!$B$103:$J$109,0,7))*($AZ7-INDEX('How This Works &amp; Sources'!$B$103:$J$109,0,7))*INDEX('How This Works &amp; Sources'!$B$103:$J$109,0,7+2))),IF($AN7="MT",IF($AU7="Head of household",SUMPRODUCT(($AZ7&gt;INDEX('How This Works &amp; Sources'!$B$137:$J$139,0,1))*($AZ7-INDEX('How This Works &amp; Sources'!$B$137:$J$139,0,1))*INDEX('How This Works &amp; Sources'!$B$137:$J$139,0,1+2)),IF($AU7="Married",SUMPRODUCT(($AZ7&gt;INDEX('How This Works &amp; Sources'!$B$125:$J$132,0,7))*($AZ7-INDEX('How This Works &amp; Sources'!$B$125:$J$132,0,7))*INDEX('How This Works &amp; Sources'!$B$125:$J$132,0,7+2)),SUMPRODUCT(($AZ7&gt;INDEX('How This Works &amp; Sources'!$B$125:$J$132,0,4))*($AZ7-INDEX('How This Works &amp; Sources'!$B$125:$J$132,0,4))*INDEX('How This Works &amp; Sources'!$B$125:$J$132,0,4+2)))),IF($AN7="ND",IF($AU7="Head of household",SUMPRODUCT(($AZ7&gt;INDEX('How This Works &amp; Sources'!$B$144:$J$150,0,1))*($AZ7-INDEX('How This Works &amp; Sources'!$B$144:$J$150,0,1))*INDEX('How This Works &amp; Sources'!$B$144:$J$150,0,1+2)),IF($AU7="Married",SUMPRODUCT(($AZ7&gt;INDEX('How This Works &amp; Sources'!$B$137:$J$139,0,7))*($AZ7-INDEX('How This Works &amp; Sources'!$B$137:$J$139,0,7))*INDEX('How This Works &amp; Sources'!$B$137:$J$139,0,7+2)),SUMPRODUCT(($AZ7&gt;INDEX('How This Works &amp; Sources'!$B$137:$J$139,0,4))*($AZ7-INDEX('How This Works &amp; Sources'!$B$137:$J$139,0,4))*INDEX('How This Works &amp; Sources'!$B$137:$J$139,0,4+2)))),IF($AN7="NJ",IF('Second Earner'!$C$77="B",SUMPRODUCT(($AZ7&gt;INDEX('How This Works &amp; Sources'!$B$155:$J$162,0,4))*($AZ7-INDEX('How This Works &amp; Sources'!$B$155:$J$162,0,4))*INDEX('How This Works &amp; Sources'!$B$155:$J$162,0,4+2)),IF('Second Earner'!$C$77="C",SUMPRODUCT(($AZ7&gt;INDEX('How This Works &amp; Sources'!$B$155:$J$162,0,7))*($AZ7-INDEX('How This Works &amp; Sources'!$B$155:$J$162,0,7))*INDEX('How This Works &amp; Sources'!$B$155:$J$162,0,7+2)),IF('Second Earner'!$C$77="D",SUMPRODUCT(($AZ7&gt;INDEX('How This Works &amp; Sources'!$B$167:$J$179,0,1))*($AZ7-INDEX('How This Works &amp; Sources'!$B$167:$J$179,0,1))*INDEX('How This Works &amp; Sources'!$B$167:$J$179,0,1+2)),IF('Second Earner'!$C$77="E",SUMPRODUCT(($AZ7&gt;INDEX('How This Works &amp; Sources'!$B$167:$J$179,0,4))*($AZ7-INDEX('How This Works &amp; Sources'!$B$167:$J$179,0,4))*INDEX('How This Works &amp; Sources'!$B$167:$J$179,0,4+2)),SUMPRODUCT(($AZ7&gt;INDEX('How This Works &amp; Sources'!$B$155:$J$162,0,1))*($AZ7-INDEX('How This Works &amp; Sources'!$B$155:$J$162,0,1))*INDEX('How This Works &amp; Sources'!$B$155:$J$162,0,1+2)))))),IF($AN7="NY",IF($AU7="Married",IF($AZ7&gt;=2155350,$AZ7*IF($AZ7&gt;25000000,0.117,IF($AZ7&gt;5000000,0.111,0.1045)),SUMPRODUCT(($AZ7&gt;INDEX('How This Works &amp; Sources'!$B$184:$J$198,0,1))*($AZ7-INDEX('How This Works &amp; Sources'!$B$184:$J$198,0,1))*INDEX('How This Works &amp; Sources'!$B$184:$J$198,0,1+2))),IF($AZ7&gt;=1077550,$AZ7*IF($AZ7&gt;25000000,0.117,IF($AZ7&gt;5000000,0.111,0.1045)),SUMPRODUCT(($AZ7&gt;INDEX('How This Works &amp; Sources'!$B$167:$J$179,0,7))*($AZ7-INDEX('How This Works &amp; Sources'!$B$167:$J$179,0,7))*INDEX('How This Works &amp; Sources'!$B$167:$J$179,0,7+2)))),"")))))))</f>
      </c>
      <c r="BX7" s="7">
        <f>IF($B7="","",IF($AN7="AL",IF(OR($AU7="Married",$AU7="Head of household"),SUMPRODUCT(($AZ7&gt;INDEX('How This Works &amp; Sources'!$B$82:$J$86,0,4))*($AZ7-INDEX('How This Works &amp; Sources'!$B$82:$J$86,0,4))*INDEX('How This Works &amp; Sources'!$B$82:$J$86,0,4+2)),SUMPRODUCT(($AZ7&gt;INDEX('How This Works &amp; Sources'!$B$82:$J$86,0,1))*($AZ7-INDEX('How This Works &amp; Sources'!$B$82:$J$86,0,1))*INDEX('How This Works &amp; Sources'!$B$82:$J$86,0,1+2))),IF($AN7="KS",IF($AU7="Married",SUMPRODUCT(($AZ7&gt;INDEX('How This Works &amp; Sources'!$B$103:$J$109,0,4))*($AZ7-INDEX('How This Works &amp; Sources'!$B$103:$J$109,0,4))*INDEX('How This Works &amp; Sources'!$B$103:$J$109,0,4+2)),SUMPRODUCT(($AZ7&gt;INDEX('How This Works &amp; Sources'!$B$103:$J$109,0,1))*($AZ7-INDEX('How This Works &amp; Sources'!$B$103:$J$109,0,1))*INDEX('How This Works &amp; Sources'!$B$103:$J$109,0,1+2))),IF($AN7="MN",IF($AU7="Married",SUMPRODUCT(($AZ7&gt;INDEX('How This Works &amp; Sources'!$B$114:$J$120,0,7))*($AZ7-INDEX('How This Works &amp; Sources'!$B$114:$J$120,0,7))*INDEX('How This Works &amp; Sources'!$B$114:$J$120,0,7+2)),SUMPRODUCT(($AZ7&gt;INDEX('How This Works &amp; Sources'!$B$114:$J$120,0,4))*($AZ7-INDEX('How This Works &amp; Sources'!$B$114:$J$120,0,4))*INDEX('How This Works &amp; Sources'!$B$114:$J$120,0,4+2))),IF($AN7="MO",SUMPRODUCT(($AZ7&gt;INDEX('How This Works &amp; Sources'!$B$125:$J$132,0,1))*($AZ7-INDEX('How This Works &amp; Sources'!$B$125:$J$132,0,1))*INDEX('How This Works &amp; Sources'!$B$125:$J$132,0,1+2)),IF($AN7="NE",MAX(IF($AU7="Married",SUMPRODUCT(($AZ7&gt;INDEX('How This Works &amp; Sources'!$B$144:$J$150,0,7))*($AZ7-INDEX('How This Works &amp; Sources'!$B$144:$J$150,0,7))*INDEX('How This Works &amp; Sources'!$B$144:$J$150,0,7+2)),SUMPRODUCT(($AZ7&gt;INDEX('How This Works &amp; Sources'!$B$144:$J$150,0,4))*($AZ7-INDEX('How This Works &amp; Sources'!$B$144:$J$150,0,4))*INDEX('How This Works &amp; Sources'!$B$144:$J$150,0,4+2))),0.015*$AZ7),IF($AN7="OH",IF($B7&gt;=DATE(2026,8,1),SUMPRODUCT(($AZ7&gt;INDEX('How This Works &amp; Sources'!$B$203:$J$206,0,1))*($AZ7-INDEX('How This Works &amp; Sources'!$B$203:$J$206,0,1))*INDEX('How This Works &amp; Sources'!$B$203:$J$206,0,1+2)),SUMPRODUCT(($AZ7&gt;INDEX('How This Works &amp; Sources'!$B$184:$J$198,0,7))*($AZ7-INDEX('How This Works &amp; Sources'!$B$184:$J$198,0,7))*INDEX('How This Works &amp; Sources'!$B$184:$J$198,0,7+2))),IF($AN7="OK",IF($AU7="Married",SUMPRODUCT(($AZ7&gt;INDEX('How This Works &amp; Sources'!$B$203:$J$206,0,7))*($AZ7-INDEX('How This Works &amp; Sources'!$B$203:$J$206,0,7))*INDEX('How This Works &amp; Sources'!$B$203:$J$206,0,7+2)),SUMPRODUCT(($AZ7&gt;INDEX('How This Works &amp; Sources'!$B$203:$J$206,0,4))*($AZ7-INDEX('How This Works &amp; Sources'!$B$203:$J$206,0,4))*INDEX('How This Works &amp; Sources'!$B$203:$J$206,0,4+2))),IF($AN7="VT",IF($AU7="Married",SUMPRODUCT(($AZ7&gt;INDEX('How This Works &amp; Sources'!$B$228:$J$232,0,1))*($AZ7-INDEX('How This Works &amp; Sources'!$B$228:$J$232,0,1))*INDEX('How This Works &amp; Sources'!$B$228:$J$232,0,1+2)),SUMPRODUCT(($AZ7&gt;INDEX('How This Works &amp; Sources'!$B$219:$J$223,0,7))*($AZ7-INDEX('How This Works &amp; Sources'!$B$219:$J$223,0,7))*INDEX('How This Works &amp; Sources'!$B$219:$J$223,0,7+2))),IF($AN7="WV",IF($AU7="Married",SUMPRODUCT(($AZ7&gt;INDEX('How This Works &amp; Sources'!$B$237:$J$241,0,7))*($AZ7-INDEX('How This Works &amp; Sources'!$B$237:$J$241,0,7))*INDEX('How This Works &amp; Sources'!$B$237:$J$241,0,7+2)),SUMPRODUCT(($AZ7&gt;INDEX('How This Works &amp; Sources'!$B$228:$J$232,0,7))*($AZ7-INDEX('How This Works &amp; Sources'!$B$228:$J$232,0,7))*INDEX('How This Works &amp; Sources'!$B$228:$J$232,0,7+2))),""))))))))))</f>
      </c>
      <c r="BY7" s="7">
        <f>IF($B7="","",IF($AN7="DE",SUMPRODUCT(($AZ7&gt;INDEX('How This Works &amp; Sources'!$B$91:$J$98,0,1))*($AZ7-INDEX('How This Works &amp; Sources'!$B$91:$J$98,0,1))*INDEX('How This Works &amp; Sources'!$B$91:$J$98,0,1+2)),IF($AN7="HI",IF($AU7="Married",SUMPRODUCT(($AZ7&gt;INDEX('How This Works &amp; Sources'!$B$91:$J$98,0,7))*($AZ7-INDEX('How This Works &amp; Sources'!$B$91:$J$98,0,7))*INDEX('How This Works &amp; Sources'!$B$91:$J$98,0,7+2)),SUMPRODUCT(($AZ7&gt;INDEX('How This Works &amp; Sources'!$B$91:$J$98,0,4))*($AZ7-INDEX('How This Works &amp; Sources'!$B$91:$J$98,0,4))*INDEX('How This Works &amp; Sources'!$B$91:$J$98,0,4+2))),IF($AN7="RI",SUMPRODUCT(($AZ7&gt;INDEX('How This Works &amp; Sources'!$B$211:$J$214,0,7))*($AZ7-INDEX('How This Works &amp; Sources'!$B$211:$J$214,0,7))*INDEX('How This Works &amp; Sources'!$B$211:$J$214,0,7+2)),IF($AN7="SC",SUMPRODUCT(($AZ7&gt;INDEX('How This Works &amp; Sources'!$B$219:$J$223,0,1))*($AZ7-INDEX('How This Works &amp; Sources'!$B$219:$J$223,0,1))*INDEX('How This Works &amp; Sources'!$B$219:$J$223,0,1+2)),IF($AN7="VA",SUMPRODUCT(($AZ7&gt;INDEX('How This Works &amp; Sources'!$B$219:$J$223,0,4))*($AZ7-INDEX('How This Works &amp; Sources'!$B$219:$J$223,0,4))*INDEX('How This Works &amp; Sources'!$B$219:$J$223,0,4+2)),IF($AN7="WI",SUMPRODUCT(($AZ7&gt;INDEX('How This Works &amp; Sources'!$B$228:$J$232,0,4))*($AZ7-INDEX('How This Works &amp; Sources'!$B$228:$J$232,0,4))*INDEX('How This Works &amp; Sources'!$B$228:$J$232,0,4+2)),"")))))))</f>
      </c>
      <c r="BZ7" s="24">
        <f>IF($B7="","",IF($AN7="KS",IF($AU7="Married",SUMPRODUCT(($AZ7&gt;=INDEX('How This Works &amp; Sources'!$B$103:$J$109,0,4))*INDEX('How This Works &amp; Sources'!$B$103:$J$109,0,4+2)),SUMPRODUCT(($AZ7&gt;=INDEX('How This Works &amp; Sources'!$B$103:$J$109,0,1))*INDEX('How This Works &amp; Sources'!$B$103:$J$109,0,1+2))),IF($AN7="MT",IF($AU7="Head of household",SUMPRODUCT(($AZ7&gt;=INDEX('How This Works &amp; Sources'!$B$137:$J$139,0,1))*INDEX('How This Works &amp; Sources'!$B$137:$J$139,0,1+2)),IF($AU7="Married",SUMPRODUCT(($AZ7&gt;=INDEX('How This Works &amp; Sources'!$B$125:$J$132,0,7))*INDEX('How This Works &amp; Sources'!$B$125:$J$132,0,7+2)),SUMPRODUCT(($AZ7&gt;=INDEX('How This Works &amp; Sources'!$B$125:$J$132,0,4))*INDEX('How This Works &amp; Sources'!$B$125:$J$132,0,4+2)))),IF($AN7="OR",IF(OR($AU7="Married",AND($AU7="Single",$AS7&gt;=3)),SUMPRODUCT((MAX(0,$AY7-MIN(($P7-'How This Works &amp; Sources'!$C$10*$D7)*'Second Earner'!$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Sources'!$B$211:$J$214,0,4))*INDEX('How This Works &amp; Sources'!$B$211:$J$214,0,4+2)),SUMPRODUCT((MAX(0,$AY7-MIN(($P7-'How This Works &amp; Sources'!$C$10*$D7)*'Second Earner'!$C$8,IF(OR($AU7="Married",AND($AU7="Single",$AS7&gt;=3)),IF($AY7&lt;250000,8750,IF($AY7&lt;260000,7000,IF($AY7&lt;270000,5250,IF($AY7&lt;280000,3500,IF($AY7&lt;290000,1750,0))))),IF($AY7&lt;125000,8750,IF($AY7&lt;130000,7000,IF($AY7&lt;135000,5250,IF($AY7&lt;140000,3500,IF($AY7&lt;145000,1750,0)))))))-IF(OR($AU7="Married",AND($AU7="Single",$AS7&gt;=3)),5820,2910))&gt;=INDEX('How This Works &amp; Sources'!$B$211:$J$214,0,1))*INDEX('How This Works &amp; Sources'!$B$211:$J$214,0,1+2)))*IF(($P7-'How This Works &amp; Sources'!$C$10*$D7)*'Second Earner'!$C$8&gt;=IF(OR($AU7="Married",AND($AU7="Single",$AS7&gt;=3)),IF($AY7&lt;250000,8750,IF($AY7&lt;260000,7000,IF($AY7&lt;270000,5250,IF($AY7&lt;280000,3500,IF($AY7&lt;290000,1750,0))))),IF($AY7&lt;125000,8750,IF($AY7&lt;130000,7000,IF($AY7&lt;135000,5250,IF($AY7&lt;140000,3500,IF($AY7&lt;145000,1750,0)))))),1,1-IF('Second Earner'!$C$13,SUMPRODUCT(($AH7&gt;=INDEX('How This Works &amp; Sources'!$B$29:$J$36,0,IF('Second Earner'!$C$12="MFJ",1,IF('Second Earner'!$C$12="HoH",7,4))))*INDEX('How This Works &amp; Sources'!$B$29:$J$36,0,IF('Second Earner'!$C$12="MFJ",1,IF('Second Earner'!$C$12="HoH",7,4))+2)),SUMPRODUCT(($AH7&gt;=INDEX('How This Works &amp; Sources'!$B$19:$J$26,0,IF('Second Earner'!$C$12="MFJ",1,IF('Second Earner'!$C$12="HoH",7,4))))*INDEX('How This Works &amp; Sources'!$B$19:$J$26,0,IF('Second Earner'!$C$12="MFJ",1,IF('Second Earner'!$C$12="HoH",7,4))+2)))),""))))</f>
      </c>
      <c r="CA7" s="24">
        <f>IF($B7="","",IF($AN7="CA",SUMPRODUCT(($AJ7&gt;=INDEX('How This Works &amp; Sources'!$B$39:$J$48,0,IF($AU7="Married",4,IF($AU7="Head of household",7,1))))*INDEX('How This Works &amp; Sources'!$B$39:$J$48,0,IF($AU7="Married",4,IF($AU7="Head of household",7,1))+2)),IF($AN7="AL",IF(OR($AU7="Married",$AU7="Head of household"),SUMPRODUCT(($AZ7&gt;=INDEX('How This Works &amp; Sources'!$B$82:$J$86,0,4))*INDEX('How This Works &amp; Sources'!$B$82:$J$86,0,4+2)),SUMPRODUCT(($AZ7&gt;=INDEX('How This Works &amp; Sources'!$B$82:$J$86,0,1))*INDEX('How This Works &amp; Sources'!$B$82:$J$86,0,1+2)))*(1-IF('Second Earner'!$C$13,SUMPRODUCT(($AH7&gt;=INDEX('How This Works &amp; Sources'!$B$29:$J$36,0,IF('Second Earner'!$C$12="MFJ",1,IF('Second Earner'!$C$12="HoH",7,4))))*INDEX('How This Works &amp; Sources'!$B$29:$J$36,0,IF('Second Earner'!$C$12="MFJ",1,IF('Second Earner'!$C$12="HoH",7,4))+2)),SUMPRODUCT(($AH7&gt;=INDEX('How This Works &amp; Sources'!$B$19:$J$26,0,IF('Second Earner'!$C$12="MFJ",1,IF('Second Earner'!$C$12="HoH",7,4))))*INDEX('How This Works &amp; Sources'!$B$19:$J$26,0,IF('Second Earner'!$C$12="MFJ",1,IF('Second Earner'!$C$12="HoH",7,4))+2)))),IF($AN7="ND",IF($AU7="Head of household",SUMPRODUCT(($AZ7&gt;=INDEX('How This Works &amp; Sources'!$B$144:$J$150,0,1))*INDEX('How This Works &amp; Sources'!$B$144:$J$150,0,1+2)),IF($AU7="Married",SUMPRODUCT(($AZ7&gt;=INDEX('How This Works &amp; Sources'!$B$137:$J$139,0,7))*INDEX('How This Works &amp; Sources'!$B$137:$J$139,0,7+2)),SUMPRODUCT(($AZ7&gt;=INDEX('How This Works &amp; Sources'!$B$137:$J$139,0,4))*INDEX('How This Works &amp; Sources'!$B$137:$J$139,0,4+2)))),IF($AN7="NJ",IF('Second Earner'!$C$77="B",SUMPRODUCT(($AZ7&gt;=INDEX('How This Works &amp; Sources'!$B$155:$J$162,0,4))*INDEX('How This Works &amp; Sources'!$B$155:$J$162,0,4+2)),IF('Second Earner'!$C$77="C",SUMPRODUCT(($AZ7&gt;=INDEX('How This Works &amp; Sources'!$B$155:$J$162,0,7))*INDEX('How This Works &amp; Sources'!$B$155:$J$162,0,7+2)),IF('Second Earner'!$C$77="D",SUMPRODUCT(($AZ7&gt;=INDEX('How This Works &amp; Sources'!$B$167:$J$179,0,1))*INDEX('How This Works &amp; Sources'!$B$167:$J$179,0,1+2)),IF('Second Earner'!$C$77="E",SUMPRODUCT(($AZ7&gt;=INDEX('How This Works &amp; Sources'!$B$167:$J$179,0,4))*INDEX('How This Works &amp; Sources'!$B$167:$J$179,0,4+2)),SUMPRODUCT(($AZ7&gt;=INDEX('How This Works &amp; Sources'!$B$155:$J$162,0,1))*INDEX('How This Works &amp; Sources'!$B$155:$J$162,0,1+2)))))),IF($AN7="NY",IF($AU7="Married",IF($AZ7&gt;=2155350,IF($AZ7&gt;25000000,0.117,IF($AZ7&gt;5000000,0.111,0.1045)),SUMPRODUCT(($AZ7&gt;=INDEX('How This Works &amp; Sources'!$B$184:$J$198,0,1))*INDEX('How This Works &amp; Sources'!$B$184:$J$198,0,1+2))),IF($AZ7&gt;=1077550,IF($AZ7&gt;25000000,0.117,IF($AZ7&gt;5000000,0.111,0.1045)),SUMPRODUCT(($AZ7&gt;=INDEX('How This Works &amp; Sources'!$B$167:$J$179,0,7))*INDEX('How This Works &amp; Sources'!$B$167:$J$179,0,7+2)))),IF($AN7="LA",0.0309,"")))))))</f>
      </c>
      <c r="CB7" s="24">
        <f>IF($B7="","",IF($AN7="HI",IF($AU7="Married",SUMPRODUCT(($AZ7&gt;=INDEX('How This Works &amp; Sources'!$B$91:$J$98,0,7))*INDEX('How This Works &amp; Sources'!$B$91:$J$98,0,7+2)),SUMPRODUCT(($AZ7&gt;=INDEX('How This Works &amp; Sources'!$B$91:$J$98,0,4))*INDEX('How This Works &amp; Sources'!$B$91:$J$98,0,4+2))),IF($AN7="MD",IF(OR($AU7="Married",$AU7="Head of household"),SUMPRODUCT(($AZ7&gt;=INDEX('How This Works &amp; Sources'!$B$114:$J$120,0,1))*INDEX('How This Works &amp; Sources'!$B$114:$J$120,0,1+2)),SUMPRODUCT(($AZ7&gt;=INDEX('How This Works &amp; Sources'!$B$103:$J$109,0,7))*INDEX('How This Works &amp; Sources'!$B$103:$J$109,0,7+2)))+'Second Earner'!$C$74,IF($AN7="MN",IF($AU7="Married",SUMPRODUCT(($AZ7&gt;=INDEX('How This Works &amp; Sources'!$B$114:$J$120,0,7))*INDEX('How This Works &amp; Sources'!$B$114:$J$120,0,7+2)),SUMPRODUCT(($AZ7&gt;=INDEX('How This Works &amp; Sources'!$B$114:$J$120,0,4))*INDEX('How This Works &amp; Sources'!$B$114:$J$120,0,4+2))),IF($AN7="MO",SUMPRODUCT(($AZ7&gt;=INDEX('How This Works &amp; Sources'!$B$125:$J$132,0,1))*INDEX('How This Works &amp; Sources'!$B$125:$J$132,0,1+2)),IF($AN7="NE",MAX(IF($AU7="Married",SUMPRODUCT(($AZ7&gt;=INDEX('How This Works &amp; Sources'!$B$144:$J$150,0,7))*INDEX('How This Works &amp; Sources'!$B$144:$J$150,0,7+2)),SUMPRODUCT(($AZ7&gt;=INDEX('How This Works &amp; Sources'!$B$144:$J$150,0,4))*INDEX('How This Works &amp; Sources'!$B$144:$J$150,0,4+2))),0.015),IF($AN7="OH",IF($B7&gt;=DATE(2026,8,1),SUMPRODUCT(($AZ7&gt;=INDEX('How This Works &amp; Sources'!$B$203:$J$206,0,1))*INDEX('How This Works &amp; Sources'!$B$203:$J$206,0,1+2)),SUMPRODUCT(($AZ7&gt;=INDEX('How This Works &amp; Sources'!$B$184:$J$198,0,7))*INDEX('How This Works &amp; Sources'!$B$184:$J$198,0,7+2))),IF($AN7="OK",IF($AU7="Married",SUMPRODUCT(($AZ7&gt;=INDEX('How This Works &amp; Sources'!$B$203:$J$206,0,7))*INDEX('How This Works &amp; Sources'!$B$203:$J$206,0,7+2)),SUMPRODUCT(($AZ7&gt;=INDEX('How This Works &amp; Sources'!$B$203:$J$206,0,4))*INDEX('How This Works &amp; Sources'!$B$203:$J$206,0,4+2))),IF($AN7="RI",SUMPRODUCT(($AZ7&gt;=INDEX('How This Works &amp; Sources'!$B$211:$J$214,0,7))*INDEX('How This Works &amp; Sources'!$B$211:$J$214,0,7+2)),IF($AN7="VT",IF($AU7="Married",SUMPRODUCT(($AZ7&gt;=INDEX('How This Works &amp; Sources'!$B$228:$J$232,0,1))*INDEX('How This Works &amp; Sources'!$B$228:$J$232,0,1+2)),SUMPRODUCT(($AZ7&gt;=INDEX('How This Works &amp; Sources'!$B$219:$J$223,0,7))*INDEX('How This Works &amp; Sources'!$B$219:$J$223,0,7+2))),IF($AN7="WV",IF($AU7="Married",SUMPRODUCT(($AZ7&gt;=INDEX('How This Works &amp; Sources'!$B$237:$J$241,0,7))*INDEX('How This Works &amp; Sources'!$B$237:$J$241,0,7+2)),SUMPRODUCT(($AZ7&gt;=INDEX('How This Works &amp; Sources'!$B$228:$J$232,0,7))*INDEX('How This Works &amp; Sources'!$B$228:$J$232,0,7+2))),IF($AN7="AZ",'Second Earner'!$C$82,IF($AN7="ID",IF($AY7&gt;IF($AU7="Married",32000,16094),0.053,0),"")))))))))))))</f>
      </c>
      <c r="CC7" s="24">
        <f>IF($B7="","",IF($AN7="AR",SUMPRODUCT(($AZ7&gt;=INDEX('How This Works &amp; Sources'!$B$82:$J$86,0,7))*INDEX('How This Works &amp; Sources'!$B$82:$J$86,0,7+2)),IF($AN7="DE",SUMPRODUCT(($AZ7&gt;=INDEX('How This Works &amp; Sources'!$B$91:$J$98,0,1))*INDEX('How This Works &amp; Sources'!$B$91:$J$98,0,1+2)),IF($AN7="SC",SUMPRODUCT(($AZ7&gt;=INDEX('How This Works &amp; Sources'!$B$219:$J$223,0,1))*INDEX('How This Works &amp; Sources'!$B$219:$J$223,0,1+2)),IF($AN7="VA",SUMPRODUCT(($AZ7&gt;=INDEX('How This Works &amp; Sources'!$B$219:$J$223,0,4))*INDEX('How This Works &amp; Sources'!$B$219:$J$223,0,4+2)),IF($AN7="WI",SUMPRODUCT(($AZ7&gt;=INDEX('How This Works &amp; Sources'!$B$228:$J$232,0,4))*INDEX('How This Works &amp; Sources'!$B$228:$J$232,0,4+2)),IF($AN7="CO",IF($AY7&gt;IF($AU7="Married",10000,5000),0.044,0),IF($AN7="IA",IF($AY7&gt;IF($AU7="Head of household",19500,IF($AU7="Married",26000,13000)),0.038,0),IF($AN7="IL",IF($AY7&gt;(2925*$AS7+1000*$AT7),0.0495,0),IF($AN7="IN",(0.0295+'Second Earner'!$C$76),IF($AN7="KY",IF($AI7&gt;3360,0.035,0),IF($AN7="MA",IF(MAX(0,$AY7-MIN(($BD6+$Q7+$R7+$S7),2000)-IF($AS7=0,0,IF($AS7=1,4400,1000*$AS7+3400)))&gt;=1107750,0.09,0.05),IF($AN7="MI",IF($AY7&gt;5900*$AS7,0.0425,0),IF($AN7="MS",IF($AI7-IF($AU7="Head of household",3400,IF($AU7="Married",4600,2300))-'Second Earner'!$C$85&gt;10000,0.04,0),IF($AN7="PA",0.0307,"")))))))))))))))</f>
      </c>
      <c r="CD7" s="21">
        <f>IF(YEAR(IF('Second Earner'!$C$7="Weekly",'Second Earner'!$C$9+7*(($BE6+1)-1),IF('Second Earner'!$C$7="Biweekly",'Second Earner'!$C$9+14*(($BE6+1)-1),IF('Second Earner'!$C$7="Semimonthly",DATE(YEAR('Second Earner'!$C$9),MONTH('Second Earner'!$C$9)+INT((($BE6+1)-1)/2),MIN(DAY('Second Earner'!$C$9),DAY(EOMONTH(DATE(YEAR('Second Earner'!$C$9),MONTH('Second Earner'!$C$9)+INT((($BE6+1)-1)/2),1),0))))+IF(MOD(($BE6+1)-1,2)=1,15,0),EDATE('Second Earner'!$C$9,($BE6+1)-1)))))&lt;&gt;'Second Earner'!$C$10,"",IF('Second Earner'!$C$7="Weekly",'Second Earner'!$C$9+7*(($BE6+1)-1),IF('Second Earner'!$C$7="Biweekly",'Second Earner'!$C$9+14*(($BE6+1)-1),IF('Second Earner'!$C$7="Semimonthly",DATE(YEAR('Second Earner'!$C$9),MONTH('Second Earner'!$C$9)+INT((($BE6+1)-1)/2),MIN(DAY('Second Earner'!$C$9),DAY(EOMONTH(DATE(YEAR('Second Earner'!$C$9),MONTH('Second Earner'!$C$9)+INT((($BE6+1)-1)/2),1),0))))+IF(MOD(($BE6+1)-1,2)=1,15,0),EDATE('Second Earner'!$C$9,($BE6+1)-1)))))</f>
      </c>
      <c r="CE7" s="21">
        <f>IF(MIN(IF(AND('Second Earner'!$C$58&gt;MAX($B$6:$B6),'Second Earner'!$C$58&gt;=DATE('Second Earner'!$C$10,1,1),'Second Earner'!$C$58&lt;=DATE('Second Earner'!$C$10,12,31)),'Second Earner'!$C$58,999999),IF(AND('Second Earner'!$C$59&gt;MAX($B$6:$B6),'Second Earner'!$C$59&gt;=DATE('Second Earner'!$C$10,1,1),'Second Earner'!$C$59&lt;=DATE('Second Earner'!$C$10,12,31)),'Second Earner'!$C$59,999999),IF(AND('Second Earner'!$C$60&gt;MAX($B$6:$B6),'Second Earner'!$C$60&gt;=DATE('Second Earner'!$C$10,1,1),'Second Earner'!$C$60&lt;=DATE('Second Earner'!$C$10,12,31)),'Second Earner'!$C$60,999999),IF(AND('Second Earner'!$C$61&gt;MAX($B$6:$B6),'Second Earner'!$C$61&gt;=DATE('Second Earner'!$C$10,1,1),'Second Earner'!$C$61&lt;=DATE('Second Earner'!$C$10,12,31)),'Second Earner'!$C$61,999999),IF(AND('Second Earner'!$C$62&gt;MAX($B$6:$B6),'Second Earner'!$C$62&gt;=DATE('Second Earner'!$C$10,1,1),'Second Earner'!$C$62&lt;=DATE('Second Earner'!$C$10,12,31)),'Second Earner'!$C$62,999999),IF(AND('Second Earner'!$C$63&gt;MAX($B$6:$B6),'Second Earner'!$C$63&gt;=DATE('Second Earner'!$C$10,1,1),'Second Earner'!$C$63&lt;=DATE('Second Earner'!$C$10,12,31)),'Second Earner'!$C$63,999999),IF(AND('Second Earner'!$C$64&gt;MAX($B$6:$B6),'Second Earner'!$C$64&gt;=DATE('Second Earner'!$C$10,1,1),'Second Earner'!$C$64&lt;=DATE('Second Earner'!$C$10,12,31)),'Second Earner'!$C$64,999999),IF(AND('Second Earner'!$C$65&gt;MAX($B$6:$B6),'Second Earner'!$C$65&gt;=DATE('Second Earner'!$C$10,1,1),'Second Earner'!$C$65&lt;=DATE('Second Earner'!$C$10,12,31)),'Second Earner'!$C$65,999999),IF(AND('Second Earner'!$C$66&gt;MAX($B$6:$B6),'Second Earner'!$C$66&gt;=DATE('Second Earner'!$C$10,1,1),'Second Earner'!$C$66&lt;=DATE('Second Earner'!$C$10,12,31)),'Second Earner'!$C$66,999999),IF(AND('Second Earner'!$C$67&gt;MAX($B$6:$B6),'Second Earner'!$C$67&gt;=DATE('Second Earner'!$C$10,1,1),'Second Earner'!$C$67&lt;=DATE('Second Earner'!$C$10,12,31)),'Second Earner'!$C$67,999999))=999999,"",MIN(IF(AND('Second Earner'!$C$58&gt;MAX($B$6:$B6),'Second Earner'!$C$58&gt;=DATE('Second Earner'!$C$10,1,1),'Second Earner'!$C$58&lt;=DATE('Second Earner'!$C$10,12,31)),'Second Earner'!$C$58,999999),IF(AND('Second Earner'!$C$59&gt;MAX($B$6:$B6),'Second Earner'!$C$59&gt;=DATE('Second Earner'!$C$10,1,1),'Second Earner'!$C$59&lt;=DATE('Second Earner'!$C$10,12,31)),'Second Earner'!$C$59,999999),IF(AND('Second Earner'!$C$60&gt;MAX($B$6:$B6),'Second Earner'!$C$60&gt;=DATE('Second Earner'!$C$10,1,1),'Second Earner'!$C$60&lt;=DATE('Second Earner'!$C$10,12,31)),'Second Earner'!$C$60,999999),IF(AND('Second Earner'!$C$61&gt;MAX($B$6:$B6),'Second Earner'!$C$61&gt;=DATE('Second Earner'!$C$10,1,1),'Second Earner'!$C$61&lt;=DATE('Second Earner'!$C$10,12,31)),'Second Earner'!$C$61,999999),IF(AND('Second Earner'!$C$62&gt;MAX($B$6:$B6),'Second Earner'!$C$62&gt;=DATE('Second Earner'!$C$10,1,1),'Second Earner'!$C$62&lt;=DATE('Second Earner'!$C$10,12,31)),'Second Earner'!$C$62,999999),IF(AND('Second Earner'!$C$63&gt;MAX($B$6:$B6),'Second Earner'!$C$63&gt;=DATE('Second Earner'!$C$10,1,1),'Second Earner'!$C$63&lt;=DATE('Second Earner'!$C$10,12,31)),'Second Earner'!$C$63,999999),IF(AND('Second Earner'!$C$64&gt;MAX($B$6:$B6),'Second Earner'!$C$64&gt;=DATE('Second Earner'!$C$10,1,1),'Second Earner'!$C$64&lt;=DATE('Second Earner'!$C$10,12,31)),'Second Earner'!$C$64,999999),IF(AND('Second Earner'!$C$65&gt;MAX($B$6:$B6),'Second Earner'!$C$65&gt;=DATE('Second Earner'!$C$10,1,1),'Second Earner'!$C$65&lt;=DATE('Second Earner'!$C$10,12,31)),'Second Earner'!$C$65,999999),IF(AND('Second Earner'!$C$66&gt;MAX($B$6:$B6),'Second Earner'!$C$66&gt;=DATE('Second Earner'!$C$10,1,1),'Second Earner'!$C$66&lt;=DATE('Second Earner'!$C$10,12,31)),'Second Earner'!$C$66,999999),IF(AND('Second Earner'!$C$67&gt;MAX($B$6:$B6),'Second Earner'!$C$67&gt;=DATE('Second Earner'!$C$10,1,1),'Second Earner'!$C$67&lt;=DATE('Second Earner'!$C$10,12,31)),'Second Earner'!$C$67,999999)))</f>
      </c>
      <c r="CF7">
        <f>IF($B7="","",IF($D7=0,$Y7,""))</f>
      </c>
    </row>
    <row r="8">
      <c r="A8" t="n">
        <v>3</v>
      </c>
      <c r="B8" s="21">
        <f>IF(AND($CD8="",$CE8=""),"",IF($CE8="",$CD8,IF($CD8="",$CE8,MIN($CD8,$CE8))))</f>
      </c>
      <c r="C8" s="7">
        <f>IF($B8="","",IF($BF8=0,0,IF('Second Earner'!$C$4="Annual salary",ROUND($AK8/IF(AND('Second Earner'!$C$88="Actual paydays",MONTH('Second Earner'!$C$9)=1),MAX(1,MAX($BE$6:$BE$68)),'Second Earner'!$C$8),2),$AK8)))</f>
      </c>
      <c r="D8" s="7">
        <f>IF($B8="","",SUMIF('Second Earner'!$C$58:$C$67,$B8,'Second Earner'!$D$58:$D$67))</f>
      </c>
      <c r="E8" s="7">
        <f>IF($B8="","",ROUND(MAX(0,MIN(IF($AL8="Percent",$AM8*($C8+$D8),$AM8),MAX(0,'Second Earner'!$C$34-$AC7))),2))</f>
      </c>
      <c r="F8" s="7">
        <f>IF($B8="","",ROUND(MAX(0,MIN(IF('Second Earner'!$C$32="Percent",'Second Earner'!$D$32*($C8+$D8),'Second Earner'!$D$32),MAX(0,'Second Earner'!$C$34-$AC7-$E8))),2))</f>
      </c>
      <c r="G8" s="7">
        <f>IF($B8="","",IF($BF8=0,0,ROUND(MAX(0,MIN($BL8,'Second Earner'!$C$37-'Second Earner'!$C$54-$BI7)),2)))</f>
      </c>
      <c r="H8" s="7">
        <f>IF($B8="","",IF(OR($BF8=0,$BQ8=1),0,ROUND(MAX(0,MIN(IF($BS8=1,ROUND(MAX(0,MIN($BJ8,'How This Works &amp; Sources'!$C$13)-$BG7)/MAX(1,MAX($BE$6:$BE$68)-($BE7)),2),ROUND(MIN($BJ8,'How This Works &amp; Sources'!$C$13)/'Second Earner'!$C$8,2)),MIN($BJ8,'How This Works &amp; Sources'!$C$13)-$BG7)),2)))</f>
      </c>
      <c r="I8" s="7">
        <f>IF($B8="","",IF(OR($BF8=0,$BR8=1),0,ROUND(MAX(0,MIN(IF($BT8=1,ROUND(MAX(0,MIN($BK8,IF('Second Earner'!$C$12="MFJ",'How This Works &amp; Sources'!$C$14,'How This Works &amp; Sources'!$C$15))-$BH7)/MAX(1,MAX($BE$6:$BE$68)-($BE7)),2),ROUND(MIN($BK8,IF('Second Earner'!$C$12="MFJ",'How This Works &amp; Sources'!$C$14,'How This Works &amp; Sources'!$C$15))/'Second Earner'!$C$8,2)),MIN($BK8,IF('Second Earner'!$C$12="MFJ",'How This Works &amp; Sources'!$C$14,'How This Works &amp; Sources'!$C$15))-$BH7)),2)))</f>
      </c>
      <c r="J8" s="7">
        <f>IF($B8="","",IF($BF8=0,0,$BM8))</f>
      </c>
      <c r="K8" s="7">
        <f>IF($B8="","",IF($BF8=0,0,$BN8+$BO8))</f>
      </c>
      <c r="L8" s="7">
        <f>IF($B8="","",IF($BF8=0,0,'Second Earner'!$D$46))</f>
      </c>
      <c r="M8" s="7">
        <f>IF($B8="","",$C8+$D8+$L8-$E8-$G8-$H8-$I8-$J8-$K8)</f>
      </c>
      <c r="N8" s="7">
        <f>IF($B8="","",$C8+$D8+$L8-$G8-$H8-$I8-$J8-$K8)</f>
      </c>
      <c r="O8" s="7">
        <f>IF($B8="","",$C8+$D8+$L8-$E8-$H8-$I8-$J8-$K8-IF(OR($AN8="CA",$AN8="NJ"),0,$G8))</f>
      </c>
      <c r="P8" s="7">
        <f>IF($B8="","",IF('Second Earner'!$C$18,0,ROUND(MAX(0,IF('Second Earner'!$C$13,SUMPRODUCT(($AH8&gt;INDEX('How This Works &amp; Sources'!$B$29:$J$36,0,IF('Second Earner'!$C$12="MFJ",1,IF('Second Earner'!$C$12="HoH",7,4))))*($AH8-INDEX('How This Works &amp; Sources'!$B$29:$J$36,0,IF('Second Earner'!$C$12="MFJ",1,IF('Second Earner'!$C$12="HoH",7,4))))*INDEX('How This Works &amp; Sources'!$B$29:$J$36,0,IF('Second Earner'!$C$12="MFJ",1,IF('Second Earner'!$C$12="HoH",7,4))+2)),SUMPRODUCT(($AH8&gt;INDEX('How This Works &amp; Sources'!$B$19:$J$26,0,IF('Second Earner'!$C$12="MFJ",1,IF('Second Earner'!$C$12="HoH",7,4))))*($AH8-INDEX('How This Works &amp; Sources'!$B$19:$J$26,0,IF('Second Earner'!$C$12="MFJ",1,IF('Second Earner'!$C$12="HoH",7,4))))*INDEX('How This Works &amp; Sources'!$B$19:$J$26,0,IF('Second Earner'!$C$12="MFJ",1,IF('Second Earner'!$C$12="HoH",7,4))+2)))/'Second Earner'!$C$8-$AO8/'Second Earner'!$C$8)+$AR8+IF('Second Earner'!$C$89="Aggregate",MAX(0,IF('Second Earner'!$C$13,SUMPRODUCT((($AH8+$D8)&gt;INDEX('How This Works &amp; Sources'!$B$29:$J$36,0,IF('Second Earner'!$C$12="MFJ",1,IF('Second Earner'!$C$12="HoH",7,4))))*(($AH8+$D8)-INDEX('How This Works &amp; Sources'!$B$29:$J$36,0,IF('Second Earner'!$C$12="MFJ",1,IF('Second Earner'!$C$12="HoH",7,4))))*INDEX('How This Works &amp; Sources'!$B$29:$J$36,0,IF('Second Earner'!$C$12="MFJ",1,IF('Second Earner'!$C$12="HoH",7,4))+2)),SUMPRODUCT((($AH8+$D8)&gt;INDEX('How This Works &amp; Sources'!$B$19:$J$26,0,IF('Second Earner'!$C$12="MFJ",1,IF('Second Earner'!$C$12="HoH",7,4))))*(($AH8+$D8)-INDEX('How This Works &amp; Sources'!$B$19:$J$26,0,IF('Second Earner'!$C$12="MFJ",1,IF('Second Earner'!$C$12="HoH",7,4))))*INDEX('How This Works &amp; Sources'!$B$19:$J$26,0,IF('Second Earner'!$C$12="MFJ",1,IF('Second Earner'!$C$12="HoH",7,4))+2)))-IF('Second Earner'!$C$13,SUMPRODUCT(($AH8&gt;INDEX('How This Works &amp; Sources'!$B$29:$J$36,0,IF('Second Earner'!$C$12="MFJ",1,IF('Second Earner'!$C$12="HoH",7,4))))*($AH8-INDEX('How This Works &amp; Sources'!$B$29:$J$36,0,IF('Second Earner'!$C$12="MFJ",1,IF('Second Earner'!$C$12="HoH",7,4))))*INDEX('How This Works &amp; Sources'!$B$29:$J$36,0,IF('Second Earner'!$C$12="MFJ",1,IF('Second Earner'!$C$12="HoH",7,4))+2)),SUMPRODUCT(($AH8&gt;INDEX('How This Works &amp; Sources'!$B$19:$J$26,0,IF('Second Earner'!$C$12="MFJ",1,IF('Second Earner'!$C$12="HoH",7,4))))*($AH8-INDEX('How This Works &amp; Sources'!$B$19:$J$26,0,IF('Second Earner'!$C$12="MFJ",1,IF('Second Earner'!$C$12="HoH",7,4))))*INDEX('How This Works &amp; Sources'!$B$19:$J$26,0,IF('Second Earner'!$C$12="MFJ",1,IF('Second Earner'!$C$12="HoH",7,4))+2)))),'How This Works &amp; Sources'!$C$10*$D8),2)))</f>
      </c>
      <c r="Q8" s="7">
        <f>IF($B8="","",ROUND('How This Works &amp; Sources'!$C$4*MIN($N8,MAX(0,'How This Works &amp; Sources'!$C$3-($AX8+$AB7-$AW8))),2))</f>
      </c>
      <c r="R8" s="7">
        <f>IF($B8="","",ROUND('How This Works &amp; Sources'!$C$5*$N8,2))</f>
      </c>
      <c r="S8" s="7">
        <f>IF($B8="","",ROUND('How This Works &amp; Sources'!$C$6*MAX(0,MIN($N8,$AG7+$N8-'How This Works &amp; Sources'!$C$7)),2))</f>
      </c>
      <c r="T8" s="7">
        <f>IF($B8="","",IF('Second Earner'!$C$26,0,IF($AN8="CA",ROUND(IF($AI8&lt;=IF(($AS8+$AT8)&gt;=2,VLOOKUP($AN8,StateTables!$A$6:$AB$56,10,FALSE),VLOOKUP($AN8,StateTables!$A$6:$AB$56,9,FALSE)),0,MAX(0,SUMPRODUCT(($AJ8&gt;INDEX('How This Works &amp; Sources'!$B$39:$J$48,0,IF($AU8="Married",4,IF($AU8="Head of household",7,1))))*($AJ8-INDEX('How This Works &amp; Sources'!$B$39:$J$48,0,IF($AU8="Married",4,IF($AU8="Head of household",7,1))))*INDEX('How This Works &amp; Sources'!$B$39:$J$48,0,IF($AU8="Married",4,IF($AU8="Head of household",7,1))+2))-VLOOKUP($AN8,StateTables!$A$6:$AB$56,11,FALSE)*$AS8)/'Second Earner'!$C$8)+'Second Earner'!$C$25+VLOOKUP($AN8,StateTables!$A$6:$AB$56,13,FALSE)*$D8,2),IF(VLOOKUP($AN8,StateTables!$A$6:$AB$56,4,FALSE)="None",0,IF(ISNUMBER(SEARCH("MANUAL",VLOOKUP($AN8,StateTables!$A$6:$AB$56,5,FALSE))),'Second Earner'!$C$28,ROUND(MAX(0,$BA8+$BB8)/'Second Earner'!$C$8+'Second Earner'!$C$25+$BC8,2))))))</f>
      </c>
      <c r="U8" s="7">
        <f>IF($B8="","",IF(VLOOKUP($AN8,StateTables!$A$6:$AB$56,24,FALSE)="flatq",IF(OR(MONTH($B8)=1,MONTH($B8)=4,MONTH($B8)=7,MONTH($B8)=10),VLOOKUP($AN8,StateTables!$A$6:$AB$56,25,FALSE),0),IF(VLOOKUP($AN8,StateTables!$A$6:$AB$56,24,FALSE)="dbl",MIN(ROUND(0.005*$N8,2),ROUND(0.6*52/'Second Earner'!$C$8,2)),IF(OR(VLOOKUP($AN8,StateTables!$A$6:$AB$56,15,FALSE)="",VLOOKUP($AN8,StateTables!$A$6:$AB$56,15,FALSE)=0),0,ROUND(VLOOKUP($AN8,StateTables!$A$6:$AB$56,15,FALSE)*IF(OR(VLOOKUP($AN8,StateTables!$A$6:$AB$56,16,FALSE)="",VLOOKUP($AN8,StateTables!$A$6:$AB$56,16,FALSE)=0),$N8,MIN($N8,MAX(0,VLOOKUP($AN8,StateTables!$A$6:$AB$56,16,FALSE)-($AX8+$AB7-$AW8)))),2))))+IF(VLOOKUP($AN8,StateTables!$A$6:$AB$56,27,FALSE)="flatq",IF(OR(MONTH($B8)=1,MONTH($B8)=4,MONTH($B8)=7,MONTH($B8)=10),VLOOKUP($AN8,StateTables!$A$6:$AB$56,28,FALSE),0),IF(VLOOKUP($AN8,StateTables!$A$6:$AB$56,27,FALSE)="dbl",MIN(ROUND(0.005*$N8,2),ROUND(0.6*52/'Second Earner'!$C$8,2)),IF(OR(VLOOKUP($AN8,StateTables!$A$6:$AB$56,18,FALSE)="",VLOOKUP($AN8,StateTables!$A$6:$AB$56,18,FALSE)=0),0,ROUND(VLOOKUP($AN8,StateTables!$A$6:$AB$56,18,FALSE)*IF(OR(VLOOKUP($AN8,StateTables!$A$6:$AB$56,19,FALSE)="",VLOOKUP($AN8,StateTables!$A$6:$AB$56,19,FALSE)=0),$N8,MIN($N8,MAX(0,VLOOKUP($AN8,StateTables!$A$6:$AB$56,19,FALSE)-($AX8+$AB7-$AW8)))),2)))))</f>
      </c>
      <c r="V8" s="7">
        <f>IF($B8="","",IF($AN8="NY",IF('Second Earner'!$C$78,ROUND(SUMPRODUCT((MAX(0,($O8-$D8)*'Second Earner'!$C$8-(IF($AU8="Married",5500,5000)+1000*$AS8))&gt;INDEX('How This Works &amp; Sources'!$B$184:$J$198,0,4))*(MAX(0,($O8-$D8)*'Second Earner'!$C$8-(IF($AU8="Married",5500,5000)+1000*$AS8))-INDEX('How This Works &amp; Sources'!$B$184:$J$198,0,4))*INDEX('How This Works &amp; Sources'!$B$184:$J$198,0,4+2))/'Second Earner'!$C$8+0.0425*$D8,2),0)+IF('Second Earner'!$C$79="Resident",ROUND(0.1675*$T8,2),IF('Second Earner'!$C$79="Nonresident",ROUND(0.005*MAX(0,($O8-$D8)-(IF($AU8="Married",7950,7400)+1000*$AS8)/'Second Earner'!$C$8),2),0)),IF($AN8="PA",IF('Second Earner'!$C$80="None",'Second Earner'!$C$27+ROUND('Second Earner'!$C$81*($C8+$D8),2),ROUND(IF('Second Earner'!$C$80="Resident",IF($B8&lt;DATE(2026,7,1),0.0374,0.03735),IF($B8&lt;DATE(2026,7,1),0.0343,0.03425))*($C8+$D8),2)),IF($BF8=0,ROUND('Second Earner'!$C$81*($C8+$D8),2),'Second Earner'!$C$27+ROUND('Second Earner'!$C$81*($C8+$D8),2)))))</f>
      </c>
      <c r="W8" s="7">
        <f>IF($B8="","",IF($BF8=0,0,$BP8))</f>
      </c>
      <c r="X8" s="7">
        <f>IF($B8="","",SUM($E8:$K8)+$P8+$Q8+$R8+$S8+$T8+$U8+$V8+$W8)</f>
      </c>
      <c r="Y8" s="22">
        <f>IF($B8="","",$C8+$D8-$X8)</f>
      </c>
      <c r="Z8" s="7">
        <f>IF($B8="","",$Z7+$C8+$D8)</f>
      </c>
      <c r="AA8" s="7">
        <f>IF($B8="","",$AA7+$Y8)</f>
      </c>
      <c r="AB8" s="7">
        <f>IF($B8="","",$AB7+MIN($N8,MAX(0,'How This Works &amp; Sources'!$C$3-($AX8+$AB7-$AW8))))</f>
      </c>
      <c r="AC8" s="7">
        <f>IF($B8="","",$AC7+$E8+$F8)</f>
      </c>
      <c r="AD8" s="3">
        <f>IF($B8="","",IF(AND($AB7&lt;'How This Works &amp; Sources'!$C$3,$AB8&gt;='How This Works &amp; Sources'!$C$3),"★ Social Security maxed on this check — from the next check your net rises by about $"&amp;TEXT(ROUND('How This Works &amp; Sources'!$C$4*$N8,2),"#,##0.00")&amp;". ","")&amp;IF(AND($AC7&lt;'Second Earner'!$C$34,$AC8&gt;='Second Earner'!$C$34),"★ 401(k) reaches the $"&amp;TEXT('Second Earner'!$C$34,"#,##0")&amp;" cap on this check — deferrals stop and net pay rises. ","")&amp;IF(AND($AG7&lt;'How This Works &amp; Sources'!$C$7,$AG8&gt;='How This Works &amp; Sources'!$C$7),"★ Wages pass $200,000 — the 0.9% Additional Medicare Tax starts here. ","")&amp;IF(AND($BJ8&gt;0,$H8&gt;0,$BG7&lt;MIN($BJ8,'How This Works &amp; Sources'!$C$13),$BG7+$H8&gt;=MIN($BJ8,'How This Works &amp; Sources'!$C$13)),"★ Health FSA election is now fully deferred for the year. ",""))</f>
      </c>
      <c r="AE8" s="41" t="n"/>
      <c r="AF8" s="7">
        <f>IF(OR($B8="",$AE8=""),"",$AE8-$Y8)</f>
      </c>
      <c r="AG8" s="7">
        <f>IF($B8="","",$AG7+$N8)</f>
      </c>
      <c r="AH8" s="7">
        <f>IF($B8="","",MAX(0,($M8-$D8)*'Second Earner'!$C$8+$AP8-$AQ8-IF('Second Earner'!$C$13,0,IF('Second Earner'!$C$12="MFJ",'How This Works &amp; Sources'!$C$8,'How This Works &amp; Sources'!$C$9))))</f>
      </c>
      <c r="AI8" s="7">
        <f>IF($B8="","",$O8*'Second Earner'!$C$8)</f>
      </c>
      <c r="AJ8" s="7">
        <f>IF($B8="","",MAX(0,$AI8-VLOOKUP($AN8,StateTables!$A$6:$AB$56,12,FALSE)*$AT8-IF(($AS8+$AT8)&gt;=2,VLOOKUP($AN8,StateTables!$A$6:$AB$56,8,FALSE),VLOOKUP($AN8,StateTables!$A$6:$AB$56,7,FALSE))))</f>
      </c>
      <c r="AK8" s="7">
        <f>IF($B8="","",IFERROR(LOOKUP(2,1/(('Changes — Earner 2'!$C$6:$C$17="Salary change")*('Changes — Earner 2'!$B$6:$B$17&lt;=$B8)*('Changes — Earner 2'!$B$6:$B$17&lt;&gt;"")),'Changes — Earner 2'!$D$6:$D$17),IF('Second Earner'!$C$4="Annual salary",'Second Earner'!$C$5,'Second Earner'!$C$6)))</f>
      </c>
      <c r="AL8">
        <f>IF($B8="","",IFERROR(LOOKUP(2,1/(('Changes — Earner 2'!$C$6:$C$17="401(k) change")*('Changes — Earner 2'!$B$6:$B$17&lt;=$B8)*('Changes — Earner 2'!$B$6:$B$17&lt;&gt;"")),'Changes — Earner 2'!$D$6:$D$17),'Second Earner'!$C$30))</f>
      </c>
      <c r="AM8" s="7">
        <f>IF($B8="","",IFERROR(LOOKUP(2,1/(('Changes — Earner 2'!$C$6:$C$17="401(k) change")*('Changes — Earner 2'!$B$6:$B$17&lt;=$B8)*('Changes — Earner 2'!$B$6:$B$17&lt;&gt;"")),'Changes — Earner 2'!$E$6:$E$17),'Second Earner'!$D$31))</f>
      </c>
      <c r="AN8">
        <f>IF($B8="","",IFERROR(LOOKUP(2,1/(('Changes — Earner 2'!$C$6:$C$17="State move")*('Changes — Earner 2'!$B$6:$B$17&lt;=$B8)*('Changes — Earner 2'!$B$6:$B$17&lt;&gt;"")),'Changes — Earner 2'!$D$6:$D$17),'Second Earner'!$C$21))</f>
      </c>
      <c r="AO8" s="7">
        <f>IF($B8="","",IFERROR(LOOKUP(2,1/(('Changes — Earner 2'!$C$6:$C$17="W-4 change")*('Changes — Earner 2'!$B$6:$B$17&lt;=$B8)*('Changes — Earner 2'!$B$6:$B$17&lt;&gt;"")),'Changes — Earner 2'!$D$6:$D$17),'Second Earner'!$C$14))</f>
      </c>
      <c r="AP8" s="7">
        <f>IF($B8="","",IFERROR(LOOKUP(2,1/(('Changes — Earner 2'!$C$6:$C$17="W-4 change")*('Changes — Earner 2'!$B$6:$B$17&lt;=$B8)*('Changes — Earner 2'!$B$6:$B$17&lt;&gt;"")),'Changes — Earner 2'!$E$6:$E$17),'Second Earner'!$C$15))</f>
      </c>
      <c r="AQ8" s="7">
        <f>IF($B8="","",IFERROR(LOOKUP(2,1/(('Changes — Earner 2'!$C$6:$C$17="W-4 change")*('Changes — Earner 2'!$B$6:$B$17&lt;=$B8)*('Changes — Earner 2'!$B$6:$B$17&lt;&gt;"")),'Changes — Earner 2'!$F$6:$F$17),'Second Earner'!$C$16))</f>
      </c>
      <c r="AR8" s="7">
        <f>IF($B8="","",IFERROR(LOOKUP(2,1/(('Changes — Earner 2'!$C$6:$C$17="W-4 change")*('Changes — Earner 2'!$B$6:$B$17&lt;=$B8)*('Changes — Earner 2'!$B$6:$B$17&lt;&gt;"")),'Changes — Earner 2'!$G$6:$G$17),'Second Earner'!$C$17))</f>
      </c>
      <c r="AS8" s="6">
        <f>IF($B8="","",IFERROR(LOOKUP(2,1/((('Changes — Earner 2'!$C$6:$C$17="State move")+('Changes — Earner 2'!$C$6:$C$17="State cert change"))*('Changes — Earner 2'!$B$6:$B$17&lt;=$B8)*('Changes — Earner 2'!$B$6:$B$17&lt;&gt;"")),'Changes — Earner 2'!$F$6:$F$17),'Second Earner'!$C$23))</f>
      </c>
      <c r="AT8" s="6">
        <f>IF($B8="","",IFERROR(LOOKUP(2,1/((('Changes — Earner 2'!$C$6:$C$17="State move")+('Changes — Earner 2'!$C$6:$C$17="State cert change"))*('Changes — Earner 2'!$B$6:$B$17&lt;=$B8)*('Changes — Earner 2'!$B$6:$B$17&lt;&gt;"")),'Changes — Earner 2'!$G$6:$G$17),'Second Earner'!$C$24))</f>
      </c>
      <c r="AU8">
        <f>IF($B8="","",IFERROR(LOOKUP(2,1/(('Changes — Earner 2'!$C$6:$C$17="State move")*('Changes — Earner 2'!$B$6:$B$17&lt;=$B8)*('Changes — Earner 2'!$B$6:$B$17&lt;&gt;"")),'Changes — Earner 2'!$E$6:$E$17),'Second Earner'!$C$22))</f>
      </c>
      <c r="AV8" s="6">
        <f>IF($B8="","",1+COUNTIFS('Changes — Earner 2'!$C$6:$C$17,"Employer change",'Changes — Earner 2'!$B$6:$B$17,"&lt;="&amp;$B8,'Changes — Earner 2'!$B$6:$B$17,"&lt;&gt;"))</f>
      </c>
      <c r="AW8" s="7">
        <f>IF($B8="","",IF($AV8=1,'Second Earner'!$C$49,IF(IFERROR(MATCH(IFERROR(LOOKUP(2,1/(('Changes — Earner 2'!$C$6:$C$17="Employer change")*('Changes — Earner 2'!$B$6:$B$17&lt;=$B8)*('Changes — Earner 2'!$B$6:$B$17&lt;&gt;"")),'Changes — Earner 2'!$B$6:$B$17),""),$B$6:$B$68,1),1)&lt;=1,'Second Earner'!$C$49,INDEX($AB$6:$AB$68,MATCH(IFERROR(LOOKUP(2,1/(('Changes — Earner 2'!$C$6:$C$17="Employer change")*('Changes — Earner 2'!$B$6:$B$17&lt;=$B8)*('Changes — Earner 2'!$B$6:$B$17&lt;&gt;"")),'Changes — Earner 2'!$B$6:$B$17),""),$B$6:$B$68,1)-1))))</f>
      </c>
      <c r="AX8" s="7">
        <f>IF($B8="","",IF($AV8=1,'Second Earner'!$C$49,IFERROR(LOOKUP(2,1/(('Changes — Earner 2'!$C$6:$C$17="Employer change")*('Changes — Earner 2'!$B$6:$B$17&lt;=$B8)*('Changes — Earner 2'!$B$6:$B$17&lt;&gt;"")),'Changes — Earner 2'!$D$6:$D$17),0)))</f>
      </c>
      <c r="AY8" s="7">
        <f>IF($B8="","",($O8-$D8)*'Second Earner'!$C$8)</f>
      </c>
      <c r="AZ8" s="7">
        <f>IF($B8="","",IF($AN8="AL",MAX(0,$AY8-IF($AU8="Married",IF($AY8&lt;=25999,8500,MAX(5000,8500-175*CEILING(($AY8-25999)/500,1))),IF($AU8="Head of household",IF($AY8&lt;=25999,5200,MAX(2500,5200-135*CEILING(($AY8-25999)/500,1))),IF($AY8&lt;=25999,3000,MAX(2500,3000-25*CEILING(($AY8-25999)/500,1)))))-($P8-'How This Works &amp; Sources'!$C$10*$D8)*'Second Earner'!$C$8-IF(OR($AU8="Married",$AU8="Head of household"),3000,1500)-$AT8*IF($AY8&lt;=50000,1000,IF($AY8&lt;=100000,500,300))),IF($AN8="AR",IF(MAX(0,$AY8-2470)&lt;97701,INT(MAX(0,$AY8-2470)/100)*100+50,MAX(0,$AY8-2470)),IF($AN8="DE",MAX(0,$AI8-3250),IF($AN8="HI",MAX(0,$AI8-1144*$AS8-4350),IF($AN8="KS",MAX(0,$AI8-(9160*IF($AU8="Married",2,1)+2320*$AT8+IF($AU8="Head of household",2320,0))),IF($AN8="MD",MAX(0,$AI8-3400-3200*$AS8),IF($AN8="MN",MAX(0,$AY8-5300*$AS8),IF($AN8="MO",MAX(0,$AI8-IF($AU8="Head of household",24150,IF($AU8="Married",IF('Second Earner'!$C$83,16100,32200),16100))),IF($AN8="MT",$AY8,IF($AN8="ND",($C8+$L8)*'Second Earner'!$C$8,IF($AN8="NE",MAX(0,$AY8-2440*$AS8),IF($AN8="NJ",MAX(0,$AY8-1000*$AS8),IF($AN8="NY",MAX(0,$AY8-(IF($AU8="Married",7950,7400)+1000*$AS8)),IF($AN8="OH",MAX(0,$AY8-650*$AS8),IF($AN8="OK",MAX(0,$AY8-1000*$AS8),IF($AN8="RI",MAX(0,$AI8-1000*$AS8),IF($AN8="SC",MAX(0,$AI8-5000*$AS8-IF($AS8=0,0,MIN(0.1*$AI8,7500))),IF($AN8="VA",MAX(0,$AI8-IF($AU8="Married",17500,8750)-930*$AS8-800*$AT8),IF($AN8="VT",MAX(0,$AI8-5400*$AS8),IF($AN8="WI",MAX(0,$AI8-MAX(0,IF($AU8="Married",9461-0.2*MAX(0,$AI8-25727),6702-0.12*MAX(0,$AI8-17780)))-400*$AS8),IF($AN8="WV",MAX(0,$AI8-2000*$AS8),$AI8))))))))))))))))))))))</f>
      </c>
      <c r="BA8" s="7">
        <f>IF($B8="","",IF($BW8&lt;&gt;"",$BW8,IF($BX8&lt;&gt;"",$BX8,IF($BY8&lt;&gt;"",$BY8,0))))</f>
      </c>
      <c r="BB8" s="7">
        <f>IF($B8="","",IF($AN8="AR",-29*$AS8,IF($AN8="DE",-110*$AS8,IF($AN8="MD",$AZ8*'Second Earner'!$C$74,IF($AN8="AZ",'Second Earner'!$C$82*($M8-$D8)*'Second Earner'!$C$8,IF($AN8="CO",0.044*MAX(0,$AY8-IF($AU8="Married",10000,5000)),IF($AN8="IA",MAX(0,0.038*MAX(0,$AY8-IF($AU8="Head of household",19500,IF($AU8="Married",26000,13000)))-40*$AS8),IF($AN8="ID",0.053*MAX(0,$AY8-IF($AU8="Married",32000,16094)),IF($AN8="IL",0.0495*MAX(0,$AY8-(2925*$AS8+1000*$AT8)),IF($AN8="IN",(0.0295+'Second Earner'!$C$76)*MAX(0,$AY8-(1000*$AS8+1500*$AT8+3000*'Second Earner'!$C$86)),IF($AN8="KY",0.035*MAX(0,$AI8-3360),IF($AN8="LA",IF('Second Earner'!$C$84="0",0.0309*$AI8,0.0309*MAX(0,$AI8-IF('Second Earner'!$C$84="2",25750,12875))),IF($AN8="MA",0.05*MIN(MAX(0,$AY8-MIN(($BD7+$Q8+$R8+$S8),2000)-IF($AS8=0,0,IF($AS8=1,4400,1000*$AS8+3400))),1107750)+0.09*MAX(0,MAX(0,$AY8-MIN(($BD7+$Q8+$R8+$S8),2000)-IF($AS8=0,0,IF($AS8=1,4400,1000*$AS8+3400)))-1107750)-IF($AU8="Head of household",120,0)-110*'Second Earner'!$C$75,IF($AN8="MI",0.0425*MAX(0,$AY8-5900*$AS8),IF($AN8="MS",0.04*MAX(0,$AI8-IF($AU8="Head of household",3400,IF($AU8="Married",4600,2300))-'Second Earner'!$C$85-10000),IF($AN8="OR",IF(OR($AU8="Married",AND($AU8="Single",$AS8&gt;=3)),SUMPRODUCT((MAX(0,$AY8-MIN(($P8-'How This Works &amp; Sources'!$C$10*$D8)*'Second Earner'!$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Sources'!$B$211:$J$214,0,4))*(MAX(0,$AY8-MIN(($P8-'How This Works &amp; Sources'!$C$10*$D8)*'Second Earner'!$C$8,IF(OR($AU8="Married",AND($AU8="Single",$AS8&gt;=3)),IF($AY8&lt;250000,8750,IF($AY8&lt;260000,7000,IF($AY8&lt;270000,5250,IF($AY8&lt;280000,3500,IF($AY8&lt;290000,1750,0))))),IF($AY8&lt;125000,8750,IF($AY8&lt;130000,7000,IF($AY8&lt;135000,5250,IF($AY8&lt;140000,3500,IF($AY8&lt;145000,1750,0)))))))-IF(OR($AU8="Married",AND($AU8="Single",$AS8&gt;=3)),5820,2910))-INDEX('How This Works &amp; Sources'!$B$211:$J$214,0,4))*INDEX('How This Works &amp; Sources'!$B$211:$J$214,0,4+2)),SUMPRODUCT((MAX(0,$AY8-MIN(($P8-'How This Works &amp; Sources'!$C$10*$D8)*'Second Earner'!$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Sources'!$B$211:$J$214,0,1))*(MAX(0,$AY8-MIN(($P8-'How This Works &amp; Sources'!$C$10*$D8)*'Second Earner'!$C$8,IF(OR($AU8="Married",AND($AU8="Single",$AS8&gt;=3)),IF($AY8&lt;250000,8750,IF($AY8&lt;260000,7000,IF($AY8&lt;270000,5250,IF($AY8&lt;280000,3500,IF($AY8&lt;290000,1750,0))))),IF($AY8&lt;125000,8750,IF($AY8&lt;130000,7000,IF($AY8&lt;135000,5250,IF($AY8&lt;140000,3500,IF($AY8&lt;145000,1750,0)))))))-IF(OR($AU8="Married",AND($AU8="Single",$AS8&gt;=3)),5820,2910))-INDEX('How This Works &amp; Sources'!$B$211:$J$214,0,1))*INDEX('How This Works &amp; Sources'!$B$211:$J$214,0,1+2)))+263-263*IF(IF($AU8="Married",$AY8&gt;200000,$AY8&gt;100000),0,$AS8),IF($AN8="PA",0.0307*(($O8+$E8+$G8)*'Second Earner'!$C$8),IF($AN8="NY",IF($AU8="Married",IF($AZ8&gt;=2155350,0,IF($AZ8&gt;=1077550,0.48,IF($AZ8&gt;=373200,1.21,IF($AZ8&gt;=323200,0.21,IF($AZ8&gt;=211550,-0.19,IF($AZ8&gt;=157650,-2.8,IF($AZ8&gt;=107650,-0.8,IF($AZ8&gt;=96800,0.05,IF($AZ8&gt;=80650,-0.1,IF($AZ8&gt;=13900,0.4,IF($AZ8&gt;=11700,-0.3,IF($AZ8&gt;=8500,0.5,0)))))))))))),IF($AZ8&gt;=1077550,0,IF($AZ8&gt;=265400,4.29,IF($AZ8&gt;=215400,2.29,IF($AZ8&gt;=157650,2.29,IF($AZ8&gt;=107650,0.29,IF($AZ8&gt;=96800,0.05,IF($AZ8&gt;=80650,-0.1,IF($AZ8&gt;=13900,0.4,IF($AZ8&gt;=11700,-0.3,IF($AZ8&gt;=8500,0.5,0))))))))))),0))))))))))))))))))</f>
      </c>
      <c r="BC8" s="7">
        <f>IF($B8="","",IF($AN8="AL",0.05*$D8,IF($AN8="AR",0.039*$D8,IF($AN8="ID",0.053*$D8,IF($AN8="IN",(0.0295+'Second Earner'!$C$76)*$D8,IF($AN8="KS",0.05*$D8,IF($AN8="MA",0.09*MIN($D8,MAX(0,MAX(0,$AY8-MIN(($BD7+$Q8+$R8+$S8),2000)-IF($AS8=0,0,IF($AS8=1,4400,1000*$AS8+3400)))+$D8-1107750))+0.05*($D8-MIN($D8,MAX(0,MAX(0,$AY8-MIN(($BD7+$Q8+$R8+$S8),2000)-IF($AS8=0,0,IF($AS8=1,4400,1000*$AS8+3400)))+$D8-1107750))),IF($AN8="MD",(0.065+'Second Earner'!$C$74)*$D8,IF($AN8="MI",0.0425*$D8,IF($AN8="MN",0.0625*$D8,IF($AN8="MO",0.047*$D8,IF($AN8="MT",0.05*$D8,IF($AN8="ND",0.015*$D8,IF($AN8="NE",0.035*$D8,IF($AN8="NJ",IF('Second Earner'!$C$77="B",SUMPRODUCT(($D8*'Second Earner'!$C$8&gt;INDEX('How This Works &amp; Sources'!$B$155:$J$162,0,4))*($D8*'Second Earner'!$C$8-INDEX('How This Works &amp; Sources'!$B$155:$J$162,0,4))*INDEX('How This Works &amp; Sources'!$B$155:$J$162,0,4+2)),IF('Second Earner'!$C$77="C",SUMPRODUCT(($D8*'Second Earner'!$C$8&gt;INDEX('How This Works &amp; Sources'!$B$155:$J$162,0,7))*($D8*'Second Earner'!$C$8-INDEX('How This Works &amp; Sources'!$B$155:$J$162,0,7))*INDEX('How This Works &amp; Sources'!$B$155:$J$162,0,7+2)),IF('Second Earner'!$C$77="D",SUMPRODUCT(($D8*'Second Earner'!$C$8&gt;INDEX('How This Works &amp; Sources'!$B$167:$J$179,0,1))*($D8*'Second Earner'!$C$8-INDEX('How This Works &amp; Sources'!$B$167:$J$179,0,1))*INDEX('How This Works &amp; Sources'!$B$167:$J$179,0,1+2)),IF('Second Earner'!$C$77="E",SUMPRODUCT(($D8*'Second Earner'!$C$8&gt;INDEX('How This Works &amp; Sources'!$B$167:$J$179,0,4))*($D8*'Second Earner'!$C$8-INDEX('How This Works &amp; Sources'!$B$167:$J$179,0,4))*INDEX('How This Works &amp; Sources'!$B$167:$J$179,0,4+2)),SUMPRODUCT(($D8*'Second Earner'!$C$8&gt;INDEX('How This Works &amp; Sources'!$B$155:$J$162,0,1))*($D8*'Second Earner'!$C$8-INDEX('How This Works &amp; Sources'!$B$155:$J$162,0,1))*INDEX('How This Works &amp; Sources'!$B$155:$J$162,0,1+2))))))/'Second Earner'!$C$8,IF($AN8="NY",0.117*$D8,IF($AN8="OH",0.0275*$D8,IF($AN8="OK",0.045*$D8,IF($AN8="OR",0.08*$D8,IF($AN8="WI",IF($AY8&lt;12760,0.0354,IF($AY8&lt;25520,0.0465,IF($AY8&lt;280950,0.053,0.0765)))*$D8,0))))))))))))))))))))</f>
      </c>
      <c r="BD8" s="7">
        <f>IF($B8="","",$BD7+$Q8+$R8+$S8)</f>
      </c>
      <c r="BE8" s="6">
        <f>IF($B8="",$BE7,$BE7+$BF8)</f>
      </c>
      <c r="BF8" s="6">
        <f>IF($B8="","",IF(AND(IF(YEAR(IF('Second Earner'!$C$7="Weekly",'Second Earner'!$C$9+7*(($BE7+1)-1),IF('Second Earner'!$C$7="Biweekly",'Second Earner'!$C$9+14*(($BE7+1)-1),IF('Second Earner'!$C$7="Semimonthly",DATE(YEAR('Second Earner'!$C$9),MONTH('Second Earner'!$C$9)+INT((($BE7+1)-1)/2),MIN(DAY('Second Earner'!$C$9),DAY(EOMONTH(DATE(YEAR('Second Earner'!$C$9),MONTH('Second Earner'!$C$9)+INT((($BE7+1)-1)/2),1),0))))+IF(MOD(($BE7+1)-1,2)=1,15,0),EDATE('Second Earner'!$C$9,($BE7+1)-1)))))&lt;&gt;'Second Earner'!$C$10,"",IF('Second Earner'!$C$7="Weekly",'Second Earner'!$C$9+7*(($BE7+1)-1),IF('Second Earner'!$C$7="Biweekly",'Second Earner'!$C$9+14*(($BE7+1)-1),IF('Second Earner'!$C$7="Semimonthly",DATE(YEAR('Second Earner'!$C$9),MONTH('Second Earner'!$C$9)+INT((($BE7+1)-1)/2),MIN(DAY('Second Earner'!$C$9),DAY(EOMONTH(DATE(YEAR('Second Earner'!$C$9),MONTH('Second Earner'!$C$9)+INT((($BE7+1)-1)/2),1),0))))+IF(MOD(($BE7+1)-1,2)=1,15,0),EDATE('Second Earner'!$C$9,($BE7+1)-1)))))&lt;&gt;"",$B8=IF(YEAR(IF('Second Earner'!$C$7="Weekly",'Second Earner'!$C$9+7*(($BE7+1)-1),IF('Second Earner'!$C$7="Biweekly",'Second Earner'!$C$9+14*(($BE7+1)-1),IF('Second Earner'!$C$7="Semimonthly",DATE(YEAR('Second Earner'!$C$9),MONTH('Second Earner'!$C$9)+INT((($BE7+1)-1)/2),MIN(DAY('Second Earner'!$C$9),DAY(EOMONTH(DATE(YEAR('Second Earner'!$C$9),MONTH('Second Earner'!$C$9)+INT((($BE7+1)-1)/2),1),0))))+IF(MOD(($BE7+1)-1,2)=1,15,0),EDATE('Second Earner'!$C$9,($BE7+1)-1)))))&lt;&gt;'Second Earner'!$C$10,"",IF('Second Earner'!$C$7="Weekly",'Second Earner'!$C$9+7*(($BE7+1)-1),IF('Second Earner'!$C$7="Biweekly",'Second Earner'!$C$9+14*(($BE7+1)-1),IF('Second Earner'!$C$7="Semimonthly",DATE(YEAR('Second Earner'!$C$9),MONTH('Second Earner'!$C$9)+INT((($BE7+1)-1)/2),MIN(DAY('Second Earner'!$C$9),DAY(EOMONTH(DATE(YEAR('Second Earner'!$C$9),MONTH('Second Earner'!$C$9)+INT((($BE7+1)-1)/2),1),0))))+IF(MOD(($BE7+1)-1,2)=1,15,0),EDATE('Second Earner'!$C$9,($BE7+1)-1)))))),1,0))</f>
      </c>
      <c r="BG8" s="7">
        <f>IF($B8="","",$BG7+$H8)</f>
      </c>
      <c r="BH8" s="7">
        <f>IF($B8="","",$BH7+$I8)</f>
      </c>
      <c r="BI8" s="7">
        <f>IF($B8="","",$BI7+$G8)</f>
      </c>
      <c r="BJ8" s="7">
        <f>IF($B8="","",IFERROR(LOOKUP(2,1/(((('Changes — Earner 2'!$C$6:$C$17="Deduction start"))*('Changes — Earner 2'!$D$6:$D$17="Health FSA"))*('Changes — Earner 2'!$B$6:$B$17&lt;=$B8)*('Changes — Earner 2'!$B$6:$B$17&lt;&gt;"")),'Changes — Earner 2'!$E$6:$E$17),'Second Earner'!$D$38))</f>
      </c>
      <c r="BK8" s="7">
        <f>IF($B8="","",IFERROR(LOOKUP(2,1/(((('Changes — Earner 2'!$C$6:$C$17="Deduction start"))*('Changes — Earner 2'!$D$6:$D$17="Dependent-care FSA"))*('Changes — Earner 2'!$B$6:$B$17&lt;=$B8)*('Changes — Earner 2'!$B$6:$B$17&lt;&gt;"")),'Changes — Earner 2'!$E$6:$E$17),'Second Earner'!$D$39))</f>
      </c>
      <c r="BL8" s="7">
        <f>IF($B8="","",IFERROR(LOOKUP(2,1/(((('Changes — Earner 2'!$C$6:$C$17="Deduction start")+('Changes — Earner 2'!$C$6:$C$17="Deduction stop"))*('Changes — Earner 2'!$D$6:$D$17="HSA"))*('Changes — Earner 2'!$B$6:$B$17&lt;=$B8)*('Changes — Earner 2'!$B$6:$B$17&lt;&gt;"")),'Changes — Earner 2'!$I$6:$I$17),'Second Earner'!$D$35))</f>
      </c>
      <c r="BM8" s="7">
        <f>IF($B8="","",IFERROR(LOOKUP(2,1/(((('Changes — Earner 2'!$C$6:$C$17="Deduction start")+('Changes — Earner 2'!$C$6:$C$17="Deduction stop"))*('Changes — Earner 2'!$D$6:$D$17="Premiums"))*('Changes — Earner 2'!$B$6:$B$17&lt;=$B8)*('Changes — Earner 2'!$B$6:$B$17&lt;&gt;"")),'Changes — Earner 2'!$I$6:$I$17),'Second Earner'!$D$40+'Second Earner'!$D$41+'Second Earner'!$D$42))</f>
      </c>
      <c r="BN8" s="7">
        <f>IF($B8="","",IFERROR(LOOKUP(2,1/(((('Changes — Earner 2'!$C$6:$C$17="Deduction start")+('Changes — Earner 2'!$C$6:$C$17="Deduction stop"))*('Changes — Earner 2'!$D$6:$D$17="Commuter"))*('Changes — Earner 2'!$B$6:$B$17&lt;=$B8)*('Changes — Earner 2'!$B$6:$B$17&lt;&gt;"")),'Changes — Earner 2'!$I$6:$I$17),'Second Earner'!$D$43))</f>
      </c>
      <c r="BO8" s="7">
        <f>IF($B8="","",IFERROR(LOOKUP(2,1/(((('Changes — Earner 2'!$C$6:$C$17="Deduction start")+('Changes — Earner 2'!$C$6:$C$17="Deduction stop"))*('Changes — Earner 2'!$D$6:$D$17="Other pre-tax"))*('Changes — Earner 2'!$B$6:$B$17&lt;=$B8)*('Changes — Earner 2'!$B$6:$B$17&lt;&gt;"")),'Changes — Earner 2'!$I$6:$I$17),'Second Earner'!$D$44))</f>
      </c>
      <c r="BP8" s="7">
        <f>IF($B8="","",IFERROR(LOOKUP(2,1/(((('Changes — Earner 2'!$C$6:$C$17="Deduction start")+('Changes — Earner 2'!$C$6:$C$17="Deduction stop"))*('Changes — Earner 2'!$D$6:$D$17="Other post-tax"))*('Changes — Earner 2'!$B$6:$B$17&lt;=$B8)*('Changes — Earner 2'!$B$6:$B$17&lt;&gt;"")),'Changes — Earner 2'!$I$6:$I$17),'Second Earner'!$D$45))</f>
      </c>
      <c r="BQ8" s="6">
        <f>IF($B8="","",IFERROR(LOOKUP(2,1/(((('Changes — Earner 2'!$C$6:$C$17="Deduction start")+('Changes — Earner 2'!$C$6:$C$17="Deduction stop"))*('Changes — Earner 2'!$D$6:$D$17="Health FSA"))*('Changes — Earner 2'!$B$6:$B$17&lt;=$B8)*('Changes — Earner 2'!$B$6:$B$17&lt;&gt;"")),'Changes — Earner 2'!$J$6:$J$17),0))</f>
      </c>
      <c r="BR8" s="6">
        <f>IF($B8="","",IFERROR(LOOKUP(2,1/(((('Changes — Earner 2'!$C$6:$C$17="Deduction start")+('Changes — Earner 2'!$C$6:$C$17="Deduction stop"))*('Changes — Earner 2'!$D$6:$D$17="Dependent-care FSA"))*('Changes — Earner 2'!$B$6:$B$17&lt;=$B8)*('Changes — Earner 2'!$B$6:$B$17&lt;&gt;"")),'Changes — Earner 2'!$J$6:$J$17),0))</f>
      </c>
      <c r="BS8" s="6">
        <f>IF($B8="","",IF(SUMPRODUCT(('Changes — Earner 2'!$C$6:$C$17="Deduction start")*('Changes — Earner 2'!$B$6:$B$17&lt;=$B8)*('Changes — Earner 2'!$B$6:$B$17&lt;&gt;"")*('Changes — Earner 2'!$D$6:$D$17="Health FSA"))&gt;0,1,0))</f>
      </c>
      <c r="BT8" s="6">
        <f>IF($B8="","",IF(SUMPRODUCT(('Changes — Earner 2'!$C$6:$C$17="Deduction start")*('Changes — Earner 2'!$B$6:$B$17&lt;=$B8)*('Changes — Earner 2'!$B$6:$B$17&lt;&gt;"")*('Changes — Earner 2'!$D$6:$D$17="Dependent-care FSA"))&gt;0,1,0))</f>
      </c>
      <c r="BU8" s="24">
        <f>IF($B8="","",IF('Second Earner'!$C$13,SUMPRODUCT(($AH8&gt;=INDEX('How This Works &amp; Sources'!$B$29:$J$36,0,IF('Second Earner'!$C$12="MFJ",1,IF('Second Earner'!$C$12="HoH",7,4))))*INDEX('How This Works &amp; Sources'!$B$29:$J$36,0,IF('Second Earner'!$C$12="MFJ",1,IF('Second Earner'!$C$12="HoH",7,4))+2)),SUMPRODUCT(($AH8&gt;=INDEX('How This Works &amp; Sources'!$B$19:$J$26,0,IF('Second Earner'!$C$12="MFJ",1,IF('Second Earner'!$C$12="HoH",7,4))))*INDEX('How This Works &amp; Sources'!$B$19:$J$26,0,IF('Second Earner'!$C$12="MFJ",1,IF('Second Earner'!$C$12="HoH",7,4))+2))))</f>
      </c>
      <c r="BV8" s="24">
        <f>IF($B8="","",IF($BZ8&lt;&gt;"",$BZ8,IF($CA8&lt;&gt;"",$CA8,IF($CB8&lt;&gt;"",$CB8,IF($CC8&lt;&gt;"",$CC8,0)))))</f>
      </c>
      <c r="BW8" s="7">
        <f>IF($B8="","",IF($AN8="AR",SUMPRODUCT(($AZ8&gt;INDEX('How This Works &amp; Sources'!$B$82:$J$86,0,7))*($AZ8-INDEX('How This Works &amp; Sources'!$B$82:$J$86,0,7))*INDEX('How This Works &amp; Sources'!$B$82:$J$86,0,7+2)),IF($AN8="MD",IF(OR($AU8="Married",$AU8="Head of household"),SUMPRODUCT(($AZ8&gt;INDEX('How This Works &amp; Sources'!$B$114:$J$120,0,1))*($AZ8-INDEX('How This Works &amp; Sources'!$B$114:$J$120,0,1))*INDEX('How This Works &amp; Sources'!$B$114:$J$120,0,1+2)),SUMPRODUCT(($AZ8&gt;INDEX('How This Works &amp; Sources'!$B$103:$J$109,0,7))*($AZ8-INDEX('How This Works &amp; Sources'!$B$103:$J$109,0,7))*INDEX('How This Works &amp; Sources'!$B$103:$J$109,0,7+2))),IF($AN8="MT",IF($AU8="Head of household",SUMPRODUCT(($AZ8&gt;INDEX('How This Works &amp; Sources'!$B$137:$J$139,0,1))*($AZ8-INDEX('How This Works &amp; Sources'!$B$137:$J$139,0,1))*INDEX('How This Works &amp; Sources'!$B$137:$J$139,0,1+2)),IF($AU8="Married",SUMPRODUCT(($AZ8&gt;INDEX('How This Works &amp; Sources'!$B$125:$J$132,0,7))*($AZ8-INDEX('How This Works &amp; Sources'!$B$125:$J$132,0,7))*INDEX('How This Works &amp; Sources'!$B$125:$J$132,0,7+2)),SUMPRODUCT(($AZ8&gt;INDEX('How This Works &amp; Sources'!$B$125:$J$132,0,4))*($AZ8-INDEX('How This Works &amp; Sources'!$B$125:$J$132,0,4))*INDEX('How This Works &amp; Sources'!$B$125:$J$132,0,4+2)))),IF($AN8="ND",IF($AU8="Head of household",SUMPRODUCT(($AZ8&gt;INDEX('How This Works &amp; Sources'!$B$144:$J$150,0,1))*($AZ8-INDEX('How This Works &amp; Sources'!$B$144:$J$150,0,1))*INDEX('How This Works &amp; Sources'!$B$144:$J$150,0,1+2)),IF($AU8="Married",SUMPRODUCT(($AZ8&gt;INDEX('How This Works &amp; Sources'!$B$137:$J$139,0,7))*($AZ8-INDEX('How This Works &amp; Sources'!$B$137:$J$139,0,7))*INDEX('How This Works &amp; Sources'!$B$137:$J$139,0,7+2)),SUMPRODUCT(($AZ8&gt;INDEX('How This Works &amp; Sources'!$B$137:$J$139,0,4))*($AZ8-INDEX('How This Works &amp; Sources'!$B$137:$J$139,0,4))*INDEX('How This Works &amp; Sources'!$B$137:$J$139,0,4+2)))),IF($AN8="NJ",IF('Second Earner'!$C$77="B",SUMPRODUCT(($AZ8&gt;INDEX('How This Works &amp; Sources'!$B$155:$J$162,0,4))*($AZ8-INDEX('How This Works &amp; Sources'!$B$155:$J$162,0,4))*INDEX('How This Works &amp; Sources'!$B$155:$J$162,0,4+2)),IF('Second Earner'!$C$77="C",SUMPRODUCT(($AZ8&gt;INDEX('How This Works &amp; Sources'!$B$155:$J$162,0,7))*($AZ8-INDEX('How This Works &amp; Sources'!$B$155:$J$162,0,7))*INDEX('How This Works &amp; Sources'!$B$155:$J$162,0,7+2)),IF('Second Earner'!$C$77="D",SUMPRODUCT(($AZ8&gt;INDEX('How This Works &amp; Sources'!$B$167:$J$179,0,1))*($AZ8-INDEX('How This Works &amp; Sources'!$B$167:$J$179,0,1))*INDEX('How This Works &amp; Sources'!$B$167:$J$179,0,1+2)),IF('Second Earner'!$C$77="E",SUMPRODUCT(($AZ8&gt;INDEX('How This Works &amp; Sources'!$B$167:$J$179,0,4))*($AZ8-INDEX('How This Works &amp; Sources'!$B$167:$J$179,0,4))*INDEX('How This Works &amp; Sources'!$B$167:$J$179,0,4+2)),SUMPRODUCT(($AZ8&gt;INDEX('How This Works &amp; Sources'!$B$155:$J$162,0,1))*($AZ8-INDEX('How This Works &amp; Sources'!$B$155:$J$162,0,1))*INDEX('How This Works &amp; Sources'!$B$155:$J$162,0,1+2)))))),IF($AN8="NY",IF($AU8="Married",IF($AZ8&gt;=2155350,$AZ8*IF($AZ8&gt;25000000,0.117,IF($AZ8&gt;5000000,0.111,0.1045)),SUMPRODUCT(($AZ8&gt;INDEX('How This Works &amp; Sources'!$B$184:$J$198,0,1))*($AZ8-INDEX('How This Works &amp; Sources'!$B$184:$J$198,0,1))*INDEX('How This Works &amp; Sources'!$B$184:$J$198,0,1+2))),IF($AZ8&gt;=1077550,$AZ8*IF($AZ8&gt;25000000,0.117,IF($AZ8&gt;5000000,0.111,0.1045)),SUMPRODUCT(($AZ8&gt;INDEX('How This Works &amp; Sources'!$B$167:$J$179,0,7))*($AZ8-INDEX('How This Works &amp; Sources'!$B$167:$J$179,0,7))*INDEX('How This Works &amp; Sources'!$B$167:$J$179,0,7+2)))),"")))))))</f>
      </c>
      <c r="BX8" s="7">
        <f>IF($B8="","",IF($AN8="AL",IF(OR($AU8="Married",$AU8="Head of household"),SUMPRODUCT(($AZ8&gt;INDEX('How This Works &amp; Sources'!$B$82:$J$86,0,4))*($AZ8-INDEX('How This Works &amp; Sources'!$B$82:$J$86,0,4))*INDEX('How This Works &amp; Sources'!$B$82:$J$86,0,4+2)),SUMPRODUCT(($AZ8&gt;INDEX('How This Works &amp; Sources'!$B$82:$J$86,0,1))*($AZ8-INDEX('How This Works &amp; Sources'!$B$82:$J$86,0,1))*INDEX('How This Works &amp; Sources'!$B$82:$J$86,0,1+2))),IF($AN8="KS",IF($AU8="Married",SUMPRODUCT(($AZ8&gt;INDEX('How This Works &amp; Sources'!$B$103:$J$109,0,4))*($AZ8-INDEX('How This Works &amp; Sources'!$B$103:$J$109,0,4))*INDEX('How This Works &amp; Sources'!$B$103:$J$109,0,4+2)),SUMPRODUCT(($AZ8&gt;INDEX('How This Works &amp; Sources'!$B$103:$J$109,0,1))*($AZ8-INDEX('How This Works &amp; Sources'!$B$103:$J$109,0,1))*INDEX('How This Works &amp; Sources'!$B$103:$J$109,0,1+2))),IF($AN8="MN",IF($AU8="Married",SUMPRODUCT(($AZ8&gt;INDEX('How This Works &amp; Sources'!$B$114:$J$120,0,7))*($AZ8-INDEX('How This Works &amp; Sources'!$B$114:$J$120,0,7))*INDEX('How This Works &amp; Sources'!$B$114:$J$120,0,7+2)),SUMPRODUCT(($AZ8&gt;INDEX('How This Works &amp; Sources'!$B$114:$J$120,0,4))*($AZ8-INDEX('How This Works &amp; Sources'!$B$114:$J$120,0,4))*INDEX('How This Works &amp; Sources'!$B$114:$J$120,0,4+2))),IF($AN8="MO",SUMPRODUCT(($AZ8&gt;INDEX('How This Works &amp; Sources'!$B$125:$J$132,0,1))*($AZ8-INDEX('How This Works &amp; Sources'!$B$125:$J$132,0,1))*INDEX('How This Works &amp; Sources'!$B$125:$J$132,0,1+2)),IF($AN8="NE",MAX(IF($AU8="Married",SUMPRODUCT(($AZ8&gt;INDEX('How This Works &amp; Sources'!$B$144:$J$150,0,7))*($AZ8-INDEX('How This Works &amp; Sources'!$B$144:$J$150,0,7))*INDEX('How This Works &amp; Sources'!$B$144:$J$150,0,7+2)),SUMPRODUCT(($AZ8&gt;INDEX('How This Works &amp; Sources'!$B$144:$J$150,0,4))*($AZ8-INDEX('How This Works &amp; Sources'!$B$144:$J$150,0,4))*INDEX('How This Works &amp; Sources'!$B$144:$J$150,0,4+2))),0.015*$AZ8),IF($AN8="OH",IF($B8&gt;=DATE(2026,8,1),SUMPRODUCT(($AZ8&gt;INDEX('How This Works &amp; Sources'!$B$203:$J$206,0,1))*($AZ8-INDEX('How This Works &amp; Sources'!$B$203:$J$206,0,1))*INDEX('How This Works &amp; Sources'!$B$203:$J$206,0,1+2)),SUMPRODUCT(($AZ8&gt;INDEX('How This Works &amp; Sources'!$B$184:$J$198,0,7))*($AZ8-INDEX('How This Works &amp; Sources'!$B$184:$J$198,0,7))*INDEX('How This Works &amp; Sources'!$B$184:$J$198,0,7+2))),IF($AN8="OK",IF($AU8="Married",SUMPRODUCT(($AZ8&gt;INDEX('How This Works &amp; Sources'!$B$203:$J$206,0,7))*($AZ8-INDEX('How This Works &amp; Sources'!$B$203:$J$206,0,7))*INDEX('How This Works &amp; Sources'!$B$203:$J$206,0,7+2)),SUMPRODUCT(($AZ8&gt;INDEX('How This Works &amp; Sources'!$B$203:$J$206,0,4))*($AZ8-INDEX('How This Works &amp; Sources'!$B$203:$J$206,0,4))*INDEX('How This Works &amp; Sources'!$B$203:$J$206,0,4+2))),IF($AN8="VT",IF($AU8="Married",SUMPRODUCT(($AZ8&gt;INDEX('How This Works &amp; Sources'!$B$228:$J$232,0,1))*($AZ8-INDEX('How This Works &amp; Sources'!$B$228:$J$232,0,1))*INDEX('How This Works &amp; Sources'!$B$228:$J$232,0,1+2)),SUMPRODUCT(($AZ8&gt;INDEX('How This Works &amp; Sources'!$B$219:$J$223,0,7))*($AZ8-INDEX('How This Works &amp; Sources'!$B$219:$J$223,0,7))*INDEX('How This Works &amp; Sources'!$B$219:$J$223,0,7+2))),IF($AN8="WV",IF($AU8="Married",SUMPRODUCT(($AZ8&gt;INDEX('How This Works &amp; Sources'!$B$237:$J$241,0,7))*($AZ8-INDEX('How This Works &amp; Sources'!$B$237:$J$241,0,7))*INDEX('How This Works &amp; Sources'!$B$237:$J$241,0,7+2)),SUMPRODUCT(($AZ8&gt;INDEX('How This Works &amp; Sources'!$B$228:$J$232,0,7))*($AZ8-INDEX('How This Works &amp; Sources'!$B$228:$J$232,0,7))*INDEX('How This Works &amp; Sources'!$B$228:$J$232,0,7+2))),""))))))))))</f>
      </c>
      <c r="BY8" s="7">
        <f>IF($B8="","",IF($AN8="DE",SUMPRODUCT(($AZ8&gt;INDEX('How This Works &amp; Sources'!$B$91:$J$98,0,1))*($AZ8-INDEX('How This Works &amp; Sources'!$B$91:$J$98,0,1))*INDEX('How This Works &amp; Sources'!$B$91:$J$98,0,1+2)),IF($AN8="HI",IF($AU8="Married",SUMPRODUCT(($AZ8&gt;INDEX('How This Works &amp; Sources'!$B$91:$J$98,0,7))*($AZ8-INDEX('How This Works &amp; Sources'!$B$91:$J$98,0,7))*INDEX('How This Works &amp; Sources'!$B$91:$J$98,0,7+2)),SUMPRODUCT(($AZ8&gt;INDEX('How This Works &amp; Sources'!$B$91:$J$98,0,4))*($AZ8-INDEX('How This Works &amp; Sources'!$B$91:$J$98,0,4))*INDEX('How This Works &amp; Sources'!$B$91:$J$98,0,4+2))),IF($AN8="RI",SUMPRODUCT(($AZ8&gt;INDEX('How This Works &amp; Sources'!$B$211:$J$214,0,7))*($AZ8-INDEX('How This Works &amp; Sources'!$B$211:$J$214,0,7))*INDEX('How This Works &amp; Sources'!$B$211:$J$214,0,7+2)),IF($AN8="SC",SUMPRODUCT(($AZ8&gt;INDEX('How This Works &amp; Sources'!$B$219:$J$223,0,1))*($AZ8-INDEX('How This Works &amp; Sources'!$B$219:$J$223,0,1))*INDEX('How This Works &amp; Sources'!$B$219:$J$223,0,1+2)),IF($AN8="VA",SUMPRODUCT(($AZ8&gt;INDEX('How This Works &amp; Sources'!$B$219:$J$223,0,4))*($AZ8-INDEX('How This Works &amp; Sources'!$B$219:$J$223,0,4))*INDEX('How This Works &amp; Sources'!$B$219:$J$223,0,4+2)),IF($AN8="WI",SUMPRODUCT(($AZ8&gt;INDEX('How This Works &amp; Sources'!$B$228:$J$232,0,4))*($AZ8-INDEX('How This Works &amp; Sources'!$B$228:$J$232,0,4))*INDEX('How This Works &amp; Sources'!$B$228:$J$232,0,4+2)),"")))))))</f>
      </c>
      <c r="BZ8" s="24">
        <f>IF($B8="","",IF($AN8="KS",IF($AU8="Married",SUMPRODUCT(($AZ8&gt;=INDEX('How This Works &amp; Sources'!$B$103:$J$109,0,4))*INDEX('How This Works &amp; Sources'!$B$103:$J$109,0,4+2)),SUMPRODUCT(($AZ8&gt;=INDEX('How This Works &amp; Sources'!$B$103:$J$109,0,1))*INDEX('How This Works &amp; Sources'!$B$103:$J$109,0,1+2))),IF($AN8="MT",IF($AU8="Head of household",SUMPRODUCT(($AZ8&gt;=INDEX('How This Works &amp; Sources'!$B$137:$J$139,0,1))*INDEX('How This Works &amp; Sources'!$B$137:$J$139,0,1+2)),IF($AU8="Married",SUMPRODUCT(($AZ8&gt;=INDEX('How This Works &amp; Sources'!$B$125:$J$132,0,7))*INDEX('How This Works &amp; Sources'!$B$125:$J$132,0,7+2)),SUMPRODUCT(($AZ8&gt;=INDEX('How This Works &amp; Sources'!$B$125:$J$132,0,4))*INDEX('How This Works &amp; Sources'!$B$125:$J$132,0,4+2)))),IF($AN8="OR",IF(OR($AU8="Married",AND($AU8="Single",$AS8&gt;=3)),SUMPRODUCT((MAX(0,$AY8-MIN(($P8-'How This Works &amp; Sources'!$C$10*$D8)*'Second Earner'!$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Sources'!$B$211:$J$214,0,4))*INDEX('How This Works &amp; Sources'!$B$211:$J$214,0,4+2)),SUMPRODUCT((MAX(0,$AY8-MIN(($P8-'How This Works &amp; Sources'!$C$10*$D8)*'Second Earner'!$C$8,IF(OR($AU8="Married",AND($AU8="Single",$AS8&gt;=3)),IF($AY8&lt;250000,8750,IF($AY8&lt;260000,7000,IF($AY8&lt;270000,5250,IF($AY8&lt;280000,3500,IF($AY8&lt;290000,1750,0))))),IF($AY8&lt;125000,8750,IF($AY8&lt;130000,7000,IF($AY8&lt;135000,5250,IF($AY8&lt;140000,3500,IF($AY8&lt;145000,1750,0)))))))-IF(OR($AU8="Married",AND($AU8="Single",$AS8&gt;=3)),5820,2910))&gt;=INDEX('How This Works &amp; Sources'!$B$211:$J$214,0,1))*INDEX('How This Works &amp; Sources'!$B$211:$J$214,0,1+2)))*IF(($P8-'How This Works &amp; Sources'!$C$10*$D8)*'Second Earner'!$C$8&gt;=IF(OR($AU8="Married",AND($AU8="Single",$AS8&gt;=3)),IF($AY8&lt;250000,8750,IF($AY8&lt;260000,7000,IF($AY8&lt;270000,5250,IF($AY8&lt;280000,3500,IF($AY8&lt;290000,1750,0))))),IF($AY8&lt;125000,8750,IF($AY8&lt;130000,7000,IF($AY8&lt;135000,5250,IF($AY8&lt;140000,3500,IF($AY8&lt;145000,1750,0)))))),1,1-IF('Second Earner'!$C$13,SUMPRODUCT(($AH8&gt;=INDEX('How This Works &amp; Sources'!$B$29:$J$36,0,IF('Second Earner'!$C$12="MFJ",1,IF('Second Earner'!$C$12="HoH",7,4))))*INDEX('How This Works &amp; Sources'!$B$29:$J$36,0,IF('Second Earner'!$C$12="MFJ",1,IF('Second Earner'!$C$12="HoH",7,4))+2)),SUMPRODUCT(($AH8&gt;=INDEX('How This Works &amp; Sources'!$B$19:$J$26,0,IF('Second Earner'!$C$12="MFJ",1,IF('Second Earner'!$C$12="HoH",7,4))))*INDEX('How This Works &amp; Sources'!$B$19:$J$26,0,IF('Second Earner'!$C$12="MFJ",1,IF('Second Earner'!$C$12="HoH",7,4))+2)))),""))))</f>
      </c>
      <c r="CA8" s="24">
        <f>IF($B8="","",IF($AN8="CA",SUMPRODUCT(($AJ8&gt;=INDEX('How This Works &amp; Sources'!$B$39:$J$48,0,IF($AU8="Married",4,IF($AU8="Head of household",7,1))))*INDEX('How This Works &amp; Sources'!$B$39:$J$48,0,IF($AU8="Married",4,IF($AU8="Head of household",7,1))+2)),IF($AN8="AL",IF(OR($AU8="Married",$AU8="Head of household"),SUMPRODUCT(($AZ8&gt;=INDEX('How This Works &amp; Sources'!$B$82:$J$86,0,4))*INDEX('How This Works &amp; Sources'!$B$82:$J$86,0,4+2)),SUMPRODUCT(($AZ8&gt;=INDEX('How This Works &amp; Sources'!$B$82:$J$86,0,1))*INDEX('How This Works &amp; Sources'!$B$82:$J$86,0,1+2)))*(1-IF('Second Earner'!$C$13,SUMPRODUCT(($AH8&gt;=INDEX('How This Works &amp; Sources'!$B$29:$J$36,0,IF('Second Earner'!$C$12="MFJ",1,IF('Second Earner'!$C$12="HoH",7,4))))*INDEX('How This Works &amp; Sources'!$B$29:$J$36,0,IF('Second Earner'!$C$12="MFJ",1,IF('Second Earner'!$C$12="HoH",7,4))+2)),SUMPRODUCT(($AH8&gt;=INDEX('How This Works &amp; Sources'!$B$19:$J$26,0,IF('Second Earner'!$C$12="MFJ",1,IF('Second Earner'!$C$12="HoH",7,4))))*INDEX('How This Works &amp; Sources'!$B$19:$J$26,0,IF('Second Earner'!$C$12="MFJ",1,IF('Second Earner'!$C$12="HoH",7,4))+2)))),IF($AN8="ND",IF($AU8="Head of household",SUMPRODUCT(($AZ8&gt;=INDEX('How This Works &amp; Sources'!$B$144:$J$150,0,1))*INDEX('How This Works &amp; Sources'!$B$144:$J$150,0,1+2)),IF($AU8="Married",SUMPRODUCT(($AZ8&gt;=INDEX('How This Works &amp; Sources'!$B$137:$J$139,0,7))*INDEX('How This Works &amp; Sources'!$B$137:$J$139,0,7+2)),SUMPRODUCT(($AZ8&gt;=INDEX('How This Works &amp; Sources'!$B$137:$J$139,0,4))*INDEX('How This Works &amp; Sources'!$B$137:$J$139,0,4+2)))),IF($AN8="NJ",IF('Second Earner'!$C$77="B",SUMPRODUCT(($AZ8&gt;=INDEX('How This Works &amp; Sources'!$B$155:$J$162,0,4))*INDEX('How This Works &amp; Sources'!$B$155:$J$162,0,4+2)),IF('Second Earner'!$C$77="C",SUMPRODUCT(($AZ8&gt;=INDEX('How This Works &amp; Sources'!$B$155:$J$162,0,7))*INDEX('How This Works &amp; Sources'!$B$155:$J$162,0,7+2)),IF('Second Earner'!$C$77="D",SUMPRODUCT(($AZ8&gt;=INDEX('How This Works &amp; Sources'!$B$167:$J$179,0,1))*INDEX('How This Works &amp; Sources'!$B$167:$J$179,0,1+2)),IF('Second Earner'!$C$77="E",SUMPRODUCT(($AZ8&gt;=INDEX('How This Works &amp; Sources'!$B$167:$J$179,0,4))*INDEX('How This Works &amp; Sources'!$B$167:$J$179,0,4+2)),SUMPRODUCT(($AZ8&gt;=INDEX('How This Works &amp; Sources'!$B$155:$J$162,0,1))*INDEX('How This Works &amp; Sources'!$B$155:$J$162,0,1+2)))))),IF($AN8="NY",IF($AU8="Married",IF($AZ8&gt;=2155350,IF($AZ8&gt;25000000,0.117,IF($AZ8&gt;5000000,0.111,0.1045)),SUMPRODUCT(($AZ8&gt;=INDEX('How This Works &amp; Sources'!$B$184:$J$198,0,1))*INDEX('How This Works &amp; Sources'!$B$184:$J$198,0,1+2))),IF($AZ8&gt;=1077550,IF($AZ8&gt;25000000,0.117,IF($AZ8&gt;5000000,0.111,0.1045)),SUMPRODUCT(($AZ8&gt;=INDEX('How This Works &amp; Sources'!$B$167:$J$179,0,7))*INDEX('How This Works &amp; Sources'!$B$167:$J$179,0,7+2)))),IF($AN8="LA",0.0309,"")))))))</f>
      </c>
      <c r="CB8" s="24">
        <f>IF($B8="","",IF($AN8="HI",IF($AU8="Married",SUMPRODUCT(($AZ8&gt;=INDEX('How This Works &amp; Sources'!$B$91:$J$98,0,7))*INDEX('How This Works &amp; Sources'!$B$91:$J$98,0,7+2)),SUMPRODUCT(($AZ8&gt;=INDEX('How This Works &amp; Sources'!$B$91:$J$98,0,4))*INDEX('How This Works &amp; Sources'!$B$91:$J$98,0,4+2))),IF($AN8="MD",IF(OR($AU8="Married",$AU8="Head of household"),SUMPRODUCT(($AZ8&gt;=INDEX('How This Works &amp; Sources'!$B$114:$J$120,0,1))*INDEX('How This Works &amp; Sources'!$B$114:$J$120,0,1+2)),SUMPRODUCT(($AZ8&gt;=INDEX('How This Works &amp; Sources'!$B$103:$J$109,0,7))*INDEX('How This Works &amp; Sources'!$B$103:$J$109,0,7+2)))+'Second Earner'!$C$74,IF($AN8="MN",IF($AU8="Married",SUMPRODUCT(($AZ8&gt;=INDEX('How This Works &amp; Sources'!$B$114:$J$120,0,7))*INDEX('How This Works &amp; Sources'!$B$114:$J$120,0,7+2)),SUMPRODUCT(($AZ8&gt;=INDEX('How This Works &amp; Sources'!$B$114:$J$120,0,4))*INDEX('How This Works &amp; Sources'!$B$114:$J$120,0,4+2))),IF($AN8="MO",SUMPRODUCT(($AZ8&gt;=INDEX('How This Works &amp; Sources'!$B$125:$J$132,0,1))*INDEX('How This Works &amp; Sources'!$B$125:$J$132,0,1+2)),IF($AN8="NE",MAX(IF($AU8="Married",SUMPRODUCT(($AZ8&gt;=INDEX('How This Works &amp; Sources'!$B$144:$J$150,0,7))*INDEX('How This Works &amp; Sources'!$B$144:$J$150,0,7+2)),SUMPRODUCT(($AZ8&gt;=INDEX('How This Works &amp; Sources'!$B$144:$J$150,0,4))*INDEX('How This Works &amp; Sources'!$B$144:$J$150,0,4+2))),0.015),IF($AN8="OH",IF($B8&gt;=DATE(2026,8,1),SUMPRODUCT(($AZ8&gt;=INDEX('How This Works &amp; Sources'!$B$203:$J$206,0,1))*INDEX('How This Works &amp; Sources'!$B$203:$J$206,0,1+2)),SUMPRODUCT(($AZ8&gt;=INDEX('How This Works &amp; Sources'!$B$184:$J$198,0,7))*INDEX('How This Works &amp; Sources'!$B$184:$J$198,0,7+2))),IF($AN8="OK",IF($AU8="Married",SUMPRODUCT(($AZ8&gt;=INDEX('How This Works &amp; Sources'!$B$203:$J$206,0,7))*INDEX('How This Works &amp; Sources'!$B$203:$J$206,0,7+2)),SUMPRODUCT(($AZ8&gt;=INDEX('How This Works &amp; Sources'!$B$203:$J$206,0,4))*INDEX('How This Works &amp; Sources'!$B$203:$J$206,0,4+2))),IF($AN8="RI",SUMPRODUCT(($AZ8&gt;=INDEX('How This Works &amp; Sources'!$B$211:$J$214,0,7))*INDEX('How This Works &amp; Sources'!$B$211:$J$214,0,7+2)),IF($AN8="VT",IF($AU8="Married",SUMPRODUCT(($AZ8&gt;=INDEX('How This Works &amp; Sources'!$B$228:$J$232,0,1))*INDEX('How This Works &amp; Sources'!$B$228:$J$232,0,1+2)),SUMPRODUCT(($AZ8&gt;=INDEX('How This Works &amp; Sources'!$B$219:$J$223,0,7))*INDEX('How This Works &amp; Sources'!$B$219:$J$223,0,7+2))),IF($AN8="WV",IF($AU8="Married",SUMPRODUCT(($AZ8&gt;=INDEX('How This Works &amp; Sources'!$B$237:$J$241,0,7))*INDEX('How This Works &amp; Sources'!$B$237:$J$241,0,7+2)),SUMPRODUCT(($AZ8&gt;=INDEX('How This Works &amp; Sources'!$B$228:$J$232,0,7))*INDEX('How This Works &amp; Sources'!$B$228:$J$232,0,7+2))),IF($AN8="AZ",'Second Earner'!$C$82,IF($AN8="ID",IF($AY8&gt;IF($AU8="Married",32000,16094),0.053,0),"")))))))))))))</f>
      </c>
      <c r="CC8" s="24">
        <f>IF($B8="","",IF($AN8="AR",SUMPRODUCT(($AZ8&gt;=INDEX('How This Works &amp; Sources'!$B$82:$J$86,0,7))*INDEX('How This Works &amp; Sources'!$B$82:$J$86,0,7+2)),IF($AN8="DE",SUMPRODUCT(($AZ8&gt;=INDEX('How This Works &amp; Sources'!$B$91:$J$98,0,1))*INDEX('How This Works &amp; Sources'!$B$91:$J$98,0,1+2)),IF($AN8="SC",SUMPRODUCT(($AZ8&gt;=INDEX('How This Works &amp; Sources'!$B$219:$J$223,0,1))*INDEX('How This Works &amp; Sources'!$B$219:$J$223,0,1+2)),IF($AN8="VA",SUMPRODUCT(($AZ8&gt;=INDEX('How This Works &amp; Sources'!$B$219:$J$223,0,4))*INDEX('How This Works &amp; Sources'!$B$219:$J$223,0,4+2)),IF($AN8="WI",SUMPRODUCT(($AZ8&gt;=INDEX('How This Works &amp; Sources'!$B$228:$J$232,0,4))*INDEX('How This Works &amp; Sources'!$B$228:$J$232,0,4+2)),IF($AN8="CO",IF($AY8&gt;IF($AU8="Married",10000,5000),0.044,0),IF($AN8="IA",IF($AY8&gt;IF($AU8="Head of household",19500,IF($AU8="Married",26000,13000)),0.038,0),IF($AN8="IL",IF($AY8&gt;(2925*$AS8+1000*$AT8),0.0495,0),IF($AN8="IN",(0.0295+'Second Earner'!$C$76),IF($AN8="KY",IF($AI8&gt;3360,0.035,0),IF($AN8="MA",IF(MAX(0,$AY8-MIN(($BD7+$Q8+$R8+$S8),2000)-IF($AS8=0,0,IF($AS8=1,4400,1000*$AS8+3400)))&gt;=1107750,0.09,0.05),IF($AN8="MI",IF($AY8&gt;5900*$AS8,0.0425,0),IF($AN8="MS",IF($AI8-IF($AU8="Head of household",3400,IF($AU8="Married",4600,2300))-'Second Earner'!$C$85&gt;10000,0.04,0),IF($AN8="PA",0.0307,"")))))))))))))))</f>
      </c>
      <c r="CD8" s="21">
        <f>IF(YEAR(IF('Second Earner'!$C$7="Weekly",'Second Earner'!$C$9+7*(($BE7+1)-1),IF('Second Earner'!$C$7="Biweekly",'Second Earner'!$C$9+14*(($BE7+1)-1),IF('Second Earner'!$C$7="Semimonthly",DATE(YEAR('Second Earner'!$C$9),MONTH('Second Earner'!$C$9)+INT((($BE7+1)-1)/2),MIN(DAY('Second Earner'!$C$9),DAY(EOMONTH(DATE(YEAR('Second Earner'!$C$9),MONTH('Second Earner'!$C$9)+INT((($BE7+1)-1)/2),1),0))))+IF(MOD(($BE7+1)-1,2)=1,15,0),EDATE('Second Earner'!$C$9,($BE7+1)-1)))))&lt;&gt;'Second Earner'!$C$10,"",IF('Second Earner'!$C$7="Weekly",'Second Earner'!$C$9+7*(($BE7+1)-1),IF('Second Earner'!$C$7="Biweekly",'Second Earner'!$C$9+14*(($BE7+1)-1),IF('Second Earner'!$C$7="Semimonthly",DATE(YEAR('Second Earner'!$C$9),MONTH('Second Earner'!$C$9)+INT((($BE7+1)-1)/2),MIN(DAY('Second Earner'!$C$9),DAY(EOMONTH(DATE(YEAR('Second Earner'!$C$9),MONTH('Second Earner'!$C$9)+INT((($BE7+1)-1)/2),1),0))))+IF(MOD(($BE7+1)-1,2)=1,15,0),EDATE('Second Earner'!$C$9,($BE7+1)-1)))))</f>
      </c>
      <c r="CE8" s="21">
        <f>IF(MIN(IF(AND('Second Earner'!$C$58&gt;MAX($B$6:$B7),'Second Earner'!$C$58&gt;=DATE('Second Earner'!$C$10,1,1),'Second Earner'!$C$58&lt;=DATE('Second Earner'!$C$10,12,31)),'Second Earner'!$C$58,999999),IF(AND('Second Earner'!$C$59&gt;MAX($B$6:$B7),'Second Earner'!$C$59&gt;=DATE('Second Earner'!$C$10,1,1),'Second Earner'!$C$59&lt;=DATE('Second Earner'!$C$10,12,31)),'Second Earner'!$C$59,999999),IF(AND('Second Earner'!$C$60&gt;MAX($B$6:$B7),'Second Earner'!$C$60&gt;=DATE('Second Earner'!$C$10,1,1),'Second Earner'!$C$60&lt;=DATE('Second Earner'!$C$10,12,31)),'Second Earner'!$C$60,999999),IF(AND('Second Earner'!$C$61&gt;MAX($B$6:$B7),'Second Earner'!$C$61&gt;=DATE('Second Earner'!$C$10,1,1),'Second Earner'!$C$61&lt;=DATE('Second Earner'!$C$10,12,31)),'Second Earner'!$C$61,999999),IF(AND('Second Earner'!$C$62&gt;MAX($B$6:$B7),'Second Earner'!$C$62&gt;=DATE('Second Earner'!$C$10,1,1),'Second Earner'!$C$62&lt;=DATE('Second Earner'!$C$10,12,31)),'Second Earner'!$C$62,999999),IF(AND('Second Earner'!$C$63&gt;MAX($B$6:$B7),'Second Earner'!$C$63&gt;=DATE('Second Earner'!$C$10,1,1),'Second Earner'!$C$63&lt;=DATE('Second Earner'!$C$10,12,31)),'Second Earner'!$C$63,999999),IF(AND('Second Earner'!$C$64&gt;MAX($B$6:$B7),'Second Earner'!$C$64&gt;=DATE('Second Earner'!$C$10,1,1),'Second Earner'!$C$64&lt;=DATE('Second Earner'!$C$10,12,31)),'Second Earner'!$C$64,999999),IF(AND('Second Earner'!$C$65&gt;MAX($B$6:$B7),'Second Earner'!$C$65&gt;=DATE('Second Earner'!$C$10,1,1),'Second Earner'!$C$65&lt;=DATE('Second Earner'!$C$10,12,31)),'Second Earner'!$C$65,999999),IF(AND('Second Earner'!$C$66&gt;MAX($B$6:$B7),'Second Earner'!$C$66&gt;=DATE('Second Earner'!$C$10,1,1),'Second Earner'!$C$66&lt;=DATE('Second Earner'!$C$10,12,31)),'Second Earner'!$C$66,999999),IF(AND('Second Earner'!$C$67&gt;MAX($B$6:$B7),'Second Earner'!$C$67&gt;=DATE('Second Earner'!$C$10,1,1),'Second Earner'!$C$67&lt;=DATE('Second Earner'!$C$10,12,31)),'Second Earner'!$C$67,999999))=999999,"",MIN(IF(AND('Second Earner'!$C$58&gt;MAX($B$6:$B7),'Second Earner'!$C$58&gt;=DATE('Second Earner'!$C$10,1,1),'Second Earner'!$C$58&lt;=DATE('Second Earner'!$C$10,12,31)),'Second Earner'!$C$58,999999),IF(AND('Second Earner'!$C$59&gt;MAX($B$6:$B7),'Second Earner'!$C$59&gt;=DATE('Second Earner'!$C$10,1,1),'Second Earner'!$C$59&lt;=DATE('Second Earner'!$C$10,12,31)),'Second Earner'!$C$59,999999),IF(AND('Second Earner'!$C$60&gt;MAX($B$6:$B7),'Second Earner'!$C$60&gt;=DATE('Second Earner'!$C$10,1,1),'Second Earner'!$C$60&lt;=DATE('Second Earner'!$C$10,12,31)),'Second Earner'!$C$60,999999),IF(AND('Second Earner'!$C$61&gt;MAX($B$6:$B7),'Second Earner'!$C$61&gt;=DATE('Second Earner'!$C$10,1,1),'Second Earner'!$C$61&lt;=DATE('Second Earner'!$C$10,12,31)),'Second Earner'!$C$61,999999),IF(AND('Second Earner'!$C$62&gt;MAX($B$6:$B7),'Second Earner'!$C$62&gt;=DATE('Second Earner'!$C$10,1,1),'Second Earner'!$C$62&lt;=DATE('Second Earner'!$C$10,12,31)),'Second Earner'!$C$62,999999),IF(AND('Second Earner'!$C$63&gt;MAX($B$6:$B7),'Second Earner'!$C$63&gt;=DATE('Second Earner'!$C$10,1,1),'Second Earner'!$C$63&lt;=DATE('Second Earner'!$C$10,12,31)),'Second Earner'!$C$63,999999),IF(AND('Second Earner'!$C$64&gt;MAX($B$6:$B7),'Second Earner'!$C$64&gt;=DATE('Second Earner'!$C$10,1,1),'Second Earner'!$C$64&lt;=DATE('Second Earner'!$C$10,12,31)),'Second Earner'!$C$64,999999),IF(AND('Second Earner'!$C$65&gt;MAX($B$6:$B7),'Second Earner'!$C$65&gt;=DATE('Second Earner'!$C$10,1,1),'Second Earner'!$C$65&lt;=DATE('Second Earner'!$C$10,12,31)),'Second Earner'!$C$65,999999),IF(AND('Second Earner'!$C$66&gt;MAX($B$6:$B7),'Second Earner'!$C$66&gt;=DATE('Second Earner'!$C$10,1,1),'Second Earner'!$C$66&lt;=DATE('Second Earner'!$C$10,12,31)),'Second Earner'!$C$66,999999),IF(AND('Second Earner'!$C$67&gt;MAX($B$6:$B7),'Second Earner'!$C$67&gt;=DATE('Second Earner'!$C$10,1,1),'Second Earner'!$C$67&lt;=DATE('Second Earner'!$C$10,12,31)),'Second Earner'!$C$67,999999)))</f>
      </c>
      <c r="CF8">
        <f>IF($B8="","",IF($D8=0,$Y8,""))</f>
      </c>
    </row>
    <row r="9">
      <c r="A9" t="n">
        <v>4</v>
      </c>
      <c r="B9" s="21">
        <f>IF(AND($CD9="",$CE9=""),"",IF($CE9="",$CD9,IF($CD9="",$CE9,MIN($CD9,$CE9))))</f>
      </c>
      <c r="C9" s="7">
        <f>IF($B9="","",IF($BF9=0,0,IF('Second Earner'!$C$4="Annual salary",ROUND($AK9/IF(AND('Second Earner'!$C$88="Actual paydays",MONTH('Second Earner'!$C$9)=1),MAX(1,MAX($BE$6:$BE$68)),'Second Earner'!$C$8),2),$AK9)))</f>
      </c>
      <c r="D9" s="7">
        <f>IF($B9="","",SUMIF('Second Earner'!$C$58:$C$67,$B9,'Second Earner'!$D$58:$D$67))</f>
      </c>
      <c r="E9" s="7">
        <f>IF($B9="","",ROUND(MAX(0,MIN(IF($AL9="Percent",$AM9*($C9+$D9),$AM9),MAX(0,'Second Earner'!$C$34-$AC8))),2))</f>
      </c>
      <c r="F9" s="7">
        <f>IF($B9="","",ROUND(MAX(0,MIN(IF('Second Earner'!$C$32="Percent",'Second Earner'!$D$32*($C9+$D9),'Second Earner'!$D$32),MAX(0,'Second Earner'!$C$34-$AC8-$E9))),2))</f>
      </c>
      <c r="G9" s="7">
        <f>IF($B9="","",IF($BF9=0,0,ROUND(MAX(0,MIN($BL9,'Second Earner'!$C$37-'Second Earner'!$C$54-$BI8)),2)))</f>
      </c>
      <c r="H9" s="7">
        <f>IF($B9="","",IF(OR($BF9=0,$BQ9=1),0,ROUND(MAX(0,MIN(IF($BS9=1,ROUND(MAX(0,MIN($BJ9,'How This Works &amp; Sources'!$C$13)-$BG8)/MAX(1,MAX($BE$6:$BE$68)-($BE8)),2),ROUND(MIN($BJ9,'How This Works &amp; Sources'!$C$13)/'Second Earner'!$C$8,2)),MIN($BJ9,'How This Works &amp; Sources'!$C$13)-$BG8)),2)))</f>
      </c>
      <c r="I9" s="7">
        <f>IF($B9="","",IF(OR($BF9=0,$BR9=1),0,ROUND(MAX(0,MIN(IF($BT9=1,ROUND(MAX(0,MIN($BK9,IF('Second Earner'!$C$12="MFJ",'How This Works &amp; Sources'!$C$14,'How This Works &amp; Sources'!$C$15))-$BH8)/MAX(1,MAX($BE$6:$BE$68)-($BE8)),2),ROUND(MIN($BK9,IF('Second Earner'!$C$12="MFJ",'How This Works &amp; Sources'!$C$14,'How This Works &amp; Sources'!$C$15))/'Second Earner'!$C$8,2)),MIN($BK9,IF('Second Earner'!$C$12="MFJ",'How This Works &amp; Sources'!$C$14,'How This Works &amp; Sources'!$C$15))-$BH8)),2)))</f>
      </c>
      <c r="J9" s="7">
        <f>IF($B9="","",IF($BF9=0,0,$BM9))</f>
      </c>
      <c r="K9" s="7">
        <f>IF($B9="","",IF($BF9=0,0,$BN9+$BO9))</f>
      </c>
      <c r="L9" s="7">
        <f>IF($B9="","",IF($BF9=0,0,'Second Earner'!$D$46))</f>
      </c>
      <c r="M9" s="7">
        <f>IF($B9="","",$C9+$D9+$L9-$E9-$G9-$H9-$I9-$J9-$K9)</f>
      </c>
      <c r="N9" s="7">
        <f>IF($B9="","",$C9+$D9+$L9-$G9-$H9-$I9-$J9-$K9)</f>
      </c>
      <c r="O9" s="7">
        <f>IF($B9="","",$C9+$D9+$L9-$E9-$H9-$I9-$J9-$K9-IF(OR($AN9="CA",$AN9="NJ"),0,$G9))</f>
      </c>
      <c r="P9" s="7">
        <f>IF($B9="","",IF('Second Earner'!$C$18,0,ROUND(MAX(0,IF('Second Earner'!$C$13,SUMPRODUCT(($AH9&gt;INDEX('How This Works &amp; Sources'!$B$29:$J$36,0,IF('Second Earner'!$C$12="MFJ",1,IF('Second Earner'!$C$12="HoH",7,4))))*($AH9-INDEX('How This Works &amp; Sources'!$B$29:$J$36,0,IF('Second Earner'!$C$12="MFJ",1,IF('Second Earner'!$C$12="HoH",7,4))))*INDEX('How This Works &amp; Sources'!$B$29:$J$36,0,IF('Second Earner'!$C$12="MFJ",1,IF('Second Earner'!$C$12="HoH",7,4))+2)),SUMPRODUCT(($AH9&gt;INDEX('How This Works &amp; Sources'!$B$19:$J$26,0,IF('Second Earner'!$C$12="MFJ",1,IF('Second Earner'!$C$12="HoH",7,4))))*($AH9-INDEX('How This Works &amp; Sources'!$B$19:$J$26,0,IF('Second Earner'!$C$12="MFJ",1,IF('Second Earner'!$C$12="HoH",7,4))))*INDEX('How This Works &amp; Sources'!$B$19:$J$26,0,IF('Second Earner'!$C$12="MFJ",1,IF('Second Earner'!$C$12="HoH",7,4))+2)))/'Second Earner'!$C$8-$AO9/'Second Earner'!$C$8)+$AR9+IF('Second Earner'!$C$89="Aggregate",MAX(0,IF('Second Earner'!$C$13,SUMPRODUCT((($AH9+$D9)&gt;INDEX('How This Works &amp; Sources'!$B$29:$J$36,0,IF('Second Earner'!$C$12="MFJ",1,IF('Second Earner'!$C$12="HoH",7,4))))*(($AH9+$D9)-INDEX('How This Works &amp; Sources'!$B$29:$J$36,0,IF('Second Earner'!$C$12="MFJ",1,IF('Second Earner'!$C$12="HoH",7,4))))*INDEX('How This Works &amp; Sources'!$B$29:$J$36,0,IF('Second Earner'!$C$12="MFJ",1,IF('Second Earner'!$C$12="HoH",7,4))+2)),SUMPRODUCT((($AH9+$D9)&gt;INDEX('How This Works &amp; Sources'!$B$19:$J$26,0,IF('Second Earner'!$C$12="MFJ",1,IF('Second Earner'!$C$12="HoH",7,4))))*(($AH9+$D9)-INDEX('How This Works &amp; Sources'!$B$19:$J$26,0,IF('Second Earner'!$C$12="MFJ",1,IF('Second Earner'!$C$12="HoH",7,4))))*INDEX('How This Works &amp; Sources'!$B$19:$J$26,0,IF('Second Earner'!$C$12="MFJ",1,IF('Second Earner'!$C$12="HoH",7,4))+2)))-IF('Second Earner'!$C$13,SUMPRODUCT(($AH9&gt;INDEX('How This Works &amp; Sources'!$B$29:$J$36,0,IF('Second Earner'!$C$12="MFJ",1,IF('Second Earner'!$C$12="HoH",7,4))))*($AH9-INDEX('How This Works &amp; Sources'!$B$29:$J$36,0,IF('Second Earner'!$C$12="MFJ",1,IF('Second Earner'!$C$12="HoH",7,4))))*INDEX('How This Works &amp; Sources'!$B$29:$J$36,0,IF('Second Earner'!$C$12="MFJ",1,IF('Second Earner'!$C$12="HoH",7,4))+2)),SUMPRODUCT(($AH9&gt;INDEX('How This Works &amp; Sources'!$B$19:$J$26,0,IF('Second Earner'!$C$12="MFJ",1,IF('Second Earner'!$C$12="HoH",7,4))))*($AH9-INDEX('How This Works &amp; Sources'!$B$19:$J$26,0,IF('Second Earner'!$C$12="MFJ",1,IF('Second Earner'!$C$12="HoH",7,4))))*INDEX('How This Works &amp; Sources'!$B$19:$J$26,0,IF('Second Earner'!$C$12="MFJ",1,IF('Second Earner'!$C$12="HoH",7,4))+2)))),'How This Works &amp; Sources'!$C$10*$D9),2)))</f>
      </c>
      <c r="Q9" s="7">
        <f>IF($B9="","",ROUND('How This Works &amp; Sources'!$C$4*MIN($N9,MAX(0,'How This Works &amp; Sources'!$C$3-($AX9+$AB8-$AW9))),2))</f>
      </c>
      <c r="R9" s="7">
        <f>IF($B9="","",ROUND('How This Works &amp; Sources'!$C$5*$N9,2))</f>
      </c>
      <c r="S9" s="7">
        <f>IF($B9="","",ROUND('How This Works &amp; Sources'!$C$6*MAX(0,MIN($N9,$AG8+$N9-'How This Works &amp; Sources'!$C$7)),2))</f>
      </c>
      <c r="T9" s="7">
        <f>IF($B9="","",IF('Second Earner'!$C$26,0,IF($AN9="CA",ROUND(IF($AI9&lt;=IF(($AS9+$AT9)&gt;=2,VLOOKUP($AN9,StateTables!$A$6:$AB$56,10,FALSE),VLOOKUP($AN9,StateTables!$A$6:$AB$56,9,FALSE)),0,MAX(0,SUMPRODUCT(($AJ9&gt;INDEX('How This Works &amp; Sources'!$B$39:$J$48,0,IF($AU9="Married",4,IF($AU9="Head of household",7,1))))*($AJ9-INDEX('How This Works &amp; Sources'!$B$39:$J$48,0,IF($AU9="Married",4,IF($AU9="Head of household",7,1))))*INDEX('How This Works &amp; Sources'!$B$39:$J$48,0,IF($AU9="Married",4,IF($AU9="Head of household",7,1))+2))-VLOOKUP($AN9,StateTables!$A$6:$AB$56,11,FALSE)*$AS9)/'Second Earner'!$C$8)+'Second Earner'!$C$25+VLOOKUP($AN9,StateTables!$A$6:$AB$56,13,FALSE)*$D9,2),IF(VLOOKUP($AN9,StateTables!$A$6:$AB$56,4,FALSE)="None",0,IF(ISNUMBER(SEARCH("MANUAL",VLOOKUP($AN9,StateTables!$A$6:$AB$56,5,FALSE))),'Second Earner'!$C$28,ROUND(MAX(0,$BA9+$BB9)/'Second Earner'!$C$8+'Second Earner'!$C$25+$BC9,2))))))</f>
      </c>
      <c r="U9" s="7">
        <f>IF($B9="","",IF(VLOOKUP($AN9,StateTables!$A$6:$AB$56,24,FALSE)="flatq",IF(OR(MONTH($B9)=1,MONTH($B9)=4,MONTH($B9)=7,MONTH($B9)=10),VLOOKUP($AN9,StateTables!$A$6:$AB$56,25,FALSE),0),IF(VLOOKUP($AN9,StateTables!$A$6:$AB$56,24,FALSE)="dbl",MIN(ROUND(0.005*$N9,2),ROUND(0.6*52/'Second Earner'!$C$8,2)),IF(OR(VLOOKUP($AN9,StateTables!$A$6:$AB$56,15,FALSE)="",VLOOKUP($AN9,StateTables!$A$6:$AB$56,15,FALSE)=0),0,ROUND(VLOOKUP($AN9,StateTables!$A$6:$AB$56,15,FALSE)*IF(OR(VLOOKUP($AN9,StateTables!$A$6:$AB$56,16,FALSE)="",VLOOKUP($AN9,StateTables!$A$6:$AB$56,16,FALSE)=0),$N9,MIN($N9,MAX(0,VLOOKUP($AN9,StateTables!$A$6:$AB$56,16,FALSE)-($AX9+$AB8-$AW9)))),2))))+IF(VLOOKUP($AN9,StateTables!$A$6:$AB$56,27,FALSE)="flatq",IF(OR(MONTH($B9)=1,MONTH($B9)=4,MONTH($B9)=7,MONTH($B9)=10),VLOOKUP($AN9,StateTables!$A$6:$AB$56,28,FALSE),0),IF(VLOOKUP($AN9,StateTables!$A$6:$AB$56,27,FALSE)="dbl",MIN(ROUND(0.005*$N9,2),ROUND(0.6*52/'Second Earner'!$C$8,2)),IF(OR(VLOOKUP($AN9,StateTables!$A$6:$AB$56,18,FALSE)="",VLOOKUP($AN9,StateTables!$A$6:$AB$56,18,FALSE)=0),0,ROUND(VLOOKUP($AN9,StateTables!$A$6:$AB$56,18,FALSE)*IF(OR(VLOOKUP($AN9,StateTables!$A$6:$AB$56,19,FALSE)="",VLOOKUP($AN9,StateTables!$A$6:$AB$56,19,FALSE)=0),$N9,MIN($N9,MAX(0,VLOOKUP($AN9,StateTables!$A$6:$AB$56,19,FALSE)-($AX9+$AB8-$AW9)))),2)))))</f>
      </c>
      <c r="V9" s="7">
        <f>IF($B9="","",IF($AN9="NY",IF('Second Earner'!$C$78,ROUND(SUMPRODUCT((MAX(0,($O9-$D9)*'Second Earner'!$C$8-(IF($AU9="Married",5500,5000)+1000*$AS9))&gt;INDEX('How This Works &amp; Sources'!$B$184:$J$198,0,4))*(MAX(0,($O9-$D9)*'Second Earner'!$C$8-(IF($AU9="Married",5500,5000)+1000*$AS9))-INDEX('How This Works &amp; Sources'!$B$184:$J$198,0,4))*INDEX('How This Works &amp; Sources'!$B$184:$J$198,0,4+2))/'Second Earner'!$C$8+0.0425*$D9,2),0)+IF('Second Earner'!$C$79="Resident",ROUND(0.1675*$T9,2),IF('Second Earner'!$C$79="Nonresident",ROUND(0.005*MAX(0,($O9-$D9)-(IF($AU9="Married",7950,7400)+1000*$AS9)/'Second Earner'!$C$8),2),0)),IF($AN9="PA",IF('Second Earner'!$C$80="None",'Second Earner'!$C$27+ROUND('Second Earner'!$C$81*($C9+$D9),2),ROUND(IF('Second Earner'!$C$80="Resident",IF($B9&lt;DATE(2026,7,1),0.0374,0.03735),IF($B9&lt;DATE(2026,7,1),0.0343,0.03425))*($C9+$D9),2)),IF($BF9=0,ROUND('Second Earner'!$C$81*($C9+$D9),2),'Second Earner'!$C$27+ROUND('Second Earner'!$C$81*($C9+$D9),2)))))</f>
      </c>
      <c r="W9" s="7">
        <f>IF($B9="","",IF($BF9=0,0,$BP9))</f>
      </c>
      <c r="X9" s="7">
        <f>IF($B9="","",SUM($E9:$K9)+$P9+$Q9+$R9+$S9+$T9+$U9+$V9+$W9)</f>
      </c>
      <c r="Y9" s="22">
        <f>IF($B9="","",$C9+$D9-$X9)</f>
      </c>
      <c r="Z9" s="7">
        <f>IF($B9="","",$Z8+$C9+$D9)</f>
      </c>
      <c r="AA9" s="7">
        <f>IF($B9="","",$AA8+$Y9)</f>
      </c>
      <c r="AB9" s="7">
        <f>IF($B9="","",$AB8+MIN($N9,MAX(0,'How This Works &amp; Sources'!$C$3-($AX9+$AB8-$AW9))))</f>
      </c>
      <c r="AC9" s="7">
        <f>IF($B9="","",$AC8+$E9+$F9)</f>
      </c>
      <c r="AD9" s="3">
        <f>IF($B9="","",IF(AND($AB8&lt;'How This Works &amp; Sources'!$C$3,$AB9&gt;='How This Works &amp; Sources'!$C$3),"★ Social Security maxed on this check — from the next check your net rises by about $"&amp;TEXT(ROUND('How This Works &amp; Sources'!$C$4*$N9,2),"#,##0.00")&amp;". ","")&amp;IF(AND($AC8&lt;'Second Earner'!$C$34,$AC9&gt;='Second Earner'!$C$34),"★ 401(k) reaches the $"&amp;TEXT('Second Earner'!$C$34,"#,##0")&amp;" cap on this check — deferrals stop and net pay rises. ","")&amp;IF(AND($AG8&lt;'How This Works &amp; Sources'!$C$7,$AG9&gt;='How This Works &amp; Sources'!$C$7),"★ Wages pass $200,000 — the 0.9% Additional Medicare Tax starts here. ","")&amp;IF(AND($BJ9&gt;0,$H9&gt;0,$BG8&lt;MIN($BJ9,'How This Works &amp; Sources'!$C$13),$BG8+$H9&gt;=MIN($BJ9,'How This Works &amp; Sources'!$C$13)),"★ Health FSA election is now fully deferred for the year. ",""))</f>
      </c>
      <c r="AE9" s="41" t="n"/>
      <c r="AF9" s="7">
        <f>IF(OR($B9="",$AE9=""),"",$AE9-$Y9)</f>
      </c>
      <c r="AG9" s="7">
        <f>IF($B9="","",$AG8+$N9)</f>
      </c>
      <c r="AH9" s="7">
        <f>IF($B9="","",MAX(0,($M9-$D9)*'Second Earner'!$C$8+$AP9-$AQ9-IF('Second Earner'!$C$13,0,IF('Second Earner'!$C$12="MFJ",'How This Works &amp; Sources'!$C$8,'How This Works &amp; Sources'!$C$9))))</f>
      </c>
      <c r="AI9" s="7">
        <f>IF($B9="","",$O9*'Second Earner'!$C$8)</f>
      </c>
      <c r="AJ9" s="7">
        <f>IF($B9="","",MAX(0,$AI9-VLOOKUP($AN9,StateTables!$A$6:$AB$56,12,FALSE)*$AT9-IF(($AS9+$AT9)&gt;=2,VLOOKUP($AN9,StateTables!$A$6:$AB$56,8,FALSE),VLOOKUP($AN9,StateTables!$A$6:$AB$56,7,FALSE))))</f>
      </c>
      <c r="AK9" s="7">
        <f>IF($B9="","",IFERROR(LOOKUP(2,1/(('Changes — Earner 2'!$C$6:$C$17="Salary change")*('Changes — Earner 2'!$B$6:$B$17&lt;=$B9)*('Changes — Earner 2'!$B$6:$B$17&lt;&gt;"")),'Changes — Earner 2'!$D$6:$D$17),IF('Second Earner'!$C$4="Annual salary",'Second Earner'!$C$5,'Second Earner'!$C$6)))</f>
      </c>
      <c r="AL9">
        <f>IF($B9="","",IFERROR(LOOKUP(2,1/(('Changes — Earner 2'!$C$6:$C$17="401(k) change")*('Changes — Earner 2'!$B$6:$B$17&lt;=$B9)*('Changes — Earner 2'!$B$6:$B$17&lt;&gt;"")),'Changes — Earner 2'!$D$6:$D$17),'Second Earner'!$C$30))</f>
      </c>
      <c r="AM9" s="7">
        <f>IF($B9="","",IFERROR(LOOKUP(2,1/(('Changes — Earner 2'!$C$6:$C$17="401(k) change")*('Changes — Earner 2'!$B$6:$B$17&lt;=$B9)*('Changes — Earner 2'!$B$6:$B$17&lt;&gt;"")),'Changes — Earner 2'!$E$6:$E$17),'Second Earner'!$D$31))</f>
      </c>
      <c r="AN9">
        <f>IF($B9="","",IFERROR(LOOKUP(2,1/(('Changes — Earner 2'!$C$6:$C$17="State move")*('Changes — Earner 2'!$B$6:$B$17&lt;=$B9)*('Changes — Earner 2'!$B$6:$B$17&lt;&gt;"")),'Changes — Earner 2'!$D$6:$D$17),'Second Earner'!$C$21))</f>
      </c>
      <c r="AO9" s="7">
        <f>IF($B9="","",IFERROR(LOOKUP(2,1/(('Changes — Earner 2'!$C$6:$C$17="W-4 change")*('Changes — Earner 2'!$B$6:$B$17&lt;=$B9)*('Changes — Earner 2'!$B$6:$B$17&lt;&gt;"")),'Changes — Earner 2'!$D$6:$D$17),'Second Earner'!$C$14))</f>
      </c>
      <c r="AP9" s="7">
        <f>IF($B9="","",IFERROR(LOOKUP(2,1/(('Changes — Earner 2'!$C$6:$C$17="W-4 change")*('Changes — Earner 2'!$B$6:$B$17&lt;=$B9)*('Changes — Earner 2'!$B$6:$B$17&lt;&gt;"")),'Changes — Earner 2'!$E$6:$E$17),'Second Earner'!$C$15))</f>
      </c>
      <c r="AQ9" s="7">
        <f>IF($B9="","",IFERROR(LOOKUP(2,1/(('Changes — Earner 2'!$C$6:$C$17="W-4 change")*('Changes — Earner 2'!$B$6:$B$17&lt;=$B9)*('Changes — Earner 2'!$B$6:$B$17&lt;&gt;"")),'Changes — Earner 2'!$F$6:$F$17),'Second Earner'!$C$16))</f>
      </c>
      <c r="AR9" s="7">
        <f>IF($B9="","",IFERROR(LOOKUP(2,1/(('Changes — Earner 2'!$C$6:$C$17="W-4 change")*('Changes — Earner 2'!$B$6:$B$17&lt;=$B9)*('Changes — Earner 2'!$B$6:$B$17&lt;&gt;"")),'Changes — Earner 2'!$G$6:$G$17),'Second Earner'!$C$17))</f>
      </c>
      <c r="AS9" s="6">
        <f>IF($B9="","",IFERROR(LOOKUP(2,1/((('Changes — Earner 2'!$C$6:$C$17="State move")+('Changes — Earner 2'!$C$6:$C$17="State cert change"))*('Changes — Earner 2'!$B$6:$B$17&lt;=$B9)*('Changes — Earner 2'!$B$6:$B$17&lt;&gt;"")),'Changes — Earner 2'!$F$6:$F$17),'Second Earner'!$C$23))</f>
      </c>
      <c r="AT9" s="6">
        <f>IF($B9="","",IFERROR(LOOKUP(2,1/((('Changes — Earner 2'!$C$6:$C$17="State move")+('Changes — Earner 2'!$C$6:$C$17="State cert change"))*('Changes — Earner 2'!$B$6:$B$17&lt;=$B9)*('Changes — Earner 2'!$B$6:$B$17&lt;&gt;"")),'Changes — Earner 2'!$G$6:$G$17),'Second Earner'!$C$24))</f>
      </c>
      <c r="AU9">
        <f>IF($B9="","",IFERROR(LOOKUP(2,1/(('Changes — Earner 2'!$C$6:$C$17="State move")*('Changes — Earner 2'!$B$6:$B$17&lt;=$B9)*('Changes — Earner 2'!$B$6:$B$17&lt;&gt;"")),'Changes — Earner 2'!$E$6:$E$17),'Second Earner'!$C$22))</f>
      </c>
      <c r="AV9" s="6">
        <f>IF($B9="","",1+COUNTIFS('Changes — Earner 2'!$C$6:$C$17,"Employer change",'Changes — Earner 2'!$B$6:$B$17,"&lt;="&amp;$B9,'Changes — Earner 2'!$B$6:$B$17,"&lt;&gt;"))</f>
      </c>
      <c r="AW9" s="7">
        <f>IF($B9="","",IF($AV9=1,'Second Earner'!$C$49,IF(IFERROR(MATCH(IFERROR(LOOKUP(2,1/(('Changes — Earner 2'!$C$6:$C$17="Employer change")*('Changes — Earner 2'!$B$6:$B$17&lt;=$B9)*('Changes — Earner 2'!$B$6:$B$17&lt;&gt;"")),'Changes — Earner 2'!$B$6:$B$17),""),$B$6:$B$68,1),1)&lt;=1,'Second Earner'!$C$49,INDEX($AB$6:$AB$68,MATCH(IFERROR(LOOKUP(2,1/(('Changes — Earner 2'!$C$6:$C$17="Employer change")*('Changes — Earner 2'!$B$6:$B$17&lt;=$B9)*('Changes — Earner 2'!$B$6:$B$17&lt;&gt;"")),'Changes — Earner 2'!$B$6:$B$17),""),$B$6:$B$68,1)-1))))</f>
      </c>
      <c r="AX9" s="7">
        <f>IF($B9="","",IF($AV9=1,'Second Earner'!$C$49,IFERROR(LOOKUP(2,1/(('Changes — Earner 2'!$C$6:$C$17="Employer change")*('Changes — Earner 2'!$B$6:$B$17&lt;=$B9)*('Changes — Earner 2'!$B$6:$B$17&lt;&gt;"")),'Changes — Earner 2'!$D$6:$D$17),0)))</f>
      </c>
      <c r="AY9" s="7">
        <f>IF($B9="","",($O9-$D9)*'Second Earner'!$C$8)</f>
      </c>
      <c r="AZ9" s="7">
        <f>IF($B9="","",IF($AN9="AL",MAX(0,$AY9-IF($AU9="Married",IF($AY9&lt;=25999,8500,MAX(5000,8500-175*CEILING(($AY9-25999)/500,1))),IF($AU9="Head of household",IF($AY9&lt;=25999,5200,MAX(2500,5200-135*CEILING(($AY9-25999)/500,1))),IF($AY9&lt;=25999,3000,MAX(2500,3000-25*CEILING(($AY9-25999)/500,1)))))-($P9-'How This Works &amp; Sources'!$C$10*$D9)*'Second Earner'!$C$8-IF(OR($AU9="Married",$AU9="Head of household"),3000,1500)-$AT9*IF($AY9&lt;=50000,1000,IF($AY9&lt;=100000,500,300))),IF($AN9="AR",IF(MAX(0,$AY9-2470)&lt;97701,INT(MAX(0,$AY9-2470)/100)*100+50,MAX(0,$AY9-2470)),IF($AN9="DE",MAX(0,$AI9-3250),IF($AN9="HI",MAX(0,$AI9-1144*$AS9-4350),IF($AN9="KS",MAX(0,$AI9-(9160*IF($AU9="Married",2,1)+2320*$AT9+IF($AU9="Head of household",2320,0))),IF($AN9="MD",MAX(0,$AI9-3400-3200*$AS9),IF($AN9="MN",MAX(0,$AY9-5300*$AS9),IF($AN9="MO",MAX(0,$AI9-IF($AU9="Head of household",24150,IF($AU9="Married",IF('Second Earner'!$C$83,16100,32200),16100))),IF($AN9="MT",$AY9,IF($AN9="ND",($C9+$L9)*'Second Earner'!$C$8,IF($AN9="NE",MAX(0,$AY9-2440*$AS9),IF($AN9="NJ",MAX(0,$AY9-1000*$AS9),IF($AN9="NY",MAX(0,$AY9-(IF($AU9="Married",7950,7400)+1000*$AS9)),IF($AN9="OH",MAX(0,$AY9-650*$AS9),IF($AN9="OK",MAX(0,$AY9-1000*$AS9),IF($AN9="RI",MAX(0,$AI9-1000*$AS9),IF($AN9="SC",MAX(0,$AI9-5000*$AS9-IF($AS9=0,0,MIN(0.1*$AI9,7500))),IF($AN9="VA",MAX(0,$AI9-IF($AU9="Married",17500,8750)-930*$AS9-800*$AT9),IF($AN9="VT",MAX(0,$AI9-5400*$AS9),IF($AN9="WI",MAX(0,$AI9-MAX(0,IF($AU9="Married",9461-0.2*MAX(0,$AI9-25727),6702-0.12*MAX(0,$AI9-17780)))-400*$AS9),IF($AN9="WV",MAX(0,$AI9-2000*$AS9),$AI9))))))))))))))))))))))</f>
      </c>
      <c r="BA9" s="7">
        <f>IF($B9="","",IF($BW9&lt;&gt;"",$BW9,IF($BX9&lt;&gt;"",$BX9,IF($BY9&lt;&gt;"",$BY9,0))))</f>
      </c>
      <c r="BB9" s="7">
        <f>IF($B9="","",IF($AN9="AR",-29*$AS9,IF($AN9="DE",-110*$AS9,IF($AN9="MD",$AZ9*'Second Earner'!$C$74,IF($AN9="AZ",'Second Earner'!$C$82*($M9-$D9)*'Second Earner'!$C$8,IF($AN9="CO",0.044*MAX(0,$AY9-IF($AU9="Married",10000,5000)),IF($AN9="IA",MAX(0,0.038*MAX(0,$AY9-IF($AU9="Head of household",19500,IF($AU9="Married",26000,13000)))-40*$AS9),IF($AN9="ID",0.053*MAX(0,$AY9-IF($AU9="Married",32000,16094)),IF($AN9="IL",0.0495*MAX(0,$AY9-(2925*$AS9+1000*$AT9)),IF($AN9="IN",(0.0295+'Second Earner'!$C$76)*MAX(0,$AY9-(1000*$AS9+1500*$AT9+3000*'Second Earner'!$C$86)),IF($AN9="KY",0.035*MAX(0,$AI9-3360),IF($AN9="LA",IF('Second Earner'!$C$84="0",0.0309*$AI9,0.0309*MAX(0,$AI9-IF('Second Earner'!$C$84="2",25750,12875))),IF($AN9="MA",0.05*MIN(MAX(0,$AY9-MIN(($BD8+$Q9+$R9+$S9),2000)-IF($AS9=0,0,IF($AS9=1,4400,1000*$AS9+3400))),1107750)+0.09*MAX(0,MAX(0,$AY9-MIN(($BD8+$Q9+$R9+$S9),2000)-IF($AS9=0,0,IF($AS9=1,4400,1000*$AS9+3400)))-1107750)-IF($AU9="Head of household",120,0)-110*'Second Earner'!$C$75,IF($AN9="MI",0.0425*MAX(0,$AY9-5900*$AS9),IF($AN9="MS",0.04*MAX(0,$AI9-IF($AU9="Head of household",3400,IF($AU9="Married",4600,2300))-'Second Earner'!$C$85-10000),IF($AN9="OR",IF(OR($AU9="Married",AND($AU9="Single",$AS9&gt;=3)),SUMPRODUCT((MAX(0,$AY9-MIN(($P9-'How This Works &amp; Sources'!$C$10*$D9)*'Second Earner'!$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Sources'!$B$211:$J$214,0,4))*(MAX(0,$AY9-MIN(($P9-'How This Works &amp; Sources'!$C$10*$D9)*'Second Earner'!$C$8,IF(OR($AU9="Married",AND($AU9="Single",$AS9&gt;=3)),IF($AY9&lt;250000,8750,IF($AY9&lt;260000,7000,IF($AY9&lt;270000,5250,IF($AY9&lt;280000,3500,IF($AY9&lt;290000,1750,0))))),IF($AY9&lt;125000,8750,IF($AY9&lt;130000,7000,IF($AY9&lt;135000,5250,IF($AY9&lt;140000,3500,IF($AY9&lt;145000,1750,0)))))))-IF(OR($AU9="Married",AND($AU9="Single",$AS9&gt;=3)),5820,2910))-INDEX('How This Works &amp; Sources'!$B$211:$J$214,0,4))*INDEX('How This Works &amp; Sources'!$B$211:$J$214,0,4+2)),SUMPRODUCT((MAX(0,$AY9-MIN(($P9-'How This Works &amp; Sources'!$C$10*$D9)*'Second Earner'!$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Sources'!$B$211:$J$214,0,1))*(MAX(0,$AY9-MIN(($P9-'How This Works &amp; Sources'!$C$10*$D9)*'Second Earner'!$C$8,IF(OR($AU9="Married",AND($AU9="Single",$AS9&gt;=3)),IF($AY9&lt;250000,8750,IF($AY9&lt;260000,7000,IF($AY9&lt;270000,5250,IF($AY9&lt;280000,3500,IF($AY9&lt;290000,1750,0))))),IF($AY9&lt;125000,8750,IF($AY9&lt;130000,7000,IF($AY9&lt;135000,5250,IF($AY9&lt;140000,3500,IF($AY9&lt;145000,1750,0)))))))-IF(OR($AU9="Married",AND($AU9="Single",$AS9&gt;=3)),5820,2910))-INDEX('How This Works &amp; Sources'!$B$211:$J$214,0,1))*INDEX('How This Works &amp; Sources'!$B$211:$J$214,0,1+2)))+263-263*IF(IF($AU9="Married",$AY9&gt;200000,$AY9&gt;100000),0,$AS9),IF($AN9="PA",0.0307*(($O9+$E9+$G9)*'Second Earner'!$C$8),IF($AN9="NY",IF($AU9="Married",IF($AZ9&gt;=2155350,0,IF($AZ9&gt;=1077550,0.48,IF($AZ9&gt;=373200,1.21,IF($AZ9&gt;=323200,0.21,IF($AZ9&gt;=211550,-0.19,IF($AZ9&gt;=157650,-2.8,IF($AZ9&gt;=107650,-0.8,IF($AZ9&gt;=96800,0.05,IF($AZ9&gt;=80650,-0.1,IF($AZ9&gt;=13900,0.4,IF($AZ9&gt;=11700,-0.3,IF($AZ9&gt;=8500,0.5,0)))))))))))),IF($AZ9&gt;=1077550,0,IF($AZ9&gt;=265400,4.29,IF($AZ9&gt;=215400,2.29,IF($AZ9&gt;=157650,2.29,IF($AZ9&gt;=107650,0.29,IF($AZ9&gt;=96800,0.05,IF($AZ9&gt;=80650,-0.1,IF($AZ9&gt;=13900,0.4,IF($AZ9&gt;=11700,-0.3,IF($AZ9&gt;=8500,0.5,0))))))))))),0))))))))))))))))))</f>
      </c>
      <c r="BC9" s="7">
        <f>IF($B9="","",IF($AN9="AL",0.05*$D9,IF($AN9="AR",0.039*$D9,IF($AN9="ID",0.053*$D9,IF($AN9="IN",(0.0295+'Second Earner'!$C$76)*$D9,IF($AN9="KS",0.05*$D9,IF($AN9="MA",0.09*MIN($D9,MAX(0,MAX(0,$AY9-MIN(($BD8+$Q9+$R9+$S9),2000)-IF($AS9=0,0,IF($AS9=1,4400,1000*$AS9+3400)))+$D9-1107750))+0.05*($D9-MIN($D9,MAX(0,MAX(0,$AY9-MIN(($BD8+$Q9+$R9+$S9),2000)-IF($AS9=0,0,IF($AS9=1,4400,1000*$AS9+3400)))+$D9-1107750))),IF($AN9="MD",(0.065+'Second Earner'!$C$74)*$D9,IF($AN9="MI",0.0425*$D9,IF($AN9="MN",0.0625*$D9,IF($AN9="MO",0.047*$D9,IF($AN9="MT",0.05*$D9,IF($AN9="ND",0.015*$D9,IF($AN9="NE",0.035*$D9,IF($AN9="NJ",IF('Second Earner'!$C$77="B",SUMPRODUCT(($D9*'Second Earner'!$C$8&gt;INDEX('How This Works &amp; Sources'!$B$155:$J$162,0,4))*($D9*'Second Earner'!$C$8-INDEX('How This Works &amp; Sources'!$B$155:$J$162,0,4))*INDEX('How This Works &amp; Sources'!$B$155:$J$162,0,4+2)),IF('Second Earner'!$C$77="C",SUMPRODUCT(($D9*'Second Earner'!$C$8&gt;INDEX('How This Works &amp; Sources'!$B$155:$J$162,0,7))*($D9*'Second Earner'!$C$8-INDEX('How This Works &amp; Sources'!$B$155:$J$162,0,7))*INDEX('How This Works &amp; Sources'!$B$155:$J$162,0,7+2)),IF('Second Earner'!$C$77="D",SUMPRODUCT(($D9*'Second Earner'!$C$8&gt;INDEX('How This Works &amp; Sources'!$B$167:$J$179,0,1))*($D9*'Second Earner'!$C$8-INDEX('How This Works &amp; Sources'!$B$167:$J$179,0,1))*INDEX('How This Works &amp; Sources'!$B$167:$J$179,0,1+2)),IF('Second Earner'!$C$77="E",SUMPRODUCT(($D9*'Second Earner'!$C$8&gt;INDEX('How This Works &amp; Sources'!$B$167:$J$179,0,4))*($D9*'Second Earner'!$C$8-INDEX('How This Works &amp; Sources'!$B$167:$J$179,0,4))*INDEX('How This Works &amp; Sources'!$B$167:$J$179,0,4+2)),SUMPRODUCT(($D9*'Second Earner'!$C$8&gt;INDEX('How This Works &amp; Sources'!$B$155:$J$162,0,1))*($D9*'Second Earner'!$C$8-INDEX('How This Works &amp; Sources'!$B$155:$J$162,0,1))*INDEX('How This Works &amp; Sources'!$B$155:$J$162,0,1+2))))))/'Second Earner'!$C$8,IF($AN9="NY",0.117*$D9,IF($AN9="OH",0.0275*$D9,IF($AN9="OK",0.045*$D9,IF($AN9="OR",0.08*$D9,IF($AN9="WI",IF($AY9&lt;12760,0.0354,IF($AY9&lt;25520,0.0465,IF($AY9&lt;280950,0.053,0.0765)))*$D9,0))))))))))))))))))))</f>
      </c>
      <c r="BD9" s="7">
        <f>IF($B9="","",$BD8+$Q9+$R9+$S9)</f>
      </c>
      <c r="BE9" s="6">
        <f>IF($B9="",$BE8,$BE8+$BF9)</f>
      </c>
      <c r="BF9" s="6">
        <f>IF($B9="","",IF(AND(IF(YEAR(IF('Second Earner'!$C$7="Weekly",'Second Earner'!$C$9+7*(($BE8+1)-1),IF('Second Earner'!$C$7="Biweekly",'Second Earner'!$C$9+14*(($BE8+1)-1),IF('Second Earner'!$C$7="Semimonthly",DATE(YEAR('Second Earner'!$C$9),MONTH('Second Earner'!$C$9)+INT((($BE8+1)-1)/2),MIN(DAY('Second Earner'!$C$9),DAY(EOMONTH(DATE(YEAR('Second Earner'!$C$9),MONTH('Second Earner'!$C$9)+INT((($BE8+1)-1)/2),1),0))))+IF(MOD(($BE8+1)-1,2)=1,15,0),EDATE('Second Earner'!$C$9,($BE8+1)-1)))))&lt;&gt;'Second Earner'!$C$10,"",IF('Second Earner'!$C$7="Weekly",'Second Earner'!$C$9+7*(($BE8+1)-1),IF('Second Earner'!$C$7="Biweekly",'Second Earner'!$C$9+14*(($BE8+1)-1),IF('Second Earner'!$C$7="Semimonthly",DATE(YEAR('Second Earner'!$C$9),MONTH('Second Earner'!$C$9)+INT((($BE8+1)-1)/2),MIN(DAY('Second Earner'!$C$9),DAY(EOMONTH(DATE(YEAR('Second Earner'!$C$9),MONTH('Second Earner'!$C$9)+INT((($BE8+1)-1)/2),1),0))))+IF(MOD(($BE8+1)-1,2)=1,15,0),EDATE('Second Earner'!$C$9,($BE8+1)-1)))))&lt;&gt;"",$B9=IF(YEAR(IF('Second Earner'!$C$7="Weekly",'Second Earner'!$C$9+7*(($BE8+1)-1),IF('Second Earner'!$C$7="Biweekly",'Second Earner'!$C$9+14*(($BE8+1)-1),IF('Second Earner'!$C$7="Semimonthly",DATE(YEAR('Second Earner'!$C$9),MONTH('Second Earner'!$C$9)+INT((($BE8+1)-1)/2),MIN(DAY('Second Earner'!$C$9),DAY(EOMONTH(DATE(YEAR('Second Earner'!$C$9),MONTH('Second Earner'!$C$9)+INT((($BE8+1)-1)/2),1),0))))+IF(MOD(($BE8+1)-1,2)=1,15,0),EDATE('Second Earner'!$C$9,($BE8+1)-1)))))&lt;&gt;'Second Earner'!$C$10,"",IF('Second Earner'!$C$7="Weekly",'Second Earner'!$C$9+7*(($BE8+1)-1),IF('Second Earner'!$C$7="Biweekly",'Second Earner'!$C$9+14*(($BE8+1)-1),IF('Second Earner'!$C$7="Semimonthly",DATE(YEAR('Second Earner'!$C$9),MONTH('Second Earner'!$C$9)+INT((($BE8+1)-1)/2),MIN(DAY('Second Earner'!$C$9),DAY(EOMONTH(DATE(YEAR('Second Earner'!$C$9),MONTH('Second Earner'!$C$9)+INT((($BE8+1)-1)/2),1),0))))+IF(MOD(($BE8+1)-1,2)=1,15,0),EDATE('Second Earner'!$C$9,($BE8+1)-1)))))),1,0))</f>
      </c>
      <c r="BG9" s="7">
        <f>IF($B9="","",$BG8+$H9)</f>
      </c>
      <c r="BH9" s="7">
        <f>IF($B9="","",$BH8+$I9)</f>
      </c>
      <c r="BI9" s="7">
        <f>IF($B9="","",$BI8+$G9)</f>
      </c>
      <c r="BJ9" s="7">
        <f>IF($B9="","",IFERROR(LOOKUP(2,1/(((('Changes — Earner 2'!$C$6:$C$17="Deduction start"))*('Changes — Earner 2'!$D$6:$D$17="Health FSA"))*('Changes — Earner 2'!$B$6:$B$17&lt;=$B9)*('Changes — Earner 2'!$B$6:$B$17&lt;&gt;"")),'Changes — Earner 2'!$E$6:$E$17),'Second Earner'!$D$38))</f>
      </c>
      <c r="BK9" s="7">
        <f>IF($B9="","",IFERROR(LOOKUP(2,1/(((('Changes — Earner 2'!$C$6:$C$17="Deduction start"))*('Changes — Earner 2'!$D$6:$D$17="Dependent-care FSA"))*('Changes — Earner 2'!$B$6:$B$17&lt;=$B9)*('Changes — Earner 2'!$B$6:$B$17&lt;&gt;"")),'Changes — Earner 2'!$E$6:$E$17),'Second Earner'!$D$39))</f>
      </c>
      <c r="BL9" s="7">
        <f>IF($B9="","",IFERROR(LOOKUP(2,1/(((('Changes — Earner 2'!$C$6:$C$17="Deduction start")+('Changes — Earner 2'!$C$6:$C$17="Deduction stop"))*('Changes — Earner 2'!$D$6:$D$17="HSA"))*('Changes — Earner 2'!$B$6:$B$17&lt;=$B9)*('Changes — Earner 2'!$B$6:$B$17&lt;&gt;"")),'Changes — Earner 2'!$I$6:$I$17),'Second Earner'!$D$35))</f>
      </c>
      <c r="BM9" s="7">
        <f>IF($B9="","",IFERROR(LOOKUP(2,1/(((('Changes — Earner 2'!$C$6:$C$17="Deduction start")+('Changes — Earner 2'!$C$6:$C$17="Deduction stop"))*('Changes — Earner 2'!$D$6:$D$17="Premiums"))*('Changes — Earner 2'!$B$6:$B$17&lt;=$B9)*('Changes — Earner 2'!$B$6:$B$17&lt;&gt;"")),'Changes — Earner 2'!$I$6:$I$17),'Second Earner'!$D$40+'Second Earner'!$D$41+'Second Earner'!$D$42))</f>
      </c>
      <c r="BN9" s="7">
        <f>IF($B9="","",IFERROR(LOOKUP(2,1/(((('Changes — Earner 2'!$C$6:$C$17="Deduction start")+('Changes — Earner 2'!$C$6:$C$17="Deduction stop"))*('Changes — Earner 2'!$D$6:$D$17="Commuter"))*('Changes — Earner 2'!$B$6:$B$17&lt;=$B9)*('Changes — Earner 2'!$B$6:$B$17&lt;&gt;"")),'Changes — Earner 2'!$I$6:$I$17),'Second Earner'!$D$43))</f>
      </c>
      <c r="BO9" s="7">
        <f>IF($B9="","",IFERROR(LOOKUP(2,1/(((('Changes — Earner 2'!$C$6:$C$17="Deduction start")+('Changes — Earner 2'!$C$6:$C$17="Deduction stop"))*('Changes — Earner 2'!$D$6:$D$17="Other pre-tax"))*('Changes — Earner 2'!$B$6:$B$17&lt;=$B9)*('Changes — Earner 2'!$B$6:$B$17&lt;&gt;"")),'Changes — Earner 2'!$I$6:$I$17),'Second Earner'!$D$44))</f>
      </c>
      <c r="BP9" s="7">
        <f>IF($B9="","",IFERROR(LOOKUP(2,1/(((('Changes — Earner 2'!$C$6:$C$17="Deduction start")+('Changes — Earner 2'!$C$6:$C$17="Deduction stop"))*('Changes — Earner 2'!$D$6:$D$17="Other post-tax"))*('Changes — Earner 2'!$B$6:$B$17&lt;=$B9)*('Changes — Earner 2'!$B$6:$B$17&lt;&gt;"")),'Changes — Earner 2'!$I$6:$I$17),'Second Earner'!$D$45))</f>
      </c>
      <c r="BQ9" s="6">
        <f>IF($B9="","",IFERROR(LOOKUP(2,1/(((('Changes — Earner 2'!$C$6:$C$17="Deduction start")+('Changes — Earner 2'!$C$6:$C$17="Deduction stop"))*('Changes — Earner 2'!$D$6:$D$17="Health FSA"))*('Changes — Earner 2'!$B$6:$B$17&lt;=$B9)*('Changes — Earner 2'!$B$6:$B$17&lt;&gt;"")),'Changes — Earner 2'!$J$6:$J$17),0))</f>
      </c>
      <c r="BR9" s="6">
        <f>IF($B9="","",IFERROR(LOOKUP(2,1/(((('Changes — Earner 2'!$C$6:$C$17="Deduction start")+('Changes — Earner 2'!$C$6:$C$17="Deduction stop"))*('Changes — Earner 2'!$D$6:$D$17="Dependent-care FSA"))*('Changes — Earner 2'!$B$6:$B$17&lt;=$B9)*('Changes — Earner 2'!$B$6:$B$17&lt;&gt;"")),'Changes — Earner 2'!$J$6:$J$17),0))</f>
      </c>
      <c r="BS9" s="6">
        <f>IF($B9="","",IF(SUMPRODUCT(('Changes — Earner 2'!$C$6:$C$17="Deduction start")*('Changes — Earner 2'!$B$6:$B$17&lt;=$B9)*('Changes — Earner 2'!$B$6:$B$17&lt;&gt;"")*('Changes — Earner 2'!$D$6:$D$17="Health FSA"))&gt;0,1,0))</f>
      </c>
      <c r="BT9" s="6">
        <f>IF($B9="","",IF(SUMPRODUCT(('Changes — Earner 2'!$C$6:$C$17="Deduction start")*('Changes — Earner 2'!$B$6:$B$17&lt;=$B9)*('Changes — Earner 2'!$B$6:$B$17&lt;&gt;"")*('Changes — Earner 2'!$D$6:$D$17="Dependent-care FSA"))&gt;0,1,0))</f>
      </c>
      <c r="BU9" s="24">
        <f>IF($B9="","",IF('Second Earner'!$C$13,SUMPRODUCT(($AH9&gt;=INDEX('How This Works &amp; Sources'!$B$29:$J$36,0,IF('Second Earner'!$C$12="MFJ",1,IF('Second Earner'!$C$12="HoH",7,4))))*INDEX('How This Works &amp; Sources'!$B$29:$J$36,0,IF('Second Earner'!$C$12="MFJ",1,IF('Second Earner'!$C$12="HoH",7,4))+2)),SUMPRODUCT(($AH9&gt;=INDEX('How This Works &amp; Sources'!$B$19:$J$26,0,IF('Second Earner'!$C$12="MFJ",1,IF('Second Earner'!$C$12="HoH",7,4))))*INDEX('How This Works &amp; Sources'!$B$19:$J$26,0,IF('Second Earner'!$C$12="MFJ",1,IF('Second Earner'!$C$12="HoH",7,4))+2))))</f>
      </c>
      <c r="BV9" s="24">
        <f>IF($B9="","",IF($BZ9&lt;&gt;"",$BZ9,IF($CA9&lt;&gt;"",$CA9,IF($CB9&lt;&gt;"",$CB9,IF($CC9&lt;&gt;"",$CC9,0)))))</f>
      </c>
      <c r="BW9" s="7">
        <f>IF($B9="","",IF($AN9="AR",SUMPRODUCT(($AZ9&gt;INDEX('How This Works &amp; Sources'!$B$82:$J$86,0,7))*($AZ9-INDEX('How This Works &amp; Sources'!$B$82:$J$86,0,7))*INDEX('How This Works &amp; Sources'!$B$82:$J$86,0,7+2)),IF($AN9="MD",IF(OR($AU9="Married",$AU9="Head of household"),SUMPRODUCT(($AZ9&gt;INDEX('How This Works &amp; Sources'!$B$114:$J$120,0,1))*($AZ9-INDEX('How This Works &amp; Sources'!$B$114:$J$120,0,1))*INDEX('How This Works &amp; Sources'!$B$114:$J$120,0,1+2)),SUMPRODUCT(($AZ9&gt;INDEX('How This Works &amp; Sources'!$B$103:$J$109,0,7))*($AZ9-INDEX('How This Works &amp; Sources'!$B$103:$J$109,0,7))*INDEX('How This Works &amp; Sources'!$B$103:$J$109,0,7+2))),IF($AN9="MT",IF($AU9="Head of household",SUMPRODUCT(($AZ9&gt;INDEX('How This Works &amp; Sources'!$B$137:$J$139,0,1))*($AZ9-INDEX('How This Works &amp; Sources'!$B$137:$J$139,0,1))*INDEX('How This Works &amp; Sources'!$B$137:$J$139,0,1+2)),IF($AU9="Married",SUMPRODUCT(($AZ9&gt;INDEX('How This Works &amp; Sources'!$B$125:$J$132,0,7))*($AZ9-INDEX('How This Works &amp; Sources'!$B$125:$J$132,0,7))*INDEX('How This Works &amp; Sources'!$B$125:$J$132,0,7+2)),SUMPRODUCT(($AZ9&gt;INDEX('How This Works &amp; Sources'!$B$125:$J$132,0,4))*($AZ9-INDEX('How This Works &amp; Sources'!$B$125:$J$132,0,4))*INDEX('How This Works &amp; Sources'!$B$125:$J$132,0,4+2)))),IF($AN9="ND",IF($AU9="Head of household",SUMPRODUCT(($AZ9&gt;INDEX('How This Works &amp; Sources'!$B$144:$J$150,0,1))*($AZ9-INDEX('How This Works &amp; Sources'!$B$144:$J$150,0,1))*INDEX('How This Works &amp; Sources'!$B$144:$J$150,0,1+2)),IF($AU9="Married",SUMPRODUCT(($AZ9&gt;INDEX('How This Works &amp; Sources'!$B$137:$J$139,0,7))*($AZ9-INDEX('How This Works &amp; Sources'!$B$137:$J$139,0,7))*INDEX('How This Works &amp; Sources'!$B$137:$J$139,0,7+2)),SUMPRODUCT(($AZ9&gt;INDEX('How This Works &amp; Sources'!$B$137:$J$139,0,4))*($AZ9-INDEX('How This Works &amp; Sources'!$B$137:$J$139,0,4))*INDEX('How This Works &amp; Sources'!$B$137:$J$139,0,4+2)))),IF($AN9="NJ",IF('Second Earner'!$C$77="B",SUMPRODUCT(($AZ9&gt;INDEX('How This Works &amp; Sources'!$B$155:$J$162,0,4))*($AZ9-INDEX('How This Works &amp; Sources'!$B$155:$J$162,0,4))*INDEX('How This Works &amp; Sources'!$B$155:$J$162,0,4+2)),IF('Second Earner'!$C$77="C",SUMPRODUCT(($AZ9&gt;INDEX('How This Works &amp; Sources'!$B$155:$J$162,0,7))*($AZ9-INDEX('How This Works &amp; Sources'!$B$155:$J$162,0,7))*INDEX('How This Works &amp; Sources'!$B$155:$J$162,0,7+2)),IF('Second Earner'!$C$77="D",SUMPRODUCT(($AZ9&gt;INDEX('How This Works &amp; Sources'!$B$167:$J$179,0,1))*($AZ9-INDEX('How This Works &amp; Sources'!$B$167:$J$179,0,1))*INDEX('How This Works &amp; Sources'!$B$167:$J$179,0,1+2)),IF('Second Earner'!$C$77="E",SUMPRODUCT(($AZ9&gt;INDEX('How This Works &amp; Sources'!$B$167:$J$179,0,4))*($AZ9-INDEX('How This Works &amp; Sources'!$B$167:$J$179,0,4))*INDEX('How This Works &amp; Sources'!$B$167:$J$179,0,4+2)),SUMPRODUCT(($AZ9&gt;INDEX('How This Works &amp; Sources'!$B$155:$J$162,0,1))*($AZ9-INDEX('How This Works &amp; Sources'!$B$155:$J$162,0,1))*INDEX('How This Works &amp; Sources'!$B$155:$J$162,0,1+2)))))),IF($AN9="NY",IF($AU9="Married",IF($AZ9&gt;=2155350,$AZ9*IF($AZ9&gt;25000000,0.117,IF($AZ9&gt;5000000,0.111,0.1045)),SUMPRODUCT(($AZ9&gt;INDEX('How This Works &amp; Sources'!$B$184:$J$198,0,1))*($AZ9-INDEX('How This Works &amp; Sources'!$B$184:$J$198,0,1))*INDEX('How This Works &amp; Sources'!$B$184:$J$198,0,1+2))),IF($AZ9&gt;=1077550,$AZ9*IF($AZ9&gt;25000000,0.117,IF($AZ9&gt;5000000,0.111,0.1045)),SUMPRODUCT(($AZ9&gt;INDEX('How This Works &amp; Sources'!$B$167:$J$179,0,7))*($AZ9-INDEX('How This Works &amp; Sources'!$B$167:$J$179,0,7))*INDEX('How This Works &amp; Sources'!$B$167:$J$179,0,7+2)))),"")))))))</f>
      </c>
      <c r="BX9" s="7">
        <f>IF($B9="","",IF($AN9="AL",IF(OR($AU9="Married",$AU9="Head of household"),SUMPRODUCT(($AZ9&gt;INDEX('How This Works &amp; Sources'!$B$82:$J$86,0,4))*($AZ9-INDEX('How This Works &amp; Sources'!$B$82:$J$86,0,4))*INDEX('How This Works &amp; Sources'!$B$82:$J$86,0,4+2)),SUMPRODUCT(($AZ9&gt;INDEX('How This Works &amp; Sources'!$B$82:$J$86,0,1))*($AZ9-INDEX('How This Works &amp; Sources'!$B$82:$J$86,0,1))*INDEX('How This Works &amp; Sources'!$B$82:$J$86,0,1+2))),IF($AN9="KS",IF($AU9="Married",SUMPRODUCT(($AZ9&gt;INDEX('How This Works &amp; Sources'!$B$103:$J$109,0,4))*($AZ9-INDEX('How This Works &amp; Sources'!$B$103:$J$109,0,4))*INDEX('How This Works &amp; Sources'!$B$103:$J$109,0,4+2)),SUMPRODUCT(($AZ9&gt;INDEX('How This Works &amp; Sources'!$B$103:$J$109,0,1))*($AZ9-INDEX('How This Works &amp; Sources'!$B$103:$J$109,0,1))*INDEX('How This Works &amp; Sources'!$B$103:$J$109,0,1+2))),IF($AN9="MN",IF($AU9="Married",SUMPRODUCT(($AZ9&gt;INDEX('How This Works &amp; Sources'!$B$114:$J$120,0,7))*($AZ9-INDEX('How This Works &amp; Sources'!$B$114:$J$120,0,7))*INDEX('How This Works &amp; Sources'!$B$114:$J$120,0,7+2)),SUMPRODUCT(($AZ9&gt;INDEX('How This Works &amp; Sources'!$B$114:$J$120,0,4))*($AZ9-INDEX('How This Works &amp; Sources'!$B$114:$J$120,0,4))*INDEX('How This Works &amp; Sources'!$B$114:$J$120,0,4+2))),IF($AN9="MO",SUMPRODUCT(($AZ9&gt;INDEX('How This Works &amp; Sources'!$B$125:$J$132,0,1))*($AZ9-INDEX('How This Works &amp; Sources'!$B$125:$J$132,0,1))*INDEX('How This Works &amp; Sources'!$B$125:$J$132,0,1+2)),IF($AN9="NE",MAX(IF($AU9="Married",SUMPRODUCT(($AZ9&gt;INDEX('How This Works &amp; Sources'!$B$144:$J$150,0,7))*($AZ9-INDEX('How This Works &amp; Sources'!$B$144:$J$150,0,7))*INDEX('How This Works &amp; Sources'!$B$144:$J$150,0,7+2)),SUMPRODUCT(($AZ9&gt;INDEX('How This Works &amp; Sources'!$B$144:$J$150,0,4))*($AZ9-INDEX('How This Works &amp; Sources'!$B$144:$J$150,0,4))*INDEX('How This Works &amp; Sources'!$B$144:$J$150,0,4+2))),0.015*$AZ9),IF($AN9="OH",IF($B9&gt;=DATE(2026,8,1),SUMPRODUCT(($AZ9&gt;INDEX('How This Works &amp; Sources'!$B$203:$J$206,0,1))*($AZ9-INDEX('How This Works &amp; Sources'!$B$203:$J$206,0,1))*INDEX('How This Works &amp; Sources'!$B$203:$J$206,0,1+2)),SUMPRODUCT(($AZ9&gt;INDEX('How This Works &amp; Sources'!$B$184:$J$198,0,7))*($AZ9-INDEX('How This Works &amp; Sources'!$B$184:$J$198,0,7))*INDEX('How This Works &amp; Sources'!$B$184:$J$198,0,7+2))),IF($AN9="OK",IF($AU9="Married",SUMPRODUCT(($AZ9&gt;INDEX('How This Works &amp; Sources'!$B$203:$J$206,0,7))*($AZ9-INDEX('How This Works &amp; Sources'!$B$203:$J$206,0,7))*INDEX('How This Works &amp; Sources'!$B$203:$J$206,0,7+2)),SUMPRODUCT(($AZ9&gt;INDEX('How This Works &amp; Sources'!$B$203:$J$206,0,4))*($AZ9-INDEX('How This Works &amp; Sources'!$B$203:$J$206,0,4))*INDEX('How This Works &amp; Sources'!$B$203:$J$206,0,4+2))),IF($AN9="VT",IF($AU9="Married",SUMPRODUCT(($AZ9&gt;INDEX('How This Works &amp; Sources'!$B$228:$J$232,0,1))*($AZ9-INDEX('How This Works &amp; Sources'!$B$228:$J$232,0,1))*INDEX('How This Works &amp; Sources'!$B$228:$J$232,0,1+2)),SUMPRODUCT(($AZ9&gt;INDEX('How This Works &amp; Sources'!$B$219:$J$223,0,7))*($AZ9-INDEX('How This Works &amp; Sources'!$B$219:$J$223,0,7))*INDEX('How This Works &amp; Sources'!$B$219:$J$223,0,7+2))),IF($AN9="WV",IF($AU9="Married",SUMPRODUCT(($AZ9&gt;INDEX('How This Works &amp; Sources'!$B$237:$J$241,0,7))*($AZ9-INDEX('How This Works &amp; Sources'!$B$237:$J$241,0,7))*INDEX('How This Works &amp; Sources'!$B$237:$J$241,0,7+2)),SUMPRODUCT(($AZ9&gt;INDEX('How This Works &amp; Sources'!$B$228:$J$232,0,7))*($AZ9-INDEX('How This Works &amp; Sources'!$B$228:$J$232,0,7))*INDEX('How This Works &amp; Sources'!$B$228:$J$232,0,7+2))),""))))))))))</f>
      </c>
      <c r="BY9" s="7">
        <f>IF($B9="","",IF($AN9="DE",SUMPRODUCT(($AZ9&gt;INDEX('How This Works &amp; Sources'!$B$91:$J$98,0,1))*($AZ9-INDEX('How This Works &amp; Sources'!$B$91:$J$98,0,1))*INDEX('How This Works &amp; Sources'!$B$91:$J$98,0,1+2)),IF($AN9="HI",IF($AU9="Married",SUMPRODUCT(($AZ9&gt;INDEX('How This Works &amp; Sources'!$B$91:$J$98,0,7))*($AZ9-INDEX('How This Works &amp; Sources'!$B$91:$J$98,0,7))*INDEX('How This Works &amp; Sources'!$B$91:$J$98,0,7+2)),SUMPRODUCT(($AZ9&gt;INDEX('How This Works &amp; Sources'!$B$91:$J$98,0,4))*($AZ9-INDEX('How This Works &amp; Sources'!$B$91:$J$98,0,4))*INDEX('How This Works &amp; Sources'!$B$91:$J$98,0,4+2))),IF($AN9="RI",SUMPRODUCT(($AZ9&gt;INDEX('How This Works &amp; Sources'!$B$211:$J$214,0,7))*($AZ9-INDEX('How This Works &amp; Sources'!$B$211:$J$214,0,7))*INDEX('How This Works &amp; Sources'!$B$211:$J$214,0,7+2)),IF($AN9="SC",SUMPRODUCT(($AZ9&gt;INDEX('How This Works &amp; Sources'!$B$219:$J$223,0,1))*($AZ9-INDEX('How This Works &amp; Sources'!$B$219:$J$223,0,1))*INDEX('How This Works &amp; Sources'!$B$219:$J$223,0,1+2)),IF($AN9="VA",SUMPRODUCT(($AZ9&gt;INDEX('How This Works &amp; Sources'!$B$219:$J$223,0,4))*($AZ9-INDEX('How This Works &amp; Sources'!$B$219:$J$223,0,4))*INDEX('How This Works &amp; Sources'!$B$219:$J$223,0,4+2)),IF($AN9="WI",SUMPRODUCT(($AZ9&gt;INDEX('How This Works &amp; Sources'!$B$228:$J$232,0,4))*($AZ9-INDEX('How This Works &amp; Sources'!$B$228:$J$232,0,4))*INDEX('How This Works &amp; Sources'!$B$228:$J$232,0,4+2)),"")))))))</f>
      </c>
      <c r="BZ9" s="24">
        <f>IF($B9="","",IF($AN9="KS",IF($AU9="Married",SUMPRODUCT(($AZ9&gt;=INDEX('How This Works &amp; Sources'!$B$103:$J$109,0,4))*INDEX('How This Works &amp; Sources'!$B$103:$J$109,0,4+2)),SUMPRODUCT(($AZ9&gt;=INDEX('How This Works &amp; Sources'!$B$103:$J$109,0,1))*INDEX('How This Works &amp; Sources'!$B$103:$J$109,0,1+2))),IF($AN9="MT",IF($AU9="Head of household",SUMPRODUCT(($AZ9&gt;=INDEX('How This Works &amp; Sources'!$B$137:$J$139,0,1))*INDEX('How This Works &amp; Sources'!$B$137:$J$139,0,1+2)),IF($AU9="Married",SUMPRODUCT(($AZ9&gt;=INDEX('How This Works &amp; Sources'!$B$125:$J$132,0,7))*INDEX('How This Works &amp; Sources'!$B$125:$J$132,0,7+2)),SUMPRODUCT(($AZ9&gt;=INDEX('How This Works &amp; Sources'!$B$125:$J$132,0,4))*INDEX('How This Works &amp; Sources'!$B$125:$J$132,0,4+2)))),IF($AN9="OR",IF(OR($AU9="Married",AND($AU9="Single",$AS9&gt;=3)),SUMPRODUCT((MAX(0,$AY9-MIN(($P9-'How This Works &amp; Sources'!$C$10*$D9)*'Second Earner'!$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Sources'!$B$211:$J$214,0,4))*INDEX('How This Works &amp; Sources'!$B$211:$J$214,0,4+2)),SUMPRODUCT((MAX(0,$AY9-MIN(($P9-'How This Works &amp; Sources'!$C$10*$D9)*'Second Earner'!$C$8,IF(OR($AU9="Married",AND($AU9="Single",$AS9&gt;=3)),IF($AY9&lt;250000,8750,IF($AY9&lt;260000,7000,IF($AY9&lt;270000,5250,IF($AY9&lt;280000,3500,IF($AY9&lt;290000,1750,0))))),IF($AY9&lt;125000,8750,IF($AY9&lt;130000,7000,IF($AY9&lt;135000,5250,IF($AY9&lt;140000,3500,IF($AY9&lt;145000,1750,0)))))))-IF(OR($AU9="Married",AND($AU9="Single",$AS9&gt;=3)),5820,2910))&gt;=INDEX('How This Works &amp; Sources'!$B$211:$J$214,0,1))*INDEX('How This Works &amp; Sources'!$B$211:$J$214,0,1+2)))*IF(($P9-'How This Works &amp; Sources'!$C$10*$D9)*'Second Earner'!$C$8&gt;=IF(OR($AU9="Married",AND($AU9="Single",$AS9&gt;=3)),IF($AY9&lt;250000,8750,IF($AY9&lt;260000,7000,IF($AY9&lt;270000,5250,IF($AY9&lt;280000,3500,IF($AY9&lt;290000,1750,0))))),IF($AY9&lt;125000,8750,IF($AY9&lt;130000,7000,IF($AY9&lt;135000,5250,IF($AY9&lt;140000,3500,IF($AY9&lt;145000,1750,0)))))),1,1-IF('Second Earner'!$C$13,SUMPRODUCT(($AH9&gt;=INDEX('How This Works &amp; Sources'!$B$29:$J$36,0,IF('Second Earner'!$C$12="MFJ",1,IF('Second Earner'!$C$12="HoH",7,4))))*INDEX('How This Works &amp; Sources'!$B$29:$J$36,0,IF('Second Earner'!$C$12="MFJ",1,IF('Second Earner'!$C$12="HoH",7,4))+2)),SUMPRODUCT(($AH9&gt;=INDEX('How This Works &amp; Sources'!$B$19:$J$26,0,IF('Second Earner'!$C$12="MFJ",1,IF('Second Earner'!$C$12="HoH",7,4))))*INDEX('How This Works &amp; Sources'!$B$19:$J$26,0,IF('Second Earner'!$C$12="MFJ",1,IF('Second Earner'!$C$12="HoH",7,4))+2)))),""))))</f>
      </c>
      <c r="CA9" s="24">
        <f>IF($B9="","",IF($AN9="CA",SUMPRODUCT(($AJ9&gt;=INDEX('How This Works &amp; Sources'!$B$39:$J$48,0,IF($AU9="Married",4,IF($AU9="Head of household",7,1))))*INDEX('How This Works &amp; Sources'!$B$39:$J$48,0,IF($AU9="Married",4,IF($AU9="Head of household",7,1))+2)),IF($AN9="AL",IF(OR($AU9="Married",$AU9="Head of household"),SUMPRODUCT(($AZ9&gt;=INDEX('How This Works &amp; Sources'!$B$82:$J$86,0,4))*INDEX('How This Works &amp; Sources'!$B$82:$J$86,0,4+2)),SUMPRODUCT(($AZ9&gt;=INDEX('How This Works &amp; Sources'!$B$82:$J$86,0,1))*INDEX('How This Works &amp; Sources'!$B$82:$J$86,0,1+2)))*(1-IF('Second Earner'!$C$13,SUMPRODUCT(($AH9&gt;=INDEX('How This Works &amp; Sources'!$B$29:$J$36,0,IF('Second Earner'!$C$12="MFJ",1,IF('Second Earner'!$C$12="HoH",7,4))))*INDEX('How This Works &amp; Sources'!$B$29:$J$36,0,IF('Second Earner'!$C$12="MFJ",1,IF('Second Earner'!$C$12="HoH",7,4))+2)),SUMPRODUCT(($AH9&gt;=INDEX('How This Works &amp; Sources'!$B$19:$J$26,0,IF('Second Earner'!$C$12="MFJ",1,IF('Second Earner'!$C$12="HoH",7,4))))*INDEX('How This Works &amp; Sources'!$B$19:$J$26,0,IF('Second Earner'!$C$12="MFJ",1,IF('Second Earner'!$C$12="HoH",7,4))+2)))),IF($AN9="ND",IF($AU9="Head of household",SUMPRODUCT(($AZ9&gt;=INDEX('How This Works &amp; Sources'!$B$144:$J$150,0,1))*INDEX('How This Works &amp; Sources'!$B$144:$J$150,0,1+2)),IF($AU9="Married",SUMPRODUCT(($AZ9&gt;=INDEX('How This Works &amp; Sources'!$B$137:$J$139,0,7))*INDEX('How This Works &amp; Sources'!$B$137:$J$139,0,7+2)),SUMPRODUCT(($AZ9&gt;=INDEX('How This Works &amp; Sources'!$B$137:$J$139,0,4))*INDEX('How This Works &amp; Sources'!$B$137:$J$139,0,4+2)))),IF($AN9="NJ",IF('Second Earner'!$C$77="B",SUMPRODUCT(($AZ9&gt;=INDEX('How This Works &amp; Sources'!$B$155:$J$162,0,4))*INDEX('How This Works &amp; Sources'!$B$155:$J$162,0,4+2)),IF('Second Earner'!$C$77="C",SUMPRODUCT(($AZ9&gt;=INDEX('How This Works &amp; Sources'!$B$155:$J$162,0,7))*INDEX('How This Works &amp; Sources'!$B$155:$J$162,0,7+2)),IF('Second Earner'!$C$77="D",SUMPRODUCT(($AZ9&gt;=INDEX('How This Works &amp; Sources'!$B$167:$J$179,0,1))*INDEX('How This Works &amp; Sources'!$B$167:$J$179,0,1+2)),IF('Second Earner'!$C$77="E",SUMPRODUCT(($AZ9&gt;=INDEX('How This Works &amp; Sources'!$B$167:$J$179,0,4))*INDEX('How This Works &amp; Sources'!$B$167:$J$179,0,4+2)),SUMPRODUCT(($AZ9&gt;=INDEX('How This Works &amp; Sources'!$B$155:$J$162,0,1))*INDEX('How This Works &amp; Sources'!$B$155:$J$162,0,1+2)))))),IF($AN9="NY",IF($AU9="Married",IF($AZ9&gt;=2155350,IF($AZ9&gt;25000000,0.117,IF($AZ9&gt;5000000,0.111,0.1045)),SUMPRODUCT(($AZ9&gt;=INDEX('How This Works &amp; Sources'!$B$184:$J$198,0,1))*INDEX('How This Works &amp; Sources'!$B$184:$J$198,0,1+2))),IF($AZ9&gt;=1077550,IF($AZ9&gt;25000000,0.117,IF($AZ9&gt;5000000,0.111,0.1045)),SUMPRODUCT(($AZ9&gt;=INDEX('How This Works &amp; Sources'!$B$167:$J$179,0,7))*INDEX('How This Works &amp; Sources'!$B$167:$J$179,0,7+2)))),IF($AN9="LA",0.0309,"")))))))</f>
      </c>
      <c r="CB9" s="24">
        <f>IF($B9="","",IF($AN9="HI",IF($AU9="Married",SUMPRODUCT(($AZ9&gt;=INDEX('How This Works &amp; Sources'!$B$91:$J$98,0,7))*INDEX('How This Works &amp; Sources'!$B$91:$J$98,0,7+2)),SUMPRODUCT(($AZ9&gt;=INDEX('How This Works &amp; Sources'!$B$91:$J$98,0,4))*INDEX('How This Works &amp; Sources'!$B$91:$J$98,0,4+2))),IF($AN9="MD",IF(OR($AU9="Married",$AU9="Head of household"),SUMPRODUCT(($AZ9&gt;=INDEX('How This Works &amp; Sources'!$B$114:$J$120,0,1))*INDEX('How This Works &amp; Sources'!$B$114:$J$120,0,1+2)),SUMPRODUCT(($AZ9&gt;=INDEX('How This Works &amp; Sources'!$B$103:$J$109,0,7))*INDEX('How This Works &amp; Sources'!$B$103:$J$109,0,7+2)))+'Second Earner'!$C$74,IF($AN9="MN",IF($AU9="Married",SUMPRODUCT(($AZ9&gt;=INDEX('How This Works &amp; Sources'!$B$114:$J$120,0,7))*INDEX('How This Works &amp; Sources'!$B$114:$J$120,0,7+2)),SUMPRODUCT(($AZ9&gt;=INDEX('How This Works &amp; Sources'!$B$114:$J$120,0,4))*INDEX('How This Works &amp; Sources'!$B$114:$J$120,0,4+2))),IF($AN9="MO",SUMPRODUCT(($AZ9&gt;=INDEX('How This Works &amp; Sources'!$B$125:$J$132,0,1))*INDEX('How This Works &amp; Sources'!$B$125:$J$132,0,1+2)),IF($AN9="NE",MAX(IF($AU9="Married",SUMPRODUCT(($AZ9&gt;=INDEX('How This Works &amp; Sources'!$B$144:$J$150,0,7))*INDEX('How This Works &amp; Sources'!$B$144:$J$150,0,7+2)),SUMPRODUCT(($AZ9&gt;=INDEX('How This Works &amp; Sources'!$B$144:$J$150,0,4))*INDEX('How This Works &amp; Sources'!$B$144:$J$150,0,4+2))),0.015),IF($AN9="OH",IF($B9&gt;=DATE(2026,8,1),SUMPRODUCT(($AZ9&gt;=INDEX('How This Works &amp; Sources'!$B$203:$J$206,0,1))*INDEX('How This Works &amp; Sources'!$B$203:$J$206,0,1+2)),SUMPRODUCT(($AZ9&gt;=INDEX('How This Works &amp; Sources'!$B$184:$J$198,0,7))*INDEX('How This Works &amp; Sources'!$B$184:$J$198,0,7+2))),IF($AN9="OK",IF($AU9="Married",SUMPRODUCT(($AZ9&gt;=INDEX('How This Works &amp; Sources'!$B$203:$J$206,0,7))*INDEX('How This Works &amp; Sources'!$B$203:$J$206,0,7+2)),SUMPRODUCT(($AZ9&gt;=INDEX('How This Works &amp; Sources'!$B$203:$J$206,0,4))*INDEX('How This Works &amp; Sources'!$B$203:$J$206,0,4+2))),IF($AN9="RI",SUMPRODUCT(($AZ9&gt;=INDEX('How This Works &amp; Sources'!$B$211:$J$214,0,7))*INDEX('How This Works &amp; Sources'!$B$211:$J$214,0,7+2)),IF($AN9="VT",IF($AU9="Married",SUMPRODUCT(($AZ9&gt;=INDEX('How This Works &amp; Sources'!$B$228:$J$232,0,1))*INDEX('How This Works &amp; Sources'!$B$228:$J$232,0,1+2)),SUMPRODUCT(($AZ9&gt;=INDEX('How This Works &amp; Sources'!$B$219:$J$223,0,7))*INDEX('How This Works &amp; Sources'!$B$219:$J$223,0,7+2))),IF($AN9="WV",IF($AU9="Married",SUMPRODUCT(($AZ9&gt;=INDEX('How This Works &amp; Sources'!$B$237:$J$241,0,7))*INDEX('How This Works &amp; Sources'!$B$237:$J$241,0,7+2)),SUMPRODUCT(($AZ9&gt;=INDEX('How This Works &amp; Sources'!$B$228:$J$232,0,7))*INDEX('How This Works &amp; Sources'!$B$228:$J$232,0,7+2))),IF($AN9="AZ",'Second Earner'!$C$82,IF($AN9="ID",IF($AY9&gt;IF($AU9="Married",32000,16094),0.053,0),"")))))))))))))</f>
      </c>
      <c r="CC9" s="24">
        <f>IF($B9="","",IF($AN9="AR",SUMPRODUCT(($AZ9&gt;=INDEX('How This Works &amp; Sources'!$B$82:$J$86,0,7))*INDEX('How This Works &amp; Sources'!$B$82:$J$86,0,7+2)),IF($AN9="DE",SUMPRODUCT(($AZ9&gt;=INDEX('How This Works &amp; Sources'!$B$91:$J$98,0,1))*INDEX('How This Works &amp; Sources'!$B$91:$J$98,0,1+2)),IF($AN9="SC",SUMPRODUCT(($AZ9&gt;=INDEX('How This Works &amp; Sources'!$B$219:$J$223,0,1))*INDEX('How This Works &amp; Sources'!$B$219:$J$223,0,1+2)),IF($AN9="VA",SUMPRODUCT(($AZ9&gt;=INDEX('How This Works &amp; Sources'!$B$219:$J$223,0,4))*INDEX('How This Works &amp; Sources'!$B$219:$J$223,0,4+2)),IF($AN9="WI",SUMPRODUCT(($AZ9&gt;=INDEX('How This Works &amp; Sources'!$B$228:$J$232,0,4))*INDEX('How This Works &amp; Sources'!$B$228:$J$232,0,4+2)),IF($AN9="CO",IF($AY9&gt;IF($AU9="Married",10000,5000),0.044,0),IF($AN9="IA",IF($AY9&gt;IF($AU9="Head of household",19500,IF($AU9="Married",26000,13000)),0.038,0),IF($AN9="IL",IF($AY9&gt;(2925*$AS9+1000*$AT9),0.0495,0),IF($AN9="IN",(0.0295+'Second Earner'!$C$76),IF($AN9="KY",IF($AI9&gt;3360,0.035,0),IF($AN9="MA",IF(MAX(0,$AY9-MIN(($BD8+$Q9+$R9+$S9),2000)-IF($AS9=0,0,IF($AS9=1,4400,1000*$AS9+3400)))&gt;=1107750,0.09,0.05),IF($AN9="MI",IF($AY9&gt;5900*$AS9,0.0425,0),IF($AN9="MS",IF($AI9-IF($AU9="Head of household",3400,IF($AU9="Married",4600,2300))-'Second Earner'!$C$85&gt;10000,0.04,0),IF($AN9="PA",0.0307,"")))))))))))))))</f>
      </c>
      <c r="CD9" s="21">
        <f>IF(YEAR(IF('Second Earner'!$C$7="Weekly",'Second Earner'!$C$9+7*(($BE8+1)-1),IF('Second Earner'!$C$7="Biweekly",'Second Earner'!$C$9+14*(($BE8+1)-1),IF('Second Earner'!$C$7="Semimonthly",DATE(YEAR('Second Earner'!$C$9),MONTH('Second Earner'!$C$9)+INT((($BE8+1)-1)/2),MIN(DAY('Second Earner'!$C$9),DAY(EOMONTH(DATE(YEAR('Second Earner'!$C$9),MONTH('Second Earner'!$C$9)+INT((($BE8+1)-1)/2),1),0))))+IF(MOD(($BE8+1)-1,2)=1,15,0),EDATE('Second Earner'!$C$9,($BE8+1)-1)))))&lt;&gt;'Second Earner'!$C$10,"",IF('Second Earner'!$C$7="Weekly",'Second Earner'!$C$9+7*(($BE8+1)-1),IF('Second Earner'!$C$7="Biweekly",'Second Earner'!$C$9+14*(($BE8+1)-1),IF('Second Earner'!$C$7="Semimonthly",DATE(YEAR('Second Earner'!$C$9),MONTH('Second Earner'!$C$9)+INT((($BE8+1)-1)/2),MIN(DAY('Second Earner'!$C$9),DAY(EOMONTH(DATE(YEAR('Second Earner'!$C$9),MONTH('Second Earner'!$C$9)+INT((($BE8+1)-1)/2),1),0))))+IF(MOD(($BE8+1)-1,2)=1,15,0),EDATE('Second Earner'!$C$9,($BE8+1)-1)))))</f>
      </c>
      <c r="CE9" s="21">
        <f>IF(MIN(IF(AND('Second Earner'!$C$58&gt;MAX($B$6:$B8),'Second Earner'!$C$58&gt;=DATE('Second Earner'!$C$10,1,1),'Second Earner'!$C$58&lt;=DATE('Second Earner'!$C$10,12,31)),'Second Earner'!$C$58,999999),IF(AND('Second Earner'!$C$59&gt;MAX($B$6:$B8),'Second Earner'!$C$59&gt;=DATE('Second Earner'!$C$10,1,1),'Second Earner'!$C$59&lt;=DATE('Second Earner'!$C$10,12,31)),'Second Earner'!$C$59,999999),IF(AND('Second Earner'!$C$60&gt;MAX($B$6:$B8),'Second Earner'!$C$60&gt;=DATE('Second Earner'!$C$10,1,1),'Second Earner'!$C$60&lt;=DATE('Second Earner'!$C$10,12,31)),'Second Earner'!$C$60,999999),IF(AND('Second Earner'!$C$61&gt;MAX($B$6:$B8),'Second Earner'!$C$61&gt;=DATE('Second Earner'!$C$10,1,1),'Second Earner'!$C$61&lt;=DATE('Second Earner'!$C$10,12,31)),'Second Earner'!$C$61,999999),IF(AND('Second Earner'!$C$62&gt;MAX($B$6:$B8),'Second Earner'!$C$62&gt;=DATE('Second Earner'!$C$10,1,1),'Second Earner'!$C$62&lt;=DATE('Second Earner'!$C$10,12,31)),'Second Earner'!$C$62,999999),IF(AND('Second Earner'!$C$63&gt;MAX($B$6:$B8),'Second Earner'!$C$63&gt;=DATE('Second Earner'!$C$10,1,1),'Second Earner'!$C$63&lt;=DATE('Second Earner'!$C$10,12,31)),'Second Earner'!$C$63,999999),IF(AND('Second Earner'!$C$64&gt;MAX($B$6:$B8),'Second Earner'!$C$64&gt;=DATE('Second Earner'!$C$10,1,1),'Second Earner'!$C$64&lt;=DATE('Second Earner'!$C$10,12,31)),'Second Earner'!$C$64,999999),IF(AND('Second Earner'!$C$65&gt;MAX($B$6:$B8),'Second Earner'!$C$65&gt;=DATE('Second Earner'!$C$10,1,1),'Second Earner'!$C$65&lt;=DATE('Second Earner'!$C$10,12,31)),'Second Earner'!$C$65,999999),IF(AND('Second Earner'!$C$66&gt;MAX($B$6:$B8),'Second Earner'!$C$66&gt;=DATE('Second Earner'!$C$10,1,1),'Second Earner'!$C$66&lt;=DATE('Second Earner'!$C$10,12,31)),'Second Earner'!$C$66,999999),IF(AND('Second Earner'!$C$67&gt;MAX($B$6:$B8),'Second Earner'!$C$67&gt;=DATE('Second Earner'!$C$10,1,1),'Second Earner'!$C$67&lt;=DATE('Second Earner'!$C$10,12,31)),'Second Earner'!$C$67,999999))=999999,"",MIN(IF(AND('Second Earner'!$C$58&gt;MAX($B$6:$B8),'Second Earner'!$C$58&gt;=DATE('Second Earner'!$C$10,1,1),'Second Earner'!$C$58&lt;=DATE('Second Earner'!$C$10,12,31)),'Second Earner'!$C$58,999999),IF(AND('Second Earner'!$C$59&gt;MAX($B$6:$B8),'Second Earner'!$C$59&gt;=DATE('Second Earner'!$C$10,1,1),'Second Earner'!$C$59&lt;=DATE('Second Earner'!$C$10,12,31)),'Second Earner'!$C$59,999999),IF(AND('Second Earner'!$C$60&gt;MAX($B$6:$B8),'Second Earner'!$C$60&gt;=DATE('Second Earner'!$C$10,1,1),'Second Earner'!$C$60&lt;=DATE('Second Earner'!$C$10,12,31)),'Second Earner'!$C$60,999999),IF(AND('Second Earner'!$C$61&gt;MAX($B$6:$B8),'Second Earner'!$C$61&gt;=DATE('Second Earner'!$C$10,1,1),'Second Earner'!$C$61&lt;=DATE('Second Earner'!$C$10,12,31)),'Second Earner'!$C$61,999999),IF(AND('Second Earner'!$C$62&gt;MAX($B$6:$B8),'Second Earner'!$C$62&gt;=DATE('Second Earner'!$C$10,1,1),'Second Earner'!$C$62&lt;=DATE('Second Earner'!$C$10,12,31)),'Second Earner'!$C$62,999999),IF(AND('Second Earner'!$C$63&gt;MAX($B$6:$B8),'Second Earner'!$C$63&gt;=DATE('Second Earner'!$C$10,1,1),'Second Earner'!$C$63&lt;=DATE('Second Earner'!$C$10,12,31)),'Second Earner'!$C$63,999999),IF(AND('Second Earner'!$C$64&gt;MAX($B$6:$B8),'Second Earner'!$C$64&gt;=DATE('Second Earner'!$C$10,1,1),'Second Earner'!$C$64&lt;=DATE('Second Earner'!$C$10,12,31)),'Second Earner'!$C$64,999999),IF(AND('Second Earner'!$C$65&gt;MAX($B$6:$B8),'Second Earner'!$C$65&gt;=DATE('Second Earner'!$C$10,1,1),'Second Earner'!$C$65&lt;=DATE('Second Earner'!$C$10,12,31)),'Second Earner'!$C$65,999999),IF(AND('Second Earner'!$C$66&gt;MAX($B$6:$B8),'Second Earner'!$C$66&gt;=DATE('Second Earner'!$C$10,1,1),'Second Earner'!$C$66&lt;=DATE('Second Earner'!$C$10,12,31)),'Second Earner'!$C$66,999999),IF(AND('Second Earner'!$C$67&gt;MAX($B$6:$B8),'Second Earner'!$C$67&gt;=DATE('Second Earner'!$C$10,1,1),'Second Earner'!$C$67&lt;=DATE('Second Earner'!$C$10,12,31)),'Second Earner'!$C$67,999999)))</f>
      </c>
      <c r="CF9">
        <f>IF($B9="","",IF($D9=0,$Y9,""))</f>
      </c>
    </row>
    <row r="10">
      <c r="A10" t="n">
        <v>5</v>
      </c>
      <c r="B10" s="21">
        <f>IF(AND($CD10="",$CE10=""),"",IF($CE10="",$CD10,IF($CD10="",$CE10,MIN($CD10,$CE10))))</f>
      </c>
      <c r="C10" s="7">
        <f>IF($B10="","",IF($BF10=0,0,IF('Second Earner'!$C$4="Annual salary",ROUND($AK10/IF(AND('Second Earner'!$C$88="Actual paydays",MONTH('Second Earner'!$C$9)=1),MAX(1,MAX($BE$6:$BE$68)),'Second Earner'!$C$8),2),$AK10)))</f>
      </c>
      <c r="D10" s="7">
        <f>IF($B10="","",SUMIF('Second Earner'!$C$58:$C$67,$B10,'Second Earner'!$D$58:$D$67))</f>
      </c>
      <c r="E10" s="7">
        <f>IF($B10="","",ROUND(MAX(0,MIN(IF($AL10="Percent",$AM10*($C10+$D10),$AM10),MAX(0,'Second Earner'!$C$34-$AC9))),2))</f>
      </c>
      <c r="F10" s="7">
        <f>IF($B10="","",ROUND(MAX(0,MIN(IF('Second Earner'!$C$32="Percent",'Second Earner'!$D$32*($C10+$D10),'Second Earner'!$D$32),MAX(0,'Second Earner'!$C$34-$AC9-$E10))),2))</f>
      </c>
      <c r="G10" s="7">
        <f>IF($B10="","",IF($BF10=0,0,ROUND(MAX(0,MIN($BL10,'Second Earner'!$C$37-'Second Earner'!$C$54-$BI9)),2)))</f>
      </c>
      <c r="H10" s="7">
        <f>IF($B10="","",IF(OR($BF10=0,$BQ10=1),0,ROUND(MAX(0,MIN(IF($BS10=1,ROUND(MAX(0,MIN($BJ10,'How This Works &amp; Sources'!$C$13)-$BG9)/MAX(1,MAX($BE$6:$BE$68)-($BE9)),2),ROUND(MIN($BJ10,'How This Works &amp; Sources'!$C$13)/'Second Earner'!$C$8,2)),MIN($BJ10,'How This Works &amp; Sources'!$C$13)-$BG9)),2)))</f>
      </c>
      <c r="I10" s="7">
        <f>IF($B10="","",IF(OR($BF10=0,$BR10=1),0,ROUND(MAX(0,MIN(IF($BT10=1,ROUND(MAX(0,MIN($BK10,IF('Second Earner'!$C$12="MFJ",'How This Works &amp; Sources'!$C$14,'How This Works &amp; Sources'!$C$15))-$BH9)/MAX(1,MAX($BE$6:$BE$68)-($BE9)),2),ROUND(MIN($BK10,IF('Second Earner'!$C$12="MFJ",'How This Works &amp; Sources'!$C$14,'How This Works &amp; Sources'!$C$15))/'Second Earner'!$C$8,2)),MIN($BK10,IF('Second Earner'!$C$12="MFJ",'How This Works &amp; Sources'!$C$14,'How This Works &amp; Sources'!$C$15))-$BH9)),2)))</f>
      </c>
      <c r="J10" s="7">
        <f>IF($B10="","",IF($BF10=0,0,$BM10))</f>
      </c>
      <c r="K10" s="7">
        <f>IF($B10="","",IF($BF10=0,0,$BN10+$BO10))</f>
      </c>
      <c r="L10" s="7">
        <f>IF($B10="","",IF($BF10=0,0,'Second Earner'!$D$46))</f>
      </c>
      <c r="M10" s="7">
        <f>IF($B10="","",$C10+$D10+$L10-$E10-$G10-$H10-$I10-$J10-$K10)</f>
      </c>
      <c r="N10" s="7">
        <f>IF($B10="","",$C10+$D10+$L10-$G10-$H10-$I10-$J10-$K10)</f>
      </c>
      <c r="O10" s="7">
        <f>IF($B10="","",$C10+$D10+$L10-$E10-$H10-$I10-$J10-$K10-IF(OR($AN10="CA",$AN10="NJ"),0,$G10))</f>
      </c>
      <c r="P10" s="7">
        <f>IF($B10="","",IF('Second Earner'!$C$18,0,ROUND(MAX(0,IF('Second Earner'!$C$13,SUMPRODUCT(($AH10&gt;INDEX('How This Works &amp; Sources'!$B$29:$J$36,0,IF('Second Earner'!$C$12="MFJ",1,IF('Second Earner'!$C$12="HoH",7,4))))*($AH10-INDEX('How This Works &amp; Sources'!$B$29:$J$36,0,IF('Second Earner'!$C$12="MFJ",1,IF('Second Earner'!$C$12="HoH",7,4))))*INDEX('How This Works &amp; Sources'!$B$29:$J$36,0,IF('Second Earner'!$C$12="MFJ",1,IF('Second Earner'!$C$12="HoH",7,4))+2)),SUMPRODUCT(($AH10&gt;INDEX('How This Works &amp; Sources'!$B$19:$J$26,0,IF('Second Earner'!$C$12="MFJ",1,IF('Second Earner'!$C$12="HoH",7,4))))*($AH10-INDEX('How This Works &amp; Sources'!$B$19:$J$26,0,IF('Second Earner'!$C$12="MFJ",1,IF('Second Earner'!$C$12="HoH",7,4))))*INDEX('How This Works &amp; Sources'!$B$19:$J$26,0,IF('Second Earner'!$C$12="MFJ",1,IF('Second Earner'!$C$12="HoH",7,4))+2)))/'Second Earner'!$C$8-$AO10/'Second Earner'!$C$8)+$AR10+IF('Second Earner'!$C$89="Aggregate",MAX(0,IF('Second Earner'!$C$13,SUMPRODUCT((($AH10+$D10)&gt;INDEX('How This Works &amp; Sources'!$B$29:$J$36,0,IF('Second Earner'!$C$12="MFJ",1,IF('Second Earner'!$C$12="HoH",7,4))))*(($AH10+$D10)-INDEX('How This Works &amp; Sources'!$B$29:$J$36,0,IF('Second Earner'!$C$12="MFJ",1,IF('Second Earner'!$C$12="HoH",7,4))))*INDEX('How This Works &amp; Sources'!$B$29:$J$36,0,IF('Second Earner'!$C$12="MFJ",1,IF('Second Earner'!$C$12="HoH",7,4))+2)),SUMPRODUCT((($AH10+$D10)&gt;INDEX('How This Works &amp; Sources'!$B$19:$J$26,0,IF('Second Earner'!$C$12="MFJ",1,IF('Second Earner'!$C$12="HoH",7,4))))*(($AH10+$D10)-INDEX('How This Works &amp; Sources'!$B$19:$J$26,0,IF('Second Earner'!$C$12="MFJ",1,IF('Second Earner'!$C$12="HoH",7,4))))*INDEX('How This Works &amp; Sources'!$B$19:$J$26,0,IF('Second Earner'!$C$12="MFJ",1,IF('Second Earner'!$C$12="HoH",7,4))+2)))-IF('Second Earner'!$C$13,SUMPRODUCT(($AH10&gt;INDEX('How This Works &amp; Sources'!$B$29:$J$36,0,IF('Second Earner'!$C$12="MFJ",1,IF('Second Earner'!$C$12="HoH",7,4))))*($AH10-INDEX('How This Works &amp; Sources'!$B$29:$J$36,0,IF('Second Earner'!$C$12="MFJ",1,IF('Second Earner'!$C$12="HoH",7,4))))*INDEX('How This Works &amp; Sources'!$B$29:$J$36,0,IF('Second Earner'!$C$12="MFJ",1,IF('Second Earner'!$C$12="HoH",7,4))+2)),SUMPRODUCT(($AH10&gt;INDEX('How This Works &amp; Sources'!$B$19:$J$26,0,IF('Second Earner'!$C$12="MFJ",1,IF('Second Earner'!$C$12="HoH",7,4))))*($AH10-INDEX('How This Works &amp; Sources'!$B$19:$J$26,0,IF('Second Earner'!$C$12="MFJ",1,IF('Second Earner'!$C$12="HoH",7,4))))*INDEX('How This Works &amp; Sources'!$B$19:$J$26,0,IF('Second Earner'!$C$12="MFJ",1,IF('Second Earner'!$C$12="HoH",7,4))+2)))),'How This Works &amp; Sources'!$C$10*$D10),2)))</f>
      </c>
      <c r="Q10" s="7">
        <f>IF($B10="","",ROUND('How This Works &amp; Sources'!$C$4*MIN($N10,MAX(0,'How This Works &amp; Sources'!$C$3-($AX10+$AB9-$AW10))),2))</f>
      </c>
      <c r="R10" s="7">
        <f>IF($B10="","",ROUND('How This Works &amp; Sources'!$C$5*$N10,2))</f>
      </c>
      <c r="S10" s="7">
        <f>IF($B10="","",ROUND('How This Works &amp; Sources'!$C$6*MAX(0,MIN($N10,$AG9+$N10-'How This Works &amp; Sources'!$C$7)),2))</f>
      </c>
      <c r="T10" s="7">
        <f>IF($B10="","",IF('Second Earner'!$C$26,0,IF($AN10="CA",ROUND(IF($AI10&lt;=IF(($AS10+$AT10)&gt;=2,VLOOKUP($AN10,StateTables!$A$6:$AB$56,10,FALSE),VLOOKUP($AN10,StateTables!$A$6:$AB$56,9,FALSE)),0,MAX(0,SUMPRODUCT(($AJ10&gt;INDEX('How This Works &amp; Sources'!$B$39:$J$48,0,IF($AU10="Married",4,IF($AU10="Head of household",7,1))))*($AJ10-INDEX('How This Works &amp; Sources'!$B$39:$J$48,0,IF($AU10="Married",4,IF($AU10="Head of household",7,1))))*INDEX('How This Works &amp; Sources'!$B$39:$J$48,0,IF($AU10="Married",4,IF($AU10="Head of household",7,1))+2))-VLOOKUP($AN10,StateTables!$A$6:$AB$56,11,FALSE)*$AS10)/'Second Earner'!$C$8)+'Second Earner'!$C$25+VLOOKUP($AN10,StateTables!$A$6:$AB$56,13,FALSE)*$D10,2),IF(VLOOKUP($AN10,StateTables!$A$6:$AB$56,4,FALSE)="None",0,IF(ISNUMBER(SEARCH("MANUAL",VLOOKUP($AN10,StateTables!$A$6:$AB$56,5,FALSE))),'Second Earner'!$C$28,ROUND(MAX(0,$BA10+$BB10)/'Second Earner'!$C$8+'Second Earner'!$C$25+$BC10,2))))))</f>
      </c>
      <c r="U10" s="7">
        <f>IF($B10="","",IF(VLOOKUP($AN10,StateTables!$A$6:$AB$56,24,FALSE)="flatq",IF(OR(MONTH($B10)=1,MONTH($B10)=4,MONTH($B10)=7,MONTH($B10)=10),VLOOKUP($AN10,StateTables!$A$6:$AB$56,25,FALSE),0),IF(VLOOKUP($AN10,StateTables!$A$6:$AB$56,24,FALSE)="dbl",MIN(ROUND(0.005*$N10,2),ROUND(0.6*52/'Second Earner'!$C$8,2)),IF(OR(VLOOKUP($AN10,StateTables!$A$6:$AB$56,15,FALSE)="",VLOOKUP($AN10,StateTables!$A$6:$AB$56,15,FALSE)=0),0,ROUND(VLOOKUP($AN10,StateTables!$A$6:$AB$56,15,FALSE)*IF(OR(VLOOKUP($AN10,StateTables!$A$6:$AB$56,16,FALSE)="",VLOOKUP($AN10,StateTables!$A$6:$AB$56,16,FALSE)=0),$N10,MIN($N10,MAX(0,VLOOKUP($AN10,StateTables!$A$6:$AB$56,16,FALSE)-($AX10+$AB9-$AW10)))),2))))+IF(VLOOKUP($AN10,StateTables!$A$6:$AB$56,27,FALSE)="flatq",IF(OR(MONTH($B10)=1,MONTH($B10)=4,MONTH($B10)=7,MONTH($B10)=10),VLOOKUP($AN10,StateTables!$A$6:$AB$56,28,FALSE),0),IF(VLOOKUP($AN10,StateTables!$A$6:$AB$56,27,FALSE)="dbl",MIN(ROUND(0.005*$N10,2),ROUND(0.6*52/'Second Earner'!$C$8,2)),IF(OR(VLOOKUP($AN10,StateTables!$A$6:$AB$56,18,FALSE)="",VLOOKUP($AN10,StateTables!$A$6:$AB$56,18,FALSE)=0),0,ROUND(VLOOKUP($AN10,StateTables!$A$6:$AB$56,18,FALSE)*IF(OR(VLOOKUP($AN10,StateTables!$A$6:$AB$56,19,FALSE)="",VLOOKUP($AN10,StateTables!$A$6:$AB$56,19,FALSE)=0),$N10,MIN($N10,MAX(0,VLOOKUP($AN10,StateTables!$A$6:$AB$56,19,FALSE)-($AX10+$AB9-$AW10)))),2)))))</f>
      </c>
      <c r="V10" s="7">
        <f>IF($B10="","",IF($AN10="NY",IF('Second Earner'!$C$78,ROUND(SUMPRODUCT((MAX(0,($O10-$D10)*'Second Earner'!$C$8-(IF($AU10="Married",5500,5000)+1000*$AS10))&gt;INDEX('How This Works &amp; Sources'!$B$184:$J$198,0,4))*(MAX(0,($O10-$D10)*'Second Earner'!$C$8-(IF($AU10="Married",5500,5000)+1000*$AS10))-INDEX('How This Works &amp; Sources'!$B$184:$J$198,0,4))*INDEX('How This Works &amp; Sources'!$B$184:$J$198,0,4+2))/'Second Earner'!$C$8+0.0425*$D10,2),0)+IF('Second Earner'!$C$79="Resident",ROUND(0.1675*$T10,2),IF('Second Earner'!$C$79="Nonresident",ROUND(0.005*MAX(0,($O10-$D10)-(IF($AU10="Married",7950,7400)+1000*$AS10)/'Second Earner'!$C$8),2),0)),IF($AN10="PA",IF('Second Earner'!$C$80="None",'Second Earner'!$C$27+ROUND('Second Earner'!$C$81*($C10+$D10),2),ROUND(IF('Second Earner'!$C$80="Resident",IF($B10&lt;DATE(2026,7,1),0.0374,0.03735),IF($B10&lt;DATE(2026,7,1),0.0343,0.03425))*($C10+$D10),2)),IF($BF10=0,ROUND('Second Earner'!$C$81*($C10+$D10),2),'Second Earner'!$C$27+ROUND('Second Earner'!$C$81*($C10+$D10),2)))))</f>
      </c>
      <c r="W10" s="7">
        <f>IF($B10="","",IF($BF10=0,0,$BP10))</f>
      </c>
      <c r="X10" s="7">
        <f>IF($B10="","",SUM($E10:$K10)+$P10+$Q10+$R10+$S10+$T10+$U10+$V10+$W10)</f>
      </c>
      <c r="Y10" s="22">
        <f>IF($B10="","",$C10+$D10-$X10)</f>
      </c>
      <c r="Z10" s="7">
        <f>IF($B10="","",$Z9+$C10+$D10)</f>
      </c>
      <c r="AA10" s="7">
        <f>IF($B10="","",$AA9+$Y10)</f>
      </c>
      <c r="AB10" s="7">
        <f>IF($B10="","",$AB9+MIN($N10,MAX(0,'How This Works &amp; Sources'!$C$3-($AX10+$AB9-$AW10))))</f>
      </c>
      <c r="AC10" s="7">
        <f>IF($B10="","",$AC9+$E10+$F10)</f>
      </c>
      <c r="AD10" s="3">
        <f>IF($B10="","",IF(AND($AB9&lt;'How This Works &amp; Sources'!$C$3,$AB10&gt;='How This Works &amp; Sources'!$C$3),"★ Social Security maxed on this check — from the next check your net rises by about $"&amp;TEXT(ROUND('How This Works &amp; Sources'!$C$4*$N10,2),"#,##0.00")&amp;". ","")&amp;IF(AND($AC9&lt;'Second Earner'!$C$34,$AC10&gt;='Second Earner'!$C$34),"★ 401(k) reaches the $"&amp;TEXT('Second Earner'!$C$34,"#,##0")&amp;" cap on this check — deferrals stop and net pay rises. ","")&amp;IF(AND($AG9&lt;'How This Works &amp; Sources'!$C$7,$AG10&gt;='How This Works &amp; Sources'!$C$7),"★ Wages pass $200,000 — the 0.9% Additional Medicare Tax starts here. ","")&amp;IF(AND($BJ10&gt;0,$H10&gt;0,$BG9&lt;MIN($BJ10,'How This Works &amp; Sources'!$C$13),$BG9+$H10&gt;=MIN($BJ10,'How This Works &amp; Sources'!$C$13)),"★ Health FSA election is now fully deferred for the year. ",""))</f>
      </c>
      <c r="AE10" s="41" t="n"/>
      <c r="AF10" s="7">
        <f>IF(OR($B10="",$AE10=""),"",$AE10-$Y10)</f>
      </c>
      <c r="AG10" s="7">
        <f>IF($B10="","",$AG9+$N10)</f>
      </c>
      <c r="AH10" s="7">
        <f>IF($B10="","",MAX(0,($M10-$D10)*'Second Earner'!$C$8+$AP10-$AQ10-IF('Second Earner'!$C$13,0,IF('Second Earner'!$C$12="MFJ",'How This Works &amp; Sources'!$C$8,'How This Works &amp; Sources'!$C$9))))</f>
      </c>
      <c r="AI10" s="7">
        <f>IF($B10="","",$O10*'Second Earner'!$C$8)</f>
      </c>
      <c r="AJ10" s="7">
        <f>IF($B10="","",MAX(0,$AI10-VLOOKUP($AN10,StateTables!$A$6:$AB$56,12,FALSE)*$AT10-IF(($AS10+$AT10)&gt;=2,VLOOKUP($AN10,StateTables!$A$6:$AB$56,8,FALSE),VLOOKUP($AN10,StateTables!$A$6:$AB$56,7,FALSE))))</f>
      </c>
      <c r="AK10" s="7">
        <f>IF($B10="","",IFERROR(LOOKUP(2,1/(('Changes — Earner 2'!$C$6:$C$17="Salary change")*('Changes — Earner 2'!$B$6:$B$17&lt;=$B10)*('Changes — Earner 2'!$B$6:$B$17&lt;&gt;"")),'Changes — Earner 2'!$D$6:$D$17),IF('Second Earner'!$C$4="Annual salary",'Second Earner'!$C$5,'Second Earner'!$C$6)))</f>
      </c>
      <c r="AL10">
        <f>IF($B10="","",IFERROR(LOOKUP(2,1/(('Changes — Earner 2'!$C$6:$C$17="401(k) change")*('Changes — Earner 2'!$B$6:$B$17&lt;=$B10)*('Changes — Earner 2'!$B$6:$B$17&lt;&gt;"")),'Changes — Earner 2'!$D$6:$D$17),'Second Earner'!$C$30))</f>
      </c>
      <c r="AM10" s="7">
        <f>IF($B10="","",IFERROR(LOOKUP(2,1/(('Changes — Earner 2'!$C$6:$C$17="401(k) change")*('Changes — Earner 2'!$B$6:$B$17&lt;=$B10)*('Changes — Earner 2'!$B$6:$B$17&lt;&gt;"")),'Changes — Earner 2'!$E$6:$E$17),'Second Earner'!$D$31))</f>
      </c>
      <c r="AN10">
        <f>IF($B10="","",IFERROR(LOOKUP(2,1/(('Changes — Earner 2'!$C$6:$C$17="State move")*('Changes — Earner 2'!$B$6:$B$17&lt;=$B10)*('Changes — Earner 2'!$B$6:$B$17&lt;&gt;"")),'Changes — Earner 2'!$D$6:$D$17),'Second Earner'!$C$21))</f>
      </c>
      <c r="AO10" s="7">
        <f>IF($B10="","",IFERROR(LOOKUP(2,1/(('Changes — Earner 2'!$C$6:$C$17="W-4 change")*('Changes — Earner 2'!$B$6:$B$17&lt;=$B10)*('Changes — Earner 2'!$B$6:$B$17&lt;&gt;"")),'Changes — Earner 2'!$D$6:$D$17),'Second Earner'!$C$14))</f>
      </c>
      <c r="AP10" s="7">
        <f>IF($B10="","",IFERROR(LOOKUP(2,1/(('Changes — Earner 2'!$C$6:$C$17="W-4 change")*('Changes — Earner 2'!$B$6:$B$17&lt;=$B10)*('Changes — Earner 2'!$B$6:$B$17&lt;&gt;"")),'Changes — Earner 2'!$E$6:$E$17),'Second Earner'!$C$15))</f>
      </c>
      <c r="AQ10" s="7">
        <f>IF($B10="","",IFERROR(LOOKUP(2,1/(('Changes — Earner 2'!$C$6:$C$17="W-4 change")*('Changes — Earner 2'!$B$6:$B$17&lt;=$B10)*('Changes — Earner 2'!$B$6:$B$17&lt;&gt;"")),'Changes — Earner 2'!$F$6:$F$17),'Second Earner'!$C$16))</f>
      </c>
      <c r="AR10" s="7">
        <f>IF($B10="","",IFERROR(LOOKUP(2,1/(('Changes — Earner 2'!$C$6:$C$17="W-4 change")*('Changes — Earner 2'!$B$6:$B$17&lt;=$B10)*('Changes — Earner 2'!$B$6:$B$17&lt;&gt;"")),'Changes — Earner 2'!$G$6:$G$17),'Second Earner'!$C$17))</f>
      </c>
      <c r="AS10" s="6">
        <f>IF($B10="","",IFERROR(LOOKUP(2,1/((('Changes — Earner 2'!$C$6:$C$17="State move")+('Changes — Earner 2'!$C$6:$C$17="State cert change"))*('Changes — Earner 2'!$B$6:$B$17&lt;=$B10)*('Changes — Earner 2'!$B$6:$B$17&lt;&gt;"")),'Changes — Earner 2'!$F$6:$F$17),'Second Earner'!$C$23))</f>
      </c>
      <c r="AT10" s="6">
        <f>IF($B10="","",IFERROR(LOOKUP(2,1/((('Changes — Earner 2'!$C$6:$C$17="State move")+('Changes — Earner 2'!$C$6:$C$17="State cert change"))*('Changes — Earner 2'!$B$6:$B$17&lt;=$B10)*('Changes — Earner 2'!$B$6:$B$17&lt;&gt;"")),'Changes — Earner 2'!$G$6:$G$17),'Second Earner'!$C$24))</f>
      </c>
      <c r="AU10">
        <f>IF($B10="","",IFERROR(LOOKUP(2,1/(('Changes — Earner 2'!$C$6:$C$17="State move")*('Changes — Earner 2'!$B$6:$B$17&lt;=$B10)*('Changes — Earner 2'!$B$6:$B$17&lt;&gt;"")),'Changes — Earner 2'!$E$6:$E$17),'Second Earner'!$C$22))</f>
      </c>
      <c r="AV10" s="6">
        <f>IF($B10="","",1+COUNTIFS('Changes — Earner 2'!$C$6:$C$17,"Employer change",'Changes — Earner 2'!$B$6:$B$17,"&lt;="&amp;$B10,'Changes — Earner 2'!$B$6:$B$17,"&lt;&gt;"))</f>
      </c>
      <c r="AW10" s="7">
        <f>IF($B10="","",IF($AV10=1,'Second Earner'!$C$49,IF(IFERROR(MATCH(IFERROR(LOOKUP(2,1/(('Changes — Earner 2'!$C$6:$C$17="Employer change")*('Changes — Earner 2'!$B$6:$B$17&lt;=$B10)*('Changes — Earner 2'!$B$6:$B$17&lt;&gt;"")),'Changes — Earner 2'!$B$6:$B$17),""),$B$6:$B$68,1),1)&lt;=1,'Second Earner'!$C$49,INDEX($AB$6:$AB$68,MATCH(IFERROR(LOOKUP(2,1/(('Changes — Earner 2'!$C$6:$C$17="Employer change")*('Changes — Earner 2'!$B$6:$B$17&lt;=$B10)*('Changes — Earner 2'!$B$6:$B$17&lt;&gt;"")),'Changes — Earner 2'!$B$6:$B$17),""),$B$6:$B$68,1)-1))))</f>
      </c>
      <c r="AX10" s="7">
        <f>IF($B10="","",IF($AV10=1,'Second Earner'!$C$49,IFERROR(LOOKUP(2,1/(('Changes — Earner 2'!$C$6:$C$17="Employer change")*('Changes — Earner 2'!$B$6:$B$17&lt;=$B10)*('Changes — Earner 2'!$B$6:$B$17&lt;&gt;"")),'Changes — Earner 2'!$D$6:$D$17),0)))</f>
      </c>
      <c r="AY10" s="7">
        <f>IF($B10="","",($O10-$D10)*'Second Earner'!$C$8)</f>
      </c>
      <c r="AZ10" s="7">
        <f>IF($B10="","",IF($AN10="AL",MAX(0,$AY10-IF($AU10="Married",IF($AY10&lt;=25999,8500,MAX(5000,8500-175*CEILING(($AY10-25999)/500,1))),IF($AU10="Head of household",IF($AY10&lt;=25999,5200,MAX(2500,5200-135*CEILING(($AY10-25999)/500,1))),IF($AY10&lt;=25999,3000,MAX(2500,3000-25*CEILING(($AY10-25999)/500,1)))))-($P10-'How This Works &amp; Sources'!$C$10*$D10)*'Second Earner'!$C$8-IF(OR($AU10="Married",$AU10="Head of household"),3000,1500)-$AT10*IF($AY10&lt;=50000,1000,IF($AY10&lt;=100000,500,300))),IF($AN10="AR",IF(MAX(0,$AY10-2470)&lt;97701,INT(MAX(0,$AY10-2470)/100)*100+50,MAX(0,$AY10-2470)),IF($AN10="DE",MAX(0,$AI10-3250),IF($AN10="HI",MAX(0,$AI10-1144*$AS10-4350),IF($AN10="KS",MAX(0,$AI10-(9160*IF($AU10="Married",2,1)+2320*$AT10+IF($AU10="Head of household",2320,0))),IF($AN10="MD",MAX(0,$AI10-3400-3200*$AS10),IF($AN10="MN",MAX(0,$AY10-5300*$AS10),IF($AN10="MO",MAX(0,$AI10-IF($AU10="Head of household",24150,IF($AU10="Married",IF('Second Earner'!$C$83,16100,32200),16100))),IF($AN10="MT",$AY10,IF($AN10="ND",($C10+$L10)*'Second Earner'!$C$8,IF($AN10="NE",MAX(0,$AY10-2440*$AS10),IF($AN10="NJ",MAX(0,$AY10-1000*$AS10),IF($AN10="NY",MAX(0,$AY10-(IF($AU10="Married",7950,7400)+1000*$AS10)),IF($AN10="OH",MAX(0,$AY10-650*$AS10),IF($AN10="OK",MAX(0,$AY10-1000*$AS10),IF($AN10="RI",MAX(0,$AI10-1000*$AS10),IF($AN10="SC",MAX(0,$AI10-5000*$AS10-IF($AS10=0,0,MIN(0.1*$AI10,7500))),IF($AN10="VA",MAX(0,$AI10-IF($AU10="Married",17500,8750)-930*$AS10-800*$AT10),IF($AN10="VT",MAX(0,$AI10-5400*$AS10),IF($AN10="WI",MAX(0,$AI10-MAX(0,IF($AU10="Married",9461-0.2*MAX(0,$AI10-25727),6702-0.12*MAX(0,$AI10-17780)))-400*$AS10),IF($AN10="WV",MAX(0,$AI10-2000*$AS10),$AI10))))))))))))))))))))))</f>
      </c>
      <c r="BA10" s="7">
        <f>IF($B10="","",IF($BW10&lt;&gt;"",$BW10,IF($BX10&lt;&gt;"",$BX10,IF($BY10&lt;&gt;"",$BY10,0))))</f>
      </c>
      <c r="BB10" s="7">
        <f>IF($B10="","",IF($AN10="AR",-29*$AS10,IF($AN10="DE",-110*$AS10,IF($AN10="MD",$AZ10*'Second Earner'!$C$74,IF($AN10="AZ",'Second Earner'!$C$82*($M10-$D10)*'Second Earner'!$C$8,IF($AN10="CO",0.044*MAX(0,$AY10-IF($AU10="Married",10000,5000)),IF($AN10="IA",MAX(0,0.038*MAX(0,$AY10-IF($AU10="Head of household",19500,IF($AU10="Married",26000,13000)))-40*$AS10),IF($AN10="ID",0.053*MAX(0,$AY10-IF($AU10="Married",32000,16094)),IF($AN10="IL",0.0495*MAX(0,$AY10-(2925*$AS10+1000*$AT10)),IF($AN10="IN",(0.0295+'Second Earner'!$C$76)*MAX(0,$AY10-(1000*$AS10+1500*$AT10+3000*'Second Earner'!$C$86)),IF($AN10="KY",0.035*MAX(0,$AI10-3360),IF($AN10="LA",IF('Second Earner'!$C$84="0",0.0309*$AI10,0.0309*MAX(0,$AI10-IF('Second Earner'!$C$84="2",25750,12875))),IF($AN10="MA",0.05*MIN(MAX(0,$AY10-MIN(($BD9+$Q10+$R10+$S10),2000)-IF($AS10=0,0,IF($AS10=1,4400,1000*$AS10+3400))),1107750)+0.09*MAX(0,MAX(0,$AY10-MIN(($BD9+$Q10+$R10+$S10),2000)-IF($AS10=0,0,IF($AS10=1,4400,1000*$AS10+3400)))-1107750)-IF($AU10="Head of household",120,0)-110*'Second Earner'!$C$75,IF($AN10="MI",0.0425*MAX(0,$AY10-5900*$AS10),IF($AN10="MS",0.04*MAX(0,$AI10-IF($AU10="Head of household",3400,IF($AU10="Married",4600,2300))-'Second Earner'!$C$85-10000),IF($AN10="OR",IF(OR($AU10="Married",AND($AU10="Single",$AS10&gt;=3)),SUMPRODUCT((MAX(0,$AY10-MIN(($P10-'How This Works &amp; Sources'!$C$10*$D10)*'Second Earner'!$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Sources'!$B$211:$J$214,0,4))*(MAX(0,$AY10-MIN(($P10-'How This Works &amp; Sources'!$C$10*$D10)*'Second Earner'!$C$8,IF(OR($AU10="Married",AND($AU10="Single",$AS10&gt;=3)),IF($AY10&lt;250000,8750,IF($AY10&lt;260000,7000,IF($AY10&lt;270000,5250,IF($AY10&lt;280000,3500,IF($AY10&lt;290000,1750,0))))),IF($AY10&lt;125000,8750,IF($AY10&lt;130000,7000,IF($AY10&lt;135000,5250,IF($AY10&lt;140000,3500,IF($AY10&lt;145000,1750,0)))))))-IF(OR($AU10="Married",AND($AU10="Single",$AS10&gt;=3)),5820,2910))-INDEX('How This Works &amp; Sources'!$B$211:$J$214,0,4))*INDEX('How This Works &amp; Sources'!$B$211:$J$214,0,4+2)),SUMPRODUCT((MAX(0,$AY10-MIN(($P10-'How This Works &amp; Sources'!$C$10*$D10)*'Second Earner'!$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Sources'!$B$211:$J$214,0,1))*(MAX(0,$AY10-MIN(($P10-'How This Works &amp; Sources'!$C$10*$D10)*'Second Earner'!$C$8,IF(OR($AU10="Married",AND($AU10="Single",$AS10&gt;=3)),IF($AY10&lt;250000,8750,IF($AY10&lt;260000,7000,IF($AY10&lt;270000,5250,IF($AY10&lt;280000,3500,IF($AY10&lt;290000,1750,0))))),IF($AY10&lt;125000,8750,IF($AY10&lt;130000,7000,IF($AY10&lt;135000,5250,IF($AY10&lt;140000,3500,IF($AY10&lt;145000,1750,0)))))))-IF(OR($AU10="Married",AND($AU10="Single",$AS10&gt;=3)),5820,2910))-INDEX('How This Works &amp; Sources'!$B$211:$J$214,0,1))*INDEX('How This Works &amp; Sources'!$B$211:$J$214,0,1+2)))+263-263*IF(IF($AU10="Married",$AY10&gt;200000,$AY10&gt;100000),0,$AS10),IF($AN10="PA",0.0307*(($O10+$E10+$G10)*'Second Earner'!$C$8),IF($AN10="NY",IF($AU10="Married",IF($AZ10&gt;=2155350,0,IF($AZ10&gt;=1077550,0.48,IF($AZ10&gt;=373200,1.21,IF($AZ10&gt;=323200,0.21,IF($AZ10&gt;=211550,-0.19,IF($AZ10&gt;=157650,-2.8,IF($AZ10&gt;=107650,-0.8,IF($AZ10&gt;=96800,0.05,IF($AZ10&gt;=80650,-0.1,IF($AZ10&gt;=13900,0.4,IF($AZ10&gt;=11700,-0.3,IF($AZ10&gt;=8500,0.5,0)))))))))))),IF($AZ10&gt;=1077550,0,IF($AZ10&gt;=265400,4.29,IF($AZ10&gt;=215400,2.29,IF($AZ10&gt;=157650,2.29,IF($AZ10&gt;=107650,0.29,IF($AZ10&gt;=96800,0.05,IF($AZ10&gt;=80650,-0.1,IF($AZ10&gt;=13900,0.4,IF($AZ10&gt;=11700,-0.3,IF($AZ10&gt;=8500,0.5,0))))))))))),0))))))))))))))))))</f>
      </c>
      <c r="BC10" s="7">
        <f>IF($B10="","",IF($AN10="AL",0.05*$D10,IF($AN10="AR",0.039*$D10,IF($AN10="ID",0.053*$D10,IF($AN10="IN",(0.0295+'Second Earner'!$C$76)*$D10,IF($AN10="KS",0.05*$D10,IF($AN10="MA",0.09*MIN($D10,MAX(0,MAX(0,$AY10-MIN(($BD9+$Q10+$R10+$S10),2000)-IF($AS10=0,0,IF($AS10=1,4400,1000*$AS10+3400)))+$D10-1107750))+0.05*($D10-MIN($D10,MAX(0,MAX(0,$AY10-MIN(($BD9+$Q10+$R10+$S10),2000)-IF($AS10=0,0,IF($AS10=1,4400,1000*$AS10+3400)))+$D10-1107750))),IF($AN10="MD",(0.065+'Second Earner'!$C$74)*$D10,IF($AN10="MI",0.0425*$D10,IF($AN10="MN",0.0625*$D10,IF($AN10="MO",0.047*$D10,IF($AN10="MT",0.05*$D10,IF($AN10="ND",0.015*$D10,IF($AN10="NE",0.035*$D10,IF($AN10="NJ",IF('Second Earner'!$C$77="B",SUMPRODUCT(($D10*'Second Earner'!$C$8&gt;INDEX('How This Works &amp; Sources'!$B$155:$J$162,0,4))*($D10*'Second Earner'!$C$8-INDEX('How This Works &amp; Sources'!$B$155:$J$162,0,4))*INDEX('How This Works &amp; Sources'!$B$155:$J$162,0,4+2)),IF('Second Earner'!$C$77="C",SUMPRODUCT(($D10*'Second Earner'!$C$8&gt;INDEX('How This Works &amp; Sources'!$B$155:$J$162,0,7))*($D10*'Second Earner'!$C$8-INDEX('How This Works &amp; Sources'!$B$155:$J$162,0,7))*INDEX('How This Works &amp; Sources'!$B$155:$J$162,0,7+2)),IF('Second Earner'!$C$77="D",SUMPRODUCT(($D10*'Second Earner'!$C$8&gt;INDEX('How This Works &amp; Sources'!$B$167:$J$179,0,1))*($D10*'Second Earner'!$C$8-INDEX('How This Works &amp; Sources'!$B$167:$J$179,0,1))*INDEX('How This Works &amp; Sources'!$B$167:$J$179,0,1+2)),IF('Second Earner'!$C$77="E",SUMPRODUCT(($D10*'Second Earner'!$C$8&gt;INDEX('How This Works &amp; Sources'!$B$167:$J$179,0,4))*($D10*'Second Earner'!$C$8-INDEX('How This Works &amp; Sources'!$B$167:$J$179,0,4))*INDEX('How This Works &amp; Sources'!$B$167:$J$179,0,4+2)),SUMPRODUCT(($D10*'Second Earner'!$C$8&gt;INDEX('How This Works &amp; Sources'!$B$155:$J$162,0,1))*($D10*'Second Earner'!$C$8-INDEX('How This Works &amp; Sources'!$B$155:$J$162,0,1))*INDEX('How This Works &amp; Sources'!$B$155:$J$162,0,1+2))))))/'Second Earner'!$C$8,IF($AN10="NY",0.117*$D10,IF($AN10="OH",0.0275*$D10,IF($AN10="OK",0.045*$D10,IF($AN10="OR",0.08*$D10,IF($AN10="WI",IF($AY10&lt;12760,0.0354,IF($AY10&lt;25520,0.0465,IF($AY10&lt;280950,0.053,0.0765)))*$D10,0))))))))))))))))))))</f>
      </c>
      <c r="BD10" s="7">
        <f>IF($B10="","",$BD9+$Q10+$R10+$S10)</f>
      </c>
      <c r="BE10" s="6">
        <f>IF($B10="",$BE9,$BE9+$BF10)</f>
      </c>
      <c r="BF10" s="6">
        <f>IF($B10="","",IF(AND(IF(YEAR(IF('Second Earner'!$C$7="Weekly",'Second Earner'!$C$9+7*(($BE9+1)-1),IF('Second Earner'!$C$7="Biweekly",'Second Earner'!$C$9+14*(($BE9+1)-1),IF('Second Earner'!$C$7="Semimonthly",DATE(YEAR('Second Earner'!$C$9),MONTH('Second Earner'!$C$9)+INT((($BE9+1)-1)/2),MIN(DAY('Second Earner'!$C$9),DAY(EOMONTH(DATE(YEAR('Second Earner'!$C$9),MONTH('Second Earner'!$C$9)+INT((($BE9+1)-1)/2),1),0))))+IF(MOD(($BE9+1)-1,2)=1,15,0),EDATE('Second Earner'!$C$9,($BE9+1)-1)))))&lt;&gt;'Second Earner'!$C$10,"",IF('Second Earner'!$C$7="Weekly",'Second Earner'!$C$9+7*(($BE9+1)-1),IF('Second Earner'!$C$7="Biweekly",'Second Earner'!$C$9+14*(($BE9+1)-1),IF('Second Earner'!$C$7="Semimonthly",DATE(YEAR('Second Earner'!$C$9),MONTH('Second Earner'!$C$9)+INT((($BE9+1)-1)/2),MIN(DAY('Second Earner'!$C$9),DAY(EOMONTH(DATE(YEAR('Second Earner'!$C$9),MONTH('Second Earner'!$C$9)+INT((($BE9+1)-1)/2),1),0))))+IF(MOD(($BE9+1)-1,2)=1,15,0),EDATE('Second Earner'!$C$9,($BE9+1)-1)))))&lt;&gt;"",$B10=IF(YEAR(IF('Second Earner'!$C$7="Weekly",'Second Earner'!$C$9+7*(($BE9+1)-1),IF('Second Earner'!$C$7="Biweekly",'Second Earner'!$C$9+14*(($BE9+1)-1),IF('Second Earner'!$C$7="Semimonthly",DATE(YEAR('Second Earner'!$C$9),MONTH('Second Earner'!$C$9)+INT((($BE9+1)-1)/2),MIN(DAY('Second Earner'!$C$9),DAY(EOMONTH(DATE(YEAR('Second Earner'!$C$9),MONTH('Second Earner'!$C$9)+INT((($BE9+1)-1)/2),1),0))))+IF(MOD(($BE9+1)-1,2)=1,15,0),EDATE('Second Earner'!$C$9,($BE9+1)-1)))))&lt;&gt;'Second Earner'!$C$10,"",IF('Second Earner'!$C$7="Weekly",'Second Earner'!$C$9+7*(($BE9+1)-1),IF('Second Earner'!$C$7="Biweekly",'Second Earner'!$C$9+14*(($BE9+1)-1),IF('Second Earner'!$C$7="Semimonthly",DATE(YEAR('Second Earner'!$C$9),MONTH('Second Earner'!$C$9)+INT((($BE9+1)-1)/2),MIN(DAY('Second Earner'!$C$9),DAY(EOMONTH(DATE(YEAR('Second Earner'!$C$9),MONTH('Second Earner'!$C$9)+INT((($BE9+1)-1)/2),1),0))))+IF(MOD(($BE9+1)-1,2)=1,15,0),EDATE('Second Earner'!$C$9,($BE9+1)-1)))))),1,0))</f>
      </c>
      <c r="BG10" s="7">
        <f>IF($B10="","",$BG9+$H10)</f>
      </c>
      <c r="BH10" s="7">
        <f>IF($B10="","",$BH9+$I10)</f>
      </c>
      <c r="BI10" s="7">
        <f>IF($B10="","",$BI9+$G10)</f>
      </c>
      <c r="BJ10" s="7">
        <f>IF($B10="","",IFERROR(LOOKUP(2,1/(((('Changes — Earner 2'!$C$6:$C$17="Deduction start"))*('Changes — Earner 2'!$D$6:$D$17="Health FSA"))*('Changes — Earner 2'!$B$6:$B$17&lt;=$B10)*('Changes — Earner 2'!$B$6:$B$17&lt;&gt;"")),'Changes — Earner 2'!$E$6:$E$17),'Second Earner'!$D$38))</f>
      </c>
      <c r="BK10" s="7">
        <f>IF($B10="","",IFERROR(LOOKUP(2,1/(((('Changes — Earner 2'!$C$6:$C$17="Deduction start"))*('Changes — Earner 2'!$D$6:$D$17="Dependent-care FSA"))*('Changes — Earner 2'!$B$6:$B$17&lt;=$B10)*('Changes — Earner 2'!$B$6:$B$17&lt;&gt;"")),'Changes — Earner 2'!$E$6:$E$17),'Second Earner'!$D$39))</f>
      </c>
      <c r="BL10" s="7">
        <f>IF($B10="","",IFERROR(LOOKUP(2,1/(((('Changes — Earner 2'!$C$6:$C$17="Deduction start")+('Changes — Earner 2'!$C$6:$C$17="Deduction stop"))*('Changes — Earner 2'!$D$6:$D$17="HSA"))*('Changes — Earner 2'!$B$6:$B$17&lt;=$B10)*('Changes — Earner 2'!$B$6:$B$17&lt;&gt;"")),'Changes — Earner 2'!$I$6:$I$17),'Second Earner'!$D$35))</f>
      </c>
      <c r="BM10" s="7">
        <f>IF($B10="","",IFERROR(LOOKUP(2,1/(((('Changes — Earner 2'!$C$6:$C$17="Deduction start")+('Changes — Earner 2'!$C$6:$C$17="Deduction stop"))*('Changes — Earner 2'!$D$6:$D$17="Premiums"))*('Changes — Earner 2'!$B$6:$B$17&lt;=$B10)*('Changes — Earner 2'!$B$6:$B$17&lt;&gt;"")),'Changes — Earner 2'!$I$6:$I$17),'Second Earner'!$D$40+'Second Earner'!$D$41+'Second Earner'!$D$42))</f>
      </c>
      <c r="BN10" s="7">
        <f>IF($B10="","",IFERROR(LOOKUP(2,1/(((('Changes — Earner 2'!$C$6:$C$17="Deduction start")+('Changes — Earner 2'!$C$6:$C$17="Deduction stop"))*('Changes — Earner 2'!$D$6:$D$17="Commuter"))*('Changes — Earner 2'!$B$6:$B$17&lt;=$B10)*('Changes — Earner 2'!$B$6:$B$17&lt;&gt;"")),'Changes — Earner 2'!$I$6:$I$17),'Second Earner'!$D$43))</f>
      </c>
      <c r="BO10" s="7">
        <f>IF($B10="","",IFERROR(LOOKUP(2,1/(((('Changes — Earner 2'!$C$6:$C$17="Deduction start")+('Changes — Earner 2'!$C$6:$C$17="Deduction stop"))*('Changes — Earner 2'!$D$6:$D$17="Other pre-tax"))*('Changes — Earner 2'!$B$6:$B$17&lt;=$B10)*('Changes — Earner 2'!$B$6:$B$17&lt;&gt;"")),'Changes — Earner 2'!$I$6:$I$17),'Second Earner'!$D$44))</f>
      </c>
      <c r="BP10" s="7">
        <f>IF($B10="","",IFERROR(LOOKUP(2,1/(((('Changes — Earner 2'!$C$6:$C$17="Deduction start")+('Changes — Earner 2'!$C$6:$C$17="Deduction stop"))*('Changes — Earner 2'!$D$6:$D$17="Other post-tax"))*('Changes — Earner 2'!$B$6:$B$17&lt;=$B10)*('Changes — Earner 2'!$B$6:$B$17&lt;&gt;"")),'Changes — Earner 2'!$I$6:$I$17),'Second Earner'!$D$45))</f>
      </c>
      <c r="BQ10" s="6">
        <f>IF($B10="","",IFERROR(LOOKUP(2,1/(((('Changes — Earner 2'!$C$6:$C$17="Deduction start")+('Changes — Earner 2'!$C$6:$C$17="Deduction stop"))*('Changes — Earner 2'!$D$6:$D$17="Health FSA"))*('Changes — Earner 2'!$B$6:$B$17&lt;=$B10)*('Changes — Earner 2'!$B$6:$B$17&lt;&gt;"")),'Changes — Earner 2'!$J$6:$J$17),0))</f>
      </c>
      <c r="BR10" s="6">
        <f>IF($B10="","",IFERROR(LOOKUP(2,1/(((('Changes — Earner 2'!$C$6:$C$17="Deduction start")+('Changes — Earner 2'!$C$6:$C$17="Deduction stop"))*('Changes — Earner 2'!$D$6:$D$17="Dependent-care FSA"))*('Changes — Earner 2'!$B$6:$B$17&lt;=$B10)*('Changes — Earner 2'!$B$6:$B$17&lt;&gt;"")),'Changes — Earner 2'!$J$6:$J$17),0))</f>
      </c>
      <c r="BS10" s="6">
        <f>IF($B10="","",IF(SUMPRODUCT(('Changes — Earner 2'!$C$6:$C$17="Deduction start")*('Changes — Earner 2'!$B$6:$B$17&lt;=$B10)*('Changes — Earner 2'!$B$6:$B$17&lt;&gt;"")*('Changes — Earner 2'!$D$6:$D$17="Health FSA"))&gt;0,1,0))</f>
      </c>
      <c r="BT10" s="6">
        <f>IF($B10="","",IF(SUMPRODUCT(('Changes — Earner 2'!$C$6:$C$17="Deduction start")*('Changes — Earner 2'!$B$6:$B$17&lt;=$B10)*('Changes — Earner 2'!$B$6:$B$17&lt;&gt;"")*('Changes — Earner 2'!$D$6:$D$17="Dependent-care FSA"))&gt;0,1,0))</f>
      </c>
      <c r="BU10" s="24">
        <f>IF($B10="","",IF('Second Earner'!$C$13,SUMPRODUCT(($AH10&gt;=INDEX('How This Works &amp; Sources'!$B$29:$J$36,0,IF('Second Earner'!$C$12="MFJ",1,IF('Second Earner'!$C$12="HoH",7,4))))*INDEX('How This Works &amp; Sources'!$B$29:$J$36,0,IF('Second Earner'!$C$12="MFJ",1,IF('Second Earner'!$C$12="HoH",7,4))+2)),SUMPRODUCT(($AH10&gt;=INDEX('How This Works &amp; Sources'!$B$19:$J$26,0,IF('Second Earner'!$C$12="MFJ",1,IF('Second Earner'!$C$12="HoH",7,4))))*INDEX('How This Works &amp; Sources'!$B$19:$J$26,0,IF('Second Earner'!$C$12="MFJ",1,IF('Second Earner'!$C$12="HoH",7,4))+2))))</f>
      </c>
      <c r="BV10" s="24">
        <f>IF($B10="","",IF($BZ10&lt;&gt;"",$BZ10,IF($CA10&lt;&gt;"",$CA10,IF($CB10&lt;&gt;"",$CB10,IF($CC10&lt;&gt;"",$CC10,0)))))</f>
      </c>
      <c r="BW10" s="7">
        <f>IF($B10="","",IF($AN10="AR",SUMPRODUCT(($AZ10&gt;INDEX('How This Works &amp; Sources'!$B$82:$J$86,0,7))*($AZ10-INDEX('How This Works &amp; Sources'!$B$82:$J$86,0,7))*INDEX('How This Works &amp; Sources'!$B$82:$J$86,0,7+2)),IF($AN10="MD",IF(OR($AU10="Married",$AU10="Head of household"),SUMPRODUCT(($AZ10&gt;INDEX('How This Works &amp; Sources'!$B$114:$J$120,0,1))*($AZ10-INDEX('How This Works &amp; Sources'!$B$114:$J$120,0,1))*INDEX('How This Works &amp; Sources'!$B$114:$J$120,0,1+2)),SUMPRODUCT(($AZ10&gt;INDEX('How This Works &amp; Sources'!$B$103:$J$109,0,7))*($AZ10-INDEX('How This Works &amp; Sources'!$B$103:$J$109,0,7))*INDEX('How This Works &amp; Sources'!$B$103:$J$109,0,7+2))),IF($AN10="MT",IF($AU10="Head of household",SUMPRODUCT(($AZ10&gt;INDEX('How This Works &amp; Sources'!$B$137:$J$139,0,1))*($AZ10-INDEX('How This Works &amp; Sources'!$B$137:$J$139,0,1))*INDEX('How This Works &amp; Sources'!$B$137:$J$139,0,1+2)),IF($AU10="Married",SUMPRODUCT(($AZ10&gt;INDEX('How This Works &amp; Sources'!$B$125:$J$132,0,7))*($AZ10-INDEX('How This Works &amp; Sources'!$B$125:$J$132,0,7))*INDEX('How This Works &amp; Sources'!$B$125:$J$132,0,7+2)),SUMPRODUCT(($AZ10&gt;INDEX('How This Works &amp; Sources'!$B$125:$J$132,0,4))*($AZ10-INDEX('How This Works &amp; Sources'!$B$125:$J$132,0,4))*INDEX('How This Works &amp; Sources'!$B$125:$J$132,0,4+2)))),IF($AN10="ND",IF($AU10="Head of household",SUMPRODUCT(($AZ10&gt;INDEX('How This Works &amp; Sources'!$B$144:$J$150,0,1))*($AZ10-INDEX('How This Works &amp; Sources'!$B$144:$J$150,0,1))*INDEX('How This Works &amp; Sources'!$B$144:$J$150,0,1+2)),IF($AU10="Married",SUMPRODUCT(($AZ10&gt;INDEX('How This Works &amp; Sources'!$B$137:$J$139,0,7))*($AZ10-INDEX('How This Works &amp; Sources'!$B$137:$J$139,0,7))*INDEX('How This Works &amp; Sources'!$B$137:$J$139,0,7+2)),SUMPRODUCT(($AZ10&gt;INDEX('How This Works &amp; Sources'!$B$137:$J$139,0,4))*($AZ10-INDEX('How This Works &amp; Sources'!$B$137:$J$139,0,4))*INDEX('How This Works &amp; Sources'!$B$137:$J$139,0,4+2)))),IF($AN10="NJ",IF('Second Earner'!$C$77="B",SUMPRODUCT(($AZ10&gt;INDEX('How This Works &amp; Sources'!$B$155:$J$162,0,4))*($AZ10-INDEX('How This Works &amp; Sources'!$B$155:$J$162,0,4))*INDEX('How This Works &amp; Sources'!$B$155:$J$162,0,4+2)),IF('Second Earner'!$C$77="C",SUMPRODUCT(($AZ10&gt;INDEX('How This Works &amp; Sources'!$B$155:$J$162,0,7))*($AZ10-INDEX('How This Works &amp; Sources'!$B$155:$J$162,0,7))*INDEX('How This Works &amp; Sources'!$B$155:$J$162,0,7+2)),IF('Second Earner'!$C$77="D",SUMPRODUCT(($AZ10&gt;INDEX('How This Works &amp; Sources'!$B$167:$J$179,0,1))*($AZ10-INDEX('How This Works &amp; Sources'!$B$167:$J$179,0,1))*INDEX('How This Works &amp; Sources'!$B$167:$J$179,0,1+2)),IF('Second Earner'!$C$77="E",SUMPRODUCT(($AZ10&gt;INDEX('How This Works &amp; Sources'!$B$167:$J$179,0,4))*($AZ10-INDEX('How This Works &amp; Sources'!$B$167:$J$179,0,4))*INDEX('How This Works &amp; Sources'!$B$167:$J$179,0,4+2)),SUMPRODUCT(($AZ10&gt;INDEX('How This Works &amp; Sources'!$B$155:$J$162,0,1))*($AZ10-INDEX('How This Works &amp; Sources'!$B$155:$J$162,0,1))*INDEX('How This Works &amp; Sources'!$B$155:$J$162,0,1+2)))))),IF($AN10="NY",IF($AU10="Married",IF($AZ10&gt;=2155350,$AZ10*IF($AZ10&gt;25000000,0.117,IF($AZ10&gt;5000000,0.111,0.1045)),SUMPRODUCT(($AZ10&gt;INDEX('How This Works &amp; Sources'!$B$184:$J$198,0,1))*($AZ10-INDEX('How This Works &amp; Sources'!$B$184:$J$198,0,1))*INDEX('How This Works &amp; Sources'!$B$184:$J$198,0,1+2))),IF($AZ10&gt;=1077550,$AZ10*IF($AZ10&gt;25000000,0.117,IF($AZ10&gt;5000000,0.111,0.1045)),SUMPRODUCT(($AZ10&gt;INDEX('How This Works &amp; Sources'!$B$167:$J$179,0,7))*($AZ10-INDEX('How This Works &amp; Sources'!$B$167:$J$179,0,7))*INDEX('How This Works &amp; Sources'!$B$167:$J$179,0,7+2)))),"")))))))</f>
      </c>
      <c r="BX10" s="7">
        <f>IF($B10="","",IF($AN10="AL",IF(OR($AU10="Married",$AU10="Head of household"),SUMPRODUCT(($AZ10&gt;INDEX('How This Works &amp; Sources'!$B$82:$J$86,0,4))*($AZ10-INDEX('How This Works &amp; Sources'!$B$82:$J$86,0,4))*INDEX('How This Works &amp; Sources'!$B$82:$J$86,0,4+2)),SUMPRODUCT(($AZ10&gt;INDEX('How This Works &amp; Sources'!$B$82:$J$86,0,1))*($AZ10-INDEX('How This Works &amp; Sources'!$B$82:$J$86,0,1))*INDEX('How This Works &amp; Sources'!$B$82:$J$86,0,1+2))),IF($AN10="KS",IF($AU10="Married",SUMPRODUCT(($AZ10&gt;INDEX('How This Works &amp; Sources'!$B$103:$J$109,0,4))*($AZ10-INDEX('How This Works &amp; Sources'!$B$103:$J$109,0,4))*INDEX('How This Works &amp; Sources'!$B$103:$J$109,0,4+2)),SUMPRODUCT(($AZ10&gt;INDEX('How This Works &amp; Sources'!$B$103:$J$109,0,1))*($AZ10-INDEX('How This Works &amp; Sources'!$B$103:$J$109,0,1))*INDEX('How This Works &amp; Sources'!$B$103:$J$109,0,1+2))),IF($AN10="MN",IF($AU10="Married",SUMPRODUCT(($AZ10&gt;INDEX('How This Works &amp; Sources'!$B$114:$J$120,0,7))*($AZ10-INDEX('How This Works &amp; Sources'!$B$114:$J$120,0,7))*INDEX('How This Works &amp; Sources'!$B$114:$J$120,0,7+2)),SUMPRODUCT(($AZ10&gt;INDEX('How This Works &amp; Sources'!$B$114:$J$120,0,4))*($AZ10-INDEX('How This Works &amp; Sources'!$B$114:$J$120,0,4))*INDEX('How This Works &amp; Sources'!$B$114:$J$120,0,4+2))),IF($AN10="MO",SUMPRODUCT(($AZ10&gt;INDEX('How This Works &amp; Sources'!$B$125:$J$132,0,1))*($AZ10-INDEX('How This Works &amp; Sources'!$B$125:$J$132,0,1))*INDEX('How This Works &amp; Sources'!$B$125:$J$132,0,1+2)),IF($AN10="NE",MAX(IF($AU10="Married",SUMPRODUCT(($AZ10&gt;INDEX('How This Works &amp; Sources'!$B$144:$J$150,0,7))*($AZ10-INDEX('How This Works &amp; Sources'!$B$144:$J$150,0,7))*INDEX('How This Works &amp; Sources'!$B$144:$J$150,0,7+2)),SUMPRODUCT(($AZ10&gt;INDEX('How This Works &amp; Sources'!$B$144:$J$150,0,4))*($AZ10-INDEX('How This Works &amp; Sources'!$B$144:$J$150,0,4))*INDEX('How This Works &amp; Sources'!$B$144:$J$150,0,4+2))),0.015*$AZ10),IF($AN10="OH",IF($B10&gt;=DATE(2026,8,1),SUMPRODUCT(($AZ10&gt;INDEX('How This Works &amp; Sources'!$B$203:$J$206,0,1))*($AZ10-INDEX('How This Works &amp; Sources'!$B$203:$J$206,0,1))*INDEX('How This Works &amp; Sources'!$B$203:$J$206,0,1+2)),SUMPRODUCT(($AZ10&gt;INDEX('How This Works &amp; Sources'!$B$184:$J$198,0,7))*($AZ10-INDEX('How This Works &amp; Sources'!$B$184:$J$198,0,7))*INDEX('How This Works &amp; Sources'!$B$184:$J$198,0,7+2))),IF($AN10="OK",IF($AU10="Married",SUMPRODUCT(($AZ10&gt;INDEX('How This Works &amp; Sources'!$B$203:$J$206,0,7))*($AZ10-INDEX('How This Works &amp; Sources'!$B$203:$J$206,0,7))*INDEX('How This Works &amp; Sources'!$B$203:$J$206,0,7+2)),SUMPRODUCT(($AZ10&gt;INDEX('How This Works &amp; Sources'!$B$203:$J$206,0,4))*($AZ10-INDEX('How This Works &amp; Sources'!$B$203:$J$206,0,4))*INDEX('How This Works &amp; Sources'!$B$203:$J$206,0,4+2))),IF($AN10="VT",IF($AU10="Married",SUMPRODUCT(($AZ10&gt;INDEX('How This Works &amp; Sources'!$B$228:$J$232,0,1))*($AZ10-INDEX('How This Works &amp; Sources'!$B$228:$J$232,0,1))*INDEX('How This Works &amp; Sources'!$B$228:$J$232,0,1+2)),SUMPRODUCT(($AZ10&gt;INDEX('How This Works &amp; Sources'!$B$219:$J$223,0,7))*($AZ10-INDEX('How This Works &amp; Sources'!$B$219:$J$223,0,7))*INDEX('How This Works &amp; Sources'!$B$219:$J$223,0,7+2))),IF($AN10="WV",IF($AU10="Married",SUMPRODUCT(($AZ10&gt;INDEX('How This Works &amp; Sources'!$B$237:$J$241,0,7))*($AZ10-INDEX('How This Works &amp; Sources'!$B$237:$J$241,0,7))*INDEX('How This Works &amp; Sources'!$B$237:$J$241,0,7+2)),SUMPRODUCT(($AZ10&gt;INDEX('How This Works &amp; Sources'!$B$228:$J$232,0,7))*($AZ10-INDEX('How This Works &amp; Sources'!$B$228:$J$232,0,7))*INDEX('How This Works &amp; Sources'!$B$228:$J$232,0,7+2))),""))))))))))</f>
      </c>
      <c r="BY10" s="7">
        <f>IF($B10="","",IF($AN10="DE",SUMPRODUCT(($AZ10&gt;INDEX('How This Works &amp; Sources'!$B$91:$J$98,0,1))*($AZ10-INDEX('How This Works &amp; Sources'!$B$91:$J$98,0,1))*INDEX('How This Works &amp; Sources'!$B$91:$J$98,0,1+2)),IF($AN10="HI",IF($AU10="Married",SUMPRODUCT(($AZ10&gt;INDEX('How This Works &amp; Sources'!$B$91:$J$98,0,7))*($AZ10-INDEX('How This Works &amp; Sources'!$B$91:$J$98,0,7))*INDEX('How This Works &amp; Sources'!$B$91:$J$98,0,7+2)),SUMPRODUCT(($AZ10&gt;INDEX('How This Works &amp; Sources'!$B$91:$J$98,0,4))*($AZ10-INDEX('How This Works &amp; Sources'!$B$91:$J$98,0,4))*INDEX('How This Works &amp; Sources'!$B$91:$J$98,0,4+2))),IF($AN10="RI",SUMPRODUCT(($AZ10&gt;INDEX('How This Works &amp; Sources'!$B$211:$J$214,0,7))*($AZ10-INDEX('How This Works &amp; Sources'!$B$211:$J$214,0,7))*INDEX('How This Works &amp; Sources'!$B$211:$J$214,0,7+2)),IF($AN10="SC",SUMPRODUCT(($AZ10&gt;INDEX('How This Works &amp; Sources'!$B$219:$J$223,0,1))*($AZ10-INDEX('How This Works &amp; Sources'!$B$219:$J$223,0,1))*INDEX('How This Works &amp; Sources'!$B$219:$J$223,0,1+2)),IF($AN10="VA",SUMPRODUCT(($AZ10&gt;INDEX('How This Works &amp; Sources'!$B$219:$J$223,0,4))*($AZ10-INDEX('How This Works &amp; Sources'!$B$219:$J$223,0,4))*INDEX('How This Works &amp; Sources'!$B$219:$J$223,0,4+2)),IF($AN10="WI",SUMPRODUCT(($AZ10&gt;INDEX('How This Works &amp; Sources'!$B$228:$J$232,0,4))*($AZ10-INDEX('How This Works &amp; Sources'!$B$228:$J$232,0,4))*INDEX('How This Works &amp; Sources'!$B$228:$J$232,0,4+2)),"")))))))</f>
      </c>
      <c r="BZ10" s="24">
        <f>IF($B10="","",IF($AN10="KS",IF($AU10="Married",SUMPRODUCT(($AZ10&gt;=INDEX('How This Works &amp; Sources'!$B$103:$J$109,0,4))*INDEX('How This Works &amp; Sources'!$B$103:$J$109,0,4+2)),SUMPRODUCT(($AZ10&gt;=INDEX('How This Works &amp; Sources'!$B$103:$J$109,0,1))*INDEX('How This Works &amp; Sources'!$B$103:$J$109,0,1+2))),IF($AN10="MT",IF($AU10="Head of household",SUMPRODUCT(($AZ10&gt;=INDEX('How This Works &amp; Sources'!$B$137:$J$139,0,1))*INDEX('How This Works &amp; Sources'!$B$137:$J$139,0,1+2)),IF($AU10="Married",SUMPRODUCT(($AZ10&gt;=INDEX('How This Works &amp; Sources'!$B$125:$J$132,0,7))*INDEX('How This Works &amp; Sources'!$B$125:$J$132,0,7+2)),SUMPRODUCT(($AZ10&gt;=INDEX('How This Works &amp; Sources'!$B$125:$J$132,0,4))*INDEX('How This Works &amp; Sources'!$B$125:$J$132,0,4+2)))),IF($AN10="OR",IF(OR($AU10="Married",AND($AU10="Single",$AS10&gt;=3)),SUMPRODUCT((MAX(0,$AY10-MIN(($P10-'How This Works &amp; Sources'!$C$10*$D10)*'Second Earner'!$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Sources'!$B$211:$J$214,0,4))*INDEX('How This Works &amp; Sources'!$B$211:$J$214,0,4+2)),SUMPRODUCT((MAX(0,$AY10-MIN(($P10-'How This Works &amp; Sources'!$C$10*$D10)*'Second Earner'!$C$8,IF(OR($AU10="Married",AND($AU10="Single",$AS10&gt;=3)),IF($AY10&lt;250000,8750,IF($AY10&lt;260000,7000,IF($AY10&lt;270000,5250,IF($AY10&lt;280000,3500,IF($AY10&lt;290000,1750,0))))),IF($AY10&lt;125000,8750,IF($AY10&lt;130000,7000,IF($AY10&lt;135000,5250,IF($AY10&lt;140000,3500,IF($AY10&lt;145000,1750,0)))))))-IF(OR($AU10="Married",AND($AU10="Single",$AS10&gt;=3)),5820,2910))&gt;=INDEX('How This Works &amp; Sources'!$B$211:$J$214,0,1))*INDEX('How This Works &amp; Sources'!$B$211:$J$214,0,1+2)))*IF(($P10-'How This Works &amp; Sources'!$C$10*$D10)*'Second Earner'!$C$8&gt;=IF(OR($AU10="Married",AND($AU10="Single",$AS10&gt;=3)),IF($AY10&lt;250000,8750,IF($AY10&lt;260000,7000,IF($AY10&lt;270000,5250,IF($AY10&lt;280000,3500,IF($AY10&lt;290000,1750,0))))),IF($AY10&lt;125000,8750,IF($AY10&lt;130000,7000,IF($AY10&lt;135000,5250,IF($AY10&lt;140000,3500,IF($AY10&lt;145000,1750,0)))))),1,1-IF('Second Earner'!$C$13,SUMPRODUCT(($AH10&gt;=INDEX('How This Works &amp; Sources'!$B$29:$J$36,0,IF('Second Earner'!$C$12="MFJ",1,IF('Second Earner'!$C$12="HoH",7,4))))*INDEX('How This Works &amp; Sources'!$B$29:$J$36,0,IF('Second Earner'!$C$12="MFJ",1,IF('Second Earner'!$C$12="HoH",7,4))+2)),SUMPRODUCT(($AH10&gt;=INDEX('How This Works &amp; Sources'!$B$19:$J$26,0,IF('Second Earner'!$C$12="MFJ",1,IF('Second Earner'!$C$12="HoH",7,4))))*INDEX('How This Works &amp; Sources'!$B$19:$J$26,0,IF('Second Earner'!$C$12="MFJ",1,IF('Second Earner'!$C$12="HoH",7,4))+2)))),""))))</f>
      </c>
      <c r="CA10" s="24">
        <f>IF($B10="","",IF($AN10="CA",SUMPRODUCT(($AJ10&gt;=INDEX('How This Works &amp; Sources'!$B$39:$J$48,0,IF($AU10="Married",4,IF($AU10="Head of household",7,1))))*INDEX('How This Works &amp; Sources'!$B$39:$J$48,0,IF($AU10="Married",4,IF($AU10="Head of household",7,1))+2)),IF($AN10="AL",IF(OR($AU10="Married",$AU10="Head of household"),SUMPRODUCT(($AZ10&gt;=INDEX('How This Works &amp; Sources'!$B$82:$J$86,0,4))*INDEX('How This Works &amp; Sources'!$B$82:$J$86,0,4+2)),SUMPRODUCT(($AZ10&gt;=INDEX('How This Works &amp; Sources'!$B$82:$J$86,0,1))*INDEX('How This Works &amp; Sources'!$B$82:$J$86,0,1+2)))*(1-IF('Second Earner'!$C$13,SUMPRODUCT(($AH10&gt;=INDEX('How This Works &amp; Sources'!$B$29:$J$36,0,IF('Second Earner'!$C$12="MFJ",1,IF('Second Earner'!$C$12="HoH",7,4))))*INDEX('How This Works &amp; Sources'!$B$29:$J$36,0,IF('Second Earner'!$C$12="MFJ",1,IF('Second Earner'!$C$12="HoH",7,4))+2)),SUMPRODUCT(($AH10&gt;=INDEX('How This Works &amp; Sources'!$B$19:$J$26,0,IF('Second Earner'!$C$12="MFJ",1,IF('Second Earner'!$C$12="HoH",7,4))))*INDEX('How This Works &amp; Sources'!$B$19:$J$26,0,IF('Second Earner'!$C$12="MFJ",1,IF('Second Earner'!$C$12="HoH",7,4))+2)))),IF($AN10="ND",IF($AU10="Head of household",SUMPRODUCT(($AZ10&gt;=INDEX('How This Works &amp; Sources'!$B$144:$J$150,0,1))*INDEX('How This Works &amp; Sources'!$B$144:$J$150,0,1+2)),IF($AU10="Married",SUMPRODUCT(($AZ10&gt;=INDEX('How This Works &amp; Sources'!$B$137:$J$139,0,7))*INDEX('How This Works &amp; Sources'!$B$137:$J$139,0,7+2)),SUMPRODUCT(($AZ10&gt;=INDEX('How This Works &amp; Sources'!$B$137:$J$139,0,4))*INDEX('How This Works &amp; Sources'!$B$137:$J$139,0,4+2)))),IF($AN10="NJ",IF('Second Earner'!$C$77="B",SUMPRODUCT(($AZ10&gt;=INDEX('How This Works &amp; Sources'!$B$155:$J$162,0,4))*INDEX('How This Works &amp; Sources'!$B$155:$J$162,0,4+2)),IF('Second Earner'!$C$77="C",SUMPRODUCT(($AZ10&gt;=INDEX('How This Works &amp; Sources'!$B$155:$J$162,0,7))*INDEX('How This Works &amp; Sources'!$B$155:$J$162,0,7+2)),IF('Second Earner'!$C$77="D",SUMPRODUCT(($AZ10&gt;=INDEX('How This Works &amp; Sources'!$B$167:$J$179,0,1))*INDEX('How This Works &amp; Sources'!$B$167:$J$179,0,1+2)),IF('Second Earner'!$C$77="E",SUMPRODUCT(($AZ10&gt;=INDEX('How This Works &amp; Sources'!$B$167:$J$179,0,4))*INDEX('How This Works &amp; Sources'!$B$167:$J$179,0,4+2)),SUMPRODUCT(($AZ10&gt;=INDEX('How This Works &amp; Sources'!$B$155:$J$162,0,1))*INDEX('How This Works &amp; Sources'!$B$155:$J$162,0,1+2)))))),IF($AN10="NY",IF($AU10="Married",IF($AZ10&gt;=2155350,IF($AZ10&gt;25000000,0.117,IF($AZ10&gt;5000000,0.111,0.1045)),SUMPRODUCT(($AZ10&gt;=INDEX('How This Works &amp; Sources'!$B$184:$J$198,0,1))*INDEX('How This Works &amp; Sources'!$B$184:$J$198,0,1+2))),IF($AZ10&gt;=1077550,IF($AZ10&gt;25000000,0.117,IF($AZ10&gt;5000000,0.111,0.1045)),SUMPRODUCT(($AZ10&gt;=INDEX('How This Works &amp; Sources'!$B$167:$J$179,0,7))*INDEX('How This Works &amp; Sources'!$B$167:$J$179,0,7+2)))),IF($AN10="LA",0.0309,"")))))))</f>
      </c>
      <c r="CB10" s="24">
        <f>IF($B10="","",IF($AN10="HI",IF($AU10="Married",SUMPRODUCT(($AZ10&gt;=INDEX('How This Works &amp; Sources'!$B$91:$J$98,0,7))*INDEX('How This Works &amp; Sources'!$B$91:$J$98,0,7+2)),SUMPRODUCT(($AZ10&gt;=INDEX('How This Works &amp; Sources'!$B$91:$J$98,0,4))*INDEX('How This Works &amp; Sources'!$B$91:$J$98,0,4+2))),IF($AN10="MD",IF(OR($AU10="Married",$AU10="Head of household"),SUMPRODUCT(($AZ10&gt;=INDEX('How This Works &amp; Sources'!$B$114:$J$120,0,1))*INDEX('How This Works &amp; Sources'!$B$114:$J$120,0,1+2)),SUMPRODUCT(($AZ10&gt;=INDEX('How This Works &amp; Sources'!$B$103:$J$109,0,7))*INDEX('How This Works &amp; Sources'!$B$103:$J$109,0,7+2)))+'Second Earner'!$C$74,IF($AN10="MN",IF($AU10="Married",SUMPRODUCT(($AZ10&gt;=INDEX('How This Works &amp; Sources'!$B$114:$J$120,0,7))*INDEX('How This Works &amp; Sources'!$B$114:$J$120,0,7+2)),SUMPRODUCT(($AZ10&gt;=INDEX('How This Works &amp; Sources'!$B$114:$J$120,0,4))*INDEX('How This Works &amp; Sources'!$B$114:$J$120,0,4+2))),IF($AN10="MO",SUMPRODUCT(($AZ10&gt;=INDEX('How This Works &amp; Sources'!$B$125:$J$132,0,1))*INDEX('How This Works &amp; Sources'!$B$125:$J$132,0,1+2)),IF($AN10="NE",MAX(IF($AU10="Married",SUMPRODUCT(($AZ10&gt;=INDEX('How This Works &amp; Sources'!$B$144:$J$150,0,7))*INDEX('How This Works &amp; Sources'!$B$144:$J$150,0,7+2)),SUMPRODUCT(($AZ10&gt;=INDEX('How This Works &amp; Sources'!$B$144:$J$150,0,4))*INDEX('How This Works &amp; Sources'!$B$144:$J$150,0,4+2))),0.015),IF($AN10="OH",IF($B10&gt;=DATE(2026,8,1),SUMPRODUCT(($AZ10&gt;=INDEX('How This Works &amp; Sources'!$B$203:$J$206,0,1))*INDEX('How This Works &amp; Sources'!$B$203:$J$206,0,1+2)),SUMPRODUCT(($AZ10&gt;=INDEX('How This Works &amp; Sources'!$B$184:$J$198,0,7))*INDEX('How This Works &amp; Sources'!$B$184:$J$198,0,7+2))),IF($AN10="OK",IF($AU10="Married",SUMPRODUCT(($AZ10&gt;=INDEX('How This Works &amp; Sources'!$B$203:$J$206,0,7))*INDEX('How This Works &amp; Sources'!$B$203:$J$206,0,7+2)),SUMPRODUCT(($AZ10&gt;=INDEX('How This Works &amp; Sources'!$B$203:$J$206,0,4))*INDEX('How This Works &amp; Sources'!$B$203:$J$206,0,4+2))),IF($AN10="RI",SUMPRODUCT(($AZ10&gt;=INDEX('How This Works &amp; Sources'!$B$211:$J$214,0,7))*INDEX('How This Works &amp; Sources'!$B$211:$J$214,0,7+2)),IF($AN10="VT",IF($AU10="Married",SUMPRODUCT(($AZ10&gt;=INDEX('How This Works &amp; Sources'!$B$228:$J$232,0,1))*INDEX('How This Works &amp; Sources'!$B$228:$J$232,0,1+2)),SUMPRODUCT(($AZ10&gt;=INDEX('How This Works &amp; Sources'!$B$219:$J$223,0,7))*INDEX('How This Works &amp; Sources'!$B$219:$J$223,0,7+2))),IF($AN10="WV",IF($AU10="Married",SUMPRODUCT(($AZ10&gt;=INDEX('How This Works &amp; Sources'!$B$237:$J$241,0,7))*INDEX('How This Works &amp; Sources'!$B$237:$J$241,0,7+2)),SUMPRODUCT(($AZ10&gt;=INDEX('How This Works &amp; Sources'!$B$228:$J$232,0,7))*INDEX('How This Works &amp; Sources'!$B$228:$J$232,0,7+2))),IF($AN10="AZ",'Second Earner'!$C$82,IF($AN10="ID",IF($AY10&gt;IF($AU10="Married",32000,16094),0.053,0),"")))))))))))))</f>
      </c>
      <c r="CC10" s="24">
        <f>IF($B10="","",IF($AN10="AR",SUMPRODUCT(($AZ10&gt;=INDEX('How This Works &amp; Sources'!$B$82:$J$86,0,7))*INDEX('How This Works &amp; Sources'!$B$82:$J$86,0,7+2)),IF($AN10="DE",SUMPRODUCT(($AZ10&gt;=INDEX('How This Works &amp; Sources'!$B$91:$J$98,0,1))*INDEX('How This Works &amp; Sources'!$B$91:$J$98,0,1+2)),IF($AN10="SC",SUMPRODUCT(($AZ10&gt;=INDEX('How This Works &amp; Sources'!$B$219:$J$223,0,1))*INDEX('How This Works &amp; Sources'!$B$219:$J$223,0,1+2)),IF($AN10="VA",SUMPRODUCT(($AZ10&gt;=INDEX('How This Works &amp; Sources'!$B$219:$J$223,0,4))*INDEX('How This Works &amp; Sources'!$B$219:$J$223,0,4+2)),IF($AN10="WI",SUMPRODUCT(($AZ10&gt;=INDEX('How This Works &amp; Sources'!$B$228:$J$232,0,4))*INDEX('How This Works &amp; Sources'!$B$228:$J$232,0,4+2)),IF($AN10="CO",IF($AY10&gt;IF($AU10="Married",10000,5000),0.044,0),IF($AN10="IA",IF($AY10&gt;IF($AU10="Head of household",19500,IF($AU10="Married",26000,13000)),0.038,0),IF($AN10="IL",IF($AY10&gt;(2925*$AS10+1000*$AT10),0.0495,0),IF($AN10="IN",(0.0295+'Second Earner'!$C$76),IF($AN10="KY",IF($AI10&gt;3360,0.035,0),IF($AN10="MA",IF(MAX(0,$AY10-MIN(($BD9+$Q10+$R10+$S10),2000)-IF($AS10=0,0,IF($AS10=1,4400,1000*$AS10+3400)))&gt;=1107750,0.09,0.05),IF($AN10="MI",IF($AY10&gt;5900*$AS10,0.0425,0),IF($AN10="MS",IF($AI10-IF($AU10="Head of household",3400,IF($AU10="Married",4600,2300))-'Second Earner'!$C$85&gt;10000,0.04,0),IF($AN10="PA",0.0307,"")))))))))))))))</f>
      </c>
      <c r="CD10" s="21">
        <f>IF(YEAR(IF('Second Earner'!$C$7="Weekly",'Second Earner'!$C$9+7*(($BE9+1)-1),IF('Second Earner'!$C$7="Biweekly",'Second Earner'!$C$9+14*(($BE9+1)-1),IF('Second Earner'!$C$7="Semimonthly",DATE(YEAR('Second Earner'!$C$9),MONTH('Second Earner'!$C$9)+INT((($BE9+1)-1)/2),MIN(DAY('Second Earner'!$C$9),DAY(EOMONTH(DATE(YEAR('Second Earner'!$C$9),MONTH('Second Earner'!$C$9)+INT((($BE9+1)-1)/2),1),0))))+IF(MOD(($BE9+1)-1,2)=1,15,0),EDATE('Second Earner'!$C$9,($BE9+1)-1)))))&lt;&gt;'Second Earner'!$C$10,"",IF('Second Earner'!$C$7="Weekly",'Second Earner'!$C$9+7*(($BE9+1)-1),IF('Second Earner'!$C$7="Biweekly",'Second Earner'!$C$9+14*(($BE9+1)-1),IF('Second Earner'!$C$7="Semimonthly",DATE(YEAR('Second Earner'!$C$9),MONTH('Second Earner'!$C$9)+INT((($BE9+1)-1)/2),MIN(DAY('Second Earner'!$C$9),DAY(EOMONTH(DATE(YEAR('Second Earner'!$C$9),MONTH('Second Earner'!$C$9)+INT((($BE9+1)-1)/2),1),0))))+IF(MOD(($BE9+1)-1,2)=1,15,0),EDATE('Second Earner'!$C$9,($BE9+1)-1)))))</f>
      </c>
      <c r="CE10" s="21">
        <f>IF(MIN(IF(AND('Second Earner'!$C$58&gt;MAX($B$6:$B9),'Second Earner'!$C$58&gt;=DATE('Second Earner'!$C$10,1,1),'Second Earner'!$C$58&lt;=DATE('Second Earner'!$C$10,12,31)),'Second Earner'!$C$58,999999),IF(AND('Second Earner'!$C$59&gt;MAX($B$6:$B9),'Second Earner'!$C$59&gt;=DATE('Second Earner'!$C$10,1,1),'Second Earner'!$C$59&lt;=DATE('Second Earner'!$C$10,12,31)),'Second Earner'!$C$59,999999),IF(AND('Second Earner'!$C$60&gt;MAX($B$6:$B9),'Second Earner'!$C$60&gt;=DATE('Second Earner'!$C$10,1,1),'Second Earner'!$C$60&lt;=DATE('Second Earner'!$C$10,12,31)),'Second Earner'!$C$60,999999),IF(AND('Second Earner'!$C$61&gt;MAX($B$6:$B9),'Second Earner'!$C$61&gt;=DATE('Second Earner'!$C$10,1,1),'Second Earner'!$C$61&lt;=DATE('Second Earner'!$C$10,12,31)),'Second Earner'!$C$61,999999),IF(AND('Second Earner'!$C$62&gt;MAX($B$6:$B9),'Second Earner'!$C$62&gt;=DATE('Second Earner'!$C$10,1,1),'Second Earner'!$C$62&lt;=DATE('Second Earner'!$C$10,12,31)),'Second Earner'!$C$62,999999),IF(AND('Second Earner'!$C$63&gt;MAX($B$6:$B9),'Second Earner'!$C$63&gt;=DATE('Second Earner'!$C$10,1,1),'Second Earner'!$C$63&lt;=DATE('Second Earner'!$C$10,12,31)),'Second Earner'!$C$63,999999),IF(AND('Second Earner'!$C$64&gt;MAX($B$6:$B9),'Second Earner'!$C$64&gt;=DATE('Second Earner'!$C$10,1,1),'Second Earner'!$C$64&lt;=DATE('Second Earner'!$C$10,12,31)),'Second Earner'!$C$64,999999),IF(AND('Second Earner'!$C$65&gt;MAX($B$6:$B9),'Second Earner'!$C$65&gt;=DATE('Second Earner'!$C$10,1,1),'Second Earner'!$C$65&lt;=DATE('Second Earner'!$C$10,12,31)),'Second Earner'!$C$65,999999),IF(AND('Second Earner'!$C$66&gt;MAX($B$6:$B9),'Second Earner'!$C$66&gt;=DATE('Second Earner'!$C$10,1,1),'Second Earner'!$C$66&lt;=DATE('Second Earner'!$C$10,12,31)),'Second Earner'!$C$66,999999),IF(AND('Second Earner'!$C$67&gt;MAX($B$6:$B9),'Second Earner'!$C$67&gt;=DATE('Second Earner'!$C$10,1,1),'Second Earner'!$C$67&lt;=DATE('Second Earner'!$C$10,12,31)),'Second Earner'!$C$67,999999))=999999,"",MIN(IF(AND('Second Earner'!$C$58&gt;MAX($B$6:$B9),'Second Earner'!$C$58&gt;=DATE('Second Earner'!$C$10,1,1),'Second Earner'!$C$58&lt;=DATE('Second Earner'!$C$10,12,31)),'Second Earner'!$C$58,999999),IF(AND('Second Earner'!$C$59&gt;MAX($B$6:$B9),'Second Earner'!$C$59&gt;=DATE('Second Earner'!$C$10,1,1),'Second Earner'!$C$59&lt;=DATE('Second Earner'!$C$10,12,31)),'Second Earner'!$C$59,999999),IF(AND('Second Earner'!$C$60&gt;MAX($B$6:$B9),'Second Earner'!$C$60&gt;=DATE('Second Earner'!$C$10,1,1),'Second Earner'!$C$60&lt;=DATE('Second Earner'!$C$10,12,31)),'Second Earner'!$C$60,999999),IF(AND('Second Earner'!$C$61&gt;MAX($B$6:$B9),'Second Earner'!$C$61&gt;=DATE('Second Earner'!$C$10,1,1),'Second Earner'!$C$61&lt;=DATE('Second Earner'!$C$10,12,31)),'Second Earner'!$C$61,999999),IF(AND('Second Earner'!$C$62&gt;MAX($B$6:$B9),'Second Earner'!$C$62&gt;=DATE('Second Earner'!$C$10,1,1),'Second Earner'!$C$62&lt;=DATE('Second Earner'!$C$10,12,31)),'Second Earner'!$C$62,999999),IF(AND('Second Earner'!$C$63&gt;MAX($B$6:$B9),'Second Earner'!$C$63&gt;=DATE('Second Earner'!$C$10,1,1),'Second Earner'!$C$63&lt;=DATE('Second Earner'!$C$10,12,31)),'Second Earner'!$C$63,999999),IF(AND('Second Earner'!$C$64&gt;MAX($B$6:$B9),'Second Earner'!$C$64&gt;=DATE('Second Earner'!$C$10,1,1),'Second Earner'!$C$64&lt;=DATE('Second Earner'!$C$10,12,31)),'Second Earner'!$C$64,999999),IF(AND('Second Earner'!$C$65&gt;MAX($B$6:$B9),'Second Earner'!$C$65&gt;=DATE('Second Earner'!$C$10,1,1),'Second Earner'!$C$65&lt;=DATE('Second Earner'!$C$10,12,31)),'Second Earner'!$C$65,999999),IF(AND('Second Earner'!$C$66&gt;MAX($B$6:$B9),'Second Earner'!$C$66&gt;=DATE('Second Earner'!$C$10,1,1),'Second Earner'!$C$66&lt;=DATE('Second Earner'!$C$10,12,31)),'Second Earner'!$C$66,999999),IF(AND('Second Earner'!$C$67&gt;MAX($B$6:$B9),'Second Earner'!$C$67&gt;=DATE('Second Earner'!$C$10,1,1),'Second Earner'!$C$67&lt;=DATE('Second Earner'!$C$10,12,31)),'Second Earner'!$C$67,999999)))</f>
      </c>
      <c r="CF10">
        <f>IF($B10="","",IF($D10=0,$Y10,""))</f>
      </c>
    </row>
    <row r="11">
      <c r="A11" t="n">
        <v>6</v>
      </c>
      <c r="B11" s="21">
        <f>IF(AND($CD11="",$CE11=""),"",IF($CE11="",$CD11,IF($CD11="",$CE11,MIN($CD11,$CE11))))</f>
      </c>
      <c r="C11" s="7">
        <f>IF($B11="","",IF($BF11=0,0,IF('Second Earner'!$C$4="Annual salary",ROUND($AK11/IF(AND('Second Earner'!$C$88="Actual paydays",MONTH('Second Earner'!$C$9)=1),MAX(1,MAX($BE$6:$BE$68)),'Second Earner'!$C$8),2),$AK11)))</f>
      </c>
      <c r="D11" s="7">
        <f>IF($B11="","",SUMIF('Second Earner'!$C$58:$C$67,$B11,'Second Earner'!$D$58:$D$67))</f>
      </c>
      <c r="E11" s="7">
        <f>IF($B11="","",ROUND(MAX(0,MIN(IF($AL11="Percent",$AM11*($C11+$D11),$AM11),MAX(0,'Second Earner'!$C$34-$AC10))),2))</f>
      </c>
      <c r="F11" s="7">
        <f>IF($B11="","",ROUND(MAX(0,MIN(IF('Second Earner'!$C$32="Percent",'Second Earner'!$D$32*($C11+$D11),'Second Earner'!$D$32),MAX(0,'Second Earner'!$C$34-$AC10-$E11))),2))</f>
      </c>
      <c r="G11" s="7">
        <f>IF($B11="","",IF($BF11=0,0,ROUND(MAX(0,MIN($BL11,'Second Earner'!$C$37-'Second Earner'!$C$54-$BI10)),2)))</f>
      </c>
      <c r="H11" s="7">
        <f>IF($B11="","",IF(OR($BF11=0,$BQ11=1),0,ROUND(MAX(0,MIN(IF($BS11=1,ROUND(MAX(0,MIN($BJ11,'How This Works &amp; Sources'!$C$13)-$BG10)/MAX(1,MAX($BE$6:$BE$68)-($BE10)),2),ROUND(MIN($BJ11,'How This Works &amp; Sources'!$C$13)/'Second Earner'!$C$8,2)),MIN($BJ11,'How This Works &amp; Sources'!$C$13)-$BG10)),2)))</f>
      </c>
      <c r="I11" s="7">
        <f>IF($B11="","",IF(OR($BF11=0,$BR11=1),0,ROUND(MAX(0,MIN(IF($BT11=1,ROUND(MAX(0,MIN($BK11,IF('Second Earner'!$C$12="MFJ",'How This Works &amp; Sources'!$C$14,'How This Works &amp; Sources'!$C$15))-$BH10)/MAX(1,MAX($BE$6:$BE$68)-($BE10)),2),ROUND(MIN($BK11,IF('Second Earner'!$C$12="MFJ",'How This Works &amp; Sources'!$C$14,'How This Works &amp; Sources'!$C$15))/'Second Earner'!$C$8,2)),MIN($BK11,IF('Second Earner'!$C$12="MFJ",'How This Works &amp; Sources'!$C$14,'How This Works &amp; Sources'!$C$15))-$BH10)),2)))</f>
      </c>
      <c r="J11" s="7">
        <f>IF($B11="","",IF($BF11=0,0,$BM11))</f>
      </c>
      <c r="K11" s="7">
        <f>IF($B11="","",IF($BF11=0,0,$BN11+$BO11))</f>
      </c>
      <c r="L11" s="7">
        <f>IF($B11="","",IF($BF11=0,0,'Second Earner'!$D$46))</f>
      </c>
      <c r="M11" s="7">
        <f>IF($B11="","",$C11+$D11+$L11-$E11-$G11-$H11-$I11-$J11-$K11)</f>
      </c>
      <c r="N11" s="7">
        <f>IF($B11="","",$C11+$D11+$L11-$G11-$H11-$I11-$J11-$K11)</f>
      </c>
      <c r="O11" s="7">
        <f>IF($B11="","",$C11+$D11+$L11-$E11-$H11-$I11-$J11-$K11-IF(OR($AN11="CA",$AN11="NJ"),0,$G11))</f>
      </c>
      <c r="P11" s="7">
        <f>IF($B11="","",IF('Second Earner'!$C$18,0,ROUND(MAX(0,IF('Second Earner'!$C$13,SUMPRODUCT(($AH11&gt;INDEX('How This Works &amp; Sources'!$B$29:$J$36,0,IF('Second Earner'!$C$12="MFJ",1,IF('Second Earner'!$C$12="HoH",7,4))))*($AH11-INDEX('How This Works &amp; Sources'!$B$29:$J$36,0,IF('Second Earner'!$C$12="MFJ",1,IF('Second Earner'!$C$12="HoH",7,4))))*INDEX('How This Works &amp; Sources'!$B$29:$J$36,0,IF('Second Earner'!$C$12="MFJ",1,IF('Second Earner'!$C$12="HoH",7,4))+2)),SUMPRODUCT(($AH11&gt;INDEX('How This Works &amp; Sources'!$B$19:$J$26,0,IF('Second Earner'!$C$12="MFJ",1,IF('Second Earner'!$C$12="HoH",7,4))))*($AH11-INDEX('How This Works &amp; Sources'!$B$19:$J$26,0,IF('Second Earner'!$C$12="MFJ",1,IF('Second Earner'!$C$12="HoH",7,4))))*INDEX('How This Works &amp; Sources'!$B$19:$J$26,0,IF('Second Earner'!$C$12="MFJ",1,IF('Second Earner'!$C$12="HoH",7,4))+2)))/'Second Earner'!$C$8-$AO11/'Second Earner'!$C$8)+$AR11+IF('Second Earner'!$C$89="Aggregate",MAX(0,IF('Second Earner'!$C$13,SUMPRODUCT((($AH11+$D11)&gt;INDEX('How This Works &amp; Sources'!$B$29:$J$36,0,IF('Second Earner'!$C$12="MFJ",1,IF('Second Earner'!$C$12="HoH",7,4))))*(($AH11+$D11)-INDEX('How This Works &amp; Sources'!$B$29:$J$36,0,IF('Second Earner'!$C$12="MFJ",1,IF('Second Earner'!$C$12="HoH",7,4))))*INDEX('How This Works &amp; Sources'!$B$29:$J$36,0,IF('Second Earner'!$C$12="MFJ",1,IF('Second Earner'!$C$12="HoH",7,4))+2)),SUMPRODUCT((($AH11+$D11)&gt;INDEX('How This Works &amp; Sources'!$B$19:$J$26,0,IF('Second Earner'!$C$12="MFJ",1,IF('Second Earner'!$C$12="HoH",7,4))))*(($AH11+$D11)-INDEX('How This Works &amp; Sources'!$B$19:$J$26,0,IF('Second Earner'!$C$12="MFJ",1,IF('Second Earner'!$C$12="HoH",7,4))))*INDEX('How This Works &amp; Sources'!$B$19:$J$26,0,IF('Second Earner'!$C$12="MFJ",1,IF('Second Earner'!$C$12="HoH",7,4))+2)))-IF('Second Earner'!$C$13,SUMPRODUCT(($AH11&gt;INDEX('How This Works &amp; Sources'!$B$29:$J$36,0,IF('Second Earner'!$C$12="MFJ",1,IF('Second Earner'!$C$12="HoH",7,4))))*($AH11-INDEX('How This Works &amp; Sources'!$B$29:$J$36,0,IF('Second Earner'!$C$12="MFJ",1,IF('Second Earner'!$C$12="HoH",7,4))))*INDEX('How This Works &amp; Sources'!$B$29:$J$36,0,IF('Second Earner'!$C$12="MFJ",1,IF('Second Earner'!$C$12="HoH",7,4))+2)),SUMPRODUCT(($AH11&gt;INDEX('How This Works &amp; Sources'!$B$19:$J$26,0,IF('Second Earner'!$C$12="MFJ",1,IF('Second Earner'!$C$12="HoH",7,4))))*($AH11-INDEX('How This Works &amp; Sources'!$B$19:$J$26,0,IF('Second Earner'!$C$12="MFJ",1,IF('Second Earner'!$C$12="HoH",7,4))))*INDEX('How This Works &amp; Sources'!$B$19:$J$26,0,IF('Second Earner'!$C$12="MFJ",1,IF('Second Earner'!$C$12="HoH",7,4))+2)))),'How This Works &amp; Sources'!$C$10*$D11),2)))</f>
      </c>
      <c r="Q11" s="7">
        <f>IF($B11="","",ROUND('How This Works &amp; Sources'!$C$4*MIN($N11,MAX(0,'How This Works &amp; Sources'!$C$3-($AX11+$AB10-$AW11))),2))</f>
      </c>
      <c r="R11" s="7">
        <f>IF($B11="","",ROUND('How This Works &amp; Sources'!$C$5*$N11,2))</f>
      </c>
      <c r="S11" s="7">
        <f>IF($B11="","",ROUND('How This Works &amp; Sources'!$C$6*MAX(0,MIN($N11,$AG10+$N11-'How This Works &amp; Sources'!$C$7)),2))</f>
      </c>
      <c r="T11" s="7">
        <f>IF($B11="","",IF('Second Earner'!$C$26,0,IF($AN11="CA",ROUND(IF($AI11&lt;=IF(($AS11+$AT11)&gt;=2,VLOOKUP($AN11,StateTables!$A$6:$AB$56,10,FALSE),VLOOKUP($AN11,StateTables!$A$6:$AB$56,9,FALSE)),0,MAX(0,SUMPRODUCT(($AJ11&gt;INDEX('How This Works &amp; Sources'!$B$39:$J$48,0,IF($AU11="Married",4,IF($AU11="Head of household",7,1))))*($AJ11-INDEX('How This Works &amp; Sources'!$B$39:$J$48,0,IF($AU11="Married",4,IF($AU11="Head of household",7,1))))*INDEX('How This Works &amp; Sources'!$B$39:$J$48,0,IF($AU11="Married",4,IF($AU11="Head of household",7,1))+2))-VLOOKUP($AN11,StateTables!$A$6:$AB$56,11,FALSE)*$AS11)/'Second Earner'!$C$8)+'Second Earner'!$C$25+VLOOKUP($AN11,StateTables!$A$6:$AB$56,13,FALSE)*$D11,2),IF(VLOOKUP($AN11,StateTables!$A$6:$AB$56,4,FALSE)="None",0,IF(ISNUMBER(SEARCH("MANUAL",VLOOKUP($AN11,StateTables!$A$6:$AB$56,5,FALSE))),'Second Earner'!$C$28,ROUND(MAX(0,$BA11+$BB11)/'Second Earner'!$C$8+'Second Earner'!$C$25+$BC11,2))))))</f>
      </c>
      <c r="U11" s="7">
        <f>IF($B11="","",IF(VLOOKUP($AN11,StateTables!$A$6:$AB$56,24,FALSE)="flatq",IF(OR(MONTH($B11)=1,MONTH($B11)=4,MONTH($B11)=7,MONTH($B11)=10),VLOOKUP($AN11,StateTables!$A$6:$AB$56,25,FALSE),0),IF(VLOOKUP($AN11,StateTables!$A$6:$AB$56,24,FALSE)="dbl",MIN(ROUND(0.005*$N11,2),ROUND(0.6*52/'Second Earner'!$C$8,2)),IF(OR(VLOOKUP($AN11,StateTables!$A$6:$AB$56,15,FALSE)="",VLOOKUP($AN11,StateTables!$A$6:$AB$56,15,FALSE)=0),0,ROUND(VLOOKUP($AN11,StateTables!$A$6:$AB$56,15,FALSE)*IF(OR(VLOOKUP($AN11,StateTables!$A$6:$AB$56,16,FALSE)="",VLOOKUP($AN11,StateTables!$A$6:$AB$56,16,FALSE)=0),$N11,MIN($N11,MAX(0,VLOOKUP($AN11,StateTables!$A$6:$AB$56,16,FALSE)-($AX11+$AB10-$AW11)))),2))))+IF(VLOOKUP($AN11,StateTables!$A$6:$AB$56,27,FALSE)="flatq",IF(OR(MONTH($B11)=1,MONTH($B11)=4,MONTH($B11)=7,MONTH($B11)=10),VLOOKUP($AN11,StateTables!$A$6:$AB$56,28,FALSE),0),IF(VLOOKUP($AN11,StateTables!$A$6:$AB$56,27,FALSE)="dbl",MIN(ROUND(0.005*$N11,2),ROUND(0.6*52/'Second Earner'!$C$8,2)),IF(OR(VLOOKUP($AN11,StateTables!$A$6:$AB$56,18,FALSE)="",VLOOKUP($AN11,StateTables!$A$6:$AB$56,18,FALSE)=0),0,ROUND(VLOOKUP($AN11,StateTables!$A$6:$AB$56,18,FALSE)*IF(OR(VLOOKUP($AN11,StateTables!$A$6:$AB$56,19,FALSE)="",VLOOKUP($AN11,StateTables!$A$6:$AB$56,19,FALSE)=0),$N11,MIN($N11,MAX(0,VLOOKUP($AN11,StateTables!$A$6:$AB$56,19,FALSE)-($AX11+$AB10-$AW11)))),2)))))</f>
      </c>
      <c r="V11" s="7">
        <f>IF($B11="","",IF($AN11="NY",IF('Second Earner'!$C$78,ROUND(SUMPRODUCT((MAX(0,($O11-$D11)*'Second Earner'!$C$8-(IF($AU11="Married",5500,5000)+1000*$AS11))&gt;INDEX('How This Works &amp; Sources'!$B$184:$J$198,0,4))*(MAX(0,($O11-$D11)*'Second Earner'!$C$8-(IF($AU11="Married",5500,5000)+1000*$AS11))-INDEX('How This Works &amp; Sources'!$B$184:$J$198,0,4))*INDEX('How This Works &amp; Sources'!$B$184:$J$198,0,4+2))/'Second Earner'!$C$8+0.0425*$D11,2),0)+IF('Second Earner'!$C$79="Resident",ROUND(0.1675*$T11,2),IF('Second Earner'!$C$79="Nonresident",ROUND(0.005*MAX(0,($O11-$D11)-(IF($AU11="Married",7950,7400)+1000*$AS11)/'Second Earner'!$C$8),2),0)),IF($AN11="PA",IF('Second Earner'!$C$80="None",'Second Earner'!$C$27+ROUND('Second Earner'!$C$81*($C11+$D11),2),ROUND(IF('Second Earner'!$C$80="Resident",IF($B11&lt;DATE(2026,7,1),0.0374,0.03735),IF($B11&lt;DATE(2026,7,1),0.0343,0.03425))*($C11+$D11),2)),IF($BF11=0,ROUND('Second Earner'!$C$81*($C11+$D11),2),'Second Earner'!$C$27+ROUND('Second Earner'!$C$81*($C11+$D11),2)))))</f>
      </c>
      <c r="W11" s="7">
        <f>IF($B11="","",IF($BF11=0,0,$BP11))</f>
      </c>
      <c r="X11" s="7">
        <f>IF($B11="","",SUM($E11:$K11)+$P11+$Q11+$R11+$S11+$T11+$U11+$V11+$W11)</f>
      </c>
      <c r="Y11" s="22">
        <f>IF($B11="","",$C11+$D11-$X11)</f>
      </c>
      <c r="Z11" s="7">
        <f>IF($B11="","",$Z10+$C11+$D11)</f>
      </c>
      <c r="AA11" s="7">
        <f>IF($B11="","",$AA10+$Y11)</f>
      </c>
      <c r="AB11" s="7">
        <f>IF($B11="","",$AB10+MIN($N11,MAX(0,'How This Works &amp; Sources'!$C$3-($AX11+$AB10-$AW11))))</f>
      </c>
      <c r="AC11" s="7">
        <f>IF($B11="","",$AC10+$E11+$F11)</f>
      </c>
      <c r="AD11" s="3">
        <f>IF($B11="","",IF(AND($AB10&lt;'How This Works &amp; Sources'!$C$3,$AB11&gt;='How This Works &amp; Sources'!$C$3),"★ Social Security maxed on this check — from the next check your net rises by about $"&amp;TEXT(ROUND('How This Works &amp; Sources'!$C$4*$N11,2),"#,##0.00")&amp;". ","")&amp;IF(AND($AC10&lt;'Second Earner'!$C$34,$AC11&gt;='Second Earner'!$C$34),"★ 401(k) reaches the $"&amp;TEXT('Second Earner'!$C$34,"#,##0")&amp;" cap on this check — deferrals stop and net pay rises. ","")&amp;IF(AND($AG10&lt;'How This Works &amp; Sources'!$C$7,$AG11&gt;='How This Works &amp; Sources'!$C$7),"★ Wages pass $200,000 — the 0.9% Additional Medicare Tax starts here. ","")&amp;IF(AND($BJ11&gt;0,$H11&gt;0,$BG10&lt;MIN($BJ11,'How This Works &amp; Sources'!$C$13),$BG10+$H11&gt;=MIN($BJ11,'How This Works &amp; Sources'!$C$13)),"★ Health FSA election is now fully deferred for the year. ",""))</f>
      </c>
      <c r="AE11" s="41" t="n"/>
      <c r="AF11" s="7">
        <f>IF(OR($B11="",$AE11=""),"",$AE11-$Y11)</f>
      </c>
      <c r="AG11" s="7">
        <f>IF($B11="","",$AG10+$N11)</f>
      </c>
      <c r="AH11" s="7">
        <f>IF($B11="","",MAX(0,($M11-$D11)*'Second Earner'!$C$8+$AP11-$AQ11-IF('Second Earner'!$C$13,0,IF('Second Earner'!$C$12="MFJ",'How This Works &amp; Sources'!$C$8,'How This Works &amp; Sources'!$C$9))))</f>
      </c>
      <c r="AI11" s="7">
        <f>IF($B11="","",$O11*'Second Earner'!$C$8)</f>
      </c>
      <c r="AJ11" s="7">
        <f>IF($B11="","",MAX(0,$AI11-VLOOKUP($AN11,StateTables!$A$6:$AB$56,12,FALSE)*$AT11-IF(($AS11+$AT11)&gt;=2,VLOOKUP($AN11,StateTables!$A$6:$AB$56,8,FALSE),VLOOKUP($AN11,StateTables!$A$6:$AB$56,7,FALSE))))</f>
      </c>
      <c r="AK11" s="7">
        <f>IF($B11="","",IFERROR(LOOKUP(2,1/(('Changes — Earner 2'!$C$6:$C$17="Salary change")*('Changes — Earner 2'!$B$6:$B$17&lt;=$B11)*('Changes — Earner 2'!$B$6:$B$17&lt;&gt;"")),'Changes — Earner 2'!$D$6:$D$17),IF('Second Earner'!$C$4="Annual salary",'Second Earner'!$C$5,'Second Earner'!$C$6)))</f>
      </c>
      <c r="AL11">
        <f>IF($B11="","",IFERROR(LOOKUP(2,1/(('Changes — Earner 2'!$C$6:$C$17="401(k) change")*('Changes — Earner 2'!$B$6:$B$17&lt;=$B11)*('Changes — Earner 2'!$B$6:$B$17&lt;&gt;"")),'Changes — Earner 2'!$D$6:$D$17),'Second Earner'!$C$30))</f>
      </c>
      <c r="AM11" s="7">
        <f>IF($B11="","",IFERROR(LOOKUP(2,1/(('Changes — Earner 2'!$C$6:$C$17="401(k) change")*('Changes — Earner 2'!$B$6:$B$17&lt;=$B11)*('Changes — Earner 2'!$B$6:$B$17&lt;&gt;"")),'Changes — Earner 2'!$E$6:$E$17),'Second Earner'!$D$31))</f>
      </c>
      <c r="AN11">
        <f>IF($B11="","",IFERROR(LOOKUP(2,1/(('Changes — Earner 2'!$C$6:$C$17="State move")*('Changes — Earner 2'!$B$6:$B$17&lt;=$B11)*('Changes — Earner 2'!$B$6:$B$17&lt;&gt;"")),'Changes — Earner 2'!$D$6:$D$17),'Second Earner'!$C$21))</f>
      </c>
      <c r="AO11" s="7">
        <f>IF($B11="","",IFERROR(LOOKUP(2,1/(('Changes — Earner 2'!$C$6:$C$17="W-4 change")*('Changes — Earner 2'!$B$6:$B$17&lt;=$B11)*('Changes — Earner 2'!$B$6:$B$17&lt;&gt;"")),'Changes — Earner 2'!$D$6:$D$17),'Second Earner'!$C$14))</f>
      </c>
      <c r="AP11" s="7">
        <f>IF($B11="","",IFERROR(LOOKUP(2,1/(('Changes — Earner 2'!$C$6:$C$17="W-4 change")*('Changes — Earner 2'!$B$6:$B$17&lt;=$B11)*('Changes — Earner 2'!$B$6:$B$17&lt;&gt;"")),'Changes — Earner 2'!$E$6:$E$17),'Second Earner'!$C$15))</f>
      </c>
      <c r="AQ11" s="7">
        <f>IF($B11="","",IFERROR(LOOKUP(2,1/(('Changes — Earner 2'!$C$6:$C$17="W-4 change")*('Changes — Earner 2'!$B$6:$B$17&lt;=$B11)*('Changes — Earner 2'!$B$6:$B$17&lt;&gt;"")),'Changes — Earner 2'!$F$6:$F$17),'Second Earner'!$C$16))</f>
      </c>
      <c r="AR11" s="7">
        <f>IF($B11="","",IFERROR(LOOKUP(2,1/(('Changes — Earner 2'!$C$6:$C$17="W-4 change")*('Changes — Earner 2'!$B$6:$B$17&lt;=$B11)*('Changes — Earner 2'!$B$6:$B$17&lt;&gt;"")),'Changes — Earner 2'!$G$6:$G$17),'Second Earner'!$C$17))</f>
      </c>
      <c r="AS11" s="6">
        <f>IF($B11="","",IFERROR(LOOKUP(2,1/((('Changes — Earner 2'!$C$6:$C$17="State move")+('Changes — Earner 2'!$C$6:$C$17="State cert change"))*('Changes — Earner 2'!$B$6:$B$17&lt;=$B11)*('Changes — Earner 2'!$B$6:$B$17&lt;&gt;"")),'Changes — Earner 2'!$F$6:$F$17),'Second Earner'!$C$23))</f>
      </c>
      <c r="AT11" s="6">
        <f>IF($B11="","",IFERROR(LOOKUP(2,1/((('Changes — Earner 2'!$C$6:$C$17="State move")+('Changes — Earner 2'!$C$6:$C$17="State cert change"))*('Changes — Earner 2'!$B$6:$B$17&lt;=$B11)*('Changes — Earner 2'!$B$6:$B$17&lt;&gt;"")),'Changes — Earner 2'!$G$6:$G$17),'Second Earner'!$C$24))</f>
      </c>
      <c r="AU11">
        <f>IF($B11="","",IFERROR(LOOKUP(2,1/(('Changes — Earner 2'!$C$6:$C$17="State move")*('Changes — Earner 2'!$B$6:$B$17&lt;=$B11)*('Changes — Earner 2'!$B$6:$B$17&lt;&gt;"")),'Changes — Earner 2'!$E$6:$E$17),'Second Earner'!$C$22))</f>
      </c>
      <c r="AV11" s="6">
        <f>IF($B11="","",1+COUNTIFS('Changes — Earner 2'!$C$6:$C$17,"Employer change",'Changes — Earner 2'!$B$6:$B$17,"&lt;="&amp;$B11,'Changes — Earner 2'!$B$6:$B$17,"&lt;&gt;"))</f>
      </c>
      <c r="AW11" s="7">
        <f>IF($B11="","",IF($AV11=1,'Second Earner'!$C$49,IF(IFERROR(MATCH(IFERROR(LOOKUP(2,1/(('Changes — Earner 2'!$C$6:$C$17="Employer change")*('Changes — Earner 2'!$B$6:$B$17&lt;=$B11)*('Changes — Earner 2'!$B$6:$B$17&lt;&gt;"")),'Changes — Earner 2'!$B$6:$B$17),""),$B$6:$B$68,1),1)&lt;=1,'Second Earner'!$C$49,INDEX($AB$6:$AB$68,MATCH(IFERROR(LOOKUP(2,1/(('Changes — Earner 2'!$C$6:$C$17="Employer change")*('Changes — Earner 2'!$B$6:$B$17&lt;=$B11)*('Changes — Earner 2'!$B$6:$B$17&lt;&gt;"")),'Changes — Earner 2'!$B$6:$B$17),""),$B$6:$B$68,1)-1))))</f>
      </c>
      <c r="AX11" s="7">
        <f>IF($B11="","",IF($AV11=1,'Second Earner'!$C$49,IFERROR(LOOKUP(2,1/(('Changes — Earner 2'!$C$6:$C$17="Employer change")*('Changes — Earner 2'!$B$6:$B$17&lt;=$B11)*('Changes — Earner 2'!$B$6:$B$17&lt;&gt;"")),'Changes — Earner 2'!$D$6:$D$17),0)))</f>
      </c>
      <c r="AY11" s="7">
        <f>IF($B11="","",($O11-$D11)*'Second Earner'!$C$8)</f>
      </c>
      <c r="AZ11" s="7">
        <f>IF($B11="","",IF($AN11="AL",MAX(0,$AY11-IF($AU11="Married",IF($AY11&lt;=25999,8500,MAX(5000,8500-175*CEILING(($AY11-25999)/500,1))),IF($AU11="Head of household",IF($AY11&lt;=25999,5200,MAX(2500,5200-135*CEILING(($AY11-25999)/500,1))),IF($AY11&lt;=25999,3000,MAX(2500,3000-25*CEILING(($AY11-25999)/500,1)))))-($P11-'How This Works &amp; Sources'!$C$10*$D11)*'Second Earner'!$C$8-IF(OR($AU11="Married",$AU11="Head of household"),3000,1500)-$AT11*IF($AY11&lt;=50000,1000,IF($AY11&lt;=100000,500,300))),IF($AN11="AR",IF(MAX(0,$AY11-2470)&lt;97701,INT(MAX(0,$AY11-2470)/100)*100+50,MAX(0,$AY11-2470)),IF($AN11="DE",MAX(0,$AI11-3250),IF($AN11="HI",MAX(0,$AI11-1144*$AS11-4350),IF($AN11="KS",MAX(0,$AI11-(9160*IF($AU11="Married",2,1)+2320*$AT11+IF($AU11="Head of household",2320,0))),IF($AN11="MD",MAX(0,$AI11-3400-3200*$AS11),IF($AN11="MN",MAX(0,$AY11-5300*$AS11),IF($AN11="MO",MAX(0,$AI11-IF($AU11="Head of household",24150,IF($AU11="Married",IF('Second Earner'!$C$83,16100,32200),16100))),IF($AN11="MT",$AY11,IF($AN11="ND",($C11+$L11)*'Second Earner'!$C$8,IF($AN11="NE",MAX(0,$AY11-2440*$AS11),IF($AN11="NJ",MAX(0,$AY11-1000*$AS11),IF($AN11="NY",MAX(0,$AY11-(IF($AU11="Married",7950,7400)+1000*$AS11)),IF($AN11="OH",MAX(0,$AY11-650*$AS11),IF($AN11="OK",MAX(0,$AY11-1000*$AS11),IF($AN11="RI",MAX(0,$AI11-1000*$AS11),IF($AN11="SC",MAX(0,$AI11-5000*$AS11-IF($AS11=0,0,MIN(0.1*$AI11,7500))),IF($AN11="VA",MAX(0,$AI11-IF($AU11="Married",17500,8750)-930*$AS11-800*$AT11),IF($AN11="VT",MAX(0,$AI11-5400*$AS11),IF($AN11="WI",MAX(0,$AI11-MAX(0,IF($AU11="Married",9461-0.2*MAX(0,$AI11-25727),6702-0.12*MAX(0,$AI11-17780)))-400*$AS11),IF($AN11="WV",MAX(0,$AI11-2000*$AS11),$AI11))))))))))))))))))))))</f>
      </c>
      <c r="BA11" s="7">
        <f>IF($B11="","",IF($BW11&lt;&gt;"",$BW11,IF($BX11&lt;&gt;"",$BX11,IF($BY11&lt;&gt;"",$BY11,0))))</f>
      </c>
      <c r="BB11" s="7">
        <f>IF($B11="","",IF($AN11="AR",-29*$AS11,IF($AN11="DE",-110*$AS11,IF($AN11="MD",$AZ11*'Second Earner'!$C$74,IF($AN11="AZ",'Second Earner'!$C$82*($M11-$D11)*'Second Earner'!$C$8,IF($AN11="CO",0.044*MAX(0,$AY11-IF($AU11="Married",10000,5000)),IF($AN11="IA",MAX(0,0.038*MAX(0,$AY11-IF($AU11="Head of household",19500,IF($AU11="Married",26000,13000)))-40*$AS11),IF($AN11="ID",0.053*MAX(0,$AY11-IF($AU11="Married",32000,16094)),IF($AN11="IL",0.0495*MAX(0,$AY11-(2925*$AS11+1000*$AT11)),IF($AN11="IN",(0.0295+'Second Earner'!$C$76)*MAX(0,$AY11-(1000*$AS11+1500*$AT11+3000*'Second Earner'!$C$86)),IF($AN11="KY",0.035*MAX(0,$AI11-3360),IF($AN11="LA",IF('Second Earner'!$C$84="0",0.0309*$AI11,0.0309*MAX(0,$AI11-IF('Second Earner'!$C$84="2",25750,12875))),IF($AN11="MA",0.05*MIN(MAX(0,$AY11-MIN(($BD10+$Q11+$R11+$S11),2000)-IF($AS11=0,0,IF($AS11=1,4400,1000*$AS11+3400))),1107750)+0.09*MAX(0,MAX(0,$AY11-MIN(($BD10+$Q11+$R11+$S11),2000)-IF($AS11=0,0,IF($AS11=1,4400,1000*$AS11+3400)))-1107750)-IF($AU11="Head of household",120,0)-110*'Second Earner'!$C$75,IF($AN11="MI",0.0425*MAX(0,$AY11-5900*$AS11),IF($AN11="MS",0.04*MAX(0,$AI11-IF($AU11="Head of household",3400,IF($AU11="Married",4600,2300))-'Second Earner'!$C$85-10000),IF($AN11="OR",IF(OR($AU11="Married",AND($AU11="Single",$AS11&gt;=3)),SUMPRODUCT((MAX(0,$AY11-MIN(($P11-'How This Works &amp; Sources'!$C$10*$D11)*'Second Earner'!$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Sources'!$B$211:$J$214,0,4))*(MAX(0,$AY11-MIN(($P11-'How This Works &amp; Sources'!$C$10*$D11)*'Second Earner'!$C$8,IF(OR($AU11="Married",AND($AU11="Single",$AS11&gt;=3)),IF($AY11&lt;250000,8750,IF($AY11&lt;260000,7000,IF($AY11&lt;270000,5250,IF($AY11&lt;280000,3500,IF($AY11&lt;290000,1750,0))))),IF($AY11&lt;125000,8750,IF($AY11&lt;130000,7000,IF($AY11&lt;135000,5250,IF($AY11&lt;140000,3500,IF($AY11&lt;145000,1750,0)))))))-IF(OR($AU11="Married",AND($AU11="Single",$AS11&gt;=3)),5820,2910))-INDEX('How This Works &amp; Sources'!$B$211:$J$214,0,4))*INDEX('How This Works &amp; Sources'!$B$211:$J$214,0,4+2)),SUMPRODUCT((MAX(0,$AY11-MIN(($P11-'How This Works &amp; Sources'!$C$10*$D11)*'Second Earner'!$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Sources'!$B$211:$J$214,0,1))*(MAX(0,$AY11-MIN(($P11-'How This Works &amp; Sources'!$C$10*$D11)*'Second Earner'!$C$8,IF(OR($AU11="Married",AND($AU11="Single",$AS11&gt;=3)),IF($AY11&lt;250000,8750,IF($AY11&lt;260000,7000,IF($AY11&lt;270000,5250,IF($AY11&lt;280000,3500,IF($AY11&lt;290000,1750,0))))),IF($AY11&lt;125000,8750,IF($AY11&lt;130000,7000,IF($AY11&lt;135000,5250,IF($AY11&lt;140000,3500,IF($AY11&lt;145000,1750,0)))))))-IF(OR($AU11="Married",AND($AU11="Single",$AS11&gt;=3)),5820,2910))-INDEX('How This Works &amp; Sources'!$B$211:$J$214,0,1))*INDEX('How This Works &amp; Sources'!$B$211:$J$214,0,1+2)))+263-263*IF(IF($AU11="Married",$AY11&gt;200000,$AY11&gt;100000),0,$AS11),IF($AN11="PA",0.0307*(($O11+$E11+$G11)*'Second Earner'!$C$8),IF($AN11="NY",IF($AU11="Married",IF($AZ11&gt;=2155350,0,IF($AZ11&gt;=1077550,0.48,IF($AZ11&gt;=373200,1.21,IF($AZ11&gt;=323200,0.21,IF($AZ11&gt;=211550,-0.19,IF($AZ11&gt;=157650,-2.8,IF($AZ11&gt;=107650,-0.8,IF($AZ11&gt;=96800,0.05,IF($AZ11&gt;=80650,-0.1,IF($AZ11&gt;=13900,0.4,IF($AZ11&gt;=11700,-0.3,IF($AZ11&gt;=8500,0.5,0)))))))))))),IF($AZ11&gt;=1077550,0,IF($AZ11&gt;=265400,4.29,IF($AZ11&gt;=215400,2.29,IF($AZ11&gt;=157650,2.29,IF($AZ11&gt;=107650,0.29,IF($AZ11&gt;=96800,0.05,IF($AZ11&gt;=80650,-0.1,IF($AZ11&gt;=13900,0.4,IF($AZ11&gt;=11700,-0.3,IF($AZ11&gt;=8500,0.5,0))))))))))),0))))))))))))))))))</f>
      </c>
      <c r="BC11" s="7">
        <f>IF($B11="","",IF($AN11="AL",0.05*$D11,IF($AN11="AR",0.039*$D11,IF($AN11="ID",0.053*$D11,IF($AN11="IN",(0.0295+'Second Earner'!$C$76)*$D11,IF($AN11="KS",0.05*$D11,IF($AN11="MA",0.09*MIN($D11,MAX(0,MAX(0,$AY11-MIN(($BD10+$Q11+$R11+$S11),2000)-IF($AS11=0,0,IF($AS11=1,4400,1000*$AS11+3400)))+$D11-1107750))+0.05*($D11-MIN($D11,MAX(0,MAX(0,$AY11-MIN(($BD10+$Q11+$R11+$S11),2000)-IF($AS11=0,0,IF($AS11=1,4400,1000*$AS11+3400)))+$D11-1107750))),IF($AN11="MD",(0.065+'Second Earner'!$C$74)*$D11,IF($AN11="MI",0.0425*$D11,IF($AN11="MN",0.0625*$D11,IF($AN11="MO",0.047*$D11,IF($AN11="MT",0.05*$D11,IF($AN11="ND",0.015*$D11,IF($AN11="NE",0.035*$D11,IF($AN11="NJ",IF('Second Earner'!$C$77="B",SUMPRODUCT(($D11*'Second Earner'!$C$8&gt;INDEX('How This Works &amp; Sources'!$B$155:$J$162,0,4))*($D11*'Second Earner'!$C$8-INDEX('How This Works &amp; Sources'!$B$155:$J$162,0,4))*INDEX('How This Works &amp; Sources'!$B$155:$J$162,0,4+2)),IF('Second Earner'!$C$77="C",SUMPRODUCT(($D11*'Second Earner'!$C$8&gt;INDEX('How This Works &amp; Sources'!$B$155:$J$162,0,7))*($D11*'Second Earner'!$C$8-INDEX('How This Works &amp; Sources'!$B$155:$J$162,0,7))*INDEX('How This Works &amp; Sources'!$B$155:$J$162,0,7+2)),IF('Second Earner'!$C$77="D",SUMPRODUCT(($D11*'Second Earner'!$C$8&gt;INDEX('How This Works &amp; Sources'!$B$167:$J$179,0,1))*($D11*'Second Earner'!$C$8-INDEX('How This Works &amp; Sources'!$B$167:$J$179,0,1))*INDEX('How This Works &amp; Sources'!$B$167:$J$179,0,1+2)),IF('Second Earner'!$C$77="E",SUMPRODUCT(($D11*'Second Earner'!$C$8&gt;INDEX('How This Works &amp; Sources'!$B$167:$J$179,0,4))*($D11*'Second Earner'!$C$8-INDEX('How This Works &amp; Sources'!$B$167:$J$179,0,4))*INDEX('How This Works &amp; Sources'!$B$167:$J$179,0,4+2)),SUMPRODUCT(($D11*'Second Earner'!$C$8&gt;INDEX('How This Works &amp; Sources'!$B$155:$J$162,0,1))*($D11*'Second Earner'!$C$8-INDEX('How This Works &amp; Sources'!$B$155:$J$162,0,1))*INDEX('How This Works &amp; Sources'!$B$155:$J$162,0,1+2))))))/'Second Earner'!$C$8,IF($AN11="NY",0.117*$D11,IF($AN11="OH",0.0275*$D11,IF($AN11="OK",0.045*$D11,IF($AN11="OR",0.08*$D11,IF($AN11="WI",IF($AY11&lt;12760,0.0354,IF($AY11&lt;25520,0.0465,IF($AY11&lt;280950,0.053,0.0765)))*$D11,0))))))))))))))))))))</f>
      </c>
      <c r="BD11" s="7">
        <f>IF($B11="","",$BD10+$Q11+$R11+$S11)</f>
      </c>
      <c r="BE11" s="6">
        <f>IF($B11="",$BE10,$BE10+$BF11)</f>
      </c>
      <c r="BF11" s="6">
        <f>IF($B11="","",IF(AND(IF(YEAR(IF('Second Earner'!$C$7="Weekly",'Second Earner'!$C$9+7*(($BE10+1)-1),IF('Second Earner'!$C$7="Biweekly",'Second Earner'!$C$9+14*(($BE10+1)-1),IF('Second Earner'!$C$7="Semimonthly",DATE(YEAR('Second Earner'!$C$9),MONTH('Second Earner'!$C$9)+INT((($BE10+1)-1)/2),MIN(DAY('Second Earner'!$C$9),DAY(EOMONTH(DATE(YEAR('Second Earner'!$C$9),MONTH('Second Earner'!$C$9)+INT((($BE10+1)-1)/2),1),0))))+IF(MOD(($BE10+1)-1,2)=1,15,0),EDATE('Second Earner'!$C$9,($BE10+1)-1)))))&lt;&gt;'Second Earner'!$C$10,"",IF('Second Earner'!$C$7="Weekly",'Second Earner'!$C$9+7*(($BE10+1)-1),IF('Second Earner'!$C$7="Biweekly",'Second Earner'!$C$9+14*(($BE10+1)-1),IF('Second Earner'!$C$7="Semimonthly",DATE(YEAR('Second Earner'!$C$9),MONTH('Second Earner'!$C$9)+INT((($BE10+1)-1)/2),MIN(DAY('Second Earner'!$C$9),DAY(EOMONTH(DATE(YEAR('Second Earner'!$C$9),MONTH('Second Earner'!$C$9)+INT((($BE10+1)-1)/2),1),0))))+IF(MOD(($BE10+1)-1,2)=1,15,0),EDATE('Second Earner'!$C$9,($BE10+1)-1)))))&lt;&gt;"",$B11=IF(YEAR(IF('Second Earner'!$C$7="Weekly",'Second Earner'!$C$9+7*(($BE10+1)-1),IF('Second Earner'!$C$7="Biweekly",'Second Earner'!$C$9+14*(($BE10+1)-1),IF('Second Earner'!$C$7="Semimonthly",DATE(YEAR('Second Earner'!$C$9),MONTH('Second Earner'!$C$9)+INT((($BE10+1)-1)/2),MIN(DAY('Second Earner'!$C$9),DAY(EOMONTH(DATE(YEAR('Second Earner'!$C$9),MONTH('Second Earner'!$C$9)+INT((($BE10+1)-1)/2),1),0))))+IF(MOD(($BE10+1)-1,2)=1,15,0),EDATE('Second Earner'!$C$9,($BE10+1)-1)))))&lt;&gt;'Second Earner'!$C$10,"",IF('Second Earner'!$C$7="Weekly",'Second Earner'!$C$9+7*(($BE10+1)-1),IF('Second Earner'!$C$7="Biweekly",'Second Earner'!$C$9+14*(($BE10+1)-1),IF('Second Earner'!$C$7="Semimonthly",DATE(YEAR('Second Earner'!$C$9),MONTH('Second Earner'!$C$9)+INT((($BE10+1)-1)/2),MIN(DAY('Second Earner'!$C$9),DAY(EOMONTH(DATE(YEAR('Second Earner'!$C$9),MONTH('Second Earner'!$C$9)+INT((($BE10+1)-1)/2),1),0))))+IF(MOD(($BE10+1)-1,2)=1,15,0),EDATE('Second Earner'!$C$9,($BE10+1)-1)))))),1,0))</f>
      </c>
      <c r="BG11" s="7">
        <f>IF($B11="","",$BG10+$H11)</f>
      </c>
      <c r="BH11" s="7">
        <f>IF($B11="","",$BH10+$I11)</f>
      </c>
      <c r="BI11" s="7">
        <f>IF($B11="","",$BI10+$G11)</f>
      </c>
      <c r="BJ11" s="7">
        <f>IF($B11="","",IFERROR(LOOKUP(2,1/(((('Changes — Earner 2'!$C$6:$C$17="Deduction start"))*('Changes — Earner 2'!$D$6:$D$17="Health FSA"))*('Changes — Earner 2'!$B$6:$B$17&lt;=$B11)*('Changes — Earner 2'!$B$6:$B$17&lt;&gt;"")),'Changes — Earner 2'!$E$6:$E$17),'Second Earner'!$D$38))</f>
      </c>
      <c r="BK11" s="7">
        <f>IF($B11="","",IFERROR(LOOKUP(2,1/(((('Changes — Earner 2'!$C$6:$C$17="Deduction start"))*('Changes — Earner 2'!$D$6:$D$17="Dependent-care FSA"))*('Changes — Earner 2'!$B$6:$B$17&lt;=$B11)*('Changes — Earner 2'!$B$6:$B$17&lt;&gt;"")),'Changes — Earner 2'!$E$6:$E$17),'Second Earner'!$D$39))</f>
      </c>
      <c r="BL11" s="7">
        <f>IF($B11="","",IFERROR(LOOKUP(2,1/(((('Changes — Earner 2'!$C$6:$C$17="Deduction start")+('Changes — Earner 2'!$C$6:$C$17="Deduction stop"))*('Changes — Earner 2'!$D$6:$D$17="HSA"))*('Changes — Earner 2'!$B$6:$B$17&lt;=$B11)*('Changes — Earner 2'!$B$6:$B$17&lt;&gt;"")),'Changes — Earner 2'!$I$6:$I$17),'Second Earner'!$D$35))</f>
      </c>
      <c r="BM11" s="7">
        <f>IF($B11="","",IFERROR(LOOKUP(2,1/(((('Changes — Earner 2'!$C$6:$C$17="Deduction start")+('Changes — Earner 2'!$C$6:$C$17="Deduction stop"))*('Changes — Earner 2'!$D$6:$D$17="Premiums"))*('Changes — Earner 2'!$B$6:$B$17&lt;=$B11)*('Changes — Earner 2'!$B$6:$B$17&lt;&gt;"")),'Changes — Earner 2'!$I$6:$I$17),'Second Earner'!$D$40+'Second Earner'!$D$41+'Second Earner'!$D$42))</f>
      </c>
      <c r="BN11" s="7">
        <f>IF($B11="","",IFERROR(LOOKUP(2,1/(((('Changes — Earner 2'!$C$6:$C$17="Deduction start")+('Changes — Earner 2'!$C$6:$C$17="Deduction stop"))*('Changes — Earner 2'!$D$6:$D$17="Commuter"))*('Changes — Earner 2'!$B$6:$B$17&lt;=$B11)*('Changes — Earner 2'!$B$6:$B$17&lt;&gt;"")),'Changes — Earner 2'!$I$6:$I$17),'Second Earner'!$D$43))</f>
      </c>
      <c r="BO11" s="7">
        <f>IF($B11="","",IFERROR(LOOKUP(2,1/(((('Changes — Earner 2'!$C$6:$C$17="Deduction start")+('Changes — Earner 2'!$C$6:$C$17="Deduction stop"))*('Changes — Earner 2'!$D$6:$D$17="Other pre-tax"))*('Changes — Earner 2'!$B$6:$B$17&lt;=$B11)*('Changes — Earner 2'!$B$6:$B$17&lt;&gt;"")),'Changes — Earner 2'!$I$6:$I$17),'Second Earner'!$D$44))</f>
      </c>
      <c r="BP11" s="7">
        <f>IF($B11="","",IFERROR(LOOKUP(2,1/(((('Changes — Earner 2'!$C$6:$C$17="Deduction start")+('Changes — Earner 2'!$C$6:$C$17="Deduction stop"))*('Changes — Earner 2'!$D$6:$D$17="Other post-tax"))*('Changes — Earner 2'!$B$6:$B$17&lt;=$B11)*('Changes — Earner 2'!$B$6:$B$17&lt;&gt;"")),'Changes — Earner 2'!$I$6:$I$17),'Second Earner'!$D$45))</f>
      </c>
      <c r="BQ11" s="6">
        <f>IF($B11="","",IFERROR(LOOKUP(2,1/(((('Changes — Earner 2'!$C$6:$C$17="Deduction start")+('Changes — Earner 2'!$C$6:$C$17="Deduction stop"))*('Changes — Earner 2'!$D$6:$D$17="Health FSA"))*('Changes — Earner 2'!$B$6:$B$17&lt;=$B11)*('Changes — Earner 2'!$B$6:$B$17&lt;&gt;"")),'Changes — Earner 2'!$J$6:$J$17),0))</f>
      </c>
      <c r="BR11" s="6">
        <f>IF($B11="","",IFERROR(LOOKUP(2,1/(((('Changes — Earner 2'!$C$6:$C$17="Deduction start")+('Changes — Earner 2'!$C$6:$C$17="Deduction stop"))*('Changes — Earner 2'!$D$6:$D$17="Dependent-care FSA"))*('Changes — Earner 2'!$B$6:$B$17&lt;=$B11)*('Changes — Earner 2'!$B$6:$B$17&lt;&gt;"")),'Changes — Earner 2'!$J$6:$J$17),0))</f>
      </c>
      <c r="BS11" s="6">
        <f>IF($B11="","",IF(SUMPRODUCT(('Changes — Earner 2'!$C$6:$C$17="Deduction start")*('Changes — Earner 2'!$B$6:$B$17&lt;=$B11)*('Changes — Earner 2'!$B$6:$B$17&lt;&gt;"")*('Changes — Earner 2'!$D$6:$D$17="Health FSA"))&gt;0,1,0))</f>
      </c>
      <c r="BT11" s="6">
        <f>IF($B11="","",IF(SUMPRODUCT(('Changes — Earner 2'!$C$6:$C$17="Deduction start")*('Changes — Earner 2'!$B$6:$B$17&lt;=$B11)*('Changes — Earner 2'!$B$6:$B$17&lt;&gt;"")*('Changes — Earner 2'!$D$6:$D$17="Dependent-care FSA"))&gt;0,1,0))</f>
      </c>
      <c r="BU11" s="24">
        <f>IF($B11="","",IF('Second Earner'!$C$13,SUMPRODUCT(($AH11&gt;=INDEX('How This Works &amp; Sources'!$B$29:$J$36,0,IF('Second Earner'!$C$12="MFJ",1,IF('Second Earner'!$C$12="HoH",7,4))))*INDEX('How This Works &amp; Sources'!$B$29:$J$36,0,IF('Second Earner'!$C$12="MFJ",1,IF('Second Earner'!$C$12="HoH",7,4))+2)),SUMPRODUCT(($AH11&gt;=INDEX('How This Works &amp; Sources'!$B$19:$J$26,0,IF('Second Earner'!$C$12="MFJ",1,IF('Second Earner'!$C$12="HoH",7,4))))*INDEX('How This Works &amp; Sources'!$B$19:$J$26,0,IF('Second Earner'!$C$12="MFJ",1,IF('Second Earner'!$C$12="HoH",7,4))+2))))</f>
      </c>
      <c r="BV11" s="24">
        <f>IF($B11="","",IF($BZ11&lt;&gt;"",$BZ11,IF($CA11&lt;&gt;"",$CA11,IF($CB11&lt;&gt;"",$CB11,IF($CC11&lt;&gt;"",$CC11,0)))))</f>
      </c>
      <c r="BW11" s="7">
        <f>IF($B11="","",IF($AN11="AR",SUMPRODUCT(($AZ11&gt;INDEX('How This Works &amp; Sources'!$B$82:$J$86,0,7))*($AZ11-INDEX('How This Works &amp; Sources'!$B$82:$J$86,0,7))*INDEX('How This Works &amp; Sources'!$B$82:$J$86,0,7+2)),IF($AN11="MD",IF(OR($AU11="Married",$AU11="Head of household"),SUMPRODUCT(($AZ11&gt;INDEX('How This Works &amp; Sources'!$B$114:$J$120,0,1))*($AZ11-INDEX('How This Works &amp; Sources'!$B$114:$J$120,0,1))*INDEX('How This Works &amp; Sources'!$B$114:$J$120,0,1+2)),SUMPRODUCT(($AZ11&gt;INDEX('How This Works &amp; Sources'!$B$103:$J$109,0,7))*($AZ11-INDEX('How This Works &amp; Sources'!$B$103:$J$109,0,7))*INDEX('How This Works &amp; Sources'!$B$103:$J$109,0,7+2))),IF($AN11="MT",IF($AU11="Head of household",SUMPRODUCT(($AZ11&gt;INDEX('How This Works &amp; Sources'!$B$137:$J$139,0,1))*($AZ11-INDEX('How This Works &amp; Sources'!$B$137:$J$139,0,1))*INDEX('How This Works &amp; Sources'!$B$137:$J$139,0,1+2)),IF($AU11="Married",SUMPRODUCT(($AZ11&gt;INDEX('How This Works &amp; Sources'!$B$125:$J$132,0,7))*($AZ11-INDEX('How This Works &amp; Sources'!$B$125:$J$132,0,7))*INDEX('How This Works &amp; Sources'!$B$125:$J$132,0,7+2)),SUMPRODUCT(($AZ11&gt;INDEX('How This Works &amp; Sources'!$B$125:$J$132,0,4))*($AZ11-INDEX('How This Works &amp; Sources'!$B$125:$J$132,0,4))*INDEX('How This Works &amp; Sources'!$B$125:$J$132,0,4+2)))),IF($AN11="ND",IF($AU11="Head of household",SUMPRODUCT(($AZ11&gt;INDEX('How This Works &amp; Sources'!$B$144:$J$150,0,1))*($AZ11-INDEX('How This Works &amp; Sources'!$B$144:$J$150,0,1))*INDEX('How This Works &amp; Sources'!$B$144:$J$150,0,1+2)),IF($AU11="Married",SUMPRODUCT(($AZ11&gt;INDEX('How This Works &amp; Sources'!$B$137:$J$139,0,7))*($AZ11-INDEX('How This Works &amp; Sources'!$B$137:$J$139,0,7))*INDEX('How This Works &amp; Sources'!$B$137:$J$139,0,7+2)),SUMPRODUCT(($AZ11&gt;INDEX('How This Works &amp; Sources'!$B$137:$J$139,0,4))*($AZ11-INDEX('How This Works &amp; Sources'!$B$137:$J$139,0,4))*INDEX('How This Works &amp; Sources'!$B$137:$J$139,0,4+2)))),IF($AN11="NJ",IF('Second Earner'!$C$77="B",SUMPRODUCT(($AZ11&gt;INDEX('How This Works &amp; Sources'!$B$155:$J$162,0,4))*($AZ11-INDEX('How This Works &amp; Sources'!$B$155:$J$162,0,4))*INDEX('How This Works &amp; Sources'!$B$155:$J$162,0,4+2)),IF('Second Earner'!$C$77="C",SUMPRODUCT(($AZ11&gt;INDEX('How This Works &amp; Sources'!$B$155:$J$162,0,7))*($AZ11-INDEX('How This Works &amp; Sources'!$B$155:$J$162,0,7))*INDEX('How This Works &amp; Sources'!$B$155:$J$162,0,7+2)),IF('Second Earner'!$C$77="D",SUMPRODUCT(($AZ11&gt;INDEX('How This Works &amp; Sources'!$B$167:$J$179,0,1))*($AZ11-INDEX('How This Works &amp; Sources'!$B$167:$J$179,0,1))*INDEX('How This Works &amp; Sources'!$B$167:$J$179,0,1+2)),IF('Second Earner'!$C$77="E",SUMPRODUCT(($AZ11&gt;INDEX('How This Works &amp; Sources'!$B$167:$J$179,0,4))*($AZ11-INDEX('How This Works &amp; Sources'!$B$167:$J$179,0,4))*INDEX('How This Works &amp; Sources'!$B$167:$J$179,0,4+2)),SUMPRODUCT(($AZ11&gt;INDEX('How This Works &amp; Sources'!$B$155:$J$162,0,1))*($AZ11-INDEX('How This Works &amp; Sources'!$B$155:$J$162,0,1))*INDEX('How This Works &amp; Sources'!$B$155:$J$162,0,1+2)))))),IF($AN11="NY",IF($AU11="Married",IF($AZ11&gt;=2155350,$AZ11*IF($AZ11&gt;25000000,0.117,IF($AZ11&gt;5000000,0.111,0.1045)),SUMPRODUCT(($AZ11&gt;INDEX('How This Works &amp; Sources'!$B$184:$J$198,0,1))*($AZ11-INDEX('How This Works &amp; Sources'!$B$184:$J$198,0,1))*INDEX('How This Works &amp; Sources'!$B$184:$J$198,0,1+2))),IF($AZ11&gt;=1077550,$AZ11*IF($AZ11&gt;25000000,0.117,IF($AZ11&gt;5000000,0.111,0.1045)),SUMPRODUCT(($AZ11&gt;INDEX('How This Works &amp; Sources'!$B$167:$J$179,0,7))*($AZ11-INDEX('How This Works &amp; Sources'!$B$167:$J$179,0,7))*INDEX('How This Works &amp; Sources'!$B$167:$J$179,0,7+2)))),"")))))))</f>
      </c>
      <c r="BX11" s="7">
        <f>IF($B11="","",IF($AN11="AL",IF(OR($AU11="Married",$AU11="Head of household"),SUMPRODUCT(($AZ11&gt;INDEX('How This Works &amp; Sources'!$B$82:$J$86,0,4))*($AZ11-INDEX('How This Works &amp; Sources'!$B$82:$J$86,0,4))*INDEX('How This Works &amp; Sources'!$B$82:$J$86,0,4+2)),SUMPRODUCT(($AZ11&gt;INDEX('How This Works &amp; Sources'!$B$82:$J$86,0,1))*($AZ11-INDEX('How This Works &amp; Sources'!$B$82:$J$86,0,1))*INDEX('How This Works &amp; Sources'!$B$82:$J$86,0,1+2))),IF($AN11="KS",IF($AU11="Married",SUMPRODUCT(($AZ11&gt;INDEX('How This Works &amp; Sources'!$B$103:$J$109,0,4))*($AZ11-INDEX('How This Works &amp; Sources'!$B$103:$J$109,0,4))*INDEX('How This Works &amp; Sources'!$B$103:$J$109,0,4+2)),SUMPRODUCT(($AZ11&gt;INDEX('How This Works &amp; Sources'!$B$103:$J$109,0,1))*($AZ11-INDEX('How This Works &amp; Sources'!$B$103:$J$109,0,1))*INDEX('How This Works &amp; Sources'!$B$103:$J$109,0,1+2))),IF($AN11="MN",IF($AU11="Married",SUMPRODUCT(($AZ11&gt;INDEX('How This Works &amp; Sources'!$B$114:$J$120,0,7))*($AZ11-INDEX('How This Works &amp; Sources'!$B$114:$J$120,0,7))*INDEX('How This Works &amp; Sources'!$B$114:$J$120,0,7+2)),SUMPRODUCT(($AZ11&gt;INDEX('How This Works &amp; Sources'!$B$114:$J$120,0,4))*($AZ11-INDEX('How This Works &amp; Sources'!$B$114:$J$120,0,4))*INDEX('How This Works &amp; Sources'!$B$114:$J$120,0,4+2))),IF($AN11="MO",SUMPRODUCT(($AZ11&gt;INDEX('How This Works &amp; Sources'!$B$125:$J$132,0,1))*($AZ11-INDEX('How This Works &amp; Sources'!$B$125:$J$132,0,1))*INDEX('How This Works &amp; Sources'!$B$125:$J$132,0,1+2)),IF($AN11="NE",MAX(IF($AU11="Married",SUMPRODUCT(($AZ11&gt;INDEX('How This Works &amp; Sources'!$B$144:$J$150,0,7))*($AZ11-INDEX('How This Works &amp; Sources'!$B$144:$J$150,0,7))*INDEX('How This Works &amp; Sources'!$B$144:$J$150,0,7+2)),SUMPRODUCT(($AZ11&gt;INDEX('How This Works &amp; Sources'!$B$144:$J$150,0,4))*($AZ11-INDEX('How This Works &amp; Sources'!$B$144:$J$150,0,4))*INDEX('How This Works &amp; Sources'!$B$144:$J$150,0,4+2))),0.015*$AZ11),IF($AN11="OH",IF($B11&gt;=DATE(2026,8,1),SUMPRODUCT(($AZ11&gt;INDEX('How This Works &amp; Sources'!$B$203:$J$206,0,1))*($AZ11-INDEX('How This Works &amp; Sources'!$B$203:$J$206,0,1))*INDEX('How This Works &amp; Sources'!$B$203:$J$206,0,1+2)),SUMPRODUCT(($AZ11&gt;INDEX('How This Works &amp; Sources'!$B$184:$J$198,0,7))*($AZ11-INDEX('How This Works &amp; Sources'!$B$184:$J$198,0,7))*INDEX('How This Works &amp; Sources'!$B$184:$J$198,0,7+2))),IF($AN11="OK",IF($AU11="Married",SUMPRODUCT(($AZ11&gt;INDEX('How This Works &amp; Sources'!$B$203:$J$206,0,7))*($AZ11-INDEX('How This Works &amp; Sources'!$B$203:$J$206,0,7))*INDEX('How This Works &amp; Sources'!$B$203:$J$206,0,7+2)),SUMPRODUCT(($AZ11&gt;INDEX('How This Works &amp; Sources'!$B$203:$J$206,0,4))*($AZ11-INDEX('How This Works &amp; Sources'!$B$203:$J$206,0,4))*INDEX('How This Works &amp; Sources'!$B$203:$J$206,0,4+2))),IF($AN11="VT",IF($AU11="Married",SUMPRODUCT(($AZ11&gt;INDEX('How This Works &amp; Sources'!$B$228:$J$232,0,1))*($AZ11-INDEX('How This Works &amp; Sources'!$B$228:$J$232,0,1))*INDEX('How This Works &amp; Sources'!$B$228:$J$232,0,1+2)),SUMPRODUCT(($AZ11&gt;INDEX('How This Works &amp; Sources'!$B$219:$J$223,0,7))*($AZ11-INDEX('How This Works &amp; Sources'!$B$219:$J$223,0,7))*INDEX('How This Works &amp; Sources'!$B$219:$J$223,0,7+2))),IF($AN11="WV",IF($AU11="Married",SUMPRODUCT(($AZ11&gt;INDEX('How This Works &amp; Sources'!$B$237:$J$241,0,7))*($AZ11-INDEX('How This Works &amp; Sources'!$B$237:$J$241,0,7))*INDEX('How This Works &amp; Sources'!$B$237:$J$241,0,7+2)),SUMPRODUCT(($AZ11&gt;INDEX('How This Works &amp; Sources'!$B$228:$J$232,0,7))*($AZ11-INDEX('How This Works &amp; Sources'!$B$228:$J$232,0,7))*INDEX('How This Works &amp; Sources'!$B$228:$J$232,0,7+2))),""))))))))))</f>
      </c>
      <c r="BY11" s="7">
        <f>IF($B11="","",IF($AN11="DE",SUMPRODUCT(($AZ11&gt;INDEX('How This Works &amp; Sources'!$B$91:$J$98,0,1))*($AZ11-INDEX('How This Works &amp; Sources'!$B$91:$J$98,0,1))*INDEX('How This Works &amp; Sources'!$B$91:$J$98,0,1+2)),IF($AN11="HI",IF($AU11="Married",SUMPRODUCT(($AZ11&gt;INDEX('How This Works &amp; Sources'!$B$91:$J$98,0,7))*($AZ11-INDEX('How This Works &amp; Sources'!$B$91:$J$98,0,7))*INDEX('How This Works &amp; Sources'!$B$91:$J$98,0,7+2)),SUMPRODUCT(($AZ11&gt;INDEX('How This Works &amp; Sources'!$B$91:$J$98,0,4))*($AZ11-INDEX('How This Works &amp; Sources'!$B$91:$J$98,0,4))*INDEX('How This Works &amp; Sources'!$B$91:$J$98,0,4+2))),IF($AN11="RI",SUMPRODUCT(($AZ11&gt;INDEX('How This Works &amp; Sources'!$B$211:$J$214,0,7))*($AZ11-INDEX('How This Works &amp; Sources'!$B$211:$J$214,0,7))*INDEX('How This Works &amp; Sources'!$B$211:$J$214,0,7+2)),IF($AN11="SC",SUMPRODUCT(($AZ11&gt;INDEX('How This Works &amp; Sources'!$B$219:$J$223,0,1))*($AZ11-INDEX('How This Works &amp; Sources'!$B$219:$J$223,0,1))*INDEX('How This Works &amp; Sources'!$B$219:$J$223,0,1+2)),IF($AN11="VA",SUMPRODUCT(($AZ11&gt;INDEX('How This Works &amp; Sources'!$B$219:$J$223,0,4))*($AZ11-INDEX('How This Works &amp; Sources'!$B$219:$J$223,0,4))*INDEX('How This Works &amp; Sources'!$B$219:$J$223,0,4+2)),IF($AN11="WI",SUMPRODUCT(($AZ11&gt;INDEX('How This Works &amp; Sources'!$B$228:$J$232,0,4))*($AZ11-INDEX('How This Works &amp; Sources'!$B$228:$J$232,0,4))*INDEX('How This Works &amp; Sources'!$B$228:$J$232,0,4+2)),"")))))))</f>
      </c>
      <c r="BZ11" s="24">
        <f>IF($B11="","",IF($AN11="KS",IF($AU11="Married",SUMPRODUCT(($AZ11&gt;=INDEX('How This Works &amp; Sources'!$B$103:$J$109,0,4))*INDEX('How This Works &amp; Sources'!$B$103:$J$109,0,4+2)),SUMPRODUCT(($AZ11&gt;=INDEX('How This Works &amp; Sources'!$B$103:$J$109,0,1))*INDEX('How This Works &amp; Sources'!$B$103:$J$109,0,1+2))),IF($AN11="MT",IF($AU11="Head of household",SUMPRODUCT(($AZ11&gt;=INDEX('How This Works &amp; Sources'!$B$137:$J$139,0,1))*INDEX('How This Works &amp; Sources'!$B$137:$J$139,0,1+2)),IF($AU11="Married",SUMPRODUCT(($AZ11&gt;=INDEX('How This Works &amp; Sources'!$B$125:$J$132,0,7))*INDEX('How This Works &amp; Sources'!$B$125:$J$132,0,7+2)),SUMPRODUCT(($AZ11&gt;=INDEX('How This Works &amp; Sources'!$B$125:$J$132,0,4))*INDEX('How This Works &amp; Sources'!$B$125:$J$132,0,4+2)))),IF($AN11="OR",IF(OR($AU11="Married",AND($AU11="Single",$AS11&gt;=3)),SUMPRODUCT((MAX(0,$AY11-MIN(($P11-'How This Works &amp; Sources'!$C$10*$D11)*'Second Earner'!$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Sources'!$B$211:$J$214,0,4))*INDEX('How This Works &amp; Sources'!$B$211:$J$214,0,4+2)),SUMPRODUCT((MAX(0,$AY11-MIN(($P11-'How This Works &amp; Sources'!$C$10*$D11)*'Second Earner'!$C$8,IF(OR($AU11="Married",AND($AU11="Single",$AS11&gt;=3)),IF($AY11&lt;250000,8750,IF($AY11&lt;260000,7000,IF($AY11&lt;270000,5250,IF($AY11&lt;280000,3500,IF($AY11&lt;290000,1750,0))))),IF($AY11&lt;125000,8750,IF($AY11&lt;130000,7000,IF($AY11&lt;135000,5250,IF($AY11&lt;140000,3500,IF($AY11&lt;145000,1750,0)))))))-IF(OR($AU11="Married",AND($AU11="Single",$AS11&gt;=3)),5820,2910))&gt;=INDEX('How This Works &amp; Sources'!$B$211:$J$214,0,1))*INDEX('How This Works &amp; Sources'!$B$211:$J$214,0,1+2)))*IF(($P11-'How This Works &amp; Sources'!$C$10*$D11)*'Second Earner'!$C$8&gt;=IF(OR($AU11="Married",AND($AU11="Single",$AS11&gt;=3)),IF($AY11&lt;250000,8750,IF($AY11&lt;260000,7000,IF($AY11&lt;270000,5250,IF($AY11&lt;280000,3500,IF($AY11&lt;290000,1750,0))))),IF($AY11&lt;125000,8750,IF($AY11&lt;130000,7000,IF($AY11&lt;135000,5250,IF($AY11&lt;140000,3500,IF($AY11&lt;145000,1750,0)))))),1,1-IF('Second Earner'!$C$13,SUMPRODUCT(($AH11&gt;=INDEX('How This Works &amp; Sources'!$B$29:$J$36,0,IF('Second Earner'!$C$12="MFJ",1,IF('Second Earner'!$C$12="HoH",7,4))))*INDEX('How This Works &amp; Sources'!$B$29:$J$36,0,IF('Second Earner'!$C$12="MFJ",1,IF('Second Earner'!$C$12="HoH",7,4))+2)),SUMPRODUCT(($AH11&gt;=INDEX('How This Works &amp; Sources'!$B$19:$J$26,0,IF('Second Earner'!$C$12="MFJ",1,IF('Second Earner'!$C$12="HoH",7,4))))*INDEX('How This Works &amp; Sources'!$B$19:$J$26,0,IF('Second Earner'!$C$12="MFJ",1,IF('Second Earner'!$C$12="HoH",7,4))+2)))),""))))</f>
      </c>
      <c r="CA11" s="24">
        <f>IF($B11="","",IF($AN11="CA",SUMPRODUCT(($AJ11&gt;=INDEX('How This Works &amp; Sources'!$B$39:$J$48,0,IF($AU11="Married",4,IF($AU11="Head of household",7,1))))*INDEX('How This Works &amp; Sources'!$B$39:$J$48,0,IF($AU11="Married",4,IF($AU11="Head of household",7,1))+2)),IF($AN11="AL",IF(OR($AU11="Married",$AU11="Head of household"),SUMPRODUCT(($AZ11&gt;=INDEX('How This Works &amp; Sources'!$B$82:$J$86,0,4))*INDEX('How This Works &amp; Sources'!$B$82:$J$86,0,4+2)),SUMPRODUCT(($AZ11&gt;=INDEX('How This Works &amp; Sources'!$B$82:$J$86,0,1))*INDEX('How This Works &amp; Sources'!$B$82:$J$86,0,1+2)))*(1-IF('Second Earner'!$C$13,SUMPRODUCT(($AH11&gt;=INDEX('How This Works &amp; Sources'!$B$29:$J$36,0,IF('Second Earner'!$C$12="MFJ",1,IF('Second Earner'!$C$12="HoH",7,4))))*INDEX('How This Works &amp; Sources'!$B$29:$J$36,0,IF('Second Earner'!$C$12="MFJ",1,IF('Second Earner'!$C$12="HoH",7,4))+2)),SUMPRODUCT(($AH11&gt;=INDEX('How This Works &amp; Sources'!$B$19:$J$26,0,IF('Second Earner'!$C$12="MFJ",1,IF('Second Earner'!$C$12="HoH",7,4))))*INDEX('How This Works &amp; Sources'!$B$19:$J$26,0,IF('Second Earner'!$C$12="MFJ",1,IF('Second Earner'!$C$12="HoH",7,4))+2)))),IF($AN11="ND",IF($AU11="Head of household",SUMPRODUCT(($AZ11&gt;=INDEX('How This Works &amp; Sources'!$B$144:$J$150,0,1))*INDEX('How This Works &amp; Sources'!$B$144:$J$150,0,1+2)),IF($AU11="Married",SUMPRODUCT(($AZ11&gt;=INDEX('How This Works &amp; Sources'!$B$137:$J$139,0,7))*INDEX('How This Works &amp; Sources'!$B$137:$J$139,0,7+2)),SUMPRODUCT(($AZ11&gt;=INDEX('How This Works &amp; Sources'!$B$137:$J$139,0,4))*INDEX('How This Works &amp; Sources'!$B$137:$J$139,0,4+2)))),IF($AN11="NJ",IF('Second Earner'!$C$77="B",SUMPRODUCT(($AZ11&gt;=INDEX('How This Works &amp; Sources'!$B$155:$J$162,0,4))*INDEX('How This Works &amp; Sources'!$B$155:$J$162,0,4+2)),IF('Second Earner'!$C$77="C",SUMPRODUCT(($AZ11&gt;=INDEX('How This Works &amp; Sources'!$B$155:$J$162,0,7))*INDEX('How This Works &amp; Sources'!$B$155:$J$162,0,7+2)),IF('Second Earner'!$C$77="D",SUMPRODUCT(($AZ11&gt;=INDEX('How This Works &amp; Sources'!$B$167:$J$179,0,1))*INDEX('How This Works &amp; Sources'!$B$167:$J$179,0,1+2)),IF('Second Earner'!$C$77="E",SUMPRODUCT(($AZ11&gt;=INDEX('How This Works &amp; Sources'!$B$167:$J$179,0,4))*INDEX('How This Works &amp; Sources'!$B$167:$J$179,0,4+2)),SUMPRODUCT(($AZ11&gt;=INDEX('How This Works &amp; Sources'!$B$155:$J$162,0,1))*INDEX('How This Works &amp; Sources'!$B$155:$J$162,0,1+2)))))),IF($AN11="NY",IF($AU11="Married",IF($AZ11&gt;=2155350,IF($AZ11&gt;25000000,0.117,IF($AZ11&gt;5000000,0.111,0.1045)),SUMPRODUCT(($AZ11&gt;=INDEX('How This Works &amp; Sources'!$B$184:$J$198,0,1))*INDEX('How This Works &amp; Sources'!$B$184:$J$198,0,1+2))),IF($AZ11&gt;=1077550,IF($AZ11&gt;25000000,0.117,IF($AZ11&gt;5000000,0.111,0.1045)),SUMPRODUCT(($AZ11&gt;=INDEX('How This Works &amp; Sources'!$B$167:$J$179,0,7))*INDEX('How This Works &amp; Sources'!$B$167:$J$179,0,7+2)))),IF($AN11="LA",0.0309,"")))))))</f>
      </c>
      <c r="CB11" s="24">
        <f>IF($B11="","",IF($AN11="HI",IF($AU11="Married",SUMPRODUCT(($AZ11&gt;=INDEX('How This Works &amp; Sources'!$B$91:$J$98,0,7))*INDEX('How This Works &amp; Sources'!$B$91:$J$98,0,7+2)),SUMPRODUCT(($AZ11&gt;=INDEX('How This Works &amp; Sources'!$B$91:$J$98,0,4))*INDEX('How This Works &amp; Sources'!$B$91:$J$98,0,4+2))),IF($AN11="MD",IF(OR($AU11="Married",$AU11="Head of household"),SUMPRODUCT(($AZ11&gt;=INDEX('How This Works &amp; Sources'!$B$114:$J$120,0,1))*INDEX('How This Works &amp; Sources'!$B$114:$J$120,0,1+2)),SUMPRODUCT(($AZ11&gt;=INDEX('How This Works &amp; Sources'!$B$103:$J$109,0,7))*INDEX('How This Works &amp; Sources'!$B$103:$J$109,0,7+2)))+'Second Earner'!$C$74,IF($AN11="MN",IF($AU11="Married",SUMPRODUCT(($AZ11&gt;=INDEX('How This Works &amp; Sources'!$B$114:$J$120,0,7))*INDEX('How This Works &amp; Sources'!$B$114:$J$120,0,7+2)),SUMPRODUCT(($AZ11&gt;=INDEX('How This Works &amp; Sources'!$B$114:$J$120,0,4))*INDEX('How This Works &amp; Sources'!$B$114:$J$120,0,4+2))),IF($AN11="MO",SUMPRODUCT(($AZ11&gt;=INDEX('How This Works &amp; Sources'!$B$125:$J$132,0,1))*INDEX('How This Works &amp; Sources'!$B$125:$J$132,0,1+2)),IF($AN11="NE",MAX(IF($AU11="Married",SUMPRODUCT(($AZ11&gt;=INDEX('How This Works &amp; Sources'!$B$144:$J$150,0,7))*INDEX('How This Works &amp; Sources'!$B$144:$J$150,0,7+2)),SUMPRODUCT(($AZ11&gt;=INDEX('How This Works &amp; Sources'!$B$144:$J$150,0,4))*INDEX('How This Works &amp; Sources'!$B$144:$J$150,0,4+2))),0.015),IF($AN11="OH",IF($B11&gt;=DATE(2026,8,1),SUMPRODUCT(($AZ11&gt;=INDEX('How This Works &amp; Sources'!$B$203:$J$206,0,1))*INDEX('How This Works &amp; Sources'!$B$203:$J$206,0,1+2)),SUMPRODUCT(($AZ11&gt;=INDEX('How This Works &amp; Sources'!$B$184:$J$198,0,7))*INDEX('How This Works &amp; Sources'!$B$184:$J$198,0,7+2))),IF($AN11="OK",IF($AU11="Married",SUMPRODUCT(($AZ11&gt;=INDEX('How This Works &amp; Sources'!$B$203:$J$206,0,7))*INDEX('How This Works &amp; Sources'!$B$203:$J$206,0,7+2)),SUMPRODUCT(($AZ11&gt;=INDEX('How This Works &amp; Sources'!$B$203:$J$206,0,4))*INDEX('How This Works &amp; Sources'!$B$203:$J$206,0,4+2))),IF($AN11="RI",SUMPRODUCT(($AZ11&gt;=INDEX('How This Works &amp; Sources'!$B$211:$J$214,0,7))*INDEX('How This Works &amp; Sources'!$B$211:$J$214,0,7+2)),IF($AN11="VT",IF($AU11="Married",SUMPRODUCT(($AZ11&gt;=INDEX('How This Works &amp; Sources'!$B$228:$J$232,0,1))*INDEX('How This Works &amp; Sources'!$B$228:$J$232,0,1+2)),SUMPRODUCT(($AZ11&gt;=INDEX('How This Works &amp; Sources'!$B$219:$J$223,0,7))*INDEX('How This Works &amp; Sources'!$B$219:$J$223,0,7+2))),IF($AN11="WV",IF($AU11="Married",SUMPRODUCT(($AZ11&gt;=INDEX('How This Works &amp; Sources'!$B$237:$J$241,0,7))*INDEX('How This Works &amp; Sources'!$B$237:$J$241,0,7+2)),SUMPRODUCT(($AZ11&gt;=INDEX('How This Works &amp; Sources'!$B$228:$J$232,0,7))*INDEX('How This Works &amp; Sources'!$B$228:$J$232,0,7+2))),IF($AN11="AZ",'Second Earner'!$C$82,IF($AN11="ID",IF($AY11&gt;IF($AU11="Married",32000,16094),0.053,0),"")))))))))))))</f>
      </c>
      <c r="CC11" s="24">
        <f>IF($B11="","",IF($AN11="AR",SUMPRODUCT(($AZ11&gt;=INDEX('How This Works &amp; Sources'!$B$82:$J$86,0,7))*INDEX('How This Works &amp; Sources'!$B$82:$J$86,0,7+2)),IF($AN11="DE",SUMPRODUCT(($AZ11&gt;=INDEX('How This Works &amp; Sources'!$B$91:$J$98,0,1))*INDEX('How This Works &amp; Sources'!$B$91:$J$98,0,1+2)),IF($AN11="SC",SUMPRODUCT(($AZ11&gt;=INDEX('How This Works &amp; Sources'!$B$219:$J$223,0,1))*INDEX('How This Works &amp; Sources'!$B$219:$J$223,0,1+2)),IF($AN11="VA",SUMPRODUCT(($AZ11&gt;=INDEX('How This Works &amp; Sources'!$B$219:$J$223,0,4))*INDEX('How This Works &amp; Sources'!$B$219:$J$223,0,4+2)),IF($AN11="WI",SUMPRODUCT(($AZ11&gt;=INDEX('How This Works &amp; Sources'!$B$228:$J$232,0,4))*INDEX('How This Works &amp; Sources'!$B$228:$J$232,0,4+2)),IF($AN11="CO",IF($AY11&gt;IF($AU11="Married",10000,5000),0.044,0),IF($AN11="IA",IF($AY11&gt;IF($AU11="Head of household",19500,IF($AU11="Married",26000,13000)),0.038,0),IF($AN11="IL",IF($AY11&gt;(2925*$AS11+1000*$AT11),0.0495,0),IF($AN11="IN",(0.0295+'Second Earner'!$C$76),IF($AN11="KY",IF($AI11&gt;3360,0.035,0),IF($AN11="MA",IF(MAX(0,$AY11-MIN(($BD10+$Q11+$R11+$S11),2000)-IF($AS11=0,0,IF($AS11=1,4400,1000*$AS11+3400)))&gt;=1107750,0.09,0.05),IF($AN11="MI",IF($AY11&gt;5900*$AS11,0.0425,0),IF($AN11="MS",IF($AI11-IF($AU11="Head of household",3400,IF($AU11="Married",4600,2300))-'Second Earner'!$C$85&gt;10000,0.04,0),IF($AN11="PA",0.0307,"")))))))))))))))</f>
      </c>
      <c r="CD11" s="21">
        <f>IF(YEAR(IF('Second Earner'!$C$7="Weekly",'Second Earner'!$C$9+7*(($BE10+1)-1),IF('Second Earner'!$C$7="Biweekly",'Second Earner'!$C$9+14*(($BE10+1)-1),IF('Second Earner'!$C$7="Semimonthly",DATE(YEAR('Second Earner'!$C$9),MONTH('Second Earner'!$C$9)+INT((($BE10+1)-1)/2),MIN(DAY('Second Earner'!$C$9),DAY(EOMONTH(DATE(YEAR('Second Earner'!$C$9),MONTH('Second Earner'!$C$9)+INT((($BE10+1)-1)/2),1),0))))+IF(MOD(($BE10+1)-1,2)=1,15,0),EDATE('Second Earner'!$C$9,($BE10+1)-1)))))&lt;&gt;'Second Earner'!$C$10,"",IF('Second Earner'!$C$7="Weekly",'Second Earner'!$C$9+7*(($BE10+1)-1),IF('Second Earner'!$C$7="Biweekly",'Second Earner'!$C$9+14*(($BE10+1)-1),IF('Second Earner'!$C$7="Semimonthly",DATE(YEAR('Second Earner'!$C$9),MONTH('Second Earner'!$C$9)+INT((($BE10+1)-1)/2),MIN(DAY('Second Earner'!$C$9),DAY(EOMONTH(DATE(YEAR('Second Earner'!$C$9),MONTH('Second Earner'!$C$9)+INT((($BE10+1)-1)/2),1),0))))+IF(MOD(($BE10+1)-1,2)=1,15,0),EDATE('Second Earner'!$C$9,($BE10+1)-1)))))</f>
      </c>
      <c r="CE11" s="21">
        <f>IF(MIN(IF(AND('Second Earner'!$C$58&gt;MAX($B$6:$B10),'Second Earner'!$C$58&gt;=DATE('Second Earner'!$C$10,1,1),'Second Earner'!$C$58&lt;=DATE('Second Earner'!$C$10,12,31)),'Second Earner'!$C$58,999999),IF(AND('Second Earner'!$C$59&gt;MAX($B$6:$B10),'Second Earner'!$C$59&gt;=DATE('Second Earner'!$C$10,1,1),'Second Earner'!$C$59&lt;=DATE('Second Earner'!$C$10,12,31)),'Second Earner'!$C$59,999999),IF(AND('Second Earner'!$C$60&gt;MAX($B$6:$B10),'Second Earner'!$C$60&gt;=DATE('Second Earner'!$C$10,1,1),'Second Earner'!$C$60&lt;=DATE('Second Earner'!$C$10,12,31)),'Second Earner'!$C$60,999999),IF(AND('Second Earner'!$C$61&gt;MAX($B$6:$B10),'Second Earner'!$C$61&gt;=DATE('Second Earner'!$C$10,1,1),'Second Earner'!$C$61&lt;=DATE('Second Earner'!$C$10,12,31)),'Second Earner'!$C$61,999999),IF(AND('Second Earner'!$C$62&gt;MAX($B$6:$B10),'Second Earner'!$C$62&gt;=DATE('Second Earner'!$C$10,1,1),'Second Earner'!$C$62&lt;=DATE('Second Earner'!$C$10,12,31)),'Second Earner'!$C$62,999999),IF(AND('Second Earner'!$C$63&gt;MAX($B$6:$B10),'Second Earner'!$C$63&gt;=DATE('Second Earner'!$C$10,1,1),'Second Earner'!$C$63&lt;=DATE('Second Earner'!$C$10,12,31)),'Second Earner'!$C$63,999999),IF(AND('Second Earner'!$C$64&gt;MAX($B$6:$B10),'Second Earner'!$C$64&gt;=DATE('Second Earner'!$C$10,1,1),'Second Earner'!$C$64&lt;=DATE('Second Earner'!$C$10,12,31)),'Second Earner'!$C$64,999999),IF(AND('Second Earner'!$C$65&gt;MAX($B$6:$B10),'Second Earner'!$C$65&gt;=DATE('Second Earner'!$C$10,1,1),'Second Earner'!$C$65&lt;=DATE('Second Earner'!$C$10,12,31)),'Second Earner'!$C$65,999999),IF(AND('Second Earner'!$C$66&gt;MAX($B$6:$B10),'Second Earner'!$C$66&gt;=DATE('Second Earner'!$C$10,1,1),'Second Earner'!$C$66&lt;=DATE('Second Earner'!$C$10,12,31)),'Second Earner'!$C$66,999999),IF(AND('Second Earner'!$C$67&gt;MAX($B$6:$B10),'Second Earner'!$C$67&gt;=DATE('Second Earner'!$C$10,1,1),'Second Earner'!$C$67&lt;=DATE('Second Earner'!$C$10,12,31)),'Second Earner'!$C$67,999999))=999999,"",MIN(IF(AND('Second Earner'!$C$58&gt;MAX($B$6:$B10),'Second Earner'!$C$58&gt;=DATE('Second Earner'!$C$10,1,1),'Second Earner'!$C$58&lt;=DATE('Second Earner'!$C$10,12,31)),'Second Earner'!$C$58,999999),IF(AND('Second Earner'!$C$59&gt;MAX($B$6:$B10),'Second Earner'!$C$59&gt;=DATE('Second Earner'!$C$10,1,1),'Second Earner'!$C$59&lt;=DATE('Second Earner'!$C$10,12,31)),'Second Earner'!$C$59,999999),IF(AND('Second Earner'!$C$60&gt;MAX($B$6:$B10),'Second Earner'!$C$60&gt;=DATE('Second Earner'!$C$10,1,1),'Second Earner'!$C$60&lt;=DATE('Second Earner'!$C$10,12,31)),'Second Earner'!$C$60,999999),IF(AND('Second Earner'!$C$61&gt;MAX($B$6:$B10),'Second Earner'!$C$61&gt;=DATE('Second Earner'!$C$10,1,1),'Second Earner'!$C$61&lt;=DATE('Second Earner'!$C$10,12,31)),'Second Earner'!$C$61,999999),IF(AND('Second Earner'!$C$62&gt;MAX($B$6:$B10),'Second Earner'!$C$62&gt;=DATE('Second Earner'!$C$10,1,1),'Second Earner'!$C$62&lt;=DATE('Second Earner'!$C$10,12,31)),'Second Earner'!$C$62,999999),IF(AND('Second Earner'!$C$63&gt;MAX($B$6:$B10),'Second Earner'!$C$63&gt;=DATE('Second Earner'!$C$10,1,1),'Second Earner'!$C$63&lt;=DATE('Second Earner'!$C$10,12,31)),'Second Earner'!$C$63,999999),IF(AND('Second Earner'!$C$64&gt;MAX($B$6:$B10),'Second Earner'!$C$64&gt;=DATE('Second Earner'!$C$10,1,1),'Second Earner'!$C$64&lt;=DATE('Second Earner'!$C$10,12,31)),'Second Earner'!$C$64,999999),IF(AND('Second Earner'!$C$65&gt;MAX($B$6:$B10),'Second Earner'!$C$65&gt;=DATE('Second Earner'!$C$10,1,1),'Second Earner'!$C$65&lt;=DATE('Second Earner'!$C$10,12,31)),'Second Earner'!$C$65,999999),IF(AND('Second Earner'!$C$66&gt;MAX($B$6:$B10),'Second Earner'!$C$66&gt;=DATE('Second Earner'!$C$10,1,1),'Second Earner'!$C$66&lt;=DATE('Second Earner'!$C$10,12,31)),'Second Earner'!$C$66,999999),IF(AND('Second Earner'!$C$67&gt;MAX($B$6:$B10),'Second Earner'!$C$67&gt;=DATE('Second Earner'!$C$10,1,1),'Second Earner'!$C$67&lt;=DATE('Second Earner'!$C$10,12,31)),'Second Earner'!$C$67,999999)))</f>
      </c>
      <c r="CF11">
        <f>IF($B11="","",IF($D11=0,$Y11,""))</f>
      </c>
    </row>
    <row r="12">
      <c r="A12" t="n">
        <v>7</v>
      </c>
      <c r="B12" s="21">
        <f>IF(AND($CD12="",$CE12=""),"",IF($CE12="",$CD12,IF($CD12="",$CE12,MIN($CD12,$CE12))))</f>
      </c>
      <c r="C12" s="7">
        <f>IF($B12="","",IF($BF12=0,0,IF('Second Earner'!$C$4="Annual salary",ROUND($AK12/IF(AND('Second Earner'!$C$88="Actual paydays",MONTH('Second Earner'!$C$9)=1),MAX(1,MAX($BE$6:$BE$68)),'Second Earner'!$C$8),2),$AK12)))</f>
      </c>
      <c r="D12" s="7">
        <f>IF($B12="","",SUMIF('Second Earner'!$C$58:$C$67,$B12,'Second Earner'!$D$58:$D$67))</f>
      </c>
      <c r="E12" s="7">
        <f>IF($B12="","",ROUND(MAX(0,MIN(IF($AL12="Percent",$AM12*($C12+$D12),$AM12),MAX(0,'Second Earner'!$C$34-$AC11))),2))</f>
      </c>
      <c r="F12" s="7">
        <f>IF($B12="","",ROUND(MAX(0,MIN(IF('Second Earner'!$C$32="Percent",'Second Earner'!$D$32*($C12+$D12),'Second Earner'!$D$32),MAX(0,'Second Earner'!$C$34-$AC11-$E12))),2))</f>
      </c>
      <c r="G12" s="7">
        <f>IF($B12="","",IF($BF12=0,0,ROUND(MAX(0,MIN($BL12,'Second Earner'!$C$37-'Second Earner'!$C$54-$BI11)),2)))</f>
      </c>
      <c r="H12" s="7">
        <f>IF($B12="","",IF(OR($BF12=0,$BQ12=1),0,ROUND(MAX(0,MIN(IF($BS12=1,ROUND(MAX(0,MIN($BJ12,'How This Works &amp; Sources'!$C$13)-$BG11)/MAX(1,MAX($BE$6:$BE$68)-($BE11)),2),ROUND(MIN($BJ12,'How This Works &amp; Sources'!$C$13)/'Second Earner'!$C$8,2)),MIN($BJ12,'How This Works &amp; Sources'!$C$13)-$BG11)),2)))</f>
      </c>
      <c r="I12" s="7">
        <f>IF($B12="","",IF(OR($BF12=0,$BR12=1),0,ROUND(MAX(0,MIN(IF($BT12=1,ROUND(MAX(0,MIN($BK12,IF('Second Earner'!$C$12="MFJ",'How This Works &amp; Sources'!$C$14,'How This Works &amp; Sources'!$C$15))-$BH11)/MAX(1,MAX($BE$6:$BE$68)-($BE11)),2),ROUND(MIN($BK12,IF('Second Earner'!$C$12="MFJ",'How This Works &amp; Sources'!$C$14,'How This Works &amp; Sources'!$C$15))/'Second Earner'!$C$8,2)),MIN($BK12,IF('Second Earner'!$C$12="MFJ",'How This Works &amp; Sources'!$C$14,'How This Works &amp; Sources'!$C$15))-$BH11)),2)))</f>
      </c>
      <c r="J12" s="7">
        <f>IF($B12="","",IF($BF12=0,0,$BM12))</f>
      </c>
      <c r="K12" s="7">
        <f>IF($B12="","",IF($BF12=0,0,$BN12+$BO12))</f>
      </c>
      <c r="L12" s="7">
        <f>IF($B12="","",IF($BF12=0,0,'Second Earner'!$D$46))</f>
      </c>
      <c r="M12" s="7">
        <f>IF($B12="","",$C12+$D12+$L12-$E12-$G12-$H12-$I12-$J12-$K12)</f>
      </c>
      <c r="N12" s="7">
        <f>IF($B12="","",$C12+$D12+$L12-$G12-$H12-$I12-$J12-$K12)</f>
      </c>
      <c r="O12" s="7">
        <f>IF($B12="","",$C12+$D12+$L12-$E12-$H12-$I12-$J12-$K12-IF(OR($AN12="CA",$AN12="NJ"),0,$G12))</f>
      </c>
      <c r="P12" s="7">
        <f>IF($B12="","",IF('Second Earner'!$C$18,0,ROUND(MAX(0,IF('Second Earner'!$C$13,SUMPRODUCT(($AH12&gt;INDEX('How This Works &amp; Sources'!$B$29:$J$36,0,IF('Second Earner'!$C$12="MFJ",1,IF('Second Earner'!$C$12="HoH",7,4))))*($AH12-INDEX('How This Works &amp; Sources'!$B$29:$J$36,0,IF('Second Earner'!$C$12="MFJ",1,IF('Second Earner'!$C$12="HoH",7,4))))*INDEX('How This Works &amp; Sources'!$B$29:$J$36,0,IF('Second Earner'!$C$12="MFJ",1,IF('Second Earner'!$C$12="HoH",7,4))+2)),SUMPRODUCT(($AH12&gt;INDEX('How This Works &amp; Sources'!$B$19:$J$26,0,IF('Second Earner'!$C$12="MFJ",1,IF('Second Earner'!$C$12="HoH",7,4))))*($AH12-INDEX('How This Works &amp; Sources'!$B$19:$J$26,0,IF('Second Earner'!$C$12="MFJ",1,IF('Second Earner'!$C$12="HoH",7,4))))*INDEX('How This Works &amp; Sources'!$B$19:$J$26,0,IF('Second Earner'!$C$12="MFJ",1,IF('Second Earner'!$C$12="HoH",7,4))+2)))/'Second Earner'!$C$8-$AO12/'Second Earner'!$C$8)+$AR12+IF('Second Earner'!$C$89="Aggregate",MAX(0,IF('Second Earner'!$C$13,SUMPRODUCT((($AH12+$D12)&gt;INDEX('How This Works &amp; Sources'!$B$29:$J$36,0,IF('Second Earner'!$C$12="MFJ",1,IF('Second Earner'!$C$12="HoH",7,4))))*(($AH12+$D12)-INDEX('How This Works &amp; Sources'!$B$29:$J$36,0,IF('Second Earner'!$C$12="MFJ",1,IF('Second Earner'!$C$12="HoH",7,4))))*INDEX('How This Works &amp; Sources'!$B$29:$J$36,0,IF('Second Earner'!$C$12="MFJ",1,IF('Second Earner'!$C$12="HoH",7,4))+2)),SUMPRODUCT((($AH12+$D12)&gt;INDEX('How This Works &amp; Sources'!$B$19:$J$26,0,IF('Second Earner'!$C$12="MFJ",1,IF('Second Earner'!$C$12="HoH",7,4))))*(($AH12+$D12)-INDEX('How This Works &amp; Sources'!$B$19:$J$26,0,IF('Second Earner'!$C$12="MFJ",1,IF('Second Earner'!$C$12="HoH",7,4))))*INDEX('How This Works &amp; Sources'!$B$19:$J$26,0,IF('Second Earner'!$C$12="MFJ",1,IF('Second Earner'!$C$12="HoH",7,4))+2)))-IF('Second Earner'!$C$13,SUMPRODUCT(($AH12&gt;INDEX('How This Works &amp; Sources'!$B$29:$J$36,0,IF('Second Earner'!$C$12="MFJ",1,IF('Second Earner'!$C$12="HoH",7,4))))*($AH12-INDEX('How This Works &amp; Sources'!$B$29:$J$36,0,IF('Second Earner'!$C$12="MFJ",1,IF('Second Earner'!$C$12="HoH",7,4))))*INDEX('How This Works &amp; Sources'!$B$29:$J$36,0,IF('Second Earner'!$C$12="MFJ",1,IF('Second Earner'!$C$12="HoH",7,4))+2)),SUMPRODUCT(($AH12&gt;INDEX('How This Works &amp; Sources'!$B$19:$J$26,0,IF('Second Earner'!$C$12="MFJ",1,IF('Second Earner'!$C$12="HoH",7,4))))*($AH12-INDEX('How This Works &amp; Sources'!$B$19:$J$26,0,IF('Second Earner'!$C$12="MFJ",1,IF('Second Earner'!$C$12="HoH",7,4))))*INDEX('How This Works &amp; Sources'!$B$19:$J$26,0,IF('Second Earner'!$C$12="MFJ",1,IF('Second Earner'!$C$12="HoH",7,4))+2)))),'How This Works &amp; Sources'!$C$10*$D12),2)))</f>
      </c>
      <c r="Q12" s="7">
        <f>IF($B12="","",ROUND('How This Works &amp; Sources'!$C$4*MIN($N12,MAX(0,'How This Works &amp; Sources'!$C$3-($AX12+$AB11-$AW12))),2))</f>
      </c>
      <c r="R12" s="7">
        <f>IF($B12="","",ROUND('How This Works &amp; Sources'!$C$5*$N12,2))</f>
      </c>
      <c r="S12" s="7">
        <f>IF($B12="","",ROUND('How This Works &amp; Sources'!$C$6*MAX(0,MIN($N12,$AG11+$N12-'How This Works &amp; Sources'!$C$7)),2))</f>
      </c>
      <c r="T12" s="7">
        <f>IF($B12="","",IF('Second Earner'!$C$26,0,IF($AN12="CA",ROUND(IF($AI12&lt;=IF(($AS12+$AT12)&gt;=2,VLOOKUP($AN12,StateTables!$A$6:$AB$56,10,FALSE),VLOOKUP($AN12,StateTables!$A$6:$AB$56,9,FALSE)),0,MAX(0,SUMPRODUCT(($AJ12&gt;INDEX('How This Works &amp; Sources'!$B$39:$J$48,0,IF($AU12="Married",4,IF($AU12="Head of household",7,1))))*($AJ12-INDEX('How This Works &amp; Sources'!$B$39:$J$48,0,IF($AU12="Married",4,IF($AU12="Head of household",7,1))))*INDEX('How This Works &amp; Sources'!$B$39:$J$48,0,IF($AU12="Married",4,IF($AU12="Head of household",7,1))+2))-VLOOKUP($AN12,StateTables!$A$6:$AB$56,11,FALSE)*$AS12)/'Second Earner'!$C$8)+'Second Earner'!$C$25+VLOOKUP($AN12,StateTables!$A$6:$AB$56,13,FALSE)*$D12,2),IF(VLOOKUP($AN12,StateTables!$A$6:$AB$56,4,FALSE)="None",0,IF(ISNUMBER(SEARCH("MANUAL",VLOOKUP($AN12,StateTables!$A$6:$AB$56,5,FALSE))),'Second Earner'!$C$28,ROUND(MAX(0,$BA12+$BB12)/'Second Earner'!$C$8+'Second Earner'!$C$25+$BC12,2))))))</f>
      </c>
      <c r="U12" s="7">
        <f>IF($B12="","",IF(VLOOKUP($AN12,StateTables!$A$6:$AB$56,24,FALSE)="flatq",IF(OR(MONTH($B12)=1,MONTH($B12)=4,MONTH($B12)=7,MONTH($B12)=10),VLOOKUP($AN12,StateTables!$A$6:$AB$56,25,FALSE),0),IF(VLOOKUP($AN12,StateTables!$A$6:$AB$56,24,FALSE)="dbl",MIN(ROUND(0.005*$N12,2),ROUND(0.6*52/'Second Earner'!$C$8,2)),IF(OR(VLOOKUP($AN12,StateTables!$A$6:$AB$56,15,FALSE)="",VLOOKUP($AN12,StateTables!$A$6:$AB$56,15,FALSE)=0),0,ROUND(VLOOKUP($AN12,StateTables!$A$6:$AB$56,15,FALSE)*IF(OR(VLOOKUP($AN12,StateTables!$A$6:$AB$56,16,FALSE)="",VLOOKUP($AN12,StateTables!$A$6:$AB$56,16,FALSE)=0),$N12,MIN($N12,MAX(0,VLOOKUP($AN12,StateTables!$A$6:$AB$56,16,FALSE)-($AX12+$AB11-$AW12)))),2))))+IF(VLOOKUP($AN12,StateTables!$A$6:$AB$56,27,FALSE)="flatq",IF(OR(MONTH($B12)=1,MONTH($B12)=4,MONTH($B12)=7,MONTH($B12)=10),VLOOKUP($AN12,StateTables!$A$6:$AB$56,28,FALSE),0),IF(VLOOKUP($AN12,StateTables!$A$6:$AB$56,27,FALSE)="dbl",MIN(ROUND(0.005*$N12,2),ROUND(0.6*52/'Second Earner'!$C$8,2)),IF(OR(VLOOKUP($AN12,StateTables!$A$6:$AB$56,18,FALSE)="",VLOOKUP($AN12,StateTables!$A$6:$AB$56,18,FALSE)=0),0,ROUND(VLOOKUP($AN12,StateTables!$A$6:$AB$56,18,FALSE)*IF(OR(VLOOKUP($AN12,StateTables!$A$6:$AB$56,19,FALSE)="",VLOOKUP($AN12,StateTables!$A$6:$AB$56,19,FALSE)=0),$N12,MIN($N12,MAX(0,VLOOKUP($AN12,StateTables!$A$6:$AB$56,19,FALSE)-($AX12+$AB11-$AW12)))),2)))))</f>
      </c>
      <c r="V12" s="7">
        <f>IF($B12="","",IF($AN12="NY",IF('Second Earner'!$C$78,ROUND(SUMPRODUCT((MAX(0,($O12-$D12)*'Second Earner'!$C$8-(IF($AU12="Married",5500,5000)+1000*$AS12))&gt;INDEX('How This Works &amp; Sources'!$B$184:$J$198,0,4))*(MAX(0,($O12-$D12)*'Second Earner'!$C$8-(IF($AU12="Married",5500,5000)+1000*$AS12))-INDEX('How This Works &amp; Sources'!$B$184:$J$198,0,4))*INDEX('How This Works &amp; Sources'!$B$184:$J$198,0,4+2))/'Second Earner'!$C$8+0.0425*$D12,2),0)+IF('Second Earner'!$C$79="Resident",ROUND(0.1675*$T12,2),IF('Second Earner'!$C$79="Nonresident",ROUND(0.005*MAX(0,($O12-$D12)-(IF($AU12="Married",7950,7400)+1000*$AS12)/'Second Earner'!$C$8),2),0)),IF($AN12="PA",IF('Second Earner'!$C$80="None",'Second Earner'!$C$27+ROUND('Second Earner'!$C$81*($C12+$D12),2),ROUND(IF('Second Earner'!$C$80="Resident",IF($B12&lt;DATE(2026,7,1),0.0374,0.03735),IF($B12&lt;DATE(2026,7,1),0.0343,0.03425))*($C12+$D12),2)),IF($BF12=0,ROUND('Second Earner'!$C$81*($C12+$D12),2),'Second Earner'!$C$27+ROUND('Second Earner'!$C$81*($C12+$D12),2)))))</f>
      </c>
      <c r="W12" s="7">
        <f>IF($B12="","",IF($BF12=0,0,$BP12))</f>
      </c>
      <c r="X12" s="7">
        <f>IF($B12="","",SUM($E12:$K12)+$P12+$Q12+$R12+$S12+$T12+$U12+$V12+$W12)</f>
      </c>
      <c r="Y12" s="22">
        <f>IF($B12="","",$C12+$D12-$X12)</f>
      </c>
      <c r="Z12" s="7">
        <f>IF($B12="","",$Z11+$C12+$D12)</f>
      </c>
      <c r="AA12" s="7">
        <f>IF($B12="","",$AA11+$Y12)</f>
      </c>
      <c r="AB12" s="7">
        <f>IF($B12="","",$AB11+MIN($N12,MAX(0,'How This Works &amp; Sources'!$C$3-($AX12+$AB11-$AW12))))</f>
      </c>
      <c r="AC12" s="7">
        <f>IF($B12="","",$AC11+$E12+$F12)</f>
      </c>
      <c r="AD12" s="3">
        <f>IF($B12="","",IF(AND($AB11&lt;'How This Works &amp; Sources'!$C$3,$AB12&gt;='How This Works &amp; Sources'!$C$3),"★ Social Security maxed on this check — from the next check your net rises by about $"&amp;TEXT(ROUND('How This Works &amp; Sources'!$C$4*$N12,2),"#,##0.00")&amp;". ","")&amp;IF(AND($AC11&lt;'Second Earner'!$C$34,$AC12&gt;='Second Earner'!$C$34),"★ 401(k) reaches the $"&amp;TEXT('Second Earner'!$C$34,"#,##0")&amp;" cap on this check — deferrals stop and net pay rises. ","")&amp;IF(AND($AG11&lt;'How This Works &amp; Sources'!$C$7,$AG12&gt;='How This Works &amp; Sources'!$C$7),"★ Wages pass $200,000 — the 0.9% Additional Medicare Tax starts here. ","")&amp;IF(AND($BJ12&gt;0,$H12&gt;0,$BG11&lt;MIN($BJ12,'How This Works &amp; Sources'!$C$13),$BG11+$H12&gt;=MIN($BJ12,'How This Works &amp; Sources'!$C$13)),"★ Health FSA election is now fully deferred for the year. ",""))</f>
      </c>
      <c r="AE12" s="41" t="n"/>
      <c r="AF12" s="7">
        <f>IF(OR($B12="",$AE12=""),"",$AE12-$Y12)</f>
      </c>
      <c r="AG12" s="7">
        <f>IF($B12="","",$AG11+$N12)</f>
      </c>
      <c r="AH12" s="7">
        <f>IF($B12="","",MAX(0,($M12-$D12)*'Second Earner'!$C$8+$AP12-$AQ12-IF('Second Earner'!$C$13,0,IF('Second Earner'!$C$12="MFJ",'How This Works &amp; Sources'!$C$8,'How This Works &amp; Sources'!$C$9))))</f>
      </c>
      <c r="AI12" s="7">
        <f>IF($B12="","",$O12*'Second Earner'!$C$8)</f>
      </c>
      <c r="AJ12" s="7">
        <f>IF($B12="","",MAX(0,$AI12-VLOOKUP($AN12,StateTables!$A$6:$AB$56,12,FALSE)*$AT12-IF(($AS12+$AT12)&gt;=2,VLOOKUP($AN12,StateTables!$A$6:$AB$56,8,FALSE),VLOOKUP($AN12,StateTables!$A$6:$AB$56,7,FALSE))))</f>
      </c>
      <c r="AK12" s="7">
        <f>IF($B12="","",IFERROR(LOOKUP(2,1/(('Changes — Earner 2'!$C$6:$C$17="Salary change")*('Changes — Earner 2'!$B$6:$B$17&lt;=$B12)*('Changes — Earner 2'!$B$6:$B$17&lt;&gt;"")),'Changes — Earner 2'!$D$6:$D$17),IF('Second Earner'!$C$4="Annual salary",'Second Earner'!$C$5,'Second Earner'!$C$6)))</f>
      </c>
      <c r="AL12">
        <f>IF($B12="","",IFERROR(LOOKUP(2,1/(('Changes — Earner 2'!$C$6:$C$17="401(k) change")*('Changes — Earner 2'!$B$6:$B$17&lt;=$B12)*('Changes — Earner 2'!$B$6:$B$17&lt;&gt;"")),'Changes — Earner 2'!$D$6:$D$17),'Second Earner'!$C$30))</f>
      </c>
      <c r="AM12" s="7">
        <f>IF($B12="","",IFERROR(LOOKUP(2,1/(('Changes — Earner 2'!$C$6:$C$17="401(k) change")*('Changes — Earner 2'!$B$6:$B$17&lt;=$B12)*('Changes — Earner 2'!$B$6:$B$17&lt;&gt;"")),'Changes — Earner 2'!$E$6:$E$17),'Second Earner'!$D$31))</f>
      </c>
      <c r="AN12">
        <f>IF($B12="","",IFERROR(LOOKUP(2,1/(('Changes — Earner 2'!$C$6:$C$17="State move")*('Changes — Earner 2'!$B$6:$B$17&lt;=$B12)*('Changes — Earner 2'!$B$6:$B$17&lt;&gt;"")),'Changes — Earner 2'!$D$6:$D$17),'Second Earner'!$C$21))</f>
      </c>
      <c r="AO12" s="7">
        <f>IF($B12="","",IFERROR(LOOKUP(2,1/(('Changes — Earner 2'!$C$6:$C$17="W-4 change")*('Changes — Earner 2'!$B$6:$B$17&lt;=$B12)*('Changes — Earner 2'!$B$6:$B$17&lt;&gt;"")),'Changes — Earner 2'!$D$6:$D$17),'Second Earner'!$C$14))</f>
      </c>
      <c r="AP12" s="7">
        <f>IF($B12="","",IFERROR(LOOKUP(2,1/(('Changes — Earner 2'!$C$6:$C$17="W-4 change")*('Changes — Earner 2'!$B$6:$B$17&lt;=$B12)*('Changes — Earner 2'!$B$6:$B$17&lt;&gt;"")),'Changes — Earner 2'!$E$6:$E$17),'Second Earner'!$C$15))</f>
      </c>
      <c r="AQ12" s="7">
        <f>IF($B12="","",IFERROR(LOOKUP(2,1/(('Changes — Earner 2'!$C$6:$C$17="W-4 change")*('Changes — Earner 2'!$B$6:$B$17&lt;=$B12)*('Changes — Earner 2'!$B$6:$B$17&lt;&gt;"")),'Changes — Earner 2'!$F$6:$F$17),'Second Earner'!$C$16))</f>
      </c>
      <c r="AR12" s="7">
        <f>IF($B12="","",IFERROR(LOOKUP(2,1/(('Changes — Earner 2'!$C$6:$C$17="W-4 change")*('Changes — Earner 2'!$B$6:$B$17&lt;=$B12)*('Changes — Earner 2'!$B$6:$B$17&lt;&gt;"")),'Changes — Earner 2'!$G$6:$G$17),'Second Earner'!$C$17))</f>
      </c>
      <c r="AS12" s="6">
        <f>IF($B12="","",IFERROR(LOOKUP(2,1/((('Changes — Earner 2'!$C$6:$C$17="State move")+('Changes — Earner 2'!$C$6:$C$17="State cert change"))*('Changes — Earner 2'!$B$6:$B$17&lt;=$B12)*('Changes — Earner 2'!$B$6:$B$17&lt;&gt;"")),'Changes — Earner 2'!$F$6:$F$17),'Second Earner'!$C$23))</f>
      </c>
      <c r="AT12" s="6">
        <f>IF($B12="","",IFERROR(LOOKUP(2,1/((('Changes — Earner 2'!$C$6:$C$17="State move")+('Changes — Earner 2'!$C$6:$C$17="State cert change"))*('Changes — Earner 2'!$B$6:$B$17&lt;=$B12)*('Changes — Earner 2'!$B$6:$B$17&lt;&gt;"")),'Changes — Earner 2'!$G$6:$G$17),'Second Earner'!$C$24))</f>
      </c>
      <c r="AU12">
        <f>IF($B12="","",IFERROR(LOOKUP(2,1/(('Changes — Earner 2'!$C$6:$C$17="State move")*('Changes — Earner 2'!$B$6:$B$17&lt;=$B12)*('Changes — Earner 2'!$B$6:$B$17&lt;&gt;"")),'Changes — Earner 2'!$E$6:$E$17),'Second Earner'!$C$22))</f>
      </c>
      <c r="AV12" s="6">
        <f>IF($B12="","",1+COUNTIFS('Changes — Earner 2'!$C$6:$C$17,"Employer change",'Changes — Earner 2'!$B$6:$B$17,"&lt;="&amp;$B12,'Changes — Earner 2'!$B$6:$B$17,"&lt;&gt;"))</f>
      </c>
      <c r="AW12" s="7">
        <f>IF($B12="","",IF($AV12=1,'Second Earner'!$C$49,IF(IFERROR(MATCH(IFERROR(LOOKUP(2,1/(('Changes — Earner 2'!$C$6:$C$17="Employer change")*('Changes — Earner 2'!$B$6:$B$17&lt;=$B12)*('Changes — Earner 2'!$B$6:$B$17&lt;&gt;"")),'Changes — Earner 2'!$B$6:$B$17),""),$B$6:$B$68,1),1)&lt;=1,'Second Earner'!$C$49,INDEX($AB$6:$AB$68,MATCH(IFERROR(LOOKUP(2,1/(('Changes — Earner 2'!$C$6:$C$17="Employer change")*('Changes — Earner 2'!$B$6:$B$17&lt;=$B12)*('Changes — Earner 2'!$B$6:$B$17&lt;&gt;"")),'Changes — Earner 2'!$B$6:$B$17),""),$B$6:$B$68,1)-1))))</f>
      </c>
      <c r="AX12" s="7">
        <f>IF($B12="","",IF($AV12=1,'Second Earner'!$C$49,IFERROR(LOOKUP(2,1/(('Changes — Earner 2'!$C$6:$C$17="Employer change")*('Changes — Earner 2'!$B$6:$B$17&lt;=$B12)*('Changes — Earner 2'!$B$6:$B$17&lt;&gt;"")),'Changes — Earner 2'!$D$6:$D$17),0)))</f>
      </c>
      <c r="AY12" s="7">
        <f>IF($B12="","",($O12-$D12)*'Second Earner'!$C$8)</f>
      </c>
      <c r="AZ12" s="7">
        <f>IF($B12="","",IF($AN12="AL",MAX(0,$AY12-IF($AU12="Married",IF($AY12&lt;=25999,8500,MAX(5000,8500-175*CEILING(($AY12-25999)/500,1))),IF($AU12="Head of household",IF($AY12&lt;=25999,5200,MAX(2500,5200-135*CEILING(($AY12-25999)/500,1))),IF($AY12&lt;=25999,3000,MAX(2500,3000-25*CEILING(($AY12-25999)/500,1)))))-($P12-'How This Works &amp; Sources'!$C$10*$D12)*'Second Earner'!$C$8-IF(OR($AU12="Married",$AU12="Head of household"),3000,1500)-$AT12*IF($AY12&lt;=50000,1000,IF($AY12&lt;=100000,500,300))),IF($AN12="AR",IF(MAX(0,$AY12-2470)&lt;97701,INT(MAX(0,$AY12-2470)/100)*100+50,MAX(0,$AY12-2470)),IF($AN12="DE",MAX(0,$AI12-3250),IF($AN12="HI",MAX(0,$AI12-1144*$AS12-4350),IF($AN12="KS",MAX(0,$AI12-(9160*IF($AU12="Married",2,1)+2320*$AT12+IF($AU12="Head of household",2320,0))),IF($AN12="MD",MAX(0,$AI12-3400-3200*$AS12),IF($AN12="MN",MAX(0,$AY12-5300*$AS12),IF($AN12="MO",MAX(0,$AI12-IF($AU12="Head of household",24150,IF($AU12="Married",IF('Second Earner'!$C$83,16100,32200),16100))),IF($AN12="MT",$AY12,IF($AN12="ND",($C12+$L12)*'Second Earner'!$C$8,IF($AN12="NE",MAX(0,$AY12-2440*$AS12),IF($AN12="NJ",MAX(0,$AY12-1000*$AS12),IF($AN12="NY",MAX(0,$AY12-(IF($AU12="Married",7950,7400)+1000*$AS12)),IF($AN12="OH",MAX(0,$AY12-650*$AS12),IF($AN12="OK",MAX(0,$AY12-1000*$AS12),IF($AN12="RI",MAX(0,$AI12-1000*$AS12),IF($AN12="SC",MAX(0,$AI12-5000*$AS12-IF($AS12=0,0,MIN(0.1*$AI12,7500))),IF($AN12="VA",MAX(0,$AI12-IF($AU12="Married",17500,8750)-930*$AS12-800*$AT12),IF($AN12="VT",MAX(0,$AI12-5400*$AS12),IF($AN12="WI",MAX(0,$AI12-MAX(0,IF($AU12="Married",9461-0.2*MAX(0,$AI12-25727),6702-0.12*MAX(0,$AI12-17780)))-400*$AS12),IF($AN12="WV",MAX(0,$AI12-2000*$AS12),$AI12))))))))))))))))))))))</f>
      </c>
      <c r="BA12" s="7">
        <f>IF($B12="","",IF($BW12&lt;&gt;"",$BW12,IF($BX12&lt;&gt;"",$BX12,IF($BY12&lt;&gt;"",$BY12,0))))</f>
      </c>
      <c r="BB12" s="7">
        <f>IF($B12="","",IF($AN12="AR",-29*$AS12,IF($AN12="DE",-110*$AS12,IF($AN12="MD",$AZ12*'Second Earner'!$C$74,IF($AN12="AZ",'Second Earner'!$C$82*($M12-$D12)*'Second Earner'!$C$8,IF($AN12="CO",0.044*MAX(0,$AY12-IF($AU12="Married",10000,5000)),IF($AN12="IA",MAX(0,0.038*MAX(0,$AY12-IF($AU12="Head of household",19500,IF($AU12="Married",26000,13000)))-40*$AS12),IF($AN12="ID",0.053*MAX(0,$AY12-IF($AU12="Married",32000,16094)),IF($AN12="IL",0.0495*MAX(0,$AY12-(2925*$AS12+1000*$AT12)),IF($AN12="IN",(0.0295+'Second Earner'!$C$76)*MAX(0,$AY12-(1000*$AS12+1500*$AT12+3000*'Second Earner'!$C$86)),IF($AN12="KY",0.035*MAX(0,$AI12-3360),IF($AN12="LA",IF('Second Earner'!$C$84="0",0.0309*$AI12,0.0309*MAX(0,$AI12-IF('Second Earner'!$C$84="2",25750,12875))),IF($AN12="MA",0.05*MIN(MAX(0,$AY12-MIN(($BD11+$Q12+$R12+$S12),2000)-IF($AS12=0,0,IF($AS12=1,4400,1000*$AS12+3400))),1107750)+0.09*MAX(0,MAX(0,$AY12-MIN(($BD11+$Q12+$R12+$S12),2000)-IF($AS12=0,0,IF($AS12=1,4400,1000*$AS12+3400)))-1107750)-IF($AU12="Head of household",120,0)-110*'Second Earner'!$C$75,IF($AN12="MI",0.0425*MAX(0,$AY12-5900*$AS12),IF($AN12="MS",0.04*MAX(0,$AI12-IF($AU12="Head of household",3400,IF($AU12="Married",4600,2300))-'Second Earner'!$C$85-10000),IF($AN12="OR",IF(OR($AU12="Married",AND($AU12="Single",$AS12&gt;=3)),SUMPRODUCT((MAX(0,$AY12-MIN(($P12-'How This Works &amp; Sources'!$C$10*$D12)*'Second Earner'!$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Sources'!$B$211:$J$214,0,4))*(MAX(0,$AY12-MIN(($P12-'How This Works &amp; Sources'!$C$10*$D12)*'Second Earner'!$C$8,IF(OR($AU12="Married",AND($AU12="Single",$AS12&gt;=3)),IF($AY12&lt;250000,8750,IF($AY12&lt;260000,7000,IF($AY12&lt;270000,5250,IF($AY12&lt;280000,3500,IF($AY12&lt;290000,1750,0))))),IF($AY12&lt;125000,8750,IF($AY12&lt;130000,7000,IF($AY12&lt;135000,5250,IF($AY12&lt;140000,3500,IF($AY12&lt;145000,1750,0)))))))-IF(OR($AU12="Married",AND($AU12="Single",$AS12&gt;=3)),5820,2910))-INDEX('How This Works &amp; Sources'!$B$211:$J$214,0,4))*INDEX('How This Works &amp; Sources'!$B$211:$J$214,0,4+2)),SUMPRODUCT((MAX(0,$AY12-MIN(($P12-'How This Works &amp; Sources'!$C$10*$D12)*'Second Earner'!$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Sources'!$B$211:$J$214,0,1))*(MAX(0,$AY12-MIN(($P12-'How This Works &amp; Sources'!$C$10*$D12)*'Second Earner'!$C$8,IF(OR($AU12="Married",AND($AU12="Single",$AS12&gt;=3)),IF($AY12&lt;250000,8750,IF($AY12&lt;260000,7000,IF($AY12&lt;270000,5250,IF($AY12&lt;280000,3500,IF($AY12&lt;290000,1750,0))))),IF($AY12&lt;125000,8750,IF($AY12&lt;130000,7000,IF($AY12&lt;135000,5250,IF($AY12&lt;140000,3500,IF($AY12&lt;145000,1750,0)))))))-IF(OR($AU12="Married",AND($AU12="Single",$AS12&gt;=3)),5820,2910))-INDEX('How This Works &amp; Sources'!$B$211:$J$214,0,1))*INDEX('How This Works &amp; Sources'!$B$211:$J$214,0,1+2)))+263-263*IF(IF($AU12="Married",$AY12&gt;200000,$AY12&gt;100000),0,$AS12),IF($AN12="PA",0.0307*(($O12+$E12+$G12)*'Second Earner'!$C$8),IF($AN12="NY",IF($AU12="Married",IF($AZ12&gt;=2155350,0,IF($AZ12&gt;=1077550,0.48,IF($AZ12&gt;=373200,1.21,IF($AZ12&gt;=323200,0.21,IF($AZ12&gt;=211550,-0.19,IF($AZ12&gt;=157650,-2.8,IF($AZ12&gt;=107650,-0.8,IF($AZ12&gt;=96800,0.05,IF($AZ12&gt;=80650,-0.1,IF($AZ12&gt;=13900,0.4,IF($AZ12&gt;=11700,-0.3,IF($AZ12&gt;=8500,0.5,0)))))))))))),IF($AZ12&gt;=1077550,0,IF($AZ12&gt;=265400,4.29,IF($AZ12&gt;=215400,2.29,IF($AZ12&gt;=157650,2.29,IF($AZ12&gt;=107650,0.29,IF($AZ12&gt;=96800,0.05,IF($AZ12&gt;=80650,-0.1,IF($AZ12&gt;=13900,0.4,IF($AZ12&gt;=11700,-0.3,IF($AZ12&gt;=8500,0.5,0))))))))))),0))))))))))))))))))</f>
      </c>
      <c r="BC12" s="7">
        <f>IF($B12="","",IF($AN12="AL",0.05*$D12,IF($AN12="AR",0.039*$D12,IF($AN12="ID",0.053*$D12,IF($AN12="IN",(0.0295+'Second Earner'!$C$76)*$D12,IF($AN12="KS",0.05*$D12,IF($AN12="MA",0.09*MIN($D12,MAX(0,MAX(0,$AY12-MIN(($BD11+$Q12+$R12+$S12),2000)-IF($AS12=0,0,IF($AS12=1,4400,1000*$AS12+3400)))+$D12-1107750))+0.05*($D12-MIN($D12,MAX(0,MAX(0,$AY12-MIN(($BD11+$Q12+$R12+$S12),2000)-IF($AS12=0,0,IF($AS12=1,4400,1000*$AS12+3400)))+$D12-1107750))),IF($AN12="MD",(0.065+'Second Earner'!$C$74)*$D12,IF($AN12="MI",0.0425*$D12,IF($AN12="MN",0.0625*$D12,IF($AN12="MO",0.047*$D12,IF($AN12="MT",0.05*$D12,IF($AN12="ND",0.015*$D12,IF($AN12="NE",0.035*$D12,IF($AN12="NJ",IF('Second Earner'!$C$77="B",SUMPRODUCT(($D12*'Second Earner'!$C$8&gt;INDEX('How This Works &amp; Sources'!$B$155:$J$162,0,4))*($D12*'Second Earner'!$C$8-INDEX('How This Works &amp; Sources'!$B$155:$J$162,0,4))*INDEX('How This Works &amp; Sources'!$B$155:$J$162,0,4+2)),IF('Second Earner'!$C$77="C",SUMPRODUCT(($D12*'Second Earner'!$C$8&gt;INDEX('How This Works &amp; Sources'!$B$155:$J$162,0,7))*($D12*'Second Earner'!$C$8-INDEX('How This Works &amp; Sources'!$B$155:$J$162,0,7))*INDEX('How This Works &amp; Sources'!$B$155:$J$162,0,7+2)),IF('Second Earner'!$C$77="D",SUMPRODUCT(($D12*'Second Earner'!$C$8&gt;INDEX('How This Works &amp; Sources'!$B$167:$J$179,0,1))*($D12*'Second Earner'!$C$8-INDEX('How This Works &amp; Sources'!$B$167:$J$179,0,1))*INDEX('How This Works &amp; Sources'!$B$167:$J$179,0,1+2)),IF('Second Earner'!$C$77="E",SUMPRODUCT(($D12*'Second Earner'!$C$8&gt;INDEX('How This Works &amp; Sources'!$B$167:$J$179,0,4))*($D12*'Second Earner'!$C$8-INDEX('How This Works &amp; Sources'!$B$167:$J$179,0,4))*INDEX('How This Works &amp; Sources'!$B$167:$J$179,0,4+2)),SUMPRODUCT(($D12*'Second Earner'!$C$8&gt;INDEX('How This Works &amp; Sources'!$B$155:$J$162,0,1))*($D12*'Second Earner'!$C$8-INDEX('How This Works &amp; Sources'!$B$155:$J$162,0,1))*INDEX('How This Works &amp; Sources'!$B$155:$J$162,0,1+2))))))/'Second Earner'!$C$8,IF($AN12="NY",0.117*$D12,IF($AN12="OH",0.0275*$D12,IF($AN12="OK",0.045*$D12,IF($AN12="OR",0.08*$D12,IF($AN12="WI",IF($AY12&lt;12760,0.0354,IF($AY12&lt;25520,0.0465,IF($AY12&lt;280950,0.053,0.0765)))*$D12,0))))))))))))))))))))</f>
      </c>
      <c r="BD12" s="7">
        <f>IF($B12="","",$BD11+$Q12+$R12+$S12)</f>
      </c>
      <c r="BE12" s="6">
        <f>IF($B12="",$BE11,$BE11+$BF12)</f>
      </c>
      <c r="BF12" s="6">
        <f>IF($B12="","",IF(AND(IF(YEAR(IF('Second Earner'!$C$7="Weekly",'Second Earner'!$C$9+7*(($BE11+1)-1),IF('Second Earner'!$C$7="Biweekly",'Second Earner'!$C$9+14*(($BE11+1)-1),IF('Second Earner'!$C$7="Semimonthly",DATE(YEAR('Second Earner'!$C$9),MONTH('Second Earner'!$C$9)+INT((($BE11+1)-1)/2),MIN(DAY('Second Earner'!$C$9),DAY(EOMONTH(DATE(YEAR('Second Earner'!$C$9),MONTH('Second Earner'!$C$9)+INT((($BE11+1)-1)/2),1),0))))+IF(MOD(($BE11+1)-1,2)=1,15,0),EDATE('Second Earner'!$C$9,($BE11+1)-1)))))&lt;&gt;'Second Earner'!$C$10,"",IF('Second Earner'!$C$7="Weekly",'Second Earner'!$C$9+7*(($BE11+1)-1),IF('Second Earner'!$C$7="Biweekly",'Second Earner'!$C$9+14*(($BE11+1)-1),IF('Second Earner'!$C$7="Semimonthly",DATE(YEAR('Second Earner'!$C$9),MONTH('Second Earner'!$C$9)+INT((($BE11+1)-1)/2),MIN(DAY('Second Earner'!$C$9),DAY(EOMONTH(DATE(YEAR('Second Earner'!$C$9),MONTH('Second Earner'!$C$9)+INT((($BE11+1)-1)/2),1),0))))+IF(MOD(($BE11+1)-1,2)=1,15,0),EDATE('Second Earner'!$C$9,($BE11+1)-1)))))&lt;&gt;"",$B12=IF(YEAR(IF('Second Earner'!$C$7="Weekly",'Second Earner'!$C$9+7*(($BE11+1)-1),IF('Second Earner'!$C$7="Biweekly",'Second Earner'!$C$9+14*(($BE11+1)-1),IF('Second Earner'!$C$7="Semimonthly",DATE(YEAR('Second Earner'!$C$9),MONTH('Second Earner'!$C$9)+INT((($BE11+1)-1)/2),MIN(DAY('Second Earner'!$C$9),DAY(EOMONTH(DATE(YEAR('Second Earner'!$C$9),MONTH('Second Earner'!$C$9)+INT((($BE11+1)-1)/2),1),0))))+IF(MOD(($BE11+1)-1,2)=1,15,0),EDATE('Second Earner'!$C$9,($BE11+1)-1)))))&lt;&gt;'Second Earner'!$C$10,"",IF('Second Earner'!$C$7="Weekly",'Second Earner'!$C$9+7*(($BE11+1)-1),IF('Second Earner'!$C$7="Biweekly",'Second Earner'!$C$9+14*(($BE11+1)-1),IF('Second Earner'!$C$7="Semimonthly",DATE(YEAR('Second Earner'!$C$9),MONTH('Second Earner'!$C$9)+INT((($BE11+1)-1)/2),MIN(DAY('Second Earner'!$C$9),DAY(EOMONTH(DATE(YEAR('Second Earner'!$C$9),MONTH('Second Earner'!$C$9)+INT((($BE11+1)-1)/2),1),0))))+IF(MOD(($BE11+1)-1,2)=1,15,0),EDATE('Second Earner'!$C$9,($BE11+1)-1)))))),1,0))</f>
      </c>
      <c r="BG12" s="7">
        <f>IF($B12="","",$BG11+$H12)</f>
      </c>
      <c r="BH12" s="7">
        <f>IF($B12="","",$BH11+$I12)</f>
      </c>
      <c r="BI12" s="7">
        <f>IF($B12="","",$BI11+$G12)</f>
      </c>
      <c r="BJ12" s="7">
        <f>IF($B12="","",IFERROR(LOOKUP(2,1/(((('Changes — Earner 2'!$C$6:$C$17="Deduction start"))*('Changes — Earner 2'!$D$6:$D$17="Health FSA"))*('Changes — Earner 2'!$B$6:$B$17&lt;=$B12)*('Changes — Earner 2'!$B$6:$B$17&lt;&gt;"")),'Changes — Earner 2'!$E$6:$E$17),'Second Earner'!$D$38))</f>
      </c>
      <c r="BK12" s="7">
        <f>IF($B12="","",IFERROR(LOOKUP(2,1/(((('Changes — Earner 2'!$C$6:$C$17="Deduction start"))*('Changes — Earner 2'!$D$6:$D$17="Dependent-care FSA"))*('Changes — Earner 2'!$B$6:$B$17&lt;=$B12)*('Changes — Earner 2'!$B$6:$B$17&lt;&gt;"")),'Changes — Earner 2'!$E$6:$E$17),'Second Earner'!$D$39))</f>
      </c>
      <c r="BL12" s="7">
        <f>IF($B12="","",IFERROR(LOOKUP(2,1/(((('Changes — Earner 2'!$C$6:$C$17="Deduction start")+('Changes — Earner 2'!$C$6:$C$17="Deduction stop"))*('Changes — Earner 2'!$D$6:$D$17="HSA"))*('Changes — Earner 2'!$B$6:$B$17&lt;=$B12)*('Changes — Earner 2'!$B$6:$B$17&lt;&gt;"")),'Changes — Earner 2'!$I$6:$I$17),'Second Earner'!$D$35))</f>
      </c>
      <c r="BM12" s="7">
        <f>IF($B12="","",IFERROR(LOOKUP(2,1/(((('Changes — Earner 2'!$C$6:$C$17="Deduction start")+('Changes — Earner 2'!$C$6:$C$17="Deduction stop"))*('Changes — Earner 2'!$D$6:$D$17="Premiums"))*('Changes — Earner 2'!$B$6:$B$17&lt;=$B12)*('Changes — Earner 2'!$B$6:$B$17&lt;&gt;"")),'Changes — Earner 2'!$I$6:$I$17),'Second Earner'!$D$40+'Second Earner'!$D$41+'Second Earner'!$D$42))</f>
      </c>
      <c r="BN12" s="7">
        <f>IF($B12="","",IFERROR(LOOKUP(2,1/(((('Changes — Earner 2'!$C$6:$C$17="Deduction start")+('Changes — Earner 2'!$C$6:$C$17="Deduction stop"))*('Changes — Earner 2'!$D$6:$D$17="Commuter"))*('Changes — Earner 2'!$B$6:$B$17&lt;=$B12)*('Changes — Earner 2'!$B$6:$B$17&lt;&gt;"")),'Changes — Earner 2'!$I$6:$I$17),'Second Earner'!$D$43))</f>
      </c>
      <c r="BO12" s="7">
        <f>IF($B12="","",IFERROR(LOOKUP(2,1/(((('Changes — Earner 2'!$C$6:$C$17="Deduction start")+('Changes — Earner 2'!$C$6:$C$17="Deduction stop"))*('Changes — Earner 2'!$D$6:$D$17="Other pre-tax"))*('Changes — Earner 2'!$B$6:$B$17&lt;=$B12)*('Changes — Earner 2'!$B$6:$B$17&lt;&gt;"")),'Changes — Earner 2'!$I$6:$I$17),'Second Earner'!$D$44))</f>
      </c>
      <c r="BP12" s="7">
        <f>IF($B12="","",IFERROR(LOOKUP(2,1/(((('Changes — Earner 2'!$C$6:$C$17="Deduction start")+('Changes — Earner 2'!$C$6:$C$17="Deduction stop"))*('Changes — Earner 2'!$D$6:$D$17="Other post-tax"))*('Changes — Earner 2'!$B$6:$B$17&lt;=$B12)*('Changes — Earner 2'!$B$6:$B$17&lt;&gt;"")),'Changes — Earner 2'!$I$6:$I$17),'Second Earner'!$D$45))</f>
      </c>
      <c r="BQ12" s="6">
        <f>IF($B12="","",IFERROR(LOOKUP(2,1/(((('Changes — Earner 2'!$C$6:$C$17="Deduction start")+('Changes — Earner 2'!$C$6:$C$17="Deduction stop"))*('Changes — Earner 2'!$D$6:$D$17="Health FSA"))*('Changes — Earner 2'!$B$6:$B$17&lt;=$B12)*('Changes — Earner 2'!$B$6:$B$17&lt;&gt;"")),'Changes — Earner 2'!$J$6:$J$17),0))</f>
      </c>
      <c r="BR12" s="6">
        <f>IF($B12="","",IFERROR(LOOKUP(2,1/(((('Changes — Earner 2'!$C$6:$C$17="Deduction start")+('Changes — Earner 2'!$C$6:$C$17="Deduction stop"))*('Changes — Earner 2'!$D$6:$D$17="Dependent-care FSA"))*('Changes — Earner 2'!$B$6:$B$17&lt;=$B12)*('Changes — Earner 2'!$B$6:$B$17&lt;&gt;"")),'Changes — Earner 2'!$J$6:$J$17),0))</f>
      </c>
      <c r="BS12" s="6">
        <f>IF($B12="","",IF(SUMPRODUCT(('Changes — Earner 2'!$C$6:$C$17="Deduction start")*('Changes — Earner 2'!$B$6:$B$17&lt;=$B12)*('Changes — Earner 2'!$B$6:$B$17&lt;&gt;"")*('Changes — Earner 2'!$D$6:$D$17="Health FSA"))&gt;0,1,0))</f>
      </c>
      <c r="BT12" s="6">
        <f>IF($B12="","",IF(SUMPRODUCT(('Changes — Earner 2'!$C$6:$C$17="Deduction start")*('Changes — Earner 2'!$B$6:$B$17&lt;=$B12)*('Changes — Earner 2'!$B$6:$B$17&lt;&gt;"")*('Changes — Earner 2'!$D$6:$D$17="Dependent-care FSA"))&gt;0,1,0))</f>
      </c>
      <c r="BU12" s="24">
        <f>IF($B12="","",IF('Second Earner'!$C$13,SUMPRODUCT(($AH12&gt;=INDEX('How This Works &amp; Sources'!$B$29:$J$36,0,IF('Second Earner'!$C$12="MFJ",1,IF('Second Earner'!$C$12="HoH",7,4))))*INDEX('How This Works &amp; Sources'!$B$29:$J$36,0,IF('Second Earner'!$C$12="MFJ",1,IF('Second Earner'!$C$12="HoH",7,4))+2)),SUMPRODUCT(($AH12&gt;=INDEX('How This Works &amp; Sources'!$B$19:$J$26,0,IF('Second Earner'!$C$12="MFJ",1,IF('Second Earner'!$C$12="HoH",7,4))))*INDEX('How This Works &amp; Sources'!$B$19:$J$26,0,IF('Second Earner'!$C$12="MFJ",1,IF('Second Earner'!$C$12="HoH",7,4))+2))))</f>
      </c>
      <c r="BV12" s="24">
        <f>IF($B12="","",IF($BZ12&lt;&gt;"",$BZ12,IF($CA12&lt;&gt;"",$CA12,IF($CB12&lt;&gt;"",$CB12,IF($CC12&lt;&gt;"",$CC12,0)))))</f>
      </c>
      <c r="BW12" s="7">
        <f>IF($B12="","",IF($AN12="AR",SUMPRODUCT(($AZ12&gt;INDEX('How This Works &amp; Sources'!$B$82:$J$86,0,7))*($AZ12-INDEX('How This Works &amp; Sources'!$B$82:$J$86,0,7))*INDEX('How This Works &amp; Sources'!$B$82:$J$86,0,7+2)),IF($AN12="MD",IF(OR($AU12="Married",$AU12="Head of household"),SUMPRODUCT(($AZ12&gt;INDEX('How This Works &amp; Sources'!$B$114:$J$120,0,1))*($AZ12-INDEX('How This Works &amp; Sources'!$B$114:$J$120,0,1))*INDEX('How This Works &amp; Sources'!$B$114:$J$120,0,1+2)),SUMPRODUCT(($AZ12&gt;INDEX('How This Works &amp; Sources'!$B$103:$J$109,0,7))*($AZ12-INDEX('How This Works &amp; Sources'!$B$103:$J$109,0,7))*INDEX('How This Works &amp; Sources'!$B$103:$J$109,0,7+2))),IF($AN12="MT",IF($AU12="Head of household",SUMPRODUCT(($AZ12&gt;INDEX('How This Works &amp; Sources'!$B$137:$J$139,0,1))*($AZ12-INDEX('How This Works &amp; Sources'!$B$137:$J$139,0,1))*INDEX('How This Works &amp; Sources'!$B$137:$J$139,0,1+2)),IF($AU12="Married",SUMPRODUCT(($AZ12&gt;INDEX('How This Works &amp; Sources'!$B$125:$J$132,0,7))*($AZ12-INDEX('How This Works &amp; Sources'!$B$125:$J$132,0,7))*INDEX('How This Works &amp; Sources'!$B$125:$J$132,0,7+2)),SUMPRODUCT(($AZ12&gt;INDEX('How This Works &amp; Sources'!$B$125:$J$132,0,4))*($AZ12-INDEX('How This Works &amp; Sources'!$B$125:$J$132,0,4))*INDEX('How This Works &amp; Sources'!$B$125:$J$132,0,4+2)))),IF($AN12="ND",IF($AU12="Head of household",SUMPRODUCT(($AZ12&gt;INDEX('How This Works &amp; Sources'!$B$144:$J$150,0,1))*($AZ12-INDEX('How This Works &amp; Sources'!$B$144:$J$150,0,1))*INDEX('How This Works &amp; Sources'!$B$144:$J$150,0,1+2)),IF($AU12="Married",SUMPRODUCT(($AZ12&gt;INDEX('How This Works &amp; Sources'!$B$137:$J$139,0,7))*($AZ12-INDEX('How This Works &amp; Sources'!$B$137:$J$139,0,7))*INDEX('How This Works &amp; Sources'!$B$137:$J$139,0,7+2)),SUMPRODUCT(($AZ12&gt;INDEX('How This Works &amp; Sources'!$B$137:$J$139,0,4))*($AZ12-INDEX('How This Works &amp; Sources'!$B$137:$J$139,0,4))*INDEX('How This Works &amp; Sources'!$B$137:$J$139,0,4+2)))),IF($AN12="NJ",IF('Second Earner'!$C$77="B",SUMPRODUCT(($AZ12&gt;INDEX('How This Works &amp; Sources'!$B$155:$J$162,0,4))*($AZ12-INDEX('How This Works &amp; Sources'!$B$155:$J$162,0,4))*INDEX('How This Works &amp; Sources'!$B$155:$J$162,0,4+2)),IF('Second Earner'!$C$77="C",SUMPRODUCT(($AZ12&gt;INDEX('How This Works &amp; Sources'!$B$155:$J$162,0,7))*($AZ12-INDEX('How This Works &amp; Sources'!$B$155:$J$162,0,7))*INDEX('How This Works &amp; Sources'!$B$155:$J$162,0,7+2)),IF('Second Earner'!$C$77="D",SUMPRODUCT(($AZ12&gt;INDEX('How This Works &amp; Sources'!$B$167:$J$179,0,1))*($AZ12-INDEX('How This Works &amp; Sources'!$B$167:$J$179,0,1))*INDEX('How This Works &amp; Sources'!$B$167:$J$179,0,1+2)),IF('Second Earner'!$C$77="E",SUMPRODUCT(($AZ12&gt;INDEX('How This Works &amp; Sources'!$B$167:$J$179,0,4))*($AZ12-INDEX('How This Works &amp; Sources'!$B$167:$J$179,0,4))*INDEX('How This Works &amp; Sources'!$B$167:$J$179,0,4+2)),SUMPRODUCT(($AZ12&gt;INDEX('How This Works &amp; Sources'!$B$155:$J$162,0,1))*($AZ12-INDEX('How This Works &amp; Sources'!$B$155:$J$162,0,1))*INDEX('How This Works &amp; Sources'!$B$155:$J$162,0,1+2)))))),IF($AN12="NY",IF($AU12="Married",IF($AZ12&gt;=2155350,$AZ12*IF($AZ12&gt;25000000,0.117,IF($AZ12&gt;5000000,0.111,0.1045)),SUMPRODUCT(($AZ12&gt;INDEX('How This Works &amp; Sources'!$B$184:$J$198,0,1))*($AZ12-INDEX('How This Works &amp; Sources'!$B$184:$J$198,0,1))*INDEX('How This Works &amp; Sources'!$B$184:$J$198,0,1+2))),IF($AZ12&gt;=1077550,$AZ12*IF($AZ12&gt;25000000,0.117,IF($AZ12&gt;5000000,0.111,0.1045)),SUMPRODUCT(($AZ12&gt;INDEX('How This Works &amp; Sources'!$B$167:$J$179,0,7))*($AZ12-INDEX('How This Works &amp; Sources'!$B$167:$J$179,0,7))*INDEX('How This Works &amp; Sources'!$B$167:$J$179,0,7+2)))),"")))))))</f>
      </c>
      <c r="BX12" s="7">
        <f>IF($B12="","",IF($AN12="AL",IF(OR($AU12="Married",$AU12="Head of household"),SUMPRODUCT(($AZ12&gt;INDEX('How This Works &amp; Sources'!$B$82:$J$86,0,4))*($AZ12-INDEX('How This Works &amp; Sources'!$B$82:$J$86,0,4))*INDEX('How This Works &amp; Sources'!$B$82:$J$86,0,4+2)),SUMPRODUCT(($AZ12&gt;INDEX('How This Works &amp; Sources'!$B$82:$J$86,0,1))*($AZ12-INDEX('How This Works &amp; Sources'!$B$82:$J$86,0,1))*INDEX('How This Works &amp; Sources'!$B$82:$J$86,0,1+2))),IF($AN12="KS",IF($AU12="Married",SUMPRODUCT(($AZ12&gt;INDEX('How This Works &amp; Sources'!$B$103:$J$109,0,4))*($AZ12-INDEX('How This Works &amp; Sources'!$B$103:$J$109,0,4))*INDEX('How This Works &amp; Sources'!$B$103:$J$109,0,4+2)),SUMPRODUCT(($AZ12&gt;INDEX('How This Works &amp; Sources'!$B$103:$J$109,0,1))*($AZ12-INDEX('How This Works &amp; Sources'!$B$103:$J$109,0,1))*INDEX('How This Works &amp; Sources'!$B$103:$J$109,0,1+2))),IF($AN12="MN",IF($AU12="Married",SUMPRODUCT(($AZ12&gt;INDEX('How This Works &amp; Sources'!$B$114:$J$120,0,7))*($AZ12-INDEX('How This Works &amp; Sources'!$B$114:$J$120,0,7))*INDEX('How This Works &amp; Sources'!$B$114:$J$120,0,7+2)),SUMPRODUCT(($AZ12&gt;INDEX('How This Works &amp; Sources'!$B$114:$J$120,0,4))*($AZ12-INDEX('How This Works &amp; Sources'!$B$114:$J$120,0,4))*INDEX('How This Works &amp; Sources'!$B$114:$J$120,0,4+2))),IF($AN12="MO",SUMPRODUCT(($AZ12&gt;INDEX('How This Works &amp; Sources'!$B$125:$J$132,0,1))*($AZ12-INDEX('How This Works &amp; Sources'!$B$125:$J$132,0,1))*INDEX('How This Works &amp; Sources'!$B$125:$J$132,0,1+2)),IF($AN12="NE",MAX(IF($AU12="Married",SUMPRODUCT(($AZ12&gt;INDEX('How This Works &amp; Sources'!$B$144:$J$150,0,7))*($AZ12-INDEX('How This Works &amp; Sources'!$B$144:$J$150,0,7))*INDEX('How This Works &amp; Sources'!$B$144:$J$150,0,7+2)),SUMPRODUCT(($AZ12&gt;INDEX('How This Works &amp; Sources'!$B$144:$J$150,0,4))*($AZ12-INDEX('How This Works &amp; Sources'!$B$144:$J$150,0,4))*INDEX('How This Works &amp; Sources'!$B$144:$J$150,0,4+2))),0.015*$AZ12),IF($AN12="OH",IF($B12&gt;=DATE(2026,8,1),SUMPRODUCT(($AZ12&gt;INDEX('How This Works &amp; Sources'!$B$203:$J$206,0,1))*($AZ12-INDEX('How This Works &amp; Sources'!$B$203:$J$206,0,1))*INDEX('How This Works &amp; Sources'!$B$203:$J$206,0,1+2)),SUMPRODUCT(($AZ12&gt;INDEX('How This Works &amp; Sources'!$B$184:$J$198,0,7))*($AZ12-INDEX('How This Works &amp; Sources'!$B$184:$J$198,0,7))*INDEX('How This Works &amp; Sources'!$B$184:$J$198,0,7+2))),IF($AN12="OK",IF($AU12="Married",SUMPRODUCT(($AZ12&gt;INDEX('How This Works &amp; Sources'!$B$203:$J$206,0,7))*($AZ12-INDEX('How This Works &amp; Sources'!$B$203:$J$206,0,7))*INDEX('How This Works &amp; Sources'!$B$203:$J$206,0,7+2)),SUMPRODUCT(($AZ12&gt;INDEX('How This Works &amp; Sources'!$B$203:$J$206,0,4))*($AZ12-INDEX('How This Works &amp; Sources'!$B$203:$J$206,0,4))*INDEX('How This Works &amp; Sources'!$B$203:$J$206,0,4+2))),IF($AN12="VT",IF($AU12="Married",SUMPRODUCT(($AZ12&gt;INDEX('How This Works &amp; Sources'!$B$228:$J$232,0,1))*($AZ12-INDEX('How This Works &amp; Sources'!$B$228:$J$232,0,1))*INDEX('How This Works &amp; Sources'!$B$228:$J$232,0,1+2)),SUMPRODUCT(($AZ12&gt;INDEX('How This Works &amp; Sources'!$B$219:$J$223,0,7))*($AZ12-INDEX('How This Works &amp; Sources'!$B$219:$J$223,0,7))*INDEX('How This Works &amp; Sources'!$B$219:$J$223,0,7+2))),IF($AN12="WV",IF($AU12="Married",SUMPRODUCT(($AZ12&gt;INDEX('How This Works &amp; Sources'!$B$237:$J$241,0,7))*($AZ12-INDEX('How This Works &amp; Sources'!$B$237:$J$241,0,7))*INDEX('How This Works &amp; Sources'!$B$237:$J$241,0,7+2)),SUMPRODUCT(($AZ12&gt;INDEX('How This Works &amp; Sources'!$B$228:$J$232,0,7))*($AZ12-INDEX('How This Works &amp; Sources'!$B$228:$J$232,0,7))*INDEX('How This Works &amp; Sources'!$B$228:$J$232,0,7+2))),""))))))))))</f>
      </c>
      <c r="BY12" s="7">
        <f>IF($B12="","",IF($AN12="DE",SUMPRODUCT(($AZ12&gt;INDEX('How This Works &amp; Sources'!$B$91:$J$98,0,1))*($AZ12-INDEX('How This Works &amp; Sources'!$B$91:$J$98,0,1))*INDEX('How This Works &amp; Sources'!$B$91:$J$98,0,1+2)),IF($AN12="HI",IF($AU12="Married",SUMPRODUCT(($AZ12&gt;INDEX('How This Works &amp; Sources'!$B$91:$J$98,0,7))*($AZ12-INDEX('How This Works &amp; Sources'!$B$91:$J$98,0,7))*INDEX('How This Works &amp; Sources'!$B$91:$J$98,0,7+2)),SUMPRODUCT(($AZ12&gt;INDEX('How This Works &amp; Sources'!$B$91:$J$98,0,4))*($AZ12-INDEX('How This Works &amp; Sources'!$B$91:$J$98,0,4))*INDEX('How This Works &amp; Sources'!$B$91:$J$98,0,4+2))),IF($AN12="RI",SUMPRODUCT(($AZ12&gt;INDEX('How This Works &amp; Sources'!$B$211:$J$214,0,7))*($AZ12-INDEX('How This Works &amp; Sources'!$B$211:$J$214,0,7))*INDEX('How This Works &amp; Sources'!$B$211:$J$214,0,7+2)),IF($AN12="SC",SUMPRODUCT(($AZ12&gt;INDEX('How This Works &amp; Sources'!$B$219:$J$223,0,1))*($AZ12-INDEX('How This Works &amp; Sources'!$B$219:$J$223,0,1))*INDEX('How This Works &amp; Sources'!$B$219:$J$223,0,1+2)),IF($AN12="VA",SUMPRODUCT(($AZ12&gt;INDEX('How This Works &amp; Sources'!$B$219:$J$223,0,4))*($AZ12-INDEX('How This Works &amp; Sources'!$B$219:$J$223,0,4))*INDEX('How This Works &amp; Sources'!$B$219:$J$223,0,4+2)),IF($AN12="WI",SUMPRODUCT(($AZ12&gt;INDEX('How This Works &amp; Sources'!$B$228:$J$232,0,4))*($AZ12-INDEX('How This Works &amp; Sources'!$B$228:$J$232,0,4))*INDEX('How This Works &amp; Sources'!$B$228:$J$232,0,4+2)),"")))))))</f>
      </c>
      <c r="BZ12" s="24">
        <f>IF($B12="","",IF($AN12="KS",IF($AU12="Married",SUMPRODUCT(($AZ12&gt;=INDEX('How This Works &amp; Sources'!$B$103:$J$109,0,4))*INDEX('How This Works &amp; Sources'!$B$103:$J$109,0,4+2)),SUMPRODUCT(($AZ12&gt;=INDEX('How This Works &amp; Sources'!$B$103:$J$109,0,1))*INDEX('How This Works &amp; Sources'!$B$103:$J$109,0,1+2))),IF($AN12="MT",IF($AU12="Head of household",SUMPRODUCT(($AZ12&gt;=INDEX('How This Works &amp; Sources'!$B$137:$J$139,0,1))*INDEX('How This Works &amp; Sources'!$B$137:$J$139,0,1+2)),IF($AU12="Married",SUMPRODUCT(($AZ12&gt;=INDEX('How This Works &amp; Sources'!$B$125:$J$132,0,7))*INDEX('How This Works &amp; Sources'!$B$125:$J$132,0,7+2)),SUMPRODUCT(($AZ12&gt;=INDEX('How This Works &amp; Sources'!$B$125:$J$132,0,4))*INDEX('How This Works &amp; Sources'!$B$125:$J$132,0,4+2)))),IF($AN12="OR",IF(OR($AU12="Married",AND($AU12="Single",$AS12&gt;=3)),SUMPRODUCT((MAX(0,$AY12-MIN(($P12-'How This Works &amp; Sources'!$C$10*$D12)*'Second Earner'!$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Sources'!$B$211:$J$214,0,4))*INDEX('How This Works &amp; Sources'!$B$211:$J$214,0,4+2)),SUMPRODUCT((MAX(0,$AY12-MIN(($P12-'How This Works &amp; Sources'!$C$10*$D12)*'Second Earner'!$C$8,IF(OR($AU12="Married",AND($AU12="Single",$AS12&gt;=3)),IF($AY12&lt;250000,8750,IF($AY12&lt;260000,7000,IF($AY12&lt;270000,5250,IF($AY12&lt;280000,3500,IF($AY12&lt;290000,1750,0))))),IF($AY12&lt;125000,8750,IF($AY12&lt;130000,7000,IF($AY12&lt;135000,5250,IF($AY12&lt;140000,3500,IF($AY12&lt;145000,1750,0)))))))-IF(OR($AU12="Married",AND($AU12="Single",$AS12&gt;=3)),5820,2910))&gt;=INDEX('How This Works &amp; Sources'!$B$211:$J$214,0,1))*INDEX('How This Works &amp; Sources'!$B$211:$J$214,0,1+2)))*IF(($P12-'How This Works &amp; Sources'!$C$10*$D12)*'Second Earner'!$C$8&gt;=IF(OR($AU12="Married",AND($AU12="Single",$AS12&gt;=3)),IF($AY12&lt;250000,8750,IF($AY12&lt;260000,7000,IF($AY12&lt;270000,5250,IF($AY12&lt;280000,3500,IF($AY12&lt;290000,1750,0))))),IF($AY12&lt;125000,8750,IF($AY12&lt;130000,7000,IF($AY12&lt;135000,5250,IF($AY12&lt;140000,3500,IF($AY12&lt;145000,1750,0)))))),1,1-IF('Second Earner'!$C$13,SUMPRODUCT(($AH12&gt;=INDEX('How This Works &amp; Sources'!$B$29:$J$36,0,IF('Second Earner'!$C$12="MFJ",1,IF('Second Earner'!$C$12="HoH",7,4))))*INDEX('How This Works &amp; Sources'!$B$29:$J$36,0,IF('Second Earner'!$C$12="MFJ",1,IF('Second Earner'!$C$12="HoH",7,4))+2)),SUMPRODUCT(($AH12&gt;=INDEX('How This Works &amp; Sources'!$B$19:$J$26,0,IF('Second Earner'!$C$12="MFJ",1,IF('Second Earner'!$C$12="HoH",7,4))))*INDEX('How This Works &amp; Sources'!$B$19:$J$26,0,IF('Second Earner'!$C$12="MFJ",1,IF('Second Earner'!$C$12="HoH",7,4))+2)))),""))))</f>
      </c>
      <c r="CA12" s="24">
        <f>IF($B12="","",IF($AN12="CA",SUMPRODUCT(($AJ12&gt;=INDEX('How This Works &amp; Sources'!$B$39:$J$48,0,IF($AU12="Married",4,IF($AU12="Head of household",7,1))))*INDEX('How This Works &amp; Sources'!$B$39:$J$48,0,IF($AU12="Married",4,IF($AU12="Head of household",7,1))+2)),IF($AN12="AL",IF(OR($AU12="Married",$AU12="Head of household"),SUMPRODUCT(($AZ12&gt;=INDEX('How This Works &amp; Sources'!$B$82:$J$86,0,4))*INDEX('How This Works &amp; Sources'!$B$82:$J$86,0,4+2)),SUMPRODUCT(($AZ12&gt;=INDEX('How This Works &amp; Sources'!$B$82:$J$86,0,1))*INDEX('How This Works &amp; Sources'!$B$82:$J$86,0,1+2)))*(1-IF('Second Earner'!$C$13,SUMPRODUCT(($AH12&gt;=INDEX('How This Works &amp; Sources'!$B$29:$J$36,0,IF('Second Earner'!$C$12="MFJ",1,IF('Second Earner'!$C$12="HoH",7,4))))*INDEX('How This Works &amp; Sources'!$B$29:$J$36,0,IF('Second Earner'!$C$12="MFJ",1,IF('Second Earner'!$C$12="HoH",7,4))+2)),SUMPRODUCT(($AH12&gt;=INDEX('How This Works &amp; Sources'!$B$19:$J$26,0,IF('Second Earner'!$C$12="MFJ",1,IF('Second Earner'!$C$12="HoH",7,4))))*INDEX('How This Works &amp; Sources'!$B$19:$J$26,0,IF('Second Earner'!$C$12="MFJ",1,IF('Second Earner'!$C$12="HoH",7,4))+2)))),IF($AN12="ND",IF($AU12="Head of household",SUMPRODUCT(($AZ12&gt;=INDEX('How This Works &amp; Sources'!$B$144:$J$150,0,1))*INDEX('How This Works &amp; Sources'!$B$144:$J$150,0,1+2)),IF($AU12="Married",SUMPRODUCT(($AZ12&gt;=INDEX('How This Works &amp; Sources'!$B$137:$J$139,0,7))*INDEX('How This Works &amp; Sources'!$B$137:$J$139,0,7+2)),SUMPRODUCT(($AZ12&gt;=INDEX('How This Works &amp; Sources'!$B$137:$J$139,0,4))*INDEX('How This Works &amp; Sources'!$B$137:$J$139,0,4+2)))),IF($AN12="NJ",IF('Second Earner'!$C$77="B",SUMPRODUCT(($AZ12&gt;=INDEX('How This Works &amp; Sources'!$B$155:$J$162,0,4))*INDEX('How This Works &amp; Sources'!$B$155:$J$162,0,4+2)),IF('Second Earner'!$C$77="C",SUMPRODUCT(($AZ12&gt;=INDEX('How This Works &amp; Sources'!$B$155:$J$162,0,7))*INDEX('How This Works &amp; Sources'!$B$155:$J$162,0,7+2)),IF('Second Earner'!$C$77="D",SUMPRODUCT(($AZ12&gt;=INDEX('How This Works &amp; Sources'!$B$167:$J$179,0,1))*INDEX('How This Works &amp; Sources'!$B$167:$J$179,0,1+2)),IF('Second Earner'!$C$77="E",SUMPRODUCT(($AZ12&gt;=INDEX('How This Works &amp; Sources'!$B$167:$J$179,0,4))*INDEX('How This Works &amp; Sources'!$B$167:$J$179,0,4+2)),SUMPRODUCT(($AZ12&gt;=INDEX('How This Works &amp; Sources'!$B$155:$J$162,0,1))*INDEX('How This Works &amp; Sources'!$B$155:$J$162,0,1+2)))))),IF($AN12="NY",IF($AU12="Married",IF($AZ12&gt;=2155350,IF($AZ12&gt;25000000,0.117,IF($AZ12&gt;5000000,0.111,0.1045)),SUMPRODUCT(($AZ12&gt;=INDEX('How This Works &amp; Sources'!$B$184:$J$198,0,1))*INDEX('How This Works &amp; Sources'!$B$184:$J$198,0,1+2))),IF($AZ12&gt;=1077550,IF($AZ12&gt;25000000,0.117,IF($AZ12&gt;5000000,0.111,0.1045)),SUMPRODUCT(($AZ12&gt;=INDEX('How This Works &amp; Sources'!$B$167:$J$179,0,7))*INDEX('How This Works &amp; Sources'!$B$167:$J$179,0,7+2)))),IF($AN12="LA",0.0309,"")))))))</f>
      </c>
      <c r="CB12" s="24">
        <f>IF($B12="","",IF($AN12="HI",IF($AU12="Married",SUMPRODUCT(($AZ12&gt;=INDEX('How This Works &amp; Sources'!$B$91:$J$98,0,7))*INDEX('How This Works &amp; Sources'!$B$91:$J$98,0,7+2)),SUMPRODUCT(($AZ12&gt;=INDEX('How This Works &amp; Sources'!$B$91:$J$98,0,4))*INDEX('How This Works &amp; Sources'!$B$91:$J$98,0,4+2))),IF($AN12="MD",IF(OR($AU12="Married",$AU12="Head of household"),SUMPRODUCT(($AZ12&gt;=INDEX('How This Works &amp; Sources'!$B$114:$J$120,0,1))*INDEX('How This Works &amp; Sources'!$B$114:$J$120,0,1+2)),SUMPRODUCT(($AZ12&gt;=INDEX('How This Works &amp; Sources'!$B$103:$J$109,0,7))*INDEX('How This Works &amp; Sources'!$B$103:$J$109,0,7+2)))+'Second Earner'!$C$74,IF($AN12="MN",IF($AU12="Married",SUMPRODUCT(($AZ12&gt;=INDEX('How This Works &amp; Sources'!$B$114:$J$120,0,7))*INDEX('How This Works &amp; Sources'!$B$114:$J$120,0,7+2)),SUMPRODUCT(($AZ12&gt;=INDEX('How This Works &amp; Sources'!$B$114:$J$120,0,4))*INDEX('How This Works &amp; Sources'!$B$114:$J$120,0,4+2))),IF($AN12="MO",SUMPRODUCT(($AZ12&gt;=INDEX('How This Works &amp; Sources'!$B$125:$J$132,0,1))*INDEX('How This Works &amp; Sources'!$B$125:$J$132,0,1+2)),IF($AN12="NE",MAX(IF($AU12="Married",SUMPRODUCT(($AZ12&gt;=INDEX('How This Works &amp; Sources'!$B$144:$J$150,0,7))*INDEX('How This Works &amp; Sources'!$B$144:$J$150,0,7+2)),SUMPRODUCT(($AZ12&gt;=INDEX('How This Works &amp; Sources'!$B$144:$J$150,0,4))*INDEX('How This Works &amp; Sources'!$B$144:$J$150,0,4+2))),0.015),IF($AN12="OH",IF($B12&gt;=DATE(2026,8,1),SUMPRODUCT(($AZ12&gt;=INDEX('How This Works &amp; Sources'!$B$203:$J$206,0,1))*INDEX('How This Works &amp; Sources'!$B$203:$J$206,0,1+2)),SUMPRODUCT(($AZ12&gt;=INDEX('How This Works &amp; Sources'!$B$184:$J$198,0,7))*INDEX('How This Works &amp; Sources'!$B$184:$J$198,0,7+2))),IF($AN12="OK",IF($AU12="Married",SUMPRODUCT(($AZ12&gt;=INDEX('How This Works &amp; Sources'!$B$203:$J$206,0,7))*INDEX('How This Works &amp; Sources'!$B$203:$J$206,0,7+2)),SUMPRODUCT(($AZ12&gt;=INDEX('How This Works &amp; Sources'!$B$203:$J$206,0,4))*INDEX('How This Works &amp; Sources'!$B$203:$J$206,0,4+2))),IF($AN12="RI",SUMPRODUCT(($AZ12&gt;=INDEX('How This Works &amp; Sources'!$B$211:$J$214,0,7))*INDEX('How This Works &amp; Sources'!$B$211:$J$214,0,7+2)),IF($AN12="VT",IF($AU12="Married",SUMPRODUCT(($AZ12&gt;=INDEX('How This Works &amp; Sources'!$B$228:$J$232,0,1))*INDEX('How This Works &amp; Sources'!$B$228:$J$232,0,1+2)),SUMPRODUCT(($AZ12&gt;=INDEX('How This Works &amp; Sources'!$B$219:$J$223,0,7))*INDEX('How This Works &amp; Sources'!$B$219:$J$223,0,7+2))),IF($AN12="WV",IF($AU12="Married",SUMPRODUCT(($AZ12&gt;=INDEX('How This Works &amp; Sources'!$B$237:$J$241,0,7))*INDEX('How This Works &amp; Sources'!$B$237:$J$241,0,7+2)),SUMPRODUCT(($AZ12&gt;=INDEX('How This Works &amp; Sources'!$B$228:$J$232,0,7))*INDEX('How This Works &amp; Sources'!$B$228:$J$232,0,7+2))),IF($AN12="AZ",'Second Earner'!$C$82,IF($AN12="ID",IF($AY12&gt;IF($AU12="Married",32000,16094),0.053,0),"")))))))))))))</f>
      </c>
      <c r="CC12" s="24">
        <f>IF($B12="","",IF($AN12="AR",SUMPRODUCT(($AZ12&gt;=INDEX('How This Works &amp; Sources'!$B$82:$J$86,0,7))*INDEX('How This Works &amp; Sources'!$B$82:$J$86,0,7+2)),IF($AN12="DE",SUMPRODUCT(($AZ12&gt;=INDEX('How This Works &amp; Sources'!$B$91:$J$98,0,1))*INDEX('How This Works &amp; Sources'!$B$91:$J$98,0,1+2)),IF($AN12="SC",SUMPRODUCT(($AZ12&gt;=INDEX('How This Works &amp; Sources'!$B$219:$J$223,0,1))*INDEX('How This Works &amp; Sources'!$B$219:$J$223,0,1+2)),IF($AN12="VA",SUMPRODUCT(($AZ12&gt;=INDEX('How This Works &amp; Sources'!$B$219:$J$223,0,4))*INDEX('How This Works &amp; Sources'!$B$219:$J$223,0,4+2)),IF($AN12="WI",SUMPRODUCT(($AZ12&gt;=INDEX('How This Works &amp; Sources'!$B$228:$J$232,0,4))*INDEX('How This Works &amp; Sources'!$B$228:$J$232,0,4+2)),IF($AN12="CO",IF($AY12&gt;IF($AU12="Married",10000,5000),0.044,0),IF($AN12="IA",IF($AY12&gt;IF($AU12="Head of household",19500,IF($AU12="Married",26000,13000)),0.038,0),IF($AN12="IL",IF($AY12&gt;(2925*$AS12+1000*$AT12),0.0495,0),IF($AN12="IN",(0.0295+'Second Earner'!$C$76),IF($AN12="KY",IF($AI12&gt;3360,0.035,0),IF($AN12="MA",IF(MAX(0,$AY12-MIN(($BD11+$Q12+$R12+$S12),2000)-IF($AS12=0,0,IF($AS12=1,4400,1000*$AS12+3400)))&gt;=1107750,0.09,0.05),IF($AN12="MI",IF($AY12&gt;5900*$AS12,0.0425,0),IF($AN12="MS",IF($AI12-IF($AU12="Head of household",3400,IF($AU12="Married",4600,2300))-'Second Earner'!$C$85&gt;10000,0.04,0),IF($AN12="PA",0.0307,"")))))))))))))))</f>
      </c>
      <c r="CD12" s="21">
        <f>IF(YEAR(IF('Second Earner'!$C$7="Weekly",'Second Earner'!$C$9+7*(($BE11+1)-1),IF('Second Earner'!$C$7="Biweekly",'Second Earner'!$C$9+14*(($BE11+1)-1),IF('Second Earner'!$C$7="Semimonthly",DATE(YEAR('Second Earner'!$C$9),MONTH('Second Earner'!$C$9)+INT((($BE11+1)-1)/2),MIN(DAY('Second Earner'!$C$9),DAY(EOMONTH(DATE(YEAR('Second Earner'!$C$9),MONTH('Second Earner'!$C$9)+INT((($BE11+1)-1)/2),1),0))))+IF(MOD(($BE11+1)-1,2)=1,15,0),EDATE('Second Earner'!$C$9,($BE11+1)-1)))))&lt;&gt;'Second Earner'!$C$10,"",IF('Second Earner'!$C$7="Weekly",'Second Earner'!$C$9+7*(($BE11+1)-1),IF('Second Earner'!$C$7="Biweekly",'Second Earner'!$C$9+14*(($BE11+1)-1),IF('Second Earner'!$C$7="Semimonthly",DATE(YEAR('Second Earner'!$C$9),MONTH('Second Earner'!$C$9)+INT((($BE11+1)-1)/2),MIN(DAY('Second Earner'!$C$9),DAY(EOMONTH(DATE(YEAR('Second Earner'!$C$9),MONTH('Second Earner'!$C$9)+INT((($BE11+1)-1)/2),1),0))))+IF(MOD(($BE11+1)-1,2)=1,15,0),EDATE('Second Earner'!$C$9,($BE11+1)-1)))))</f>
      </c>
      <c r="CE12" s="21">
        <f>IF(MIN(IF(AND('Second Earner'!$C$58&gt;MAX($B$6:$B11),'Second Earner'!$C$58&gt;=DATE('Second Earner'!$C$10,1,1),'Second Earner'!$C$58&lt;=DATE('Second Earner'!$C$10,12,31)),'Second Earner'!$C$58,999999),IF(AND('Second Earner'!$C$59&gt;MAX($B$6:$B11),'Second Earner'!$C$59&gt;=DATE('Second Earner'!$C$10,1,1),'Second Earner'!$C$59&lt;=DATE('Second Earner'!$C$10,12,31)),'Second Earner'!$C$59,999999),IF(AND('Second Earner'!$C$60&gt;MAX($B$6:$B11),'Second Earner'!$C$60&gt;=DATE('Second Earner'!$C$10,1,1),'Second Earner'!$C$60&lt;=DATE('Second Earner'!$C$10,12,31)),'Second Earner'!$C$60,999999),IF(AND('Second Earner'!$C$61&gt;MAX($B$6:$B11),'Second Earner'!$C$61&gt;=DATE('Second Earner'!$C$10,1,1),'Second Earner'!$C$61&lt;=DATE('Second Earner'!$C$10,12,31)),'Second Earner'!$C$61,999999),IF(AND('Second Earner'!$C$62&gt;MAX($B$6:$B11),'Second Earner'!$C$62&gt;=DATE('Second Earner'!$C$10,1,1),'Second Earner'!$C$62&lt;=DATE('Second Earner'!$C$10,12,31)),'Second Earner'!$C$62,999999),IF(AND('Second Earner'!$C$63&gt;MAX($B$6:$B11),'Second Earner'!$C$63&gt;=DATE('Second Earner'!$C$10,1,1),'Second Earner'!$C$63&lt;=DATE('Second Earner'!$C$10,12,31)),'Second Earner'!$C$63,999999),IF(AND('Second Earner'!$C$64&gt;MAX($B$6:$B11),'Second Earner'!$C$64&gt;=DATE('Second Earner'!$C$10,1,1),'Second Earner'!$C$64&lt;=DATE('Second Earner'!$C$10,12,31)),'Second Earner'!$C$64,999999),IF(AND('Second Earner'!$C$65&gt;MAX($B$6:$B11),'Second Earner'!$C$65&gt;=DATE('Second Earner'!$C$10,1,1),'Second Earner'!$C$65&lt;=DATE('Second Earner'!$C$10,12,31)),'Second Earner'!$C$65,999999),IF(AND('Second Earner'!$C$66&gt;MAX($B$6:$B11),'Second Earner'!$C$66&gt;=DATE('Second Earner'!$C$10,1,1),'Second Earner'!$C$66&lt;=DATE('Second Earner'!$C$10,12,31)),'Second Earner'!$C$66,999999),IF(AND('Second Earner'!$C$67&gt;MAX($B$6:$B11),'Second Earner'!$C$67&gt;=DATE('Second Earner'!$C$10,1,1),'Second Earner'!$C$67&lt;=DATE('Second Earner'!$C$10,12,31)),'Second Earner'!$C$67,999999))=999999,"",MIN(IF(AND('Second Earner'!$C$58&gt;MAX($B$6:$B11),'Second Earner'!$C$58&gt;=DATE('Second Earner'!$C$10,1,1),'Second Earner'!$C$58&lt;=DATE('Second Earner'!$C$10,12,31)),'Second Earner'!$C$58,999999),IF(AND('Second Earner'!$C$59&gt;MAX($B$6:$B11),'Second Earner'!$C$59&gt;=DATE('Second Earner'!$C$10,1,1),'Second Earner'!$C$59&lt;=DATE('Second Earner'!$C$10,12,31)),'Second Earner'!$C$59,999999),IF(AND('Second Earner'!$C$60&gt;MAX($B$6:$B11),'Second Earner'!$C$60&gt;=DATE('Second Earner'!$C$10,1,1),'Second Earner'!$C$60&lt;=DATE('Second Earner'!$C$10,12,31)),'Second Earner'!$C$60,999999),IF(AND('Second Earner'!$C$61&gt;MAX($B$6:$B11),'Second Earner'!$C$61&gt;=DATE('Second Earner'!$C$10,1,1),'Second Earner'!$C$61&lt;=DATE('Second Earner'!$C$10,12,31)),'Second Earner'!$C$61,999999),IF(AND('Second Earner'!$C$62&gt;MAX($B$6:$B11),'Second Earner'!$C$62&gt;=DATE('Second Earner'!$C$10,1,1),'Second Earner'!$C$62&lt;=DATE('Second Earner'!$C$10,12,31)),'Second Earner'!$C$62,999999),IF(AND('Second Earner'!$C$63&gt;MAX($B$6:$B11),'Second Earner'!$C$63&gt;=DATE('Second Earner'!$C$10,1,1),'Second Earner'!$C$63&lt;=DATE('Second Earner'!$C$10,12,31)),'Second Earner'!$C$63,999999),IF(AND('Second Earner'!$C$64&gt;MAX($B$6:$B11),'Second Earner'!$C$64&gt;=DATE('Second Earner'!$C$10,1,1),'Second Earner'!$C$64&lt;=DATE('Second Earner'!$C$10,12,31)),'Second Earner'!$C$64,999999),IF(AND('Second Earner'!$C$65&gt;MAX($B$6:$B11),'Second Earner'!$C$65&gt;=DATE('Second Earner'!$C$10,1,1),'Second Earner'!$C$65&lt;=DATE('Second Earner'!$C$10,12,31)),'Second Earner'!$C$65,999999),IF(AND('Second Earner'!$C$66&gt;MAX($B$6:$B11),'Second Earner'!$C$66&gt;=DATE('Second Earner'!$C$10,1,1),'Second Earner'!$C$66&lt;=DATE('Second Earner'!$C$10,12,31)),'Second Earner'!$C$66,999999),IF(AND('Second Earner'!$C$67&gt;MAX($B$6:$B11),'Second Earner'!$C$67&gt;=DATE('Second Earner'!$C$10,1,1),'Second Earner'!$C$67&lt;=DATE('Second Earner'!$C$10,12,31)),'Second Earner'!$C$67,999999)))</f>
      </c>
      <c r="CF12">
        <f>IF($B12="","",IF($D12=0,$Y12,""))</f>
      </c>
    </row>
    <row r="13">
      <c r="A13" t="n">
        <v>8</v>
      </c>
      <c r="B13" s="21">
        <f>IF(AND($CD13="",$CE13=""),"",IF($CE13="",$CD13,IF($CD13="",$CE13,MIN($CD13,$CE13))))</f>
      </c>
      <c r="C13" s="7">
        <f>IF($B13="","",IF($BF13=0,0,IF('Second Earner'!$C$4="Annual salary",ROUND($AK13/IF(AND('Second Earner'!$C$88="Actual paydays",MONTH('Second Earner'!$C$9)=1),MAX(1,MAX($BE$6:$BE$68)),'Second Earner'!$C$8),2),$AK13)))</f>
      </c>
      <c r="D13" s="7">
        <f>IF($B13="","",SUMIF('Second Earner'!$C$58:$C$67,$B13,'Second Earner'!$D$58:$D$67))</f>
      </c>
      <c r="E13" s="7">
        <f>IF($B13="","",ROUND(MAX(0,MIN(IF($AL13="Percent",$AM13*($C13+$D13),$AM13),MAX(0,'Second Earner'!$C$34-$AC12))),2))</f>
      </c>
      <c r="F13" s="7">
        <f>IF($B13="","",ROUND(MAX(0,MIN(IF('Second Earner'!$C$32="Percent",'Second Earner'!$D$32*($C13+$D13),'Second Earner'!$D$32),MAX(0,'Second Earner'!$C$34-$AC12-$E13))),2))</f>
      </c>
      <c r="G13" s="7">
        <f>IF($B13="","",IF($BF13=0,0,ROUND(MAX(0,MIN($BL13,'Second Earner'!$C$37-'Second Earner'!$C$54-$BI12)),2)))</f>
      </c>
      <c r="H13" s="7">
        <f>IF($B13="","",IF(OR($BF13=0,$BQ13=1),0,ROUND(MAX(0,MIN(IF($BS13=1,ROUND(MAX(0,MIN($BJ13,'How This Works &amp; Sources'!$C$13)-$BG12)/MAX(1,MAX($BE$6:$BE$68)-($BE12)),2),ROUND(MIN($BJ13,'How This Works &amp; Sources'!$C$13)/'Second Earner'!$C$8,2)),MIN($BJ13,'How This Works &amp; Sources'!$C$13)-$BG12)),2)))</f>
      </c>
      <c r="I13" s="7">
        <f>IF($B13="","",IF(OR($BF13=0,$BR13=1),0,ROUND(MAX(0,MIN(IF($BT13=1,ROUND(MAX(0,MIN($BK13,IF('Second Earner'!$C$12="MFJ",'How This Works &amp; Sources'!$C$14,'How This Works &amp; Sources'!$C$15))-$BH12)/MAX(1,MAX($BE$6:$BE$68)-($BE12)),2),ROUND(MIN($BK13,IF('Second Earner'!$C$12="MFJ",'How This Works &amp; Sources'!$C$14,'How This Works &amp; Sources'!$C$15))/'Second Earner'!$C$8,2)),MIN($BK13,IF('Second Earner'!$C$12="MFJ",'How This Works &amp; Sources'!$C$14,'How This Works &amp; Sources'!$C$15))-$BH12)),2)))</f>
      </c>
      <c r="J13" s="7">
        <f>IF($B13="","",IF($BF13=0,0,$BM13))</f>
      </c>
      <c r="K13" s="7">
        <f>IF($B13="","",IF($BF13=0,0,$BN13+$BO13))</f>
      </c>
      <c r="L13" s="7">
        <f>IF($B13="","",IF($BF13=0,0,'Second Earner'!$D$46))</f>
      </c>
      <c r="M13" s="7">
        <f>IF($B13="","",$C13+$D13+$L13-$E13-$G13-$H13-$I13-$J13-$K13)</f>
      </c>
      <c r="N13" s="7">
        <f>IF($B13="","",$C13+$D13+$L13-$G13-$H13-$I13-$J13-$K13)</f>
      </c>
      <c r="O13" s="7">
        <f>IF($B13="","",$C13+$D13+$L13-$E13-$H13-$I13-$J13-$K13-IF(OR($AN13="CA",$AN13="NJ"),0,$G13))</f>
      </c>
      <c r="P13" s="7">
        <f>IF($B13="","",IF('Second Earner'!$C$18,0,ROUND(MAX(0,IF('Second Earner'!$C$13,SUMPRODUCT(($AH13&gt;INDEX('How This Works &amp; Sources'!$B$29:$J$36,0,IF('Second Earner'!$C$12="MFJ",1,IF('Second Earner'!$C$12="HoH",7,4))))*($AH13-INDEX('How This Works &amp; Sources'!$B$29:$J$36,0,IF('Second Earner'!$C$12="MFJ",1,IF('Second Earner'!$C$12="HoH",7,4))))*INDEX('How This Works &amp; Sources'!$B$29:$J$36,0,IF('Second Earner'!$C$12="MFJ",1,IF('Second Earner'!$C$12="HoH",7,4))+2)),SUMPRODUCT(($AH13&gt;INDEX('How This Works &amp; Sources'!$B$19:$J$26,0,IF('Second Earner'!$C$12="MFJ",1,IF('Second Earner'!$C$12="HoH",7,4))))*($AH13-INDEX('How This Works &amp; Sources'!$B$19:$J$26,0,IF('Second Earner'!$C$12="MFJ",1,IF('Second Earner'!$C$12="HoH",7,4))))*INDEX('How This Works &amp; Sources'!$B$19:$J$26,0,IF('Second Earner'!$C$12="MFJ",1,IF('Second Earner'!$C$12="HoH",7,4))+2)))/'Second Earner'!$C$8-$AO13/'Second Earner'!$C$8)+$AR13+IF('Second Earner'!$C$89="Aggregate",MAX(0,IF('Second Earner'!$C$13,SUMPRODUCT((($AH13+$D13)&gt;INDEX('How This Works &amp; Sources'!$B$29:$J$36,0,IF('Second Earner'!$C$12="MFJ",1,IF('Second Earner'!$C$12="HoH",7,4))))*(($AH13+$D13)-INDEX('How This Works &amp; Sources'!$B$29:$J$36,0,IF('Second Earner'!$C$12="MFJ",1,IF('Second Earner'!$C$12="HoH",7,4))))*INDEX('How This Works &amp; Sources'!$B$29:$J$36,0,IF('Second Earner'!$C$12="MFJ",1,IF('Second Earner'!$C$12="HoH",7,4))+2)),SUMPRODUCT((($AH13+$D13)&gt;INDEX('How This Works &amp; Sources'!$B$19:$J$26,0,IF('Second Earner'!$C$12="MFJ",1,IF('Second Earner'!$C$12="HoH",7,4))))*(($AH13+$D13)-INDEX('How This Works &amp; Sources'!$B$19:$J$26,0,IF('Second Earner'!$C$12="MFJ",1,IF('Second Earner'!$C$12="HoH",7,4))))*INDEX('How This Works &amp; Sources'!$B$19:$J$26,0,IF('Second Earner'!$C$12="MFJ",1,IF('Second Earner'!$C$12="HoH",7,4))+2)))-IF('Second Earner'!$C$13,SUMPRODUCT(($AH13&gt;INDEX('How This Works &amp; Sources'!$B$29:$J$36,0,IF('Second Earner'!$C$12="MFJ",1,IF('Second Earner'!$C$12="HoH",7,4))))*($AH13-INDEX('How This Works &amp; Sources'!$B$29:$J$36,0,IF('Second Earner'!$C$12="MFJ",1,IF('Second Earner'!$C$12="HoH",7,4))))*INDEX('How This Works &amp; Sources'!$B$29:$J$36,0,IF('Second Earner'!$C$12="MFJ",1,IF('Second Earner'!$C$12="HoH",7,4))+2)),SUMPRODUCT(($AH13&gt;INDEX('How This Works &amp; Sources'!$B$19:$J$26,0,IF('Second Earner'!$C$12="MFJ",1,IF('Second Earner'!$C$12="HoH",7,4))))*($AH13-INDEX('How This Works &amp; Sources'!$B$19:$J$26,0,IF('Second Earner'!$C$12="MFJ",1,IF('Second Earner'!$C$12="HoH",7,4))))*INDEX('How This Works &amp; Sources'!$B$19:$J$26,0,IF('Second Earner'!$C$12="MFJ",1,IF('Second Earner'!$C$12="HoH",7,4))+2)))),'How This Works &amp; Sources'!$C$10*$D13),2)))</f>
      </c>
      <c r="Q13" s="7">
        <f>IF($B13="","",ROUND('How This Works &amp; Sources'!$C$4*MIN($N13,MAX(0,'How This Works &amp; Sources'!$C$3-($AX13+$AB12-$AW13))),2))</f>
      </c>
      <c r="R13" s="7">
        <f>IF($B13="","",ROUND('How This Works &amp; Sources'!$C$5*$N13,2))</f>
      </c>
      <c r="S13" s="7">
        <f>IF($B13="","",ROUND('How This Works &amp; Sources'!$C$6*MAX(0,MIN($N13,$AG12+$N13-'How This Works &amp; Sources'!$C$7)),2))</f>
      </c>
      <c r="T13" s="7">
        <f>IF($B13="","",IF('Second Earner'!$C$26,0,IF($AN13="CA",ROUND(IF($AI13&lt;=IF(($AS13+$AT13)&gt;=2,VLOOKUP($AN13,StateTables!$A$6:$AB$56,10,FALSE),VLOOKUP($AN13,StateTables!$A$6:$AB$56,9,FALSE)),0,MAX(0,SUMPRODUCT(($AJ13&gt;INDEX('How This Works &amp; Sources'!$B$39:$J$48,0,IF($AU13="Married",4,IF($AU13="Head of household",7,1))))*($AJ13-INDEX('How This Works &amp; Sources'!$B$39:$J$48,0,IF($AU13="Married",4,IF($AU13="Head of household",7,1))))*INDEX('How This Works &amp; Sources'!$B$39:$J$48,0,IF($AU13="Married",4,IF($AU13="Head of household",7,1))+2))-VLOOKUP($AN13,StateTables!$A$6:$AB$56,11,FALSE)*$AS13)/'Second Earner'!$C$8)+'Second Earner'!$C$25+VLOOKUP($AN13,StateTables!$A$6:$AB$56,13,FALSE)*$D13,2),IF(VLOOKUP($AN13,StateTables!$A$6:$AB$56,4,FALSE)="None",0,IF(ISNUMBER(SEARCH("MANUAL",VLOOKUP($AN13,StateTables!$A$6:$AB$56,5,FALSE))),'Second Earner'!$C$28,ROUND(MAX(0,$BA13+$BB13)/'Second Earner'!$C$8+'Second Earner'!$C$25+$BC13,2))))))</f>
      </c>
      <c r="U13" s="7">
        <f>IF($B13="","",IF(VLOOKUP($AN13,StateTables!$A$6:$AB$56,24,FALSE)="flatq",IF(OR(MONTH($B13)=1,MONTH($B13)=4,MONTH($B13)=7,MONTH($B13)=10),VLOOKUP($AN13,StateTables!$A$6:$AB$56,25,FALSE),0),IF(VLOOKUP($AN13,StateTables!$A$6:$AB$56,24,FALSE)="dbl",MIN(ROUND(0.005*$N13,2),ROUND(0.6*52/'Second Earner'!$C$8,2)),IF(OR(VLOOKUP($AN13,StateTables!$A$6:$AB$56,15,FALSE)="",VLOOKUP($AN13,StateTables!$A$6:$AB$56,15,FALSE)=0),0,ROUND(VLOOKUP($AN13,StateTables!$A$6:$AB$56,15,FALSE)*IF(OR(VLOOKUP($AN13,StateTables!$A$6:$AB$56,16,FALSE)="",VLOOKUP($AN13,StateTables!$A$6:$AB$56,16,FALSE)=0),$N13,MIN($N13,MAX(0,VLOOKUP($AN13,StateTables!$A$6:$AB$56,16,FALSE)-($AX13+$AB12-$AW13)))),2))))+IF(VLOOKUP($AN13,StateTables!$A$6:$AB$56,27,FALSE)="flatq",IF(OR(MONTH($B13)=1,MONTH($B13)=4,MONTH($B13)=7,MONTH($B13)=10),VLOOKUP($AN13,StateTables!$A$6:$AB$56,28,FALSE),0),IF(VLOOKUP($AN13,StateTables!$A$6:$AB$56,27,FALSE)="dbl",MIN(ROUND(0.005*$N13,2),ROUND(0.6*52/'Second Earner'!$C$8,2)),IF(OR(VLOOKUP($AN13,StateTables!$A$6:$AB$56,18,FALSE)="",VLOOKUP($AN13,StateTables!$A$6:$AB$56,18,FALSE)=0),0,ROUND(VLOOKUP($AN13,StateTables!$A$6:$AB$56,18,FALSE)*IF(OR(VLOOKUP($AN13,StateTables!$A$6:$AB$56,19,FALSE)="",VLOOKUP($AN13,StateTables!$A$6:$AB$56,19,FALSE)=0),$N13,MIN($N13,MAX(0,VLOOKUP($AN13,StateTables!$A$6:$AB$56,19,FALSE)-($AX13+$AB12-$AW13)))),2)))))</f>
      </c>
      <c r="V13" s="7">
        <f>IF($B13="","",IF($AN13="NY",IF('Second Earner'!$C$78,ROUND(SUMPRODUCT((MAX(0,($O13-$D13)*'Second Earner'!$C$8-(IF($AU13="Married",5500,5000)+1000*$AS13))&gt;INDEX('How This Works &amp; Sources'!$B$184:$J$198,0,4))*(MAX(0,($O13-$D13)*'Second Earner'!$C$8-(IF($AU13="Married",5500,5000)+1000*$AS13))-INDEX('How This Works &amp; Sources'!$B$184:$J$198,0,4))*INDEX('How This Works &amp; Sources'!$B$184:$J$198,0,4+2))/'Second Earner'!$C$8+0.0425*$D13,2),0)+IF('Second Earner'!$C$79="Resident",ROUND(0.1675*$T13,2),IF('Second Earner'!$C$79="Nonresident",ROUND(0.005*MAX(0,($O13-$D13)-(IF($AU13="Married",7950,7400)+1000*$AS13)/'Second Earner'!$C$8),2),0)),IF($AN13="PA",IF('Second Earner'!$C$80="None",'Second Earner'!$C$27+ROUND('Second Earner'!$C$81*($C13+$D13),2),ROUND(IF('Second Earner'!$C$80="Resident",IF($B13&lt;DATE(2026,7,1),0.0374,0.03735),IF($B13&lt;DATE(2026,7,1),0.0343,0.03425))*($C13+$D13),2)),IF($BF13=0,ROUND('Second Earner'!$C$81*($C13+$D13),2),'Second Earner'!$C$27+ROUND('Second Earner'!$C$81*($C13+$D13),2)))))</f>
      </c>
      <c r="W13" s="7">
        <f>IF($B13="","",IF($BF13=0,0,$BP13))</f>
      </c>
      <c r="X13" s="7">
        <f>IF($B13="","",SUM($E13:$K13)+$P13+$Q13+$R13+$S13+$T13+$U13+$V13+$W13)</f>
      </c>
      <c r="Y13" s="22">
        <f>IF($B13="","",$C13+$D13-$X13)</f>
      </c>
      <c r="Z13" s="7">
        <f>IF($B13="","",$Z12+$C13+$D13)</f>
      </c>
      <c r="AA13" s="7">
        <f>IF($B13="","",$AA12+$Y13)</f>
      </c>
      <c r="AB13" s="7">
        <f>IF($B13="","",$AB12+MIN($N13,MAX(0,'How This Works &amp; Sources'!$C$3-($AX13+$AB12-$AW13))))</f>
      </c>
      <c r="AC13" s="7">
        <f>IF($B13="","",$AC12+$E13+$F13)</f>
      </c>
      <c r="AD13" s="3">
        <f>IF($B13="","",IF(AND($AB12&lt;'How This Works &amp; Sources'!$C$3,$AB13&gt;='How This Works &amp; Sources'!$C$3),"★ Social Security maxed on this check — from the next check your net rises by about $"&amp;TEXT(ROUND('How This Works &amp; Sources'!$C$4*$N13,2),"#,##0.00")&amp;". ","")&amp;IF(AND($AC12&lt;'Second Earner'!$C$34,$AC13&gt;='Second Earner'!$C$34),"★ 401(k) reaches the $"&amp;TEXT('Second Earner'!$C$34,"#,##0")&amp;" cap on this check — deferrals stop and net pay rises. ","")&amp;IF(AND($AG12&lt;'How This Works &amp; Sources'!$C$7,$AG13&gt;='How This Works &amp; Sources'!$C$7),"★ Wages pass $200,000 — the 0.9% Additional Medicare Tax starts here. ","")&amp;IF(AND($BJ13&gt;0,$H13&gt;0,$BG12&lt;MIN($BJ13,'How This Works &amp; Sources'!$C$13),$BG12+$H13&gt;=MIN($BJ13,'How This Works &amp; Sources'!$C$13)),"★ Health FSA election is now fully deferred for the year. ",""))</f>
      </c>
      <c r="AE13" s="41" t="n"/>
      <c r="AF13" s="7">
        <f>IF(OR($B13="",$AE13=""),"",$AE13-$Y13)</f>
      </c>
      <c r="AG13" s="7">
        <f>IF($B13="","",$AG12+$N13)</f>
      </c>
      <c r="AH13" s="7">
        <f>IF($B13="","",MAX(0,($M13-$D13)*'Second Earner'!$C$8+$AP13-$AQ13-IF('Second Earner'!$C$13,0,IF('Second Earner'!$C$12="MFJ",'How This Works &amp; Sources'!$C$8,'How This Works &amp; Sources'!$C$9))))</f>
      </c>
      <c r="AI13" s="7">
        <f>IF($B13="","",$O13*'Second Earner'!$C$8)</f>
      </c>
      <c r="AJ13" s="7">
        <f>IF($B13="","",MAX(0,$AI13-VLOOKUP($AN13,StateTables!$A$6:$AB$56,12,FALSE)*$AT13-IF(($AS13+$AT13)&gt;=2,VLOOKUP($AN13,StateTables!$A$6:$AB$56,8,FALSE),VLOOKUP($AN13,StateTables!$A$6:$AB$56,7,FALSE))))</f>
      </c>
      <c r="AK13" s="7">
        <f>IF($B13="","",IFERROR(LOOKUP(2,1/(('Changes — Earner 2'!$C$6:$C$17="Salary change")*('Changes — Earner 2'!$B$6:$B$17&lt;=$B13)*('Changes — Earner 2'!$B$6:$B$17&lt;&gt;"")),'Changes — Earner 2'!$D$6:$D$17),IF('Second Earner'!$C$4="Annual salary",'Second Earner'!$C$5,'Second Earner'!$C$6)))</f>
      </c>
      <c r="AL13">
        <f>IF($B13="","",IFERROR(LOOKUP(2,1/(('Changes — Earner 2'!$C$6:$C$17="401(k) change")*('Changes — Earner 2'!$B$6:$B$17&lt;=$B13)*('Changes — Earner 2'!$B$6:$B$17&lt;&gt;"")),'Changes — Earner 2'!$D$6:$D$17),'Second Earner'!$C$30))</f>
      </c>
      <c r="AM13" s="7">
        <f>IF($B13="","",IFERROR(LOOKUP(2,1/(('Changes — Earner 2'!$C$6:$C$17="401(k) change")*('Changes — Earner 2'!$B$6:$B$17&lt;=$B13)*('Changes — Earner 2'!$B$6:$B$17&lt;&gt;"")),'Changes — Earner 2'!$E$6:$E$17),'Second Earner'!$D$31))</f>
      </c>
      <c r="AN13">
        <f>IF($B13="","",IFERROR(LOOKUP(2,1/(('Changes — Earner 2'!$C$6:$C$17="State move")*('Changes — Earner 2'!$B$6:$B$17&lt;=$B13)*('Changes — Earner 2'!$B$6:$B$17&lt;&gt;"")),'Changes — Earner 2'!$D$6:$D$17),'Second Earner'!$C$21))</f>
      </c>
      <c r="AO13" s="7">
        <f>IF($B13="","",IFERROR(LOOKUP(2,1/(('Changes — Earner 2'!$C$6:$C$17="W-4 change")*('Changes — Earner 2'!$B$6:$B$17&lt;=$B13)*('Changes — Earner 2'!$B$6:$B$17&lt;&gt;"")),'Changes — Earner 2'!$D$6:$D$17),'Second Earner'!$C$14))</f>
      </c>
      <c r="AP13" s="7">
        <f>IF($B13="","",IFERROR(LOOKUP(2,1/(('Changes — Earner 2'!$C$6:$C$17="W-4 change")*('Changes — Earner 2'!$B$6:$B$17&lt;=$B13)*('Changes — Earner 2'!$B$6:$B$17&lt;&gt;"")),'Changes — Earner 2'!$E$6:$E$17),'Second Earner'!$C$15))</f>
      </c>
      <c r="AQ13" s="7">
        <f>IF($B13="","",IFERROR(LOOKUP(2,1/(('Changes — Earner 2'!$C$6:$C$17="W-4 change")*('Changes — Earner 2'!$B$6:$B$17&lt;=$B13)*('Changes — Earner 2'!$B$6:$B$17&lt;&gt;"")),'Changes — Earner 2'!$F$6:$F$17),'Second Earner'!$C$16))</f>
      </c>
      <c r="AR13" s="7">
        <f>IF($B13="","",IFERROR(LOOKUP(2,1/(('Changes — Earner 2'!$C$6:$C$17="W-4 change")*('Changes — Earner 2'!$B$6:$B$17&lt;=$B13)*('Changes — Earner 2'!$B$6:$B$17&lt;&gt;"")),'Changes — Earner 2'!$G$6:$G$17),'Second Earner'!$C$17))</f>
      </c>
      <c r="AS13" s="6">
        <f>IF($B13="","",IFERROR(LOOKUP(2,1/((('Changes — Earner 2'!$C$6:$C$17="State move")+('Changes — Earner 2'!$C$6:$C$17="State cert change"))*('Changes — Earner 2'!$B$6:$B$17&lt;=$B13)*('Changes — Earner 2'!$B$6:$B$17&lt;&gt;"")),'Changes — Earner 2'!$F$6:$F$17),'Second Earner'!$C$23))</f>
      </c>
      <c r="AT13" s="6">
        <f>IF($B13="","",IFERROR(LOOKUP(2,1/((('Changes — Earner 2'!$C$6:$C$17="State move")+('Changes — Earner 2'!$C$6:$C$17="State cert change"))*('Changes — Earner 2'!$B$6:$B$17&lt;=$B13)*('Changes — Earner 2'!$B$6:$B$17&lt;&gt;"")),'Changes — Earner 2'!$G$6:$G$17),'Second Earner'!$C$24))</f>
      </c>
      <c r="AU13">
        <f>IF($B13="","",IFERROR(LOOKUP(2,1/(('Changes — Earner 2'!$C$6:$C$17="State move")*('Changes — Earner 2'!$B$6:$B$17&lt;=$B13)*('Changes — Earner 2'!$B$6:$B$17&lt;&gt;"")),'Changes — Earner 2'!$E$6:$E$17),'Second Earner'!$C$22))</f>
      </c>
      <c r="AV13" s="6">
        <f>IF($B13="","",1+COUNTIFS('Changes — Earner 2'!$C$6:$C$17,"Employer change",'Changes — Earner 2'!$B$6:$B$17,"&lt;="&amp;$B13,'Changes — Earner 2'!$B$6:$B$17,"&lt;&gt;"))</f>
      </c>
      <c r="AW13" s="7">
        <f>IF($B13="","",IF($AV13=1,'Second Earner'!$C$49,IF(IFERROR(MATCH(IFERROR(LOOKUP(2,1/(('Changes — Earner 2'!$C$6:$C$17="Employer change")*('Changes — Earner 2'!$B$6:$B$17&lt;=$B13)*('Changes — Earner 2'!$B$6:$B$17&lt;&gt;"")),'Changes — Earner 2'!$B$6:$B$17),""),$B$6:$B$68,1),1)&lt;=1,'Second Earner'!$C$49,INDEX($AB$6:$AB$68,MATCH(IFERROR(LOOKUP(2,1/(('Changes — Earner 2'!$C$6:$C$17="Employer change")*('Changes — Earner 2'!$B$6:$B$17&lt;=$B13)*('Changes — Earner 2'!$B$6:$B$17&lt;&gt;"")),'Changes — Earner 2'!$B$6:$B$17),""),$B$6:$B$68,1)-1))))</f>
      </c>
      <c r="AX13" s="7">
        <f>IF($B13="","",IF($AV13=1,'Second Earner'!$C$49,IFERROR(LOOKUP(2,1/(('Changes — Earner 2'!$C$6:$C$17="Employer change")*('Changes — Earner 2'!$B$6:$B$17&lt;=$B13)*('Changes — Earner 2'!$B$6:$B$17&lt;&gt;"")),'Changes — Earner 2'!$D$6:$D$17),0)))</f>
      </c>
      <c r="AY13" s="7">
        <f>IF($B13="","",($O13-$D13)*'Second Earner'!$C$8)</f>
      </c>
      <c r="AZ13" s="7">
        <f>IF($B13="","",IF($AN13="AL",MAX(0,$AY13-IF($AU13="Married",IF($AY13&lt;=25999,8500,MAX(5000,8500-175*CEILING(($AY13-25999)/500,1))),IF($AU13="Head of household",IF($AY13&lt;=25999,5200,MAX(2500,5200-135*CEILING(($AY13-25999)/500,1))),IF($AY13&lt;=25999,3000,MAX(2500,3000-25*CEILING(($AY13-25999)/500,1)))))-($P13-'How This Works &amp; Sources'!$C$10*$D13)*'Second Earner'!$C$8-IF(OR($AU13="Married",$AU13="Head of household"),3000,1500)-$AT13*IF($AY13&lt;=50000,1000,IF($AY13&lt;=100000,500,300))),IF($AN13="AR",IF(MAX(0,$AY13-2470)&lt;97701,INT(MAX(0,$AY13-2470)/100)*100+50,MAX(0,$AY13-2470)),IF($AN13="DE",MAX(0,$AI13-3250),IF($AN13="HI",MAX(0,$AI13-1144*$AS13-4350),IF($AN13="KS",MAX(0,$AI13-(9160*IF($AU13="Married",2,1)+2320*$AT13+IF($AU13="Head of household",2320,0))),IF($AN13="MD",MAX(0,$AI13-3400-3200*$AS13),IF($AN13="MN",MAX(0,$AY13-5300*$AS13),IF($AN13="MO",MAX(0,$AI13-IF($AU13="Head of household",24150,IF($AU13="Married",IF('Second Earner'!$C$83,16100,32200),16100))),IF($AN13="MT",$AY13,IF($AN13="ND",($C13+$L13)*'Second Earner'!$C$8,IF($AN13="NE",MAX(0,$AY13-2440*$AS13),IF($AN13="NJ",MAX(0,$AY13-1000*$AS13),IF($AN13="NY",MAX(0,$AY13-(IF($AU13="Married",7950,7400)+1000*$AS13)),IF($AN13="OH",MAX(0,$AY13-650*$AS13),IF($AN13="OK",MAX(0,$AY13-1000*$AS13),IF($AN13="RI",MAX(0,$AI13-1000*$AS13),IF($AN13="SC",MAX(0,$AI13-5000*$AS13-IF($AS13=0,0,MIN(0.1*$AI13,7500))),IF($AN13="VA",MAX(0,$AI13-IF($AU13="Married",17500,8750)-930*$AS13-800*$AT13),IF($AN13="VT",MAX(0,$AI13-5400*$AS13),IF($AN13="WI",MAX(0,$AI13-MAX(0,IF($AU13="Married",9461-0.2*MAX(0,$AI13-25727),6702-0.12*MAX(0,$AI13-17780)))-400*$AS13),IF($AN13="WV",MAX(0,$AI13-2000*$AS13),$AI13))))))))))))))))))))))</f>
      </c>
      <c r="BA13" s="7">
        <f>IF($B13="","",IF($BW13&lt;&gt;"",$BW13,IF($BX13&lt;&gt;"",$BX13,IF($BY13&lt;&gt;"",$BY13,0))))</f>
      </c>
      <c r="BB13" s="7">
        <f>IF($B13="","",IF($AN13="AR",-29*$AS13,IF($AN13="DE",-110*$AS13,IF($AN13="MD",$AZ13*'Second Earner'!$C$74,IF($AN13="AZ",'Second Earner'!$C$82*($M13-$D13)*'Second Earner'!$C$8,IF($AN13="CO",0.044*MAX(0,$AY13-IF($AU13="Married",10000,5000)),IF($AN13="IA",MAX(0,0.038*MAX(0,$AY13-IF($AU13="Head of household",19500,IF($AU13="Married",26000,13000)))-40*$AS13),IF($AN13="ID",0.053*MAX(0,$AY13-IF($AU13="Married",32000,16094)),IF($AN13="IL",0.0495*MAX(0,$AY13-(2925*$AS13+1000*$AT13)),IF($AN13="IN",(0.0295+'Second Earner'!$C$76)*MAX(0,$AY13-(1000*$AS13+1500*$AT13+3000*'Second Earner'!$C$86)),IF($AN13="KY",0.035*MAX(0,$AI13-3360),IF($AN13="LA",IF('Second Earner'!$C$84="0",0.0309*$AI13,0.0309*MAX(0,$AI13-IF('Second Earner'!$C$84="2",25750,12875))),IF($AN13="MA",0.05*MIN(MAX(0,$AY13-MIN(($BD12+$Q13+$R13+$S13),2000)-IF($AS13=0,0,IF($AS13=1,4400,1000*$AS13+3400))),1107750)+0.09*MAX(0,MAX(0,$AY13-MIN(($BD12+$Q13+$R13+$S13),2000)-IF($AS13=0,0,IF($AS13=1,4400,1000*$AS13+3400)))-1107750)-IF($AU13="Head of household",120,0)-110*'Second Earner'!$C$75,IF($AN13="MI",0.0425*MAX(0,$AY13-5900*$AS13),IF($AN13="MS",0.04*MAX(0,$AI13-IF($AU13="Head of household",3400,IF($AU13="Married",4600,2300))-'Second Earner'!$C$85-10000),IF($AN13="OR",IF(OR($AU13="Married",AND($AU13="Single",$AS13&gt;=3)),SUMPRODUCT((MAX(0,$AY13-MIN(($P13-'How This Works &amp; Sources'!$C$10*$D13)*'Second Earner'!$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Sources'!$B$211:$J$214,0,4))*(MAX(0,$AY13-MIN(($P13-'How This Works &amp; Sources'!$C$10*$D13)*'Second Earner'!$C$8,IF(OR($AU13="Married",AND($AU13="Single",$AS13&gt;=3)),IF($AY13&lt;250000,8750,IF($AY13&lt;260000,7000,IF($AY13&lt;270000,5250,IF($AY13&lt;280000,3500,IF($AY13&lt;290000,1750,0))))),IF($AY13&lt;125000,8750,IF($AY13&lt;130000,7000,IF($AY13&lt;135000,5250,IF($AY13&lt;140000,3500,IF($AY13&lt;145000,1750,0)))))))-IF(OR($AU13="Married",AND($AU13="Single",$AS13&gt;=3)),5820,2910))-INDEX('How This Works &amp; Sources'!$B$211:$J$214,0,4))*INDEX('How This Works &amp; Sources'!$B$211:$J$214,0,4+2)),SUMPRODUCT((MAX(0,$AY13-MIN(($P13-'How This Works &amp; Sources'!$C$10*$D13)*'Second Earner'!$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Sources'!$B$211:$J$214,0,1))*(MAX(0,$AY13-MIN(($P13-'How This Works &amp; Sources'!$C$10*$D13)*'Second Earner'!$C$8,IF(OR($AU13="Married",AND($AU13="Single",$AS13&gt;=3)),IF($AY13&lt;250000,8750,IF($AY13&lt;260000,7000,IF($AY13&lt;270000,5250,IF($AY13&lt;280000,3500,IF($AY13&lt;290000,1750,0))))),IF($AY13&lt;125000,8750,IF($AY13&lt;130000,7000,IF($AY13&lt;135000,5250,IF($AY13&lt;140000,3500,IF($AY13&lt;145000,1750,0)))))))-IF(OR($AU13="Married",AND($AU13="Single",$AS13&gt;=3)),5820,2910))-INDEX('How This Works &amp; Sources'!$B$211:$J$214,0,1))*INDEX('How This Works &amp; Sources'!$B$211:$J$214,0,1+2)))+263-263*IF(IF($AU13="Married",$AY13&gt;200000,$AY13&gt;100000),0,$AS13),IF($AN13="PA",0.0307*(($O13+$E13+$G13)*'Second Earner'!$C$8),IF($AN13="NY",IF($AU13="Married",IF($AZ13&gt;=2155350,0,IF($AZ13&gt;=1077550,0.48,IF($AZ13&gt;=373200,1.21,IF($AZ13&gt;=323200,0.21,IF($AZ13&gt;=211550,-0.19,IF($AZ13&gt;=157650,-2.8,IF($AZ13&gt;=107650,-0.8,IF($AZ13&gt;=96800,0.05,IF($AZ13&gt;=80650,-0.1,IF($AZ13&gt;=13900,0.4,IF($AZ13&gt;=11700,-0.3,IF($AZ13&gt;=8500,0.5,0)))))))))))),IF($AZ13&gt;=1077550,0,IF($AZ13&gt;=265400,4.29,IF($AZ13&gt;=215400,2.29,IF($AZ13&gt;=157650,2.29,IF($AZ13&gt;=107650,0.29,IF($AZ13&gt;=96800,0.05,IF($AZ13&gt;=80650,-0.1,IF($AZ13&gt;=13900,0.4,IF($AZ13&gt;=11700,-0.3,IF($AZ13&gt;=8500,0.5,0))))))))))),0))))))))))))))))))</f>
      </c>
      <c r="BC13" s="7">
        <f>IF($B13="","",IF($AN13="AL",0.05*$D13,IF($AN13="AR",0.039*$D13,IF($AN13="ID",0.053*$D13,IF($AN13="IN",(0.0295+'Second Earner'!$C$76)*$D13,IF($AN13="KS",0.05*$D13,IF($AN13="MA",0.09*MIN($D13,MAX(0,MAX(0,$AY13-MIN(($BD12+$Q13+$R13+$S13),2000)-IF($AS13=0,0,IF($AS13=1,4400,1000*$AS13+3400)))+$D13-1107750))+0.05*($D13-MIN($D13,MAX(0,MAX(0,$AY13-MIN(($BD12+$Q13+$R13+$S13),2000)-IF($AS13=0,0,IF($AS13=1,4400,1000*$AS13+3400)))+$D13-1107750))),IF($AN13="MD",(0.065+'Second Earner'!$C$74)*$D13,IF($AN13="MI",0.0425*$D13,IF($AN13="MN",0.0625*$D13,IF($AN13="MO",0.047*$D13,IF($AN13="MT",0.05*$D13,IF($AN13="ND",0.015*$D13,IF($AN13="NE",0.035*$D13,IF($AN13="NJ",IF('Second Earner'!$C$77="B",SUMPRODUCT(($D13*'Second Earner'!$C$8&gt;INDEX('How This Works &amp; Sources'!$B$155:$J$162,0,4))*($D13*'Second Earner'!$C$8-INDEX('How This Works &amp; Sources'!$B$155:$J$162,0,4))*INDEX('How This Works &amp; Sources'!$B$155:$J$162,0,4+2)),IF('Second Earner'!$C$77="C",SUMPRODUCT(($D13*'Second Earner'!$C$8&gt;INDEX('How This Works &amp; Sources'!$B$155:$J$162,0,7))*($D13*'Second Earner'!$C$8-INDEX('How This Works &amp; Sources'!$B$155:$J$162,0,7))*INDEX('How This Works &amp; Sources'!$B$155:$J$162,0,7+2)),IF('Second Earner'!$C$77="D",SUMPRODUCT(($D13*'Second Earner'!$C$8&gt;INDEX('How This Works &amp; Sources'!$B$167:$J$179,0,1))*($D13*'Second Earner'!$C$8-INDEX('How This Works &amp; Sources'!$B$167:$J$179,0,1))*INDEX('How This Works &amp; Sources'!$B$167:$J$179,0,1+2)),IF('Second Earner'!$C$77="E",SUMPRODUCT(($D13*'Second Earner'!$C$8&gt;INDEX('How This Works &amp; Sources'!$B$167:$J$179,0,4))*($D13*'Second Earner'!$C$8-INDEX('How This Works &amp; Sources'!$B$167:$J$179,0,4))*INDEX('How This Works &amp; Sources'!$B$167:$J$179,0,4+2)),SUMPRODUCT(($D13*'Second Earner'!$C$8&gt;INDEX('How This Works &amp; Sources'!$B$155:$J$162,0,1))*($D13*'Second Earner'!$C$8-INDEX('How This Works &amp; Sources'!$B$155:$J$162,0,1))*INDEX('How This Works &amp; Sources'!$B$155:$J$162,0,1+2))))))/'Second Earner'!$C$8,IF($AN13="NY",0.117*$D13,IF($AN13="OH",0.0275*$D13,IF($AN13="OK",0.045*$D13,IF($AN13="OR",0.08*$D13,IF($AN13="WI",IF($AY13&lt;12760,0.0354,IF($AY13&lt;25520,0.0465,IF($AY13&lt;280950,0.053,0.0765)))*$D13,0))))))))))))))))))))</f>
      </c>
      <c r="BD13" s="7">
        <f>IF($B13="","",$BD12+$Q13+$R13+$S13)</f>
      </c>
      <c r="BE13" s="6">
        <f>IF($B13="",$BE12,$BE12+$BF13)</f>
      </c>
      <c r="BF13" s="6">
        <f>IF($B13="","",IF(AND(IF(YEAR(IF('Second Earner'!$C$7="Weekly",'Second Earner'!$C$9+7*(($BE12+1)-1),IF('Second Earner'!$C$7="Biweekly",'Second Earner'!$C$9+14*(($BE12+1)-1),IF('Second Earner'!$C$7="Semimonthly",DATE(YEAR('Second Earner'!$C$9),MONTH('Second Earner'!$C$9)+INT((($BE12+1)-1)/2),MIN(DAY('Second Earner'!$C$9),DAY(EOMONTH(DATE(YEAR('Second Earner'!$C$9),MONTH('Second Earner'!$C$9)+INT((($BE12+1)-1)/2),1),0))))+IF(MOD(($BE12+1)-1,2)=1,15,0),EDATE('Second Earner'!$C$9,($BE12+1)-1)))))&lt;&gt;'Second Earner'!$C$10,"",IF('Second Earner'!$C$7="Weekly",'Second Earner'!$C$9+7*(($BE12+1)-1),IF('Second Earner'!$C$7="Biweekly",'Second Earner'!$C$9+14*(($BE12+1)-1),IF('Second Earner'!$C$7="Semimonthly",DATE(YEAR('Second Earner'!$C$9),MONTH('Second Earner'!$C$9)+INT((($BE12+1)-1)/2),MIN(DAY('Second Earner'!$C$9),DAY(EOMONTH(DATE(YEAR('Second Earner'!$C$9),MONTH('Second Earner'!$C$9)+INT((($BE12+1)-1)/2),1),0))))+IF(MOD(($BE12+1)-1,2)=1,15,0),EDATE('Second Earner'!$C$9,($BE12+1)-1)))))&lt;&gt;"",$B13=IF(YEAR(IF('Second Earner'!$C$7="Weekly",'Second Earner'!$C$9+7*(($BE12+1)-1),IF('Second Earner'!$C$7="Biweekly",'Second Earner'!$C$9+14*(($BE12+1)-1),IF('Second Earner'!$C$7="Semimonthly",DATE(YEAR('Second Earner'!$C$9),MONTH('Second Earner'!$C$9)+INT((($BE12+1)-1)/2),MIN(DAY('Second Earner'!$C$9),DAY(EOMONTH(DATE(YEAR('Second Earner'!$C$9),MONTH('Second Earner'!$C$9)+INT((($BE12+1)-1)/2),1),0))))+IF(MOD(($BE12+1)-1,2)=1,15,0),EDATE('Second Earner'!$C$9,($BE12+1)-1)))))&lt;&gt;'Second Earner'!$C$10,"",IF('Second Earner'!$C$7="Weekly",'Second Earner'!$C$9+7*(($BE12+1)-1),IF('Second Earner'!$C$7="Biweekly",'Second Earner'!$C$9+14*(($BE12+1)-1),IF('Second Earner'!$C$7="Semimonthly",DATE(YEAR('Second Earner'!$C$9),MONTH('Second Earner'!$C$9)+INT((($BE12+1)-1)/2),MIN(DAY('Second Earner'!$C$9),DAY(EOMONTH(DATE(YEAR('Second Earner'!$C$9),MONTH('Second Earner'!$C$9)+INT((($BE12+1)-1)/2),1),0))))+IF(MOD(($BE12+1)-1,2)=1,15,0),EDATE('Second Earner'!$C$9,($BE12+1)-1)))))),1,0))</f>
      </c>
      <c r="BG13" s="7">
        <f>IF($B13="","",$BG12+$H13)</f>
      </c>
      <c r="BH13" s="7">
        <f>IF($B13="","",$BH12+$I13)</f>
      </c>
      <c r="BI13" s="7">
        <f>IF($B13="","",$BI12+$G13)</f>
      </c>
      <c r="BJ13" s="7">
        <f>IF($B13="","",IFERROR(LOOKUP(2,1/(((('Changes — Earner 2'!$C$6:$C$17="Deduction start"))*('Changes — Earner 2'!$D$6:$D$17="Health FSA"))*('Changes — Earner 2'!$B$6:$B$17&lt;=$B13)*('Changes — Earner 2'!$B$6:$B$17&lt;&gt;"")),'Changes — Earner 2'!$E$6:$E$17),'Second Earner'!$D$38))</f>
      </c>
      <c r="BK13" s="7">
        <f>IF($B13="","",IFERROR(LOOKUP(2,1/(((('Changes — Earner 2'!$C$6:$C$17="Deduction start"))*('Changes — Earner 2'!$D$6:$D$17="Dependent-care FSA"))*('Changes — Earner 2'!$B$6:$B$17&lt;=$B13)*('Changes — Earner 2'!$B$6:$B$17&lt;&gt;"")),'Changes — Earner 2'!$E$6:$E$17),'Second Earner'!$D$39))</f>
      </c>
      <c r="BL13" s="7">
        <f>IF($B13="","",IFERROR(LOOKUP(2,1/(((('Changes — Earner 2'!$C$6:$C$17="Deduction start")+('Changes — Earner 2'!$C$6:$C$17="Deduction stop"))*('Changes — Earner 2'!$D$6:$D$17="HSA"))*('Changes — Earner 2'!$B$6:$B$17&lt;=$B13)*('Changes — Earner 2'!$B$6:$B$17&lt;&gt;"")),'Changes — Earner 2'!$I$6:$I$17),'Second Earner'!$D$35))</f>
      </c>
      <c r="BM13" s="7">
        <f>IF($B13="","",IFERROR(LOOKUP(2,1/(((('Changes — Earner 2'!$C$6:$C$17="Deduction start")+('Changes — Earner 2'!$C$6:$C$17="Deduction stop"))*('Changes — Earner 2'!$D$6:$D$17="Premiums"))*('Changes — Earner 2'!$B$6:$B$17&lt;=$B13)*('Changes — Earner 2'!$B$6:$B$17&lt;&gt;"")),'Changes — Earner 2'!$I$6:$I$17),'Second Earner'!$D$40+'Second Earner'!$D$41+'Second Earner'!$D$42))</f>
      </c>
      <c r="BN13" s="7">
        <f>IF($B13="","",IFERROR(LOOKUP(2,1/(((('Changes — Earner 2'!$C$6:$C$17="Deduction start")+('Changes — Earner 2'!$C$6:$C$17="Deduction stop"))*('Changes — Earner 2'!$D$6:$D$17="Commuter"))*('Changes — Earner 2'!$B$6:$B$17&lt;=$B13)*('Changes — Earner 2'!$B$6:$B$17&lt;&gt;"")),'Changes — Earner 2'!$I$6:$I$17),'Second Earner'!$D$43))</f>
      </c>
      <c r="BO13" s="7">
        <f>IF($B13="","",IFERROR(LOOKUP(2,1/(((('Changes — Earner 2'!$C$6:$C$17="Deduction start")+('Changes — Earner 2'!$C$6:$C$17="Deduction stop"))*('Changes — Earner 2'!$D$6:$D$17="Other pre-tax"))*('Changes — Earner 2'!$B$6:$B$17&lt;=$B13)*('Changes — Earner 2'!$B$6:$B$17&lt;&gt;"")),'Changes — Earner 2'!$I$6:$I$17),'Second Earner'!$D$44))</f>
      </c>
      <c r="BP13" s="7">
        <f>IF($B13="","",IFERROR(LOOKUP(2,1/(((('Changes — Earner 2'!$C$6:$C$17="Deduction start")+('Changes — Earner 2'!$C$6:$C$17="Deduction stop"))*('Changes — Earner 2'!$D$6:$D$17="Other post-tax"))*('Changes — Earner 2'!$B$6:$B$17&lt;=$B13)*('Changes — Earner 2'!$B$6:$B$17&lt;&gt;"")),'Changes — Earner 2'!$I$6:$I$17),'Second Earner'!$D$45))</f>
      </c>
      <c r="BQ13" s="6">
        <f>IF($B13="","",IFERROR(LOOKUP(2,1/(((('Changes — Earner 2'!$C$6:$C$17="Deduction start")+('Changes — Earner 2'!$C$6:$C$17="Deduction stop"))*('Changes — Earner 2'!$D$6:$D$17="Health FSA"))*('Changes — Earner 2'!$B$6:$B$17&lt;=$B13)*('Changes — Earner 2'!$B$6:$B$17&lt;&gt;"")),'Changes — Earner 2'!$J$6:$J$17),0))</f>
      </c>
      <c r="BR13" s="6">
        <f>IF($B13="","",IFERROR(LOOKUP(2,1/(((('Changes — Earner 2'!$C$6:$C$17="Deduction start")+('Changes — Earner 2'!$C$6:$C$17="Deduction stop"))*('Changes — Earner 2'!$D$6:$D$17="Dependent-care FSA"))*('Changes — Earner 2'!$B$6:$B$17&lt;=$B13)*('Changes — Earner 2'!$B$6:$B$17&lt;&gt;"")),'Changes — Earner 2'!$J$6:$J$17),0))</f>
      </c>
      <c r="BS13" s="6">
        <f>IF($B13="","",IF(SUMPRODUCT(('Changes — Earner 2'!$C$6:$C$17="Deduction start")*('Changes — Earner 2'!$B$6:$B$17&lt;=$B13)*('Changes — Earner 2'!$B$6:$B$17&lt;&gt;"")*('Changes — Earner 2'!$D$6:$D$17="Health FSA"))&gt;0,1,0))</f>
      </c>
      <c r="BT13" s="6">
        <f>IF($B13="","",IF(SUMPRODUCT(('Changes — Earner 2'!$C$6:$C$17="Deduction start")*('Changes — Earner 2'!$B$6:$B$17&lt;=$B13)*('Changes — Earner 2'!$B$6:$B$17&lt;&gt;"")*('Changes — Earner 2'!$D$6:$D$17="Dependent-care FSA"))&gt;0,1,0))</f>
      </c>
      <c r="BU13" s="24">
        <f>IF($B13="","",IF('Second Earner'!$C$13,SUMPRODUCT(($AH13&gt;=INDEX('How This Works &amp; Sources'!$B$29:$J$36,0,IF('Second Earner'!$C$12="MFJ",1,IF('Second Earner'!$C$12="HoH",7,4))))*INDEX('How This Works &amp; Sources'!$B$29:$J$36,0,IF('Second Earner'!$C$12="MFJ",1,IF('Second Earner'!$C$12="HoH",7,4))+2)),SUMPRODUCT(($AH13&gt;=INDEX('How This Works &amp; Sources'!$B$19:$J$26,0,IF('Second Earner'!$C$12="MFJ",1,IF('Second Earner'!$C$12="HoH",7,4))))*INDEX('How This Works &amp; Sources'!$B$19:$J$26,0,IF('Second Earner'!$C$12="MFJ",1,IF('Second Earner'!$C$12="HoH",7,4))+2))))</f>
      </c>
      <c r="BV13" s="24">
        <f>IF($B13="","",IF($BZ13&lt;&gt;"",$BZ13,IF($CA13&lt;&gt;"",$CA13,IF($CB13&lt;&gt;"",$CB13,IF($CC13&lt;&gt;"",$CC13,0)))))</f>
      </c>
      <c r="BW13" s="7">
        <f>IF($B13="","",IF($AN13="AR",SUMPRODUCT(($AZ13&gt;INDEX('How This Works &amp; Sources'!$B$82:$J$86,0,7))*($AZ13-INDEX('How This Works &amp; Sources'!$B$82:$J$86,0,7))*INDEX('How This Works &amp; Sources'!$B$82:$J$86,0,7+2)),IF($AN13="MD",IF(OR($AU13="Married",$AU13="Head of household"),SUMPRODUCT(($AZ13&gt;INDEX('How This Works &amp; Sources'!$B$114:$J$120,0,1))*($AZ13-INDEX('How This Works &amp; Sources'!$B$114:$J$120,0,1))*INDEX('How This Works &amp; Sources'!$B$114:$J$120,0,1+2)),SUMPRODUCT(($AZ13&gt;INDEX('How This Works &amp; Sources'!$B$103:$J$109,0,7))*($AZ13-INDEX('How This Works &amp; Sources'!$B$103:$J$109,0,7))*INDEX('How This Works &amp; Sources'!$B$103:$J$109,0,7+2))),IF($AN13="MT",IF($AU13="Head of household",SUMPRODUCT(($AZ13&gt;INDEX('How This Works &amp; Sources'!$B$137:$J$139,0,1))*($AZ13-INDEX('How This Works &amp; Sources'!$B$137:$J$139,0,1))*INDEX('How This Works &amp; Sources'!$B$137:$J$139,0,1+2)),IF($AU13="Married",SUMPRODUCT(($AZ13&gt;INDEX('How This Works &amp; Sources'!$B$125:$J$132,0,7))*($AZ13-INDEX('How This Works &amp; Sources'!$B$125:$J$132,0,7))*INDEX('How This Works &amp; Sources'!$B$125:$J$132,0,7+2)),SUMPRODUCT(($AZ13&gt;INDEX('How This Works &amp; Sources'!$B$125:$J$132,0,4))*($AZ13-INDEX('How This Works &amp; Sources'!$B$125:$J$132,0,4))*INDEX('How This Works &amp; Sources'!$B$125:$J$132,0,4+2)))),IF($AN13="ND",IF($AU13="Head of household",SUMPRODUCT(($AZ13&gt;INDEX('How This Works &amp; Sources'!$B$144:$J$150,0,1))*($AZ13-INDEX('How This Works &amp; Sources'!$B$144:$J$150,0,1))*INDEX('How This Works &amp; Sources'!$B$144:$J$150,0,1+2)),IF($AU13="Married",SUMPRODUCT(($AZ13&gt;INDEX('How This Works &amp; Sources'!$B$137:$J$139,0,7))*($AZ13-INDEX('How This Works &amp; Sources'!$B$137:$J$139,0,7))*INDEX('How This Works &amp; Sources'!$B$137:$J$139,0,7+2)),SUMPRODUCT(($AZ13&gt;INDEX('How This Works &amp; Sources'!$B$137:$J$139,0,4))*($AZ13-INDEX('How This Works &amp; Sources'!$B$137:$J$139,0,4))*INDEX('How This Works &amp; Sources'!$B$137:$J$139,0,4+2)))),IF($AN13="NJ",IF('Second Earner'!$C$77="B",SUMPRODUCT(($AZ13&gt;INDEX('How This Works &amp; Sources'!$B$155:$J$162,0,4))*($AZ13-INDEX('How This Works &amp; Sources'!$B$155:$J$162,0,4))*INDEX('How This Works &amp; Sources'!$B$155:$J$162,0,4+2)),IF('Second Earner'!$C$77="C",SUMPRODUCT(($AZ13&gt;INDEX('How This Works &amp; Sources'!$B$155:$J$162,0,7))*($AZ13-INDEX('How This Works &amp; Sources'!$B$155:$J$162,0,7))*INDEX('How This Works &amp; Sources'!$B$155:$J$162,0,7+2)),IF('Second Earner'!$C$77="D",SUMPRODUCT(($AZ13&gt;INDEX('How This Works &amp; Sources'!$B$167:$J$179,0,1))*($AZ13-INDEX('How This Works &amp; Sources'!$B$167:$J$179,0,1))*INDEX('How This Works &amp; Sources'!$B$167:$J$179,0,1+2)),IF('Second Earner'!$C$77="E",SUMPRODUCT(($AZ13&gt;INDEX('How This Works &amp; Sources'!$B$167:$J$179,0,4))*($AZ13-INDEX('How This Works &amp; Sources'!$B$167:$J$179,0,4))*INDEX('How This Works &amp; Sources'!$B$167:$J$179,0,4+2)),SUMPRODUCT(($AZ13&gt;INDEX('How This Works &amp; Sources'!$B$155:$J$162,0,1))*($AZ13-INDEX('How This Works &amp; Sources'!$B$155:$J$162,0,1))*INDEX('How This Works &amp; Sources'!$B$155:$J$162,0,1+2)))))),IF($AN13="NY",IF($AU13="Married",IF($AZ13&gt;=2155350,$AZ13*IF($AZ13&gt;25000000,0.117,IF($AZ13&gt;5000000,0.111,0.1045)),SUMPRODUCT(($AZ13&gt;INDEX('How This Works &amp; Sources'!$B$184:$J$198,0,1))*($AZ13-INDEX('How This Works &amp; Sources'!$B$184:$J$198,0,1))*INDEX('How This Works &amp; Sources'!$B$184:$J$198,0,1+2))),IF($AZ13&gt;=1077550,$AZ13*IF($AZ13&gt;25000000,0.117,IF($AZ13&gt;5000000,0.111,0.1045)),SUMPRODUCT(($AZ13&gt;INDEX('How This Works &amp; Sources'!$B$167:$J$179,0,7))*($AZ13-INDEX('How This Works &amp; Sources'!$B$167:$J$179,0,7))*INDEX('How This Works &amp; Sources'!$B$167:$J$179,0,7+2)))),"")))))))</f>
      </c>
      <c r="BX13" s="7">
        <f>IF($B13="","",IF($AN13="AL",IF(OR($AU13="Married",$AU13="Head of household"),SUMPRODUCT(($AZ13&gt;INDEX('How This Works &amp; Sources'!$B$82:$J$86,0,4))*($AZ13-INDEX('How This Works &amp; Sources'!$B$82:$J$86,0,4))*INDEX('How This Works &amp; Sources'!$B$82:$J$86,0,4+2)),SUMPRODUCT(($AZ13&gt;INDEX('How This Works &amp; Sources'!$B$82:$J$86,0,1))*($AZ13-INDEX('How This Works &amp; Sources'!$B$82:$J$86,0,1))*INDEX('How This Works &amp; Sources'!$B$82:$J$86,0,1+2))),IF($AN13="KS",IF($AU13="Married",SUMPRODUCT(($AZ13&gt;INDEX('How This Works &amp; Sources'!$B$103:$J$109,0,4))*($AZ13-INDEX('How This Works &amp; Sources'!$B$103:$J$109,0,4))*INDEX('How This Works &amp; Sources'!$B$103:$J$109,0,4+2)),SUMPRODUCT(($AZ13&gt;INDEX('How This Works &amp; Sources'!$B$103:$J$109,0,1))*($AZ13-INDEX('How This Works &amp; Sources'!$B$103:$J$109,0,1))*INDEX('How This Works &amp; Sources'!$B$103:$J$109,0,1+2))),IF($AN13="MN",IF($AU13="Married",SUMPRODUCT(($AZ13&gt;INDEX('How This Works &amp; Sources'!$B$114:$J$120,0,7))*($AZ13-INDEX('How This Works &amp; Sources'!$B$114:$J$120,0,7))*INDEX('How This Works &amp; Sources'!$B$114:$J$120,0,7+2)),SUMPRODUCT(($AZ13&gt;INDEX('How This Works &amp; Sources'!$B$114:$J$120,0,4))*($AZ13-INDEX('How This Works &amp; Sources'!$B$114:$J$120,0,4))*INDEX('How This Works &amp; Sources'!$B$114:$J$120,0,4+2))),IF($AN13="MO",SUMPRODUCT(($AZ13&gt;INDEX('How This Works &amp; Sources'!$B$125:$J$132,0,1))*($AZ13-INDEX('How This Works &amp; Sources'!$B$125:$J$132,0,1))*INDEX('How This Works &amp; Sources'!$B$125:$J$132,0,1+2)),IF($AN13="NE",MAX(IF($AU13="Married",SUMPRODUCT(($AZ13&gt;INDEX('How This Works &amp; Sources'!$B$144:$J$150,0,7))*($AZ13-INDEX('How This Works &amp; Sources'!$B$144:$J$150,0,7))*INDEX('How This Works &amp; Sources'!$B$144:$J$150,0,7+2)),SUMPRODUCT(($AZ13&gt;INDEX('How This Works &amp; Sources'!$B$144:$J$150,0,4))*($AZ13-INDEX('How This Works &amp; Sources'!$B$144:$J$150,0,4))*INDEX('How This Works &amp; Sources'!$B$144:$J$150,0,4+2))),0.015*$AZ13),IF($AN13="OH",IF($B13&gt;=DATE(2026,8,1),SUMPRODUCT(($AZ13&gt;INDEX('How This Works &amp; Sources'!$B$203:$J$206,0,1))*($AZ13-INDEX('How This Works &amp; Sources'!$B$203:$J$206,0,1))*INDEX('How This Works &amp; Sources'!$B$203:$J$206,0,1+2)),SUMPRODUCT(($AZ13&gt;INDEX('How This Works &amp; Sources'!$B$184:$J$198,0,7))*($AZ13-INDEX('How This Works &amp; Sources'!$B$184:$J$198,0,7))*INDEX('How This Works &amp; Sources'!$B$184:$J$198,0,7+2))),IF($AN13="OK",IF($AU13="Married",SUMPRODUCT(($AZ13&gt;INDEX('How This Works &amp; Sources'!$B$203:$J$206,0,7))*($AZ13-INDEX('How This Works &amp; Sources'!$B$203:$J$206,0,7))*INDEX('How This Works &amp; Sources'!$B$203:$J$206,0,7+2)),SUMPRODUCT(($AZ13&gt;INDEX('How This Works &amp; Sources'!$B$203:$J$206,0,4))*($AZ13-INDEX('How This Works &amp; Sources'!$B$203:$J$206,0,4))*INDEX('How This Works &amp; Sources'!$B$203:$J$206,0,4+2))),IF($AN13="VT",IF($AU13="Married",SUMPRODUCT(($AZ13&gt;INDEX('How This Works &amp; Sources'!$B$228:$J$232,0,1))*($AZ13-INDEX('How This Works &amp; Sources'!$B$228:$J$232,0,1))*INDEX('How This Works &amp; Sources'!$B$228:$J$232,0,1+2)),SUMPRODUCT(($AZ13&gt;INDEX('How This Works &amp; Sources'!$B$219:$J$223,0,7))*($AZ13-INDEX('How This Works &amp; Sources'!$B$219:$J$223,0,7))*INDEX('How This Works &amp; Sources'!$B$219:$J$223,0,7+2))),IF($AN13="WV",IF($AU13="Married",SUMPRODUCT(($AZ13&gt;INDEX('How This Works &amp; Sources'!$B$237:$J$241,0,7))*($AZ13-INDEX('How This Works &amp; Sources'!$B$237:$J$241,0,7))*INDEX('How This Works &amp; Sources'!$B$237:$J$241,0,7+2)),SUMPRODUCT(($AZ13&gt;INDEX('How This Works &amp; Sources'!$B$228:$J$232,0,7))*($AZ13-INDEX('How This Works &amp; Sources'!$B$228:$J$232,0,7))*INDEX('How This Works &amp; Sources'!$B$228:$J$232,0,7+2))),""))))))))))</f>
      </c>
      <c r="BY13" s="7">
        <f>IF($B13="","",IF($AN13="DE",SUMPRODUCT(($AZ13&gt;INDEX('How This Works &amp; Sources'!$B$91:$J$98,0,1))*($AZ13-INDEX('How This Works &amp; Sources'!$B$91:$J$98,0,1))*INDEX('How This Works &amp; Sources'!$B$91:$J$98,0,1+2)),IF($AN13="HI",IF($AU13="Married",SUMPRODUCT(($AZ13&gt;INDEX('How This Works &amp; Sources'!$B$91:$J$98,0,7))*($AZ13-INDEX('How This Works &amp; Sources'!$B$91:$J$98,0,7))*INDEX('How This Works &amp; Sources'!$B$91:$J$98,0,7+2)),SUMPRODUCT(($AZ13&gt;INDEX('How This Works &amp; Sources'!$B$91:$J$98,0,4))*($AZ13-INDEX('How This Works &amp; Sources'!$B$91:$J$98,0,4))*INDEX('How This Works &amp; Sources'!$B$91:$J$98,0,4+2))),IF($AN13="RI",SUMPRODUCT(($AZ13&gt;INDEX('How This Works &amp; Sources'!$B$211:$J$214,0,7))*($AZ13-INDEX('How This Works &amp; Sources'!$B$211:$J$214,0,7))*INDEX('How This Works &amp; Sources'!$B$211:$J$214,0,7+2)),IF($AN13="SC",SUMPRODUCT(($AZ13&gt;INDEX('How This Works &amp; Sources'!$B$219:$J$223,0,1))*($AZ13-INDEX('How This Works &amp; Sources'!$B$219:$J$223,0,1))*INDEX('How This Works &amp; Sources'!$B$219:$J$223,0,1+2)),IF($AN13="VA",SUMPRODUCT(($AZ13&gt;INDEX('How This Works &amp; Sources'!$B$219:$J$223,0,4))*($AZ13-INDEX('How This Works &amp; Sources'!$B$219:$J$223,0,4))*INDEX('How This Works &amp; Sources'!$B$219:$J$223,0,4+2)),IF($AN13="WI",SUMPRODUCT(($AZ13&gt;INDEX('How This Works &amp; Sources'!$B$228:$J$232,0,4))*($AZ13-INDEX('How This Works &amp; Sources'!$B$228:$J$232,0,4))*INDEX('How This Works &amp; Sources'!$B$228:$J$232,0,4+2)),"")))))))</f>
      </c>
      <c r="BZ13" s="24">
        <f>IF($B13="","",IF($AN13="KS",IF($AU13="Married",SUMPRODUCT(($AZ13&gt;=INDEX('How This Works &amp; Sources'!$B$103:$J$109,0,4))*INDEX('How This Works &amp; Sources'!$B$103:$J$109,0,4+2)),SUMPRODUCT(($AZ13&gt;=INDEX('How This Works &amp; Sources'!$B$103:$J$109,0,1))*INDEX('How This Works &amp; Sources'!$B$103:$J$109,0,1+2))),IF($AN13="MT",IF($AU13="Head of household",SUMPRODUCT(($AZ13&gt;=INDEX('How This Works &amp; Sources'!$B$137:$J$139,0,1))*INDEX('How This Works &amp; Sources'!$B$137:$J$139,0,1+2)),IF($AU13="Married",SUMPRODUCT(($AZ13&gt;=INDEX('How This Works &amp; Sources'!$B$125:$J$132,0,7))*INDEX('How This Works &amp; Sources'!$B$125:$J$132,0,7+2)),SUMPRODUCT(($AZ13&gt;=INDEX('How This Works &amp; Sources'!$B$125:$J$132,0,4))*INDEX('How This Works &amp; Sources'!$B$125:$J$132,0,4+2)))),IF($AN13="OR",IF(OR($AU13="Married",AND($AU13="Single",$AS13&gt;=3)),SUMPRODUCT((MAX(0,$AY13-MIN(($P13-'How This Works &amp; Sources'!$C$10*$D13)*'Second Earner'!$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Sources'!$B$211:$J$214,0,4))*INDEX('How This Works &amp; Sources'!$B$211:$J$214,0,4+2)),SUMPRODUCT((MAX(0,$AY13-MIN(($P13-'How This Works &amp; Sources'!$C$10*$D13)*'Second Earner'!$C$8,IF(OR($AU13="Married",AND($AU13="Single",$AS13&gt;=3)),IF($AY13&lt;250000,8750,IF($AY13&lt;260000,7000,IF($AY13&lt;270000,5250,IF($AY13&lt;280000,3500,IF($AY13&lt;290000,1750,0))))),IF($AY13&lt;125000,8750,IF($AY13&lt;130000,7000,IF($AY13&lt;135000,5250,IF($AY13&lt;140000,3500,IF($AY13&lt;145000,1750,0)))))))-IF(OR($AU13="Married",AND($AU13="Single",$AS13&gt;=3)),5820,2910))&gt;=INDEX('How This Works &amp; Sources'!$B$211:$J$214,0,1))*INDEX('How This Works &amp; Sources'!$B$211:$J$214,0,1+2)))*IF(($P13-'How This Works &amp; Sources'!$C$10*$D13)*'Second Earner'!$C$8&gt;=IF(OR($AU13="Married",AND($AU13="Single",$AS13&gt;=3)),IF($AY13&lt;250000,8750,IF($AY13&lt;260000,7000,IF($AY13&lt;270000,5250,IF($AY13&lt;280000,3500,IF($AY13&lt;290000,1750,0))))),IF($AY13&lt;125000,8750,IF($AY13&lt;130000,7000,IF($AY13&lt;135000,5250,IF($AY13&lt;140000,3500,IF($AY13&lt;145000,1750,0)))))),1,1-IF('Second Earner'!$C$13,SUMPRODUCT(($AH13&gt;=INDEX('How This Works &amp; Sources'!$B$29:$J$36,0,IF('Second Earner'!$C$12="MFJ",1,IF('Second Earner'!$C$12="HoH",7,4))))*INDEX('How This Works &amp; Sources'!$B$29:$J$36,0,IF('Second Earner'!$C$12="MFJ",1,IF('Second Earner'!$C$12="HoH",7,4))+2)),SUMPRODUCT(($AH13&gt;=INDEX('How This Works &amp; Sources'!$B$19:$J$26,0,IF('Second Earner'!$C$12="MFJ",1,IF('Second Earner'!$C$12="HoH",7,4))))*INDEX('How This Works &amp; Sources'!$B$19:$J$26,0,IF('Second Earner'!$C$12="MFJ",1,IF('Second Earner'!$C$12="HoH",7,4))+2)))),""))))</f>
      </c>
      <c r="CA13" s="24">
        <f>IF($B13="","",IF($AN13="CA",SUMPRODUCT(($AJ13&gt;=INDEX('How This Works &amp; Sources'!$B$39:$J$48,0,IF($AU13="Married",4,IF($AU13="Head of household",7,1))))*INDEX('How This Works &amp; Sources'!$B$39:$J$48,0,IF($AU13="Married",4,IF($AU13="Head of household",7,1))+2)),IF($AN13="AL",IF(OR($AU13="Married",$AU13="Head of household"),SUMPRODUCT(($AZ13&gt;=INDEX('How This Works &amp; Sources'!$B$82:$J$86,0,4))*INDEX('How This Works &amp; Sources'!$B$82:$J$86,0,4+2)),SUMPRODUCT(($AZ13&gt;=INDEX('How This Works &amp; Sources'!$B$82:$J$86,0,1))*INDEX('How This Works &amp; Sources'!$B$82:$J$86,0,1+2)))*(1-IF('Second Earner'!$C$13,SUMPRODUCT(($AH13&gt;=INDEX('How This Works &amp; Sources'!$B$29:$J$36,0,IF('Second Earner'!$C$12="MFJ",1,IF('Second Earner'!$C$12="HoH",7,4))))*INDEX('How This Works &amp; Sources'!$B$29:$J$36,0,IF('Second Earner'!$C$12="MFJ",1,IF('Second Earner'!$C$12="HoH",7,4))+2)),SUMPRODUCT(($AH13&gt;=INDEX('How This Works &amp; Sources'!$B$19:$J$26,0,IF('Second Earner'!$C$12="MFJ",1,IF('Second Earner'!$C$12="HoH",7,4))))*INDEX('How This Works &amp; Sources'!$B$19:$J$26,0,IF('Second Earner'!$C$12="MFJ",1,IF('Second Earner'!$C$12="HoH",7,4))+2)))),IF($AN13="ND",IF($AU13="Head of household",SUMPRODUCT(($AZ13&gt;=INDEX('How This Works &amp; Sources'!$B$144:$J$150,0,1))*INDEX('How This Works &amp; Sources'!$B$144:$J$150,0,1+2)),IF($AU13="Married",SUMPRODUCT(($AZ13&gt;=INDEX('How This Works &amp; Sources'!$B$137:$J$139,0,7))*INDEX('How This Works &amp; Sources'!$B$137:$J$139,0,7+2)),SUMPRODUCT(($AZ13&gt;=INDEX('How This Works &amp; Sources'!$B$137:$J$139,0,4))*INDEX('How This Works &amp; Sources'!$B$137:$J$139,0,4+2)))),IF($AN13="NJ",IF('Second Earner'!$C$77="B",SUMPRODUCT(($AZ13&gt;=INDEX('How This Works &amp; Sources'!$B$155:$J$162,0,4))*INDEX('How This Works &amp; Sources'!$B$155:$J$162,0,4+2)),IF('Second Earner'!$C$77="C",SUMPRODUCT(($AZ13&gt;=INDEX('How This Works &amp; Sources'!$B$155:$J$162,0,7))*INDEX('How This Works &amp; Sources'!$B$155:$J$162,0,7+2)),IF('Second Earner'!$C$77="D",SUMPRODUCT(($AZ13&gt;=INDEX('How This Works &amp; Sources'!$B$167:$J$179,0,1))*INDEX('How This Works &amp; Sources'!$B$167:$J$179,0,1+2)),IF('Second Earner'!$C$77="E",SUMPRODUCT(($AZ13&gt;=INDEX('How This Works &amp; Sources'!$B$167:$J$179,0,4))*INDEX('How This Works &amp; Sources'!$B$167:$J$179,0,4+2)),SUMPRODUCT(($AZ13&gt;=INDEX('How This Works &amp; Sources'!$B$155:$J$162,0,1))*INDEX('How This Works &amp; Sources'!$B$155:$J$162,0,1+2)))))),IF($AN13="NY",IF($AU13="Married",IF($AZ13&gt;=2155350,IF($AZ13&gt;25000000,0.117,IF($AZ13&gt;5000000,0.111,0.1045)),SUMPRODUCT(($AZ13&gt;=INDEX('How This Works &amp; Sources'!$B$184:$J$198,0,1))*INDEX('How This Works &amp; Sources'!$B$184:$J$198,0,1+2))),IF($AZ13&gt;=1077550,IF($AZ13&gt;25000000,0.117,IF($AZ13&gt;5000000,0.111,0.1045)),SUMPRODUCT(($AZ13&gt;=INDEX('How This Works &amp; Sources'!$B$167:$J$179,0,7))*INDEX('How This Works &amp; Sources'!$B$167:$J$179,0,7+2)))),IF($AN13="LA",0.0309,"")))))))</f>
      </c>
      <c r="CB13" s="24">
        <f>IF($B13="","",IF($AN13="HI",IF($AU13="Married",SUMPRODUCT(($AZ13&gt;=INDEX('How This Works &amp; Sources'!$B$91:$J$98,0,7))*INDEX('How This Works &amp; Sources'!$B$91:$J$98,0,7+2)),SUMPRODUCT(($AZ13&gt;=INDEX('How This Works &amp; Sources'!$B$91:$J$98,0,4))*INDEX('How This Works &amp; Sources'!$B$91:$J$98,0,4+2))),IF($AN13="MD",IF(OR($AU13="Married",$AU13="Head of household"),SUMPRODUCT(($AZ13&gt;=INDEX('How This Works &amp; Sources'!$B$114:$J$120,0,1))*INDEX('How This Works &amp; Sources'!$B$114:$J$120,0,1+2)),SUMPRODUCT(($AZ13&gt;=INDEX('How This Works &amp; Sources'!$B$103:$J$109,0,7))*INDEX('How This Works &amp; Sources'!$B$103:$J$109,0,7+2)))+'Second Earner'!$C$74,IF($AN13="MN",IF($AU13="Married",SUMPRODUCT(($AZ13&gt;=INDEX('How This Works &amp; Sources'!$B$114:$J$120,0,7))*INDEX('How This Works &amp; Sources'!$B$114:$J$120,0,7+2)),SUMPRODUCT(($AZ13&gt;=INDEX('How This Works &amp; Sources'!$B$114:$J$120,0,4))*INDEX('How This Works &amp; Sources'!$B$114:$J$120,0,4+2))),IF($AN13="MO",SUMPRODUCT(($AZ13&gt;=INDEX('How This Works &amp; Sources'!$B$125:$J$132,0,1))*INDEX('How This Works &amp; Sources'!$B$125:$J$132,0,1+2)),IF($AN13="NE",MAX(IF($AU13="Married",SUMPRODUCT(($AZ13&gt;=INDEX('How This Works &amp; Sources'!$B$144:$J$150,0,7))*INDEX('How This Works &amp; Sources'!$B$144:$J$150,0,7+2)),SUMPRODUCT(($AZ13&gt;=INDEX('How This Works &amp; Sources'!$B$144:$J$150,0,4))*INDEX('How This Works &amp; Sources'!$B$144:$J$150,0,4+2))),0.015),IF($AN13="OH",IF($B13&gt;=DATE(2026,8,1),SUMPRODUCT(($AZ13&gt;=INDEX('How This Works &amp; Sources'!$B$203:$J$206,0,1))*INDEX('How This Works &amp; Sources'!$B$203:$J$206,0,1+2)),SUMPRODUCT(($AZ13&gt;=INDEX('How This Works &amp; Sources'!$B$184:$J$198,0,7))*INDEX('How This Works &amp; Sources'!$B$184:$J$198,0,7+2))),IF($AN13="OK",IF($AU13="Married",SUMPRODUCT(($AZ13&gt;=INDEX('How This Works &amp; Sources'!$B$203:$J$206,0,7))*INDEX('How This Works &amp; Sources'!$B$203:$J$206,0,7+2)),SUMPRODUCT(($AZ13&gt;=INDEX('How This Works &amp; Sources'!$B$203:$J$206,0,4))*INDEX('How This Works &amp; Sources'!$B$203:$J$206,0,4+2))),IF($AN13="RI",SUMPRODUCT(($AZ13&gt;=INDEX('How This Works &amp; Sources'!$B$211:$J$214,0,7))*INDEX('How This Works &amp; Sources'!$B$211:$J$214,0,7+2)),IF($AN13="VT",IF($AU13="Married",SUMPRODUCT(($AZ13&gt;=INDEX('How This Works &amp; Sources'!$B$228:$J$232,0,1))*INDEX('How This Works &amp; Sources'!$B$228:$J$232,0,1+2)),SUMPRODUCT(($AZ13&gt;=INDEX('How This Works &amp; Sources'!$B$219:$J$223,0,7))*INDEX('How This Works &amp; Sources'!$B$219:$J$223,0,7+2))),IF($AN13="WV",IF($AU13="Married",SUMPRODUCT(($AZ13&gt;=INDEX('How This Works &amp; Sources'!$B$237:$J$241,0,7))*INDEX('How This Works &amp; Sources'!$B$237:$J$241,0,7+2)),SUMPRODUCT(($AZ13&gt;=INDEX('How This Works &amp; Sources'!$B$228:$J$232,0,7))*INDEX('How This Works &amp; Sources'!$B$228:$J$232,0,7+2))),IF($AN13="AZ",'Second Earner'!$C$82,IF($AN13="ID",IF($AY13&gt;IF($AU13="Married",32000,16094),0.053,0),"")))))))))))))</f>
      </c>
      <c r="CC13" s="24">
        <f>IF($B13="","",IF($AN13="AR",SUMPRODUCT(($AZ13&gt;=INDEX('How This Works &amp; Sources'!$B$82:$J$86,0,7))*INDEX('How This Works &amp; Sources'!$B$82:$J$86,0,7+2)),IF($AN13="DE",SUMPRODUCT(($AZ13&gt;=INDEX('How This Works &amp; Sources'!$B$91:$J$98,0,1))*INDEX('How This Works &amp; Sources'!$B$91:$J$98,0,1+2)),IF($AN13="SC",SUMPRODUCT(($AZ13&gt;=INDEX('How This Works &amp; Sources'!$B$219:$J$223,0,1))*INDEX('How This Works &amp; Sources'!$B$219:$J$223,0,1+2)),IF($AN13="VA",SUMPRODUCT(($AZ13&gt;=INDEX('How This Works &amp; Sources'!$B$219:$J$223,0,4))*INDEX('How This Works &amp; Sources'!$B$219:$J$223,0,4+2)),IF($AN13="WI",SUMPRODUCT(($AZ13&gt;=INDEX('How This Works &amp; Sources'!$B$228:$J$232,0,4))*INDEX('How This Works &amp; Sources'!$B$228:$J$232,0,4+2)),IF($AN13="CO",IF($AY13&gt;IF($AU13="Married",10000,5000),0.044,0),IF($AN13="IA",IF($AY13&gt;IF($AU13="Head of household",19500,IF($AU13="Married",26000,13000)),0.038,0),IF($AN13="IL",IF($AY13&gt;(2925*$AS13+1000*$AT13),0.0495,0),IF($AN13="IN",(0.0295+'Second Earner'!$C$76),IF($AN13="KY",IF($AI13&gt;3360,0.035,0),IF($AN13="MA",IF(MAX(0,$AY13-MIN(($BD12+$Q13+$R13+$S13),2000)-IF($AS13=0,0,IF($AS13=1,4400,1000*$AS13+3400)))&gt;=1107750,0.09,0.05),IF($AN13="MI",IF($AY13&gt;5900*$AS13,0.0425,0),IF($AN13="MS",IF($AI13-IF($AU13="Head of household",3400,IF($AU13="Married",4600,2300))-'Second Earner'!$C$85&gt;10000,0.04,0),IF($AN13="PA",0.0307,"")))))))))))))))</f>
      </c>
      <c r="CD13" s="21">
        <f>IF(YEAR(IF('Second Earner'!$C$7="Weekly",'Second Earner'!$C$9+7*(($BE12+1)-1),IF('Second Earner'!$C$7="Biweekly",'Second Earner'!$C$9+14*(($BE12+1)-1),IF('Second Earner'!$C$7="Semimonthly",DATE(YEAR('Second Earner'!$C$9),MONTH('Second Earner'!$C$9)+INT((($BE12+1)-1)/2),MIN(DAY('Second Earner'!$C$9),DAY(EOMONTH(DATE(YEAR('Second Earner'!$C$9),MONTH('Second Earner'!$C$9)+INT((($BE12+1)-1)/2),1),0))))+IF(MOD(($BE12+1)-1,2)=1,15,0),EDATE('Second Earner'!$C$9,($BE12+1)-1)))))&lt;&gt;'Second Earner'!$C$10,"",IF('Second Earner'!$C$7="Weekly",'Second Earner'!$C$9+7*(($BE12+1)-1),IF('Second Earner'!$C$7="Biweekly",'Second Earner'!$C$9+14*(($BE12+1)-1),IF('Second Earner'!$C$7="Semimonthly",DATE(YEAR('Second Earner'!$C$9),MONTH('Second Earner'!$C$9)+INT((($BE12+1)-1)/2),MIN(DAY('Second Earner'!$C$9),DAY(EOMONTH(DATE(YEAR('Second Earner'!$C$9),MONTH('Second Earner'!$C$9)+INT((($BE12+1)-1)/2),1),0))))+IF(MOD(($BE12+1)-1,2)=1,15,0),EDATE('Second Earner'!$C$9,($BE12+1)-1)))))</f>
      </c>
      <c r="CE13" s="21">
        <f>IF(MIN(IF(AND('Second Earner'!$C$58&gt;MAX($B$6:$B12),'Second Earner'!$C$58&gt;=DATE('Second Earner'!$C$10,1,1),'Second Earner'!$C$58&lt;=DATE('Second Earner'!$C$10,12,31)),'Second Earner'!$C$58,999999),IF(AND('Second Earner'!$C$59&gt;MAX($B$6:$B12),'Second Earner'!$C$59&gt;=DATE('Second Earner'!$C$10,1,1),'Second Earner'!$C$59&lt;=DATE('Second Earner'!$C$10,12,31)),'Second Earner'!$C$59,999999),IF(AND('Second Earner'!$C$60&gt;MAX($B$6:$B12),'Second Earner'!$C$60&gt;=DATE('Second Earner'!$C$10,1,1),'Second Earner'!$C$60&lt;=DATE('Second Earner'!$C$10,12,31)),'Second Earner'!$C$60,999999),IF(AND('Second Earner'!$C$61&gt;MAX($B$6:$B12),'Second Earner'!$C$61&gt;=DATE('Second Earner'!$C$10,1,1),'Second Earner'!$C$61&lt;=DATE('Second Earner'!$C$10,12,31)),'Second Earner'!$C$61,999999),IF(AND('Second Earner'!$C$62&gt;MAX($B$6:$B12),'Second Earner'!$C$62&gt;=DATE('Second Earner'!$C$10,1,1),'Second Earner'!$C$62&lt;=DATE('Second Earner'!$C$10,12,31)),'Second Earner'!$C$62,999999),IF(AND('Second Earner'!$C$63&gt;MAX($B$6:$B12),'Second Earner'!$C$63&gt;=DATE('Second Earner'!$C$10,1,1),'Second Earner'!$C$63&lt;=DATE('Second Earner'!$C$10,12,31)),'Second Earner'!$C$63,999999),IF(AND('Second Earner'!$C$64&gt;MAX($B$6:$B12),'Second Earner'!$C$64&gt;=DATE('Second Earner'!$C$10,1,1),'Second Earner'!$C$64&lt;=DATE('Second Earner'!$C$10,12,31)),'Second Earner'!$C$64,999999),IF(AND('Second Earner'!$C$65&gt;MAX($B$6:$B12),'Second Earner'!$C$65&gt;=DATE('Second Earner'!$C$10,1,1),'Second Earner'!$C$65&lt;=DATE('Second Earner'!$C$10,12,31)),'Second Earner'!$C$65,999999),IF(AND('Second Earner'!$C$66&gt;MAX($B$6:$B12),'Second Earner'!$C$66&gt;=DATE('Second Earner'!$C$10,1,1),'Second Earner'!$C$66&lt;=DATE('Second Earner'!$C$10,12,31)),'Second Earner'!$C$66,999999),IF(AND('Second Earner'!$C$67&gt;MAX($B$6:$B12),'Second Earner'!$C$67&gt;=DATE('Second Earner'!$C$10,1,1),'Second Earner'!$C$67&lt;=DATE('Second Earner'!$C$10,12,31)),'Second Earner'!$C$67,999999))=999999,"",MIN(IF(AND('Second Earner'!$C$58&gt;MAX($B$6:$B12),'Second Earner'!$C$58&gt;=DATE('Second Earner'!$C$10,1,1),'Second Earner'!$C$58&lt;=DATE('Second Earner'!$C$10,12,31)),'Second Earner'!$C$58,999999),IF(AND('Second Earner'!$C$59&gt;MAX($B$6:$B12),'Second Earner'!$C$59&gt;=DATE('Second Earner'!$C$10,1,1),'Second Earner'!$C$59&lt;=DATE('Second Earner'!$C$10,12,31)),'Second Earner'!$C$59,999999),IF(AND('Second Earner'!$C$60&gt;MAX($B$6:$B12),'Second Earner'!$C$60&gt;=DATE('Second Earner'!$C$10,1,1),'Second Earner'!$C$60&lt;=DATE('Second Earner'!$C$10,12,31)),'Second Earner'!$C$60,999999),IF(AND('Second Earner'!$C$61&gt;MAX($B$6:$B12),'Second Earner'!$C$61&gt;=DATE('Second Earner'!$C$10,1,1),'Second Earner'!$C$61&lt;=DATE('Second Earner'!$C$10,12,31)),'Second Earner'!$C$61,999999),IF(AND('Second Earner'!$C$62&gt;MAX($B$6:$B12),'Second Earner'!$C$62&gt;=DATE('Second Earner'!$C$10,1,1),'Second Earner'!$C$62&lt;=DATE('Second Earner'!$C$10,12,31)),'Second Earner'!$C$62,999999),IF(AND('Second Earner'!$C$63&gt;MAX($B$6:$B12),'Second Earner'!$C$63&gt;=DATE('Second Earner'!$C$10,1,1),'Second Earner'!$C$63&lt;=DATE('Second Earner'!$C$10,12,31)),'Second Earner'!$C$63,999999),IF(AND('Second Earner'!$C$64&gt;MAX($B$6:$B12),'Second Earner'!$C$64&gt;=DATE('Second Earner'!$C$10,1,1),'Second Earner'!$C$64&lt;=DATE('Second Earner'!$C$10,12,31)),'Second Earner'!$C$64,999999),IF(AND('Second Earner'!$C$65&gt;MAX($B$6:$B12),'Second Earner'!$C$65&gt;=DATE('Second Earner'!$C$10,1,1),'Second Earner'!$C$65&lt;=DATE('Second Earner'!$C$10,12,31)),'Second Earner'!$C$65,999999),IF(AND('Second Earner'!$C$66&gt;MAX($B$6:$B12),'Second Earner'!$C$66&gt;=DATE('Second Earner'!$C$10,1,1),'Second Earner'!$C$66&lt;=DATE('Second Earner'!$C$10,12,31)),'Second Earner'!$C$66,999999),IF(AND('Second Earner'!$C$67&gt;MAX($B$6:$B12),'Second Earner'!$C$67&gt;=DATE('Second Earner'!$C$10,1,1),'Second Earner'!$C$67&lt;=DATE('Second Earner'!$C$10,12,31)),'Second Earner'!$C$67,999999)))</f>
      </c>
      <c r="CF13">
        <f>IF($B13="","",IF($D13=0,$Y13,""))</f>
      </c>
    </row>
    <row r="14">
      <c r="A14" t="n">
        <v>9</v>
      </c>
      <c r="B14" s="21">
        <f>IF(AND($CD14="",$CE14=""),"",IF($CE14="",$CD14,IF($CD14="",$CE14,MIN($CD14,$CE14))))</f>
      </c>
      <c r="C14" s="7">
        <f>IF($B14="","",IF($BF14=0,0,IF('Second Earner'!$C$4="Annual salary",ROUND($AK14/IF(AND('Second Earner'!$C$88="Actual paydays",MONTH('Second Earner'!$C$9)=1),MAX(1,MAX($BE$6:$BE$68)),'Second Earner'!$C$8),2),$AK14)))</f>
      </c>
      <c r="D14" s="7">
        <f>IF($B14="","",SUMIF('Second Earner'!$C$58:$C$67,$B14,'Second Earner'!$D$58:$D$67))</f>
      </c>
      <c r="E14" s="7">
        <f>IF($B14="","",ROUND(MAX(0,MIN(IF($AL14="Percent",$AM14*($C14+$D14),$AM14),MAX(0,'Second Earner'!$C$34-$AC13))),2))</f>
      </c>
      <c r="F14" s="7">
        <f>IF($B14="","",ROUND(MAX(0,MIN(IF('Second Earner'!$C$32="Percent",'Second Earner'!$D$32*($C14+$D14),'Second Earner'!$D$32),MAX(0,'Second Earner'!$C$34-$AC13-$E14))),2))</f>
      </c>
      <c r="G14" s="7">
        <f>IF($B14="","",IF($BF14=0,0,ROUND(MAX(0,MIN($BL14,'Second Earner'!$C$37-'Second Earner'!$C$54-$BI13)),2)))</f>
      </c>
      <c r="H14" s="7">
        <f>IF($B14="","",IF(OR($BF14=0,$BQ14=1),0,ROUND(MAX(0,MIN(IF($BS14=1,ROUND(MAX(0,MIN($BJ14,'How This Works &amp; Sources'!$C$13)-$BG13)/MAX(1,MAX($BE$6:$BE$68)-($BE13)),2),ROUND(MIN($BJ14,'How This Works &amp; Sources'!$C$13)/'Second Earner'!$C$8,2)),MIN($BJ14,'How This Works &amp; Sources'!$C$13)-$BG13)),2)))</f>
      </c>
      <c r="I14" s="7">
        <f>IF($B14="","",IF(OR($BF14=0,$BR14=1),0,ROUND(MAX(0,MIN(IF($BT14=1,ROUND(MAX(0,MIN($BK14,IF('Second Earner'!$C$12="MFJ",'How This Works &amp; Sources'!$C$14,'How This Works &amp; Sources'!$C$15))-$BH13)/MAX(1,MAX($BE$6:$BE$68)-($BE13)),2),ROUND(MIN($BK14,IF('Second Earner'!$C$12="MFJ",'How This Works &amp; Sources'!$C$14,'How This Works &amp; Sources'!$C$15))/'Second Earner'!$C$8,2)),MIN($BK14,IF('Second Earner'!$C$12="MFJ",'How This Works &amp; Sources'!$C$14,'How This Works &amp; Sources'!$C$15))-$BH13)),2)))</f>
      </c>
      <c r="J14" s="7">
        <f>IF($B14="","",IF($BF14=0,0,$BM14))</f>
      </c>
      <c r="K14" s="7">
        <f>IF($B14="","",IF($BF14=0,0,$BN14+$BO14))</f>
      </c>
      <c r="L14" s="7">
        <f>IF($B14="","",IF($BF14=0,0,'Second Earner'!$D$46))</f>
      </c>
      <c r="M14" s="7">
        <f>IF($B14="","",$C14+$D14+$L14-$E14-$G14-$H14-$I14-$J14-$K14)</f>
      </c>
      <c r="N14" s="7">
        <f>IF($B14="","",$C14+$D14+$L14-$G14-$H14-$I14-$J14-$K14)</f>
      </c>
      <c r="O14" s="7">
        <f>IF($B14="","",$C14+$D14+$L14-$E14-$H14-$I14-$J14-$K14-IF(OR($AN14="CA",$AN14="NJ"),0,$G14))</f>
      </c>
      <c r="P14" s="7">
        <f>IF($B14="","",IF('Second Earner'!$C$18,0,ROUND(MAX(0,IF('Second Earner'!$C$13,SUMPRODUCT(($AH14&gt;INDEX('How This Works &amp; Sources'!$B$29:$J$36,0,IF('Second Earner'!$C$12="MFJ",1,IF('Second Earner'!$C$12="HoH",7,4))))*($AH14-INDEX('How This Works &amp; Sources'!$B$29:$J$36,0,IF('Second Earner'!$C$12="MFJ",1,IF('Second Earner'!$C$12="HoH",7,4))))*INDEX('How This Works &amp; Sources'!$B$29:$J$36,0,IF('Second Earner'!$C$12="MFJ",1,IF('Second Earner'!$C$12="HoH",7,4))+2)),SUMPRODUCT(($AH14&gt;INDEX('How This Works &amp; Sources'!$B$19:$J$26,0,IF('Second Earner'!$C$12="MFJ",1,IF('Second Earner'!$C$12="HoH",7,4))))*($AH14-INDEX('How This Works &amp; Sources'!$B$19:$J$26,0,IF('Second Earner'!$C$12="MFJ",1,IF('Second Earner'!$C$12="HoH",7,4))))*INDEX('How This Works &amp; Sources'!$B$19:$J$26,0,IF('Second Earner'!$C$12="MFJ",1,IF('Second Earner'!$C$12="HoH",7,4))+2)))/'Second Earner'!$C$8-$AO14/'Second Earner'!$C$8)+$AR14+IF('Second Earner'!$C$89="Aggregate",MAX(0,IF('Second Earner'!$C$13,SUMPRODUCT((($AH14+$D14)&gt;INDEX('How This Works &amp; Sources'!$B$29:$J$36,0,IF('Second Earner'!$C$12="MFJ",1,IF('Second Earner'!$C$12="HoH",7,4))))*(($AH14+$D14)-INDEX('How This Works &amp; Sources'!$B$29:$J$36,0,IF('Second Earner'!$C$12="MFJ",1,IF('Second Earner'!$C$12="HoH",7,4))))*INDEX('How This Works &amp; Sources'!$B$29:$J$36,0,IF('Second Earner'!$C$12="MFJ",1,IF('Second Earner'!$C$12="HoH",7,4))+2)),SUMPRODUCT((($AH14+$D14)&gt;INDEX('How This Works &amp; Sources'!$B$19:$J$26,0,IF('Second Earner'!$C$12="MFJ",1,IF('Second Earner'!$C$12="HoH",7,4))))*(($AH14+$D14)-INDEX('How This Works &amp; Sources'!$B$19:$J$26,0,IF('Second Earner'!$C$12="MFJ",1,IF('Second Earner'!$C$12="HoH",7,4))))*INDEX('How This Works &amp; Sources'!$B$19:$J$26,0,IF('Second Earner'!$C$12="MFJ",1,IF('Second Earner'!$C$12="HoH",7,4))+2)))-IF('Second Earner'!$C$13,SUMPRODUCT(($AH14&gt;INDEX('How This Works &amp; Sources'!$B$29:$J$36,0,IF('Second Earner'!$C$12="MFJ",1,IF('Second Earner'!$C$12="HoH",7,4))))*($AH14-INDEX('How This Works &amp; Sources'!$B$29:$J$36,0,IF('Second Earner'!$C$12="MFJ",1,IF('Second Earner'!$C$12="HoH",7,4))))*INDEX('How This Works &amp; Sources'!$B$29:$J$36,0,IF('Second Earner'!$C$12="MFJ",1,IF('Second Earner'!$C$12="HoH",7,4))+2)),SUMPRODUCT(($AH14&gt;INDEX('How This Works &amp; Sources'!$B$19:$J$26,0,IF('Second Earner'!$C$12="MFJ",1,IF('Second Earner'!$C$12="HoH",7,4))))*($AH14-INDEX('How This Works &amp; Sources'!$B$19:$J$26,0,IF('Second Earner'!$C$12="MFJ",1,IF('Second Earner'!$C$12="HoH",7,4))))*INDEX('How This Works &amp; Sources'!$B$19:$J$26,0,IF('Second Earner'!$C$12="MFJ",1,IF('Second Earner'!$C$12="HoH",7,4))+2)))),'How This Works &amp; Sources'!$C$10*$D14),2)))</f>
      </c>
      <c r="Q14" s="7">
        <f>IF($B14="","",ROUND('How This Works &amp; Sources'!$C$4*MIN($N14,MAX(0,'How This Works &amp; Sources'!$C$3-($AX14+$AB13-$AW14))),2))</f>
      </c>
      <c r="R14" s="7">
        <f>IF($B14="","",ROUND('How This Works &amp; Sources'!$C$5*$N14,2))</f>
      </c>
      <c r="S14" s="7">
        <f>IF($B14="","",ROUND('How This Works &amp; Sources'!$C$6*MAX(0,MIN($N14,$AG13+$N14-'How This Works &amp; Sources'!$C$7)),2))</f>
      </c>
      <c r="T14" s="7">
        <f>IF($B14="","",IF('Second Earner'!$C$26,0,IF($AN14="CA",ROUND(IF($AI14&lt;=IF(($AS14+$AT14)&gt;=2,VLOOKUP($AN14,StateTables!$A$6:$AB$56,10,FALSE),VLOOKUP($AN14,StateTables!$A$6:$AB$56,9,FALSE)),0,MAX(0,SUMPRODUCT(($AJ14&gt;INDEX('How This Works &amp; Sources'!$B$39:$J$48,0,IF($AU14="Married",4,IF($AU14="Head of household",7,1))))*($AJ14-INDEX('How This Works &amp; Sources'!$B$39:$J$48,0,IF($AU14="Married",4,IF($AU14="Head of household",7,1))))*INDEX('How This Works &amp; Sources'!$B$39:$J$48,0,IF($AU14="Married",4,IF($AU14="Head of household",7,1))+2))-VLOOKUP($AN14,StateTables!$A$6:$AB$56,11,FALSE)*$AS14)/'Second Earner'!$C$8)+'Second Earner'!$C$25+VLOOKUP($AN14,StateTables!$A$6:$AB$56,13,FALSE)*$D14,2),IF(VLOOKUP($AN14,StateTables!$A$6:$AB$56,4,FALSE)="None",0,IF(ISNUMBER(SEARCH("MANUAL",VLOOKUP($AN14,StateTables!$A$6:$AB$56,5,FALSE))),'Second Earner'!$C$28,ROUND(MAX(0,$BA14+$BB14)/'Second Earner'!$C$8+'Second Earner'!$C$25+$BC14,2))))))</f>
      </c>
      <c r="U14" s="7">
        <f>IF($B14="","",IF(VLOOKUP($AN14,StateTables!$A$6:$AB$56,24,FALSE)="flatq",IF(OR(MONTH($B14)=1,MONTH($B14)=4,MONTH($B14)=7,MONTH($B14)=10),VLOOKUP($AN14,StateTables!$A$6:$AB$56,25,FALSE),0),IF(VLOOKUP($AN14,StateTables!$A$6:$AB$56,24,FALSE)="dbl",MIN(ROUND(0.005*$N14,2),ROUND(0.6*52/'Second Earner'!$C$8,2)),IF(OR(VLOOKUP($AN14,StateTables!$A$6:$AB$56,15,FALSE)="",VLOOKUP($AN14,StateTables!$A$6:$AB$56,15,FALSE)=0),0,ROUND(VLOOKUP($AN14,StateTables!$A$6:$AB$56,15,FALSE)*IF(OR(VLOOKUP($AN14,StateTables!$A$6:$AB$56,16,FALSE)="",VLOOKUP($AN14,StateTables!$A$6:$AB$56,16,FALSE)=0),$N14,MIN($N14,MAX(0,VLOOKUP($AN14,StateTables!$A$6:$AB$56,16,FALSE)-($AX14+$AB13-$AW14)))),2))))+IF(VLOOKUP($AN14,StateTables!$A$6:$AB$56,27,FALSE)="flatq",IF(OR(MONTH($B14)=1,MONTH($B14)=4,MONTH($B14)=7,MONTH($B14)=10),VLOOKUP($AN14,StateTables!$A$6:$AB$56,28,FALSE),0),IF(VLOOKUP($AN14,StateTables!$A$6:$AB$56,27,FALSE)="dbl",MIN(ROUND(0.005*$N14,2),ROUND(0.6*52/'Second Earner'!$C$8,2)),IF(OR(VLOOKUP($AN14,StateTables!$A$6:$AB$56,18,FALSE)="",VLOOKUP($AN14,StateTables!$A$6:$AB$56,18,FALSE)=0),0,ROUND(VLOOKUP($AN14,StateTables!$A$6:$AB$56,18,FALSE)*IF(OR(VLOOKUP($AN14,StateTables!$A$6:$AB$56,19,FALSE)="",VLOOKUP($AN14,StateTables!$A$6:$AB$56,19,FALSE)=0),$N14,MIN($N14,MAX(0,VLOOKUP($AN14,StateTables!$A$6:$AB$56,19,FALSE)-($AX14+$AB13-$AW14)))),2)))))</f>
      </c>
      <c r="V14" s="7">
        <f>IF($B14="","",IF($AN14="NY",IF('Second Earner'!$C$78,ROUND(SUMPRODUCT((MAX(0,($O14-$D14)*'Second Earner'!$C$8-(IF($AU14="Married",5500,5000)+1000*$AS14))&gt;INDEX('How This Works &amp; Sources'!$B$184:$J$198,0,4))*(MAX(0,($O14-$D14)*'Second Earner'!$C$8-(IF($AU14="Married",5500,5000)+1000*$AS14))-INDEX('How This Works &amp; Sources'!$B$184:$J$198,0,4))*INDEX('How This Works &amp; Sources'!$B$184:$J$198,0,4+2))/'Second Earner'!$C$8+0.0425*$D14,2),0)+IF('Second Earner'!$C$79="Resident",ROUND(0.1675*$T14,2),IF('Second Earner'!$C$79="Nonresident",ROUND(0.005*MAX(0,($O14-$D14)-(IF($AU14="Married",7950,7400)+1000*$AS14)/'Second Earner'!$C$8),2),0)),IF($AN14="PA",IF('Second Earner'!$C$80="None",'Second Earner'!$C$27+ROUND('Second Earner'!$C$81*($C14+$D14),2),ROUND(IF('Second Earner'!$C$80="Resident",IF($B14&lt;DATE(2026,7,1),0.0374,0.03735),IF($B14&lt;DATE(2026,7,1),0.0343,0.03425))*($C14+$D14),2)),IF($BF14=0,ROUND('Second Earner'!$C$81*($C14+$D14),2),'Second Earner'!$C$27+ROUND('Second Earner'!$C$81*($C14+$D14),2)))))</f>
      </c>
      <c r="W14" s="7">
        <f>IF($B14="","",IF($BF14=0,0,$BP14))</f>
      </c>
      <c r="X14" s="7">
        <f>IF($B14="","",SUM($E14:$K14)+$P14+$Q14+$R14+$S14+$T14+$U14+$V14+$W14)</f>
      </c>
      <c r="Y14" s="22">
        <f>IF($B14="","",$C14+$D14-$X14)</f>
      </c>
      <c r="Z14" s="7">
        <f>IF($B14="","",$Z13+$C14+$D14)</f>
      </c>
      <c r="AA14" s="7">
        <f>IF($B14="","",$AA13+$Y14)</f>
      </c>
      <c r="AB14" s="7">
        <f>IF($B14="","",$AB13+MIN($N14,MAX(0,'How This Works &amp; Sources'!$C$3-($AX14+$AB13-$AW14))))</f>
      </c>
      <c r="AC14" s="7">
        <f>IF($B14="","",$AC13+$E14+$F14)</f>
      </c>
      <c r="AD14" s="3">
        <f>IF($B14="","",IF(AND($AB13&lt;'How This Works &amp; Sources'!$C$3,$AB14&gt;='How This Works &amp; Sources'!$C$3),"★ Social Security maxed on this check — from the next check your net rises by about $"&amp;TEXT(ROUND('How This Works &amp; Sources'!$C$4*$N14,2),"#,##0.00")&amp;". ","")&amp;IF(AND($AC13&lt;'Second Earner'!$C$34,$AC14&gt;='Second Earner'!$C$34),"★ 401(k) reaches the $"&amp;TEXT('Second Earner'!$C$34,"#,##0")&amp;" cap on this check — deferrals stop and net pay rises. ","")&amp;IF(AND($AG13&lt;'How This Works &amp; Sources'!$C$7,$AG14&gt;='How This Works &amp; Sources'!$C$7),"★ Wages pass $200,000 — the 0.9% Additional Medicare Tax starts here. ","")&amp;IF(AND($BJ14&gt;0,$H14&gt;0,$BG13&lt;MIN($BJ14,'How This Works &amp; Sources'!$C$13),$BG13+$H14&gt;=MIN($BJ14,'How This Works &amp; Sources'!$C$13)),"★ Health FSA election is now fully deferred for the year. ",""))</f>
      </c>
      <c r="AE14" s="41" t="n"/>
      <c r="AF14" s="7">
        <f>IF(OR($B14="",$AE14=""),"",$AE14-$Y14)</f>
      </c>
      <c r="AG14" s="7">
        <f>IF($B14="","",$AG13+$N14)</f>
      </c>
      <c r="AH14" s="7">
        <f>IF($B14="","",MAX(0,($M14-$D14)*'Second Earner'!$C$8+$AP14-$AQ14-IF('Second Earner'!$C$13,0,IF('Second Earner'!$C$12="MFJ",'How This Works &amp; Sources'!$C$8,'How This Works &amp; Sources'!$C$9))))</f>
      </c>
      <c r="AI14" s="7">
        <f>IF($B14="","",$O14*'Second Earner'!$C$8)</f>
      </c>
      <c r="AJ14" s="7">
        <f>IF($B14="","",MAX(0,$AI14-VLOOKUP($AN14,StateTables!$A$6:$AB$56,12,FALSE)*$AT14-IF(($AS14+$AT14)&gt;=2,VLOOKUP($AN14,StateTables!$A$6:$AB$56,8,FALSE),VLOOKUP($AN14,StateTables!$A$6:$AB$56,7,FALSE))))</f>
      </c>
      <c r="AK14" s="7">
        <f>IF($B14="","",IFERROR(LOOKUP(2,1/(('Changes — Earner 2'!$C$6:$C$17="Salary change")*('Changes — Earner 2'!$B$6:$B$17&lt;=$B14)*('Changes — Earner 2'!$B$6:$B$17&lt;&gt;"")),'Changes — Earner 2'!$D$6:$D$17),IF('Second Earner'!$C$4="Annual salary",'Second Earner'!$C$5,'Second Earner'!$C$6)))</f>
      </c>
      <c r="AL14">
        <f>IF($B14="","",IFERROR(LOOKUP(2,1/(('Changes — Earner 2'!$C$6:$C$17="401(k) change")*('Changes — Earner 2'!$B$6:$B$17&lt;=$B14)*('Changes — Earner 2'!$B$6:$B$17&lt;&gt;"")),'Changes — Earner 2'!$D$6:$D$17),'Second Earner'!$C$30))</f>
      </c>
      <c r="AM14" s="7">
        <f>IF($B14="","",IFERROR(LOOKUP(2,1/(('Changes — Earner 2'!$C$6:$C$17="401(k) change")*('Changes — Earner 2'!$B$6:$B$17&lt;=$B14)*('Changes — Earner 2'!$B$6:$B$17&lt;&gt;"")),'Changes — Earner 2'!$E$6:$E$17),'Second Earner'!$D$31))</f>
      </c>
      <c r="AN14">
        <f>IF($B14="","",IFERROR(LOOKUP(2,1/(('Changes — Earner 2'!$C$6:$C$17="State move")*('Changes — Earner 2'!$B$6:$B$17&lt;=$B14)*('Changes — Earner 2'!$B$6:$B$17&lt;&gt;"")),'Changes — Earner 2'!$D$6:$D$17),'Second Earner'!$C$21))</f>
      </c>
      <c r="AO14" s="7">
        <f>IF($B14="","",IFERROR(LOOKUP(2,1/(('Changes — Earner 2'!$C$6:$C$17="W-4 change")*('Changes — Earner 2'!$B$6:$B$17&lt;=$B14)*('Changes — Earner 2'!$B$6:$B$17&lt;&gt;"")),'Changes — Earner 2'!$D$6:$D$17),'Second Earner'!$C$14))</f>
      </c>
      <c r="AP14" s="7">
        <f>IF($B14="","",IFERROR(LOOKUP(2,1/(('Changes — Earner 2'!$C$6:$C$17="W-4 change")*('Changes — Earner 2'!$B$6:$B$17&lt;=$B14)*('Changes — Earner 2'!$B$6:$B$17&lt;&gt;"")),'Changes — Earner 2'!$E$6:$E$17),'Second Earner'!$C$15))</f>
      </c>
      <c r="AQ14" s="7">
        <f>IF($B14="","",IFERROR(LOOKUP(2,1/(('Changes — Earner 2'!$C$6:$C$17="W-4 change")*('Changes — Earner 2'!$B$6:$B$17&lt;=$B14)*('Changes — Earner 2'!$B$6:$B$17&lt;&gt;"")),'Changes — Earner 2'!$F$6:$F$17),'Second Earner'!$C$16))</f>
      </c>
      <c r="AR14" s="7">
        <f>IF($B14="","",IFERROR(LOOKUP(2,1/(('Changes — Earner 2'!$C$6:$C$17="W-4 change")*('Changes — Earner 2'!$B$6:$B$17&lt;=$B14)*('Changes — Earner 2'!$B$6:$B$17&lt;&gt;"")),'Changes — Earner 2'!$G$6:$G$17),'Second Earner'!$C$17))</f>
      </c>
      <c r="AS14" s="6">
        <f>IF($B14="","",IFERROR(LOOKUP(2,1/((('Changes — Earner 2'!$C$6:$C$17="State move")+('Changes — Earner 2'!$C$6:$C$17="State cert change"))*('Changes — Earner 2'!$B$6:$B$17&lt;=$B14)*('Changes — Earner 2'!$B$6:$B$17&lt;&gt;"")),'Changes — Earner 2'!$F$6:$F$17),'Second Earner'!$C$23))</f>
      </c>
      <c r="AT14" s="6">
        <f>IF($B14="","",IFERROR(LOOKUP(2,1/((('Changes — Earner 2'!$C$6:$C$17="State move")+('Changes — Earner 2'!$C$6:$C$17="State cert change"))*('Changes — Earner 2'!$B$6:$B$17&lt;=$B14)*('Changes — Earner 2'!$B$6:$B$17&lt;&gt;"")),'Changes — Earner 2'!$G$6:$G$17),'Second Earner'!$C$24))</f>
      </c>
      <c r="AU14">
        <f>IF($B14="","",IFERROR(LOOKUP(2,1/(('Changes — Earner 2'!$C$6:$C$17="State move")*('Changes — Earner 2'!$B$6:$B$17&lt;=$B14)*('Changes — Earner 2'!$B$6:$B$17&lt;&gt;"")),'Changes — Earner 2'!$E$6:$E$17),'Second Earner'!$C$22))</f>
      </c>
      <c r="AV14" s="6">
        <f>IF($B14="","",1+COUNTIFS('Changes — Earner 2'!$C$6:$C$17,"Employer change",'Changes — Earner 2'!$B$6:$B$17,"&lt;="&amp;$B14,'Changes — Earner 2'!$B$6:$B$17,"&lt;&gt;"))</f>
      </c>
      <c r="AW14" s="7">
        <f>IF($B14="","",IF($AV14=1,'Second Earner'!$C$49,IF(IFERROR(MATCH(IFERROR(LOOKUP(2,1/(('Changes — Earner 2'!$C$6:$C$17="Employer change")*('Changes — Earner 2'!$B$6:$B$17&lt;=$B14)*('Changes — Earner 2'!$B$6:$B$17&lt;&gt;"")),'Changes — Earner 2'!$B$6:$B$17),""),$B$6:$B$68,1),1)&lt;=1,'Second Earner'!$C$49,INDEX($AB$6:$AB$68,MATCH(IFERROR(LOOKUP(2,1/(('Changes — Earner 2'!$C$6:$C$17="Employer change")*('Changes — Earner 2'!$B$6:$B$17&lt;=$B14)*('Changes — Earner 2'!$B$6:$B$17&lt;&gt;"")),'Changes — Earner 2'!$B$6:$B$17),""),$B$6:$B$68,1)-1))))</f>
      </c>
      <c r="AX14" s="7">
        <f>IF($B14="","",IF($AV14=1,'Second Earner'!$C$49,IFERROR(LOOKUP(2,1/(('Changes — Earner 2'!$C$6:$C$17="Employer change")*('Changes — Earner 2'!$B$6:$B$17&lt;=$B14)*('Changes — Earner 2'!$B$6:$B$17&lt;&gt;"")),'Changes — Earner 2'!$D$6:$D$17),0)))</f>
      </c>
      <c r="AY14" s="7">
        <f>IF($B14="","",($O14-$D14)*'Second Earner'!$C$8)</f>
      </c>
      <c r="AZ14" s="7">
        <f>IF($B14="","",IF($AN14="AL",MAX(0,$AY14-IF($AU14="Married",IF($AY14&lt;=25999,8500,MAX(5000,8500-175*CEILING(($AY14-25999)/500,1))),IF($AU14="Head of household",IF($AY14&lt;=25999,5200,MAX(2500,5200-135*CEILING(($AY14-25999)/500,1))),IF($AY14&lt;=25999,3000,MAX(2500,3000-25*CEILING(($AY14-25999)/500,1)))))-($P14-'How This Works &amp; Sources'!$C$10*$D14)*'Second Earner'!$C$8-IF(OR($AU14="Married",$AU14="Head of household"),3000,1500)-$AT14*IF($AY14&lt;=50000,1000,IF($AY14&lt;=100000,500,300))),IF($AN14="AR",IF(MAX(0,$AY14-2470)&lt;97701,INT(MAX(0,$AY14-2470)/100)*100+50,MAX(0,$AY14-2470)),IF($AN14="DE",MAX(0,$AI14-3250),IF($AN14="HI",MAX(0,$AI14-1144*$AS14-4350),IF($AN14="KS",MAX(0,$AI14-(9160*IF($AU14="Married",2,1)+2320*$AT14+IF($AU14="Head of household",2320,0))),IF($AN14="MD",MAX(0,$AI14-3400-3200*$AS14),IF($AN14="MN",MAX(0,$AY14-5300*$AS14),IF($AN14="MO",MAX(0,$AI14-IF($AU14="Head of household",24150,IF($AU14="Married",IF('Second Earner'!$C$83,16100,32200),16100))),IF($AN14="MT",$AY14,IF($AN14="ND",($C14+$L14)*'Second Earner'!$C$8,IF($AN14="NE",MAX(0,$AY14-2440*$AS14),IF($AN14="NJ",MAX(0,$AY14-1000*$AS14),IF($AN14="NY",MAX(0,$AY14-(IF($AU14="Married",7950,7400)+1000*$AS14)),IF($AN14="OH",MAX(0,$AY14-650*$AS14),IF($AN14="OK",MAX(0,$AY14-1000*$AS14),IF($AN14="RI",MAX(0,$AI14-1000*$AS14),IF($AN14="SC",MAX(0,$AI14-5000*$AS14-IF($AS14=0,0,MIN(0.1*$AI14,7500))),IF($AN14="VA",MAX(0,$AI14-IF($AU14="Married",17500,8750)-930*$AS14-800*$AT14),IF($AN14="VT",MAX(0,$AI14-5400*$AS14),IF($AN14="WI",MAX(0,$AI14-MAX(0,IF($AU14="Married",9461-0.2*MAX(0,$AI14-25727),6702-0.12*MAX(0,$AI14-17780)))-400*$AS14),IF($AN14="WV",MAX(0,$AI14-2000*$AS14),$AI14))))))))))))))))))))))</f>
      </c>
      <c r="BA14" s="7">
        <f>IF($B14="","",IF($BW14&lt;&gt;"",$BW14,IF($BX14&lt;&gt;"",$BX14,IF($BY14&lt;&gt;"",$BY14,0))))</f>
      </c>
      <c r="BB14" s="7">
        <f>IF($B14="","",IF($AN14="AR",-29*$AS14,IF($AN14="DE",-110*$AS14,IF($AN14="MD",$AZ14*'Second Earner'!$C$74,IF($AN14="AZ",'Second Earner'!$C$82*($M14-$D14)*'Second Earner'!$C$8,IF($AN14="CO",0.044*MAX(0,$AY14-IF($AU14="Married",10000,5000)),IF($AN14="IA",MAX(0,0.038*MAX(0,$AY14-IF($AU14="Head of household",19500,IF($AU14="Married",26000,13000)))-40*$AS14),IF($AN14="ID",0.053*MAX(0,$AY14-IF($AU14="Married",32000,16094)),IF($AN14="IL",0.0495*MAX(0,$AY14-(2925*$AS14+1000*$AT14)),IF($AN14="IN",(0.0295+'Second Earner'!$C$76)*MAX(0,$AY14-(1000*$AS14+1500*$AT14+3000*'Second Earner'!$C$86)),IF($AN14="KY",0.035*MAX(0,$AI14-3360),IF($AN14="LA",IF('Second Earner'!$C$84="0",0.0309*$AI14,0.0309*MAX(0,$AI14-IF('Second Earner'!$C$84="2",25750,12875))),IF($AN14="MA",0.05*MIN(MAX(0,$AY14-MIN(($BD13+$Q14+$R14+$S14),2000)-IF($AS14=0,0,IF($AS14=1,4400,1000*$AS14+3400))),1107750)+0.09*MAX(0,MAX(0,$AY14-MIN(($BD13+$Q14+$R14+$S14),2000)-IF($AS14=0,0,IF($AS14=1,4400,1000*$AS14+3400)))-1107750)-IF($AU14="Head of household",120,0)-110*'Second Earner'!$C$75,IF($AN14="MI",0.0425*MAX(0,$AY14-5900*$AS14),IF($AN14="MS",0.04*MAX(0,$AI14-IF($AU14="Head of household",3400,IF($AU14="Married",4600,2300))-'Second Earner'!$C$85-10000),IF($AN14="OR",IF(OR($AU14="Married",AND($AU14="Single",$AS14&gt;=3)),SUMPRODUCT((MAX(0,$AY14-MIN(($P14-'How This Works &amp; Sources'!$C$10*$D14)*'Second Earner'!$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Sources'!$B$211:$J$214,0,4))*(MAX(0,$AY14-MIN(($P14-'How This Works &amp; Sources'!$C$10*$D14)*'Second Earner'!$C$8,IF(OR($AU14="Married",AND($AU14="Single",$AS14&gt;=3)),IF($AY14&lt;250000,8750,IF($AY14&lt;260000,7000,IF($AY14&lt;270000,5250,IF($AY14&lt;280000,3500,IF($AY14&lt;290000,1750,0))))),IF($AY14&lt;125000,8750,IF($AY14&lt;130000,7000,IF($AY14&lt;135000,5250,IF($AY14&lt;140000,3500,IF($AY14&lt;145000,1750,0)))))))-IF(OR($AU14="Married",AND($AU14="Single",$AS14&gt;=3)),5820,2910))-INDEX('How This Works &amp; Sources'!$B$211:$J$214,0,4))*INDEX('How This Works &amp; Sources'!$B$211:$J$214,0,4+2)),SUMPRODUCT((MAX(0,$AY14-MIN(($P14-'How This Works &amp; Sources'!$C$10*$D14)*'Second Earner'!$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Sources'!$B$211:$J$214,0,1))*(MAX(0,$AY14-MIN(($P14-'How This Works &amp; Sources'!$C$10*$D14)*'Second Earner'!$C$8,IF(OR($AU14="Married",AND($AU14="Single",$AS14&gt;=3)),IF($AY14&lt;250000,8750,IF($AY14&lt;260000,7000,IF($AY14&lt;270000,5250,IF($AY14&lt;280000,3500,IF($AY14&lt;290000,1750,0))))),IF($AY14&lt;125000,8750,IF($AY14&lt;130000,7000,IF($AY14&lt;135000,5250,IF($AY14&lt;140000,3500,IF($AY14&lt;145000,1750,0)))))))-IF(OR($AU14="Married",AND($AU14="Single",$AS14&gt;=3)),5820,2910))-INDEX('How This Works &amp; Sources'!$B$211:$J$214,0,1))*INDEX('How This Works &amp; Sources'!$B$211:$J$214,0,1+2)))+263-263*IF(IF($AU14="Married",$AY14&gt;200000,$AY14&gt;100000),0,$AS14),IF($AN14="PA",0.0307*(($O14+$E14+$G14)*'Second Earner'!$C$8),IF($AN14="NY",IF($AU14="Married",IF($AZ14&gt;=2155350,0,IF($AZ14&gt;=1077550,0.48,IF($AZ14&gt;=373200,1.21,IF($AZ14&gt;=323200,0.21,IF($AZ14&gt;=211550,-0.19,IF($AZ14&gt;=157650,-2.8,IF($AZ14&gt;=107650,-0.8,IF($AZ14&gt;=96800,0.05,IF($AZ14&gt;=80650,-0.1,IF($AZ14&gt;=13900,0.4,IF($AZ14&gt;=11700,-0.3,IF($AZ14&gt;=8500,0.5,0)))))))))))),IF($AZ14&gt;=1077550,0,IF($AZ14&gt;=265400,4.29,IF($AZ14&gt;=215400,2.29,IF($AZ14&gt;=157650,2.29,IF($AZ14&gt;=107650,0.29,IF($AZ14&gt;=96800,0.05,IF($AZ14&gt;=80650,-0.1,IF($AZ14&gt;=13900,0.4,IF($AZ14&gt;=11700,-0.3,IF($AZ14&gt;=8500,0.5,0))))))))))),0))))))))))))))))))</f>
      </c>
      <c r="BC14" s="7">
        <f>IF($B14="","",IF($AN14="AL",0.05*$D14,IF($AN14="AR",0.039*$D14,IF($AN14="ID",0.053*$D14,IF($AN14="IN",(0.0295+'Second Earner'!$C$76)*$D14,IF($AN14="KS",0.05*$D14,IF($AN14="MA",0.09*MIN($D14,MAX(0,MAX(0,$AY14-MIN(($BD13+$Q14+$R14+$S14),2000)-IF($AS14=0,0,IF($AS14=1,4400,1000*$AS14+3400)))+$D14-1107750))+0.05*($D14-MIN($D14,MAX(0,MAX(0,$AY14-MIN(($BD13+$Q14+$R14+$S14),2000)-IF($AS14=0,0,IF($AS14=1,4400,1000*$AS14+3400)))+$D14-1107750))),IF($AN14="MD",(0.065+'Second Earner'!$C$74)*$D14,IF($AN14="MI",0.0425*$D14,IF($AN14="MN",0.0625*$D14,IF($AN14="MO",0.047*$D14,IF($AN14="MT",0.05*$D14,IF($AN14="ND",0.015*$D14,IF($AN14="NE",0.035*$D14,IF($AN14="NJ",IF('Second Earner'!$C$77="B",SUMPRODUCT(($D14*'Second Earner'!$C$8&gt;INDEX('How This Works &amp; Sources'!$B$155:$J$162,0,4))*($D14*'Second Earner'!$C$8-INDEX('How This Works &amp; Sources'!$B$155:$J$162,0,4))*INDEX('How This Works &amp; Sources'!$B$155:$J$162,0,4+2)),IF('Second Earner'!$C$77="C",SUMPRODUCT(($D14*'Second Earner'!$C$8&gt;INDEX('How This Works &amp; Sources'!$B$155:$J$162,0,7))*($D14*'Second Earner'!$C$8-INDEX('How This Works &amp; Sources'!$B$155:$J$162,0,7))*INDEX('How This Works &amp; Sources'!$B$155:$J$162,0,7+2)),IF('Second Earner'!$C$77="D",SUMPRODUCT(($D14*'Second Earner'!$C$8&gt;INDEX('How This Works &amp; Sources'!$B$167:$J$179,0,1))*($D14*'Second Earner'!$C$8-INDEX('How This Works &amp; Sources'!$B$167:$J$179,0,1))*INDEX('How This Works &amp; Sources'!$B$167:$J$179,0,1+2)),IF('Second Earner'!$C$77="E",SUMPRODUCT(($D14*'Second Earner'!$C$8&gt;INDEX('How This Works &amp; Sources'!$B$167:$J$179,0,4))*($D14*'Second Earner'!$C$8-INDEX('How This Works &amp; Sources'!$B$167:$J$179,0,4))*INDEX('How This Works &amp; Sources'!$B$167:$J$179,0,4+2)),SUMPRODUCT(($D14*'Second Earner'!$C$8&gt;INDEX('How This Works &amp; Sources'!$B$155:$J$162,0,1))*($D14*'Second Earner'!$C$8-INDEX('How This Works &amp; Sources'!$B$155:$J$162,0,1))*INDEX('How This Works &amp; Sources'!$B$155:$J$162,0,1+2))))))/'Second Earner'!$C$8,IF($AN14="NY",0.117*$D14,IF($AN14="OH",0.0275*$D14,IF($AN14="OK",0.045*$D14,IF($AN14="OR",0.08*$D14,IF($AN14="WI",IF($AY14&lt;12760,0.0354,IF($AY14&lt;25520,0.0465,IF($AY14&lt;280950,0.053,0.0765)))*$D14,0))))))))))))))))))))</f>
      </c>
      <c r="BD14" s="7">
        <f>IF($B14="","",$BD13+$Q14+$R14+$S14)</f>
      </c>
      <c r="BE14" s="6">
        <f>IF($B14="",$BE13,$BE13+$BF14)</f>
      </c>
      <c r="BF14" s="6">
        <f>IF($B14="","",IF(AND(IF(YEAR(IF('Second Earner'!$C$7="Weekly",'Second Earner'!$C$9+7*(($BE13+1)-1),IF('Second Earner'!$C$7="Biweekly",'Second Earner'!$C$9+14*(($BE13+1)-1),IF('Second Earner'!$C$7="Semimonthly",DATE(YEAR('Second Earner'!$C$9),MONTH('Second Earner'!$C$9)+INT((($BE13+1)-1)/2),MIN(DAY('Second Earner'!$C$9),DAY(EOMONTH(DATE(YEAR('Second Earner'!$C$9),MONTH('Second Earner'!$C$9)+INT((($BE13+1)-1)/2),1),0))))+IF(MOD(($BE13+1)-1,2)=1,15,0),EDATE('Second Earner'!$C$9,($BE13+1)-1)))))&lt;&gt;'Second Earner'!$C$10,"",IF('Second Earner'!$C$7="Weekly",'Second Earner'!$C$9+7*(($BE13+1)-1),IF('Second Earner'!$C$7="Biweekly",'Second Earner'!$C$9+14*(($BE13+1)-1),IF('Second Earner'!$C$7="Semimonthly",DATE(YEAR('Second Earner'!$C$9),MONTH('Second Earner'!$C$9)+INT((($BE13+1)-1)/2),MIN(DAY('Second Earner'!$C$9),DAY(EOMONTH(DATE(YEAR('Second Earner'!$C$9),MONTH('Second Earner'!$C$9)+INT((($BE13+1)-1)/2),1),0))))+IF(MOD(($BE13+1)-1,2)=1,15,0),EDATE('Second Earner'!$C$9,($BE13+1)-1)))))&lt;&gt;"",$B14=IF(YEAR(IF('Second Earner'!$C$7="Weekly",'Second Earner'!$C$9+7*(($BE13+1)-1),IF('Second Earner'!$C$7="Biweekly",'Second Earner'!$C$9+14*(($BE13+1)-1),IF('Second Earner'!$C$7="Semimonthly",DATE(YEAR('Second Earner'!$C$9),MONTH('Second Earner'!$C$9)+INT((($BE13+1)-1)/2),MIN(DAY('Second Earner'!$C$9),DAY(EOMONTH(DATE(YEAR('Second Earner'!$C$9),MONTH('Second Earner'!$C$9)+INT((($BE13+1)-1)/2),1),0))))+IF(MOD(($BE13+1)-1,2)=1,15,0),EDATE('Second Earner'!$C$9,($BE13+1)-1)))))&lt;&gt;'Second Earner'!$C$10,"",IF('Second Earner'!$C$7="Weekly",'Second Earner'!$C$9+7*(($BE13+1)-1),IF('Second Earner'!$C$7="Biweekly",'Second Earner'!$C$9+14*(($BE13+1)-1),IF('Second Earner'!$C$7="Semimonthly",DATE(YEAR('Second Earner'!$C$9),MONTH('Second Earner'!$C$9)+INT((($BE13+1)-1)/2),MIN(DAY('Second Earner'!$C$9),DAY(EOMONTH(DATE(YEAR('Second Earner'!$C$9),MONTH('Second Earner'!$C$9)+INT((($BE13+1)-1)/2),1),0))))+IF(MOD(($BE13+1)-1,2)=1,15,0),EDATE('Second Earner'!$C$9,($BE13+1)-1)))))),1,0))</f>
      </c>
      <c r="BG14" s="7">
        <f>IF($B14="","",$BG13+$H14)</f>
      </c>
      <c r="BH14" s="7">
        <f>IF($B14="","",$BH13+$I14)</f>
      </c>
      <c r="BI14" s="7">
        <f>IF($B14="","",$BI13+$G14)</f>
      </c>
      <c r="BJ14" s="7">
        <f>IF($B14="","",IFERROR(LOOKUP(2,1/(((('Changes — Earner 2'!$C$6:$C$17="Deduction start"))*('Changes — Earner 2'!$D$6:$D$17="Health FSA"))*('Changes — Earner 2'!$B$6:$B$17&lt;=$B14)*('Changes — Earner 2'!$B$6:$B$17&lt;&gt;"")),'Changes — Earner 2'!$E$6:$E$17),'Second Earner'!$D$38))</f>
      </c>
      <c r="BK14" s="7">
        <f>IF($B14="","",IFERROR(LOOKUP(2,1/(((('Changes — Earner 2'!$C$6:$C$17="Deduction start"))*('Changes — Earner 2'!$D$6:$D$17="Dependent-care FSA"))*('Changes — Earner 2'!$B$6:$B$17&lt;=$B14)*('Changes — Earner 2'!$B$6:$B$17&lt;&gt;"")),'Changes — Earner 2'!$E$6:$E$17),'Second Earner'!$D$39))</f>
      </c>
      <c r="BL14" s="7">
        <f>IF($B14="","",IFERROR(LOOKUP(2,1/(((('Changes — Earner 2'!$C$6:$C$17="Deduction start")+('Changes — Earner 2'!$C$6:$C$17="Deduction stop"))*('Changes — Earner 2'!$D$6:$D$17="HSA"))*('Changes — Earner 2'!$B$6:$B$17&lt;=$B14)*('Changes — Earner 2'!$B$6:$B$17&lt;&gt;"")),'Changes — Earner 2'!$I$6:$I$17),'Second Earner'!$D$35))</f>
      </c>
      <c r="BM14" s="7">
        <f>IF($B14="","",IFERROR(LOOKUP(2,1/(((('Changes — Earner 2'!$C$6:$C$17="Deduction start")+('Changes — Earner 2'!$C$6:$C$17="Deduction stop"))*('Changes — Earner 2'!$D$6:$D$17="Premiums"))*('Changes — Earner 2'!$B$6:$B$17&lt;=$B14)*('Changes — Earner 2'!$B$6:$B$17&lt;&gt;"")),'Changes — Earner 2'!$I$6:$I$17),'Second Earner'!$D$40+'Second Earner'!$D$41+'Second Earner'!$D$42))</f>
      </c>
      <c r="BN14" s="7">
        <f>IF($B14="","",IFERROR(LOOKUP(2,1/(((('Changes — Earner 2'!$C$6:$C$17="Deduction start")+('Changes — Earner 2'!$C$6:$C$17="Deduction stop"))*('Changes — Earner 2'!$D$6:$D$17="Commuter"))*('Changes — Earner 2'!$B$6:$B$17&lt;=$B14)*('Changes — Earner 2'!$B$6:$B$17&lt;&gt;"")),'Changes — Earner 2'!$I$6:$I$17),'Second Earner'!$D$43))</f>
      </c>
      <c r="BO14" s="7">
        <f>IF($B14="","",IFERROR(LOOKUP(2,1/(((('Changes — Earner 2'!$C$6:$C$17="Deduction start")+('Changes — Earner 2'!$C$6:$C$17="Deduction stop"))*('Changes — Earner 2'!$D$6:$D$17="Other pre-tax"))*('Changes — Earner 2'!$B$6:$B$17&lt;=$B14)*('Changes — Earner 2'!$B$6:$B$17&lt;&gt;"")),'Changes — Earner 2'!$I$6:$I$17),'Second Earner'!$D$44))</f>
      </c>
      <c r="BP14" s="7">
        <f>IF($B14="","",IFERROR(LOOKUP(2,1/(((('Changes — Earner 2'!$C$6:$C$17="Deduction start")+('Changes — Earner 2'!$C$6:$C$17="Deduction stop"))*('Changes — Earner 2'!$D$6:$D$17="Other post-tax"))*('Changes — Earner 2'!$B$6:$B$17&lt;=$B14)*('Changes — Earner 2'!$B$6:$B$17&lt;&gt;"")),'Changes — Earner 2'!$I$6:$I$17),'Second Earner'!$D$45))</f>
      </c>
      <c r="BQ14" s="6">
        <f>IF($B14="","",IFERROR(LOOKUP(2,1/(((('Changes — Earner 2'!$C$6:$C$17="Deduction start")+('Changes — Earner 2'!$C$6:$C$17="Deduction stop"))*('Changes — Earner 2'!$D$6:$D$17="Health FSA"))*('Changes — Earner 2'!$B$6:$B$17&lt;=$B14)*('Changes — Earner 2'!$B$6:$B$17&lt;&gt;"")),'Changes — Earner 2'!$J$6:$J$17),0))</f>
      </c>
      <c r="BR14" s="6">
        <f>IF($B14="","",IFERROR(LOOKUP(2,1/(((('Changes — Earner 2'!$C$6:$C$17="Deduction start")+('Changes — Earner 2'!$C$6:$C$17="Deduction stop"))*('Changes — Earner 2'!$D$6:$D$17="Dependent-care FSA"))*('Changes — Earner 2'!$B$6:$B$17&lt;=$B14)*('Changes — Earner 2'!$B$6:$B$17&lt;&gt;"")),'Changes — Earner 2'!$J$6:$J$17),0))</f>
      </c>
      <c r="BS14" s="6">
        <f>IF($B14="","",IF(SUMPRODUCT(('Changes — Earner 2'!$C$6:$C$17="Deduction start")*('Changes — Earner 2'!$B$6:$B$17&lt;=$B14)*('Changes — Earner 2'!$B$6:$B$17&lt;&gt;"")*('Changes — Earner 2'!$D$6:$D$17="Health FSA"))&gt;0,1,0))</f>
      </c>
      <c r="BT14" s="6">
        <f>IF($B14="","",IF(SUMPRODUCT(('Changes — Earner 2'!$C$6:$C$17="Deduction start")*('Changes — Earner 2'!$B$6:$B$17&lt;=$B14)*('Changes — Earner 2'!$B$6:$B$17&lt;&gt;"")*('Changes — Earner 2'!$D$6:$D$17="Dependent-care FSA"))&gt;0,1,0))</f>
      </c>
      <c r="BU14" s="24">
        <f>IF($B14="","",IF('Second Earner'!$C$13,SUMPRODUCT(($AH14&gt;=INDEX('How This Works &amp; Sources'!$B$29:$J$36,0,IF('Second Earner'!$C$12="MFJ",1,IF('Second Earner'!$C$12="HoH",7,4))))*INDEX('How This Works &amp; Sources'!$B$29:$J$36,0,IF('Second Earner'!$C$12="MFJ",1,IF('Second Earner'!$C$12="HoH",7,4))+2)),SUMPRODUCT(($AH14&gt;=INDEX('How This Works &amp; Sources'!$B$19:$J$26,0,IF('Second Earner'!$C$12="MFJ",1,IF('Second Earner'!$C$12="HoH",7,4))))*INDEX('How This Works &amp; Sources'!$B$19:$J$26,0,IF('Second Earner'!$C$12="MFJ",1,IF('Second Earner'!$C$12="HoH",7,4))+2))))</f>
      </c>
      <c r="BV14" s="24">
        <f>IF($B14="","",IF($BZ14&lt;&gt;"",$BZ14,IF($CA14&lt;&gt;"",$CA14,IF($CB14&lt;&gt;"",$CB14,IF($CC14&lt;&gt;"",$CC14,0)))))</f>
      </c>
      <c r="BW14" s="7">
        <f>IF($B14="","",IF($AN14="AR",SUMPRODUCT(($AZ14&gt;INDEX('How This Works &amp; Sources'!$B$82:$J$86,0,7))*($AZ14-INDEX('How This Works &amp; Sources'!$B$82:$J$86,0,7))*INDEX('How This Works &amp; Sources'!$B$82:$J$86,0,7+2)),IF($AN14="MD",IF(OR($AU14="Married",$AU14="Head of household"),SUMPRODUCT(($AZ14&gt;INDEX('How This Works &amp; Sources'!$B$114:$J$120,0,1))*($AZ14-INDEX('How This Works &amp; Sources'!$B$114:$J$120,0,1))*INDEX('How This Works &amp; Sources'!$B$114:$J$120,0,1+2)),SUMPRODUCT(($AZ14&gt;INDEX('How This Works &amp; Sources'!$B$103:$J$109,0,7))*($AZ14-INDEX('How This Works &amp; Sources'!$B$103:$J$109,0,7))*INDEX('How This Works &amp; Sources'!$B$103:$J$109,0,7+2))),IF($AN14="MT",IF($AU14="Head of household",SUMPRODUCT(($AZ14&gt;INDEX('How This Works &amp; Sources'!$B$137:$J$139,0,1))*($AZ14-INDEX('How This Works &amp; Sources'!$B$137:$J$139,0,1))*INDEX('How This Works &amp; Sources'!$B$137:$J$139,0,1+2)),IF($AU14="Married",SUMPRODUCT(($AZ14&gt;INDEX('How This Works &amp; Sources'!$B$125:$J$132,0,7))*($AZ14-INDEX('How This Works &amp; Sources'!$B$125:$J$132,0,7))*INDEX('How This Works &amp; Sources'!$B$125:$J$132,0,7+2)),SUMPRODUCT(($AZ14&gt;INDEX('How This Works &amp; Sources'!$B$125:$J$132,0,4))*($AZ14-INDEX('How This Works &amp; Sources'!$B$125:$J$132,0,4))*INDEX('How This Works &amp; Sources'!$B$125:$J$132,0,4+2)))),IF($AN14="ND",IF($AU14="Head of household",SUMPRODUCT(($AZ14&gt;INDEX('How This Works &amp; Sources'!$B$144:$J$150,0,1))*($AZ14-INDEX('How This Works &amp; Sources'!$B$144:$J$150,0,1))*INDEX('How This Works &amp; Sources'!$B$144:$J$150,0,1+2)),IF($AU14="Married",SUMPRODUCT(($AZ14&gt;INDEX('How This Works &amp; Sources'!$B$137:$J$139,0,7))*($AZ14-INDEX('How This Works &amp; Sources'!$B$137:$J$139,0,7))*INDEX('How This Works &amp; Sources'!$B$137:$J$139,0,7+2)),SUMPRODUCT(($AZ14&gt;INDEX('How This Works &amp; Sources'!$B$137:$J$139,0,4))*($AZ14-INDEX('How This Works &amp; Sources'!$B$137:$J$139,0,4))*INDEX('How This Works &amp; Sources'!$B$137:$J$139,0,4+2)))),IF($AN14="NJ",IF('Second Earner'!$C$77="B",SUMPRODUCT(($AZ14&gt;INDEX('How This Works &amp; Sources'!$B$155:$J$162,0,4))*($AZ14-INDEX('How This Works &amp; Sources'!$B$155:$J$162,0,4))*INDEX('How This Works &amp; Sources'!$B$155:$J$162,0,4+2)),IF('Second Earner'!$C$77="C",SUMPRODUCT(($AZ14&gt;INDEX('How This Works &amp; Sources'!$B$155:$J$162,0,7))*($AZ14-INDEX('How This Works &amp; Sources'!$B$155:$J$162,0,7))*INDEX('How This Works &amp; Sources'!$B$155:$J$162,0,7+2)),IF('Second Earner'!$C$77="D",SUMPRODUCT(($AZ14&gt;INDEX('How This Works &amp; Sources'!$B$167:$J$179,0,1))*($AZ14-INDEX('How This Works &amp; Sources'!$B$167:$J$179,0,1))*INDEX('How This Works &amp; Sources'!$B$167:$J$179,0,1+2)),IF('Second Earner'!$C$77="E",SUMPRODUCT(($AZ14&gt;INDEX('How This Works &amp; Sources'!$B$167:$J$179,0,4))*($AZ14-INDEX('How This Works &amp; Sources'!$B$167:$J$179,0,4))*INDEX('How This Works &amp; Sources'!$B$167:$J$179,0,4+2)),SUMPRODUCT(($AZ14&gt;INDEX('How This Works &amp; Sources'!$B$155:$J$162,0,1))*($AZ14-INDEX('How This Works &amp; Sources'!$B$155:$J$162,0,1))*INDEX('How This Works &amp; Sources'!$B$155:$J$162,0,1+2)))))),IF($AN14="NY",IF($AU14="Married",IF($AZ14&gt;=2155350,$AZ14*IF($AZ14&gt;25000000,0.117,IF($AZ14&gt;5000000,0.111,0.1045)),SUMPRODUCT(($AZ14&gt;INDEX('How This Works &amp; Sources'!$B$184:$J$198,0,1))*($AZ14-INDEX('How This Works &amp; Sources'!$B$184:$J$198,0,1))*INDEX('How This Works &amp; Sources'!$B$184:$J$198,0,1+2))),IF($AZ14&gt;=1077550,$AZ14*IF($AZ14&gt;25000000,0.117,IF($AZ14&gt;5000000,0.111,0.1045)),SUMPRODUCT(($AZ14&gt;INDEX('How This Works &amp; Sources'!$B$167:$J$179,0,7))*($AZ14-INDEX('How This Works &amp; Sources'!$B$167:$J$179,0,7))*INDEX('How This Works &amp; Sources'!$B$167:$J$179,0,7+2)))),"")))))))</f>
      </c>
      <c r="BX14" s="7">
        <f>IF($B14="","",IF($AN14="AL",IF(OR($AU14="Married",$AU14="Head of household"),SUMPRODUCT(($AZ14&gt;INDEX('How This Works &amp; Sources'!$B$82:$J$86,0,4))*($AZ14-INDEX('How This Works &amp; Sources'!$B$82:$J$86,0,4))*INDEX('How This Works &amp; Sources'!$B$82:$J$86,0,4+2)),SUMPRODUCT(($AZ14&gt;INDEX('How This Works &amp; Sources'!$B$82:$J$86,0,1))*($AZ14-INDEX('How This Works &amp; Sources'!$B$82:$J$86,0,1))*INDEX('How This Works &amp; Sources'!$B$82:$J$86,0,1+2))),IF($AN14="KS",IF($AU14="Married",SUMPRODUCT(($AZ14&gt;INDEX('How This Works &amp; Sources'!$B$103:$J$109,0,4))*($AZ14-INDEX('How This Works &amp; Sources'!$B$103:$J$109,0,4))*INDEX('How This Works &amp; Sources'!$B$103:$J$109,0,4+2)),SUMPRODUCT(($AZ14&gt;INDEX('How This Works &amp; Sources'!$B$103:$J$109,0,1))*($AZ14-INDEX('How This Works &amp; Sources'!$B$103:$J$109,0,1))*INDEX('How This Works &amp; Sources'!$B$103:$J$109,0,1+2))),IF($AN14="MN",IF($AU14="Married",SUMPRODUCT(($AZ14&gt;INDEX('How This Works &amp; Sources'!$B$114:$J$120,0,7))*($AZ14-INDEX('How This Works &amp; Sources'!$B$114:$J$120,0,7))*INDEX('How This Works &amp; Sources'!$B$114:$J$120,0,7+2)),SUMPRODUCT(($AZ14&gt;INDEX('How This Works &amp; Sources'!$B$114:$J$120,0,4))*($AZ14-INDEX('How This Works &amp; Sources'!$B$114:$J$120,0,4))*INDEX('How This Works &amp; Sources'!$B$114:$J$120,0,4+2))),IF($AN14="MO",SUMPRODUCT(($AZ14&gt;INDEX('How This Works &amp; Sources'!$B$125:$J$132,0,1))*($AZ14-INDEX('How This Works &amp; Sources'!$B$125:$J$132,0,1))*INDEX('How This Works &amp; Sources'!$B$125:$J$132,0,1+2)),IF($AN14="NE",MAX(IF($AU14="Married",SUMPRODUCT(($AZ14&gt;INDEX('How This Works &amp; Sources'!$B$144:$J$150,0,7))*($AZ14-INDEX('How This Works &amp; Sources'!$B$144:$J$150,0,7))*INDEX('How This Works &amp; Sources'!$B$144:$J$150,0,7+2)),SUMPRODUCT(($AZ14&gt;INDEX('How This Works &amp; Sources'!$B$144:$J$150,0,4))*($AZ14-INDEX('How This Works &amp; Sources'!$B$144:$J$150,0,4))*INDEX('How This Works &amp; Sources'!$B$144:$J$150,0,4+2))),0.015*$AZ14),IF($AN14="OH",IF($B14&gt;=DATE(2026,8,1),SUMPRODUCT(($AZ14&gt;INDEX('How This Works &amp; Sources'!$B$203:$J$206,0,1))*($AZ14-INDEX('How This Works &amp; Sources'!$B$203:$J$206,0,1))*INDEX('How This Works &amp; Sources'!$B$203:$J$206,0,1+2)),SUMPRODUCT(($AZ14&gt;INDEX('How This Works &amp; Sources'!$B$184:$J$198,0,7))*($AZ14-INDEX('How This Works &amp; Sources'!$B$184:$J$198,0,7))*INDEX('How This Works &amp; Sources'!$B$184:$J$198,0,7+2))),IF($AN14="OK",IF($AU14="Married",SUMPRODUCT(($AZ14&gt;INDEX('How This Works &amp; Sources'!$B$203:$J$206,0,7))*($AZ14-INDEX('How This Works &amp; Sources'!$B$203:$J$206,0,7))*INDEX('How This Works &amp; Sources'!$B$203:$J$206,0,7+2)),SUMPRODUCT(($AZ14&gt;INDEX('How This Works &amp; Sources'!$B$203:$J$206,0,4))*($AZ14-INDEX('How This Works &amp; Sources'!$B$203:$J$206,0,4))*INDEX('How This Works &amp; Sources'!$B$203:$J$206,0,4+2))),IF($AN14="VT",IF($AU14="Married",SUMPRODUCT(($AZ14&gt;INDEX('How This Works &amp; Sources'!$B$228:$J$232,0,1))*($AZ14-INDEX('How This Works &amp; Sources'!$B$228:$J$232,0,1))*INDEX('How This Works &amp; Sources'!$B$228:$J$232,0,1+2)),SUMPRODUCT(($AZ14&gt;INDEX('How This Works &amp; Sources'!$B$219:$J$223,0,7))*($AZ14-INDEX('How This Works &amp; Sources'!$B$219:$J$223,0,7))*INDEX('How This Works &amp; Sources'!$B$219:$J$223,0,7+2))),IF($AN14="WV",IF($AU14="Married",SUMPRODUCT(($AZ14&gt;INDEX('How This Works &amp; Sources'!$B$237:$J$241,0,7))*($AZ14-INDEX('How This Works &amp; Sources'!$B$237:$J$241,0,7))*INDEX('How This Works &amp; Sources'!$B$237:$J$241,0,7+2)),SUMPRODUCT(($AZ14&gt;INDEX('How This Works &amp; Sources'!$B$228:$J$232,0,7))*($AZ14-INDEX('How This Works &amp; Sources'!$B$228:$J$232,0,7))*INDEX('How This Works &amp; Sources'!$B$228:$J$232,0,7+2))),""))))))))))</f>
      </c>
      <c r="BY14" s="7">
        <f>IF($B14="","",IF($AN14="DE",SUMPRODUCT(($AZ14&gt;INDEX('How This Works &amp; Sources'!$B$91:$J$98,0,1))*($AZ14-INDEX('How This Works &amp; Sources'!$B$91:$J$98,0,1))*INDEX('How This Works &amp; Sources'!$B$91:$J$98,0,1+2)),IF($AN14="HI",IF($AU14="Married",SUMPRODUCT(($AZ14&gt;INDEX('How This Works &amp; Sources'!$B$91:$J$98,0,7))*($AZ14-INDEX('How This Works &amp; Sources'!$B$91:$J$98,0,7))*INDEX('How This Works &amp; Sources'!$B$91:$J$98,0,7+2)),SUMPRODUCT(($AZ14&gt;INDEX('How This Works &amp; Sources'!$B$91:$J$98,0,4))*($AZ14-INDEX('How This Works &amp; Sources'!$B$91:$J$98,0,4))*INDEX('How This Works &amp; Sources'!$B$91:$J$98,0,4+2))),IF($AN14="RI",SUMPRODUCT(($AZ14&gt;INDEX('How This Works &amp; Sources'!$B$211:$J$214,0,7))*($AZ14-INDEX('How This Works &amp; Sources'!$B$211:$J$214,0,7))*INDEX('How This Works &amp; Sources'!$B$211:$J$214,0,7+2)),IF($AN14="SC",SUMPRODUCT(($AZ14&gt;INDEX('How This Works &amp; Sources'!$B$219:$J$223,0,1))*($AZ14-INDEX('How This Works &amp; Sources'!$B$219:$J$223,0,1))*INDEX('How This Works &amp; Sources'!$B$219:$J$223,0,1+2)),IF($AN14="VA",SUMPRODUCT(($AZ14&gt;INDEX('How This Works &amp; Sources'!$B$219:$J$223,0,4))*($AZ14-INDEX('How This Works &amp; Sources'!$B$219:$J$223,0,4))*INDEX('How This Works &amp; Sources'!$B$219:$J$223,0,4+2)),IF($AN14="WI",SUMPRODUCT(($AZ14&gt;INDEX('How This Works &amp; Sources'!$B$228:$J$232,0,4))*($AZ14-INDEX('How This Works &amp; Sources'!$B$228:$J$232,0,4))*INDEX('How This Works &amp; Sources'!$B$228:$J$232,0,4+2)),"")))))))</f>
      </c>
      <c r="BZ14" s="24">
        <f>IF($B14="","",IF($AN14="KS",IF($AU14="Married",SUMPRODUCT(($AZ14&gt;=INDEX('How This Works &amp; Sources'!$B$103:$J$109,0,4))*INDEX('How This Works &amp; Sources'!$B$103:$J$109,0,4+2)),SUMPRODUCT(($AZ14&gt;=INDEX('How This Works &amp; Sources'!$B$103:$J$109,0,1))*INDEX('How This Works &amp; Sources'!$B$103:$J$109,0,1+2))),IF($AN14="MT",IF($AU14="Head of household",SUMPRODUCT(($AZ14&gt;=INDEX('How This Works &amp; Sources'!$B$137:$J$139,0,1))*INDEX('How This Works &amp; Sources'!$B$137:$J$139,0,1+2)),IF($AU14="Married",SUMPRODUCT(($AZ14&gt;=INDEX('How This Works &amp; Sources'!$B$125:$J$132,0,7))*INDEX('How This Works &amp; Sources'!$B$125:$J$132,0,7+2)),SUMPRODUCT(($AZ14&gt;=INDEX('How This Works &amp; Sources'!$B$125:$J$132,0,4))*INDEX('How This Works &amp; Sources'!$B$125:$J$132,0,4+2)))),IF($AN14="OR",IF(OR($AU14="Married",AND($AU14="Single",$AS14&gt;=3)),SUMPRODUCT((MAX(0,$AY14-MIN(($P14-'How This Works &amp; Sources'!$C$10*$D14)*'Second Earner'!$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Sources'!$B$211:$J$214,0,4))*INDEX('How This Works &amp; Sources'!$B$211:$J$214,0,4+2)),SUMPRODUCT((MAX(0,$AY14-MIN(($P14-'How This Works &amp; Sources'!$C$10*$D14)*'Second Earner'!$C$8,IF(OR($AU14="Married",AND($AU14="Single",$AS14&gt;=3)),IF($AY14&lt;250000,8750,IF($AY14&lt;260000,7000,IF($AY14&lt;270000,5250,IF($AY14&lt;280000,3500,IF($AY14&lt;290000,1750,0))))),IF($AY14&lt;125000,8750,IF($AY14&lt;130000,7000,IF($AY14&lt;135000,5250,IF($AY14&lt;140000,3500,IF($AY14&lt;145000,1750,0)))))))-IF(OR($AU14="Married",AND($AU14="Single",$AS14&gt;=3)),5820,2910))&gt;=INDEX('How This Works &amp; Sources'!$B$211:$J$214,0,1))*INDEX('How This Works &amp; Sources'!$B$211:$J$214,0,1+2)))*IF(($P14-'How This Works &amp; Sources'!$C$10*$D14)*'Second Earner'!$C$8&gt;=IF(OR($AU14="Married",AND($AU14="Single",$AS14&gt;=3)),IF($AY14&lt;250000,8750,IF($AY14&lt;260000,7000,IF($AY14&lt;270000,5250,IF($AY14&lt;280000,3500,IF($AY14&lt;290000,1750,0))))),IF($AY14&lt;125000,8750,IF($AY14&lt;130000,7000,IF($AY14&lt;135000,5250,IF($AY14&lt;140000,3500,IF($AY14&lt;145000,1750,0)))))),1,1-IF('Second Earner'!$C$13,SUMPRODUCT(($AH14&gt;=INDEX('How This Works &amp; Sources'!$B$29:$J$36,0,IF('Second Earner'!$C$12="MFJ",1,IF('Second Earner'!$C$12="HoH",7,4))))*INDEX('How This Works &amp; Sources'!$B$29:$J$36,0,IF('Second Earner'!$C$12="MFJ",1,IF('Second Earner'!$C$12="HoH",7,4))+2)),SUMPRODUCT(($AH14&gt;=INDEX('How This Works &amp; Sources'!$B$19:$J$26,0,IF('Second Earner'!$C$12="MFJ",1,IF('Second Earner'!$C$12="HoH",7,4))))*INDEX('How This Works &amp; Sources'!$B$19:$J$26,0,IF('Second Earner'!$C$12="MFJ",1,IF('Second Earner'!$C$12="HoH",7,4))+2)))),""))))</f>
      </c>
      <c r="CA14" s="24">
        <f>IF($B14="","",IF($AN14="CA",SUMPRODUCT(($AJ14&gt;=INDEX('How This Works &amp; Sources'!$B$39:$J$48,0,IF($AU14="Married",4,IF($AU14="Head of household",7,1))))*INDEX('How This Works &amp; Sources'!$B$39:$J$48,0,IF($AU14="Married",4,IF($AU14="Head of household",7,1))+2)),IF($AN14="AL",IF(OR($AU14="Married",$AU14="Head of household"),SUMPRODUCT(($AZ14&gt;=INDEX('How This Works &amp; Sources'!$B$82:$J$86,0,4))*INDEX('How This Works &amp; Sources'!$B$82:$J$86,0,4+2)),SUMPRODUCT(($AZ14&gt;=INDEX('How This Works &amp; Sources'!$B$82:$J$86,0,1))*INDEX('How This Works &amp; Sources'!$B$82:$J$86,0,1+2)))*(1-IF('Second Earner'!$C$13,SUMPRODUCT(($AH14&gt;=INDEX('How This Works &amp; Sources'!$B$29:$J$36,0,IF('Second Earner'!$C$12="MFJ",1,IF('Second Earner'!$C$12="HoH",7,4))))*INDEX('How This Works &amp; Sources'!$B$29:$J$36,0,IF('Second Earner'!$C$12="MFJ",1,IF('Second Earner'!$C$12="HoH",7,4))+2)),SUMPRODUCT(($AH14&gt;=INDEX('How This Works &amp; Sources'!$B$19:$J$26,0,IF('Second Earner'!$C$12="MFJ",1,IF('Second Earner'!$C$12="HoH",7,4))))*INDEX('How This Works &amp; Sources'!$B$19:$J$26,0,IF('Second Earner'!$C$12="MFJ",1,IF('Second Earner'!$C$12="HoH",7,4))+2)))),IF($AN14="ND",IF($AU14="Head of household",SUMPRODUCT(($AZ14&gt;=INDEX('How This Works &amp; Sources'!$B$144:$J$150,0,1))*INDEX('How This Works &amp; Sources'!$B$144:$J$150,0,1+2)),IF($AU14="Married",SUMPRODUCT(($AZ14&gt;=INDEX('How This Works &amp; Sources'!$B$137:$J$139,0,7))*INDEX('How This Works &amp; Sources'!$B$137:$J$139,0,7+2)),SUMPRODUCT(($AZ14&gt;=INDEX('How This Works &amp; Sources'!$B$137:$J$139,0,4))*INDEX('How This Works &amp; Sources'!$B$137:$J$139,0,4+2)))),IF($AN14="NJ",IF('Second Earner'!$C$77="B",SUMPRODUCT(($AZ14&gt;=INDEX('How This Works &amp; Sources'!$B$155:$J$162,0,4))*INDEX('How This Works &amp; Sources'!$B$155:$J$162,0,4+2)),IF('Second Earner'!$C$77="C",SUMPRODUCT(($AZ14&gt;=INDEX('How This Works &amp; Sources'!$B$155:$J$162,0,7))*INDEX('How This Works &amp; Sources'!$B$155:$J$162,0,7+2)),IF('Second Earner'!$C$77="D",SUMPRODUCT(($AZ14&gt;=INDEX('How This Works &amp; Sources'!$B$167:$J$179,0,1))*INDEX('How This Works &amp; Sources'!$B$167:$J$179,0,1+2)),IF('Second Earner'!$C$77="E",SUMPRODUCT(($AZ14&gt;=INDEX('How This Works &amp; Sources'!$B$167:$J$179,0,4))*INDEX('How This Works &amp; Sources'!$B$167:$J$179,0,4+2)),SUMPRODUCT(($AZ14&gt;=INDEX('How This Works &amp; Sources'!$B$155:$J$162,0,1))*INDEX('How This Works &amp; Sources'!$B$155:$J$162,0,1+2)))))),IF($AN14="NY",IF($AU14="Married",IF($AZ14&gt;=2155350,IF($AZ14&gt;25000000,0.117,IF($AZ14&gt;5000000,0.111,0.1045)),SUMPRODUCT(($AZ14&gt;=INDEX('How This Works &amp; Sources'!$B$184:$J$198,0,1))*INDEX('How This Works &amp; Sources'!$B$184:$J$198,0,1+2))),IF($AZ14&gt;=1077550,IF($AZ14&gt;25000000,0.117,IF($AZ14&gt;5000000,0.111,0.1045)),SUMPRODUCT(($AZ14&gt;=INDEX('How This Works &amp; Sources'!$B$167:$J$179,0,7))*INDEX('How This Works &amp; Sources'!$B$167:$J$179,0,7+2)))),IF($AN14="LA",0.0309,"")))))))</f>
      </c>
      <c r="CB14" s="24">
        <f>IF($B14="","",IF($AN14="HI",IF($AU14="Married",SUMPRODUCT(($AZ14&gt;=INDEX('How This Works &amp; Sources'!$B$91:$J$98,0,7))*INDEX('How This Works &amp; Sources'!$B$91:$J$98,0,7+2)),SUMPRODUCT(($AZ14&gt;=INDEX('How This Works &amp; Sources'!$B$91:$J$98,0,4))*INDEX('How This Works &amp; Sources'!$B$91:$J$98,0,4+2))),IF($AN14="MD",IF(OR($AU14="Married",$AU14="Head of household"),SUMPRODUCT(($AZ14&gt;=INDEX('How This Works &amp; Sources'!$B$114:$J$120,0,1))*INDEX('How This Works &amp; Sources'!$B$114:$J$120,0,1+2)),SUMPRODUCT(($AZ14&gt;=INDEX('How This Works &amp; Sources'!$B$103:$J$109,0,7))*INDEX('How This Works &amp; Sources'!$B$103:$J$109,0,7+2)))+'Second Earner'!$C$74,IF($AN14="MN",IF($AU14="Married",SUMPRODUCT(($AZ14&gt;=INDEX('How This Works &amp; Sources'!$B$114:$J$120,0,7))*INDEX('How This Works &amp; Sources'!$B$114:$J$120,0,7+2)),SUMPRODUCT(($AZ14&gt;=INDEX('How This Works &amp; Sources'!$B$114:$J$120,0,4))*INDEX('How This Works &amp; Sources'!$B$114:$J$120,0,4+2))),IF($AN14="MO",SUMPRODUCT(($AZ14&gt;=INDEX('How This Works &amp; Sources'!$B$125:$J$132,0,1))*INDEX('How This Works &amp; Sources'!$B$125:$J$132,0,1+2)),IF($AN14="NE",MAX(IF($AU14="Married",SUMPRODUCT(($AZ14&gt;=INDEX('How This Works &amp; Sources'!$B$144:$J$150,0,7))*INDEX('How This Works &amp; Sources'!$B$144:$J$150,0,7+2)),SUMPRODUCT(($AZ14&gt;=INDEX('How This Works &amp; Sources'!$B$144:$J$150,0,4))*INDEX('How This Works &amp; Sources'!$B$144:$J$150,0,4+2))),0.015),IF($AN14="OH",IF($B14&gt;=DATE(2026,8,1),SUMPRODUCT(($AZ14&gt;=INDEX('How This Works &amp; Sources'!$B$203:$J$206,0,1))*INDEX('How This Works &amp; Sources'!$B$203:$J$206,0,1+2)),SUMPRODUCT(($AZ14&gt;=INDEX('How This Works &amp; Sources'!$B$184:$J$198,0,7))*INDEX('How This Works &amp; Sources'!$B$184:$J$198,0,7+2))),IF($AN14="OK",IF($AU14="Married",SUMPRODUCT(($AZ14&gt;=INDEX('How This Works &amp; Sources'!$B$203:$J$206,0,7))*INDEX('How This Works &amp; Sources'!$B$203:$J$206,0,7+2)),SUMPRODUCT(($AZ14&gt;=INDEX('How This Works &amp; Sources'!$B$203:$J$206,0,4))*INDEX('How This Works &amp; Sources'!$B$203:$J$206,0,4+2))),IF($AN14="RI",SUMPRODUCT(($AZ14&gt;=INDEX('How This Works &amp; Sources'!$B$211:$J$214,0,7))*INDEX('How This Works &amp; Sources'!$B$211:$J$214,0,7+2)),IF($AN14="VT",IF($AU14="Married",SUMPRODUCT(($AZ14&gt;=INDEX('How This Works &amp; Sources'!$B$228:$J$232,0,1))*INDEX('How This Works &amp; Sources'!$B$228:$J$232,0,1+2)),SUMPRODUCT(($AZ14&gt;=INDEX('How This Works &amp; Sources'!$B$219:$J$223,0,7))*INDEX('How This Works &amp; Sources'!$B$219:$J$223,0,7+2))),IF($AN14="WV",IF($AU14="Married",SUMPRODUCT(($AZ14&gt;=INDEX('How This Works &amp; Sources'!$B$237:$J$241,0,7))*INDEX('How This Works &amp; Sources'!$B$237:$J$241,0,7+2)),SUMPRODUCT(($AZ14&gt;=INDEX('How This Works &amp; Sources'!$B$228:$J$232,0,7))*INDEX('How This Works &amp; Sources'!$B$228:$J$232,0,7+2))),IF($AN14="AZ",'Second Earner'!$C$82,IF($AN14="ID",IF($AY14&gt;IF($AU14="Married",32000,16094),0.053,0),"")))))))))))))</f>
      </c>
      <c r="CC14" s="24">
        <f>IF($B14="","",IF($AN14="AR",SUMPRODUCT(($AZ14&gt;=INDEX('How This Works &amp; Sources'!$B$82:$J$86,0,7))*INDEX('How This Works &amp; Sources'!$B$82:$J$86,0,7+2)),IF($AN14="DE",SUMPRODUCT(($AZ14&gt;=INDEX('How This Works &amp; Sources'!$B$91:$J$98,0,1))*INDEX('How This Works &amp; Sources'!$B$91:$J$98,0,1+2)),IF($AN14="SC",SUMPRODUCT(($AZ14&gt;=INDEX('How This Works &amp; Sources'!$B$219:$J$223,0,1))*INDEX('How This Works &amp; Sources'!$B$219:$J$223,0,1+2)),IF($AN14="VA",SUMPRODUCT(($AZ14&gt;=INDEX('How This Works &amp; Sources'!$B$219:$J$223,0,4))*INDEX('How This Works &amp; Sources'!$B$219:$J$223,0,4+2)),IF($AN14="WI",SUMPRODUCT(($AZ14&gt;=INDEX('How This Works &amp; Sources'!$B$228:$J$232,0,4))*INDEX('How This Works &amp; Sources'!$B$228:$J$232,0,4+2)),IF($AN14="CO",IF($AY14&gt;IF($AU14="Married",10000,5000),0.044,0),IF($AN14="IA",IF($AY14&gt;IF($AU14="Head of household",19500,IF($AU14="Married",26000,13000)),0.038,0),IF($AN14="IL",IF($AY14&gt;(2925*$AS14+1000*$AT14),0.0495,0),IF($AN14="IN",(0.0295+'Second Earner'!$C$76),IF($AN14="KY",IF($AI14&gt;3360,0.035,0),IF($AN14="MA",IF(MAX(0,$AY14-MIN(($BD13+$Q14+$R14+$S14),2000)-IF($AS14=0,0,IF($AS14=1,4400,1000*$AS14+3400)))&gt;=1107750,0.09,0.05),IF($AN14="MI",IF($AY14&gt;5900*$AS14,0.0425,0),IF($AN14="MS",IF($AI14-IF($AU14="Head of household",3400,IF($AU14="Married",4600,2300))-'Second Earner'!$C$85&gt;10000,0.04,0),IF($AN14="PA",0.0307,"")))))))))))))))</f>
      </c>
      <c r="CD14" s="21">
        <f>IF(YEAR(IF('Second Earner'!$C$7="Weekly",'Second Earner'!$C$9+7*(($BE13+1)-1),IF('Second Earner'!$C$7="Biweekly",'Second Earner'!$C$9+14*(($BE13+1)-1),IF('Second Earner'!$C$7="Semimonthly",DATE(YEAR('Second Earner'!$C$9),MONTH('Second Earner'!$C$9)+INT((($BE13+1)-1)/2),MIN(DAY('Second Earner'!$C$9),DAY(EOMONTH(DATE(YEAR('Second Earner'!$C$9),MONTH('Second Earner'!$C$9)+INT((($BE13+1)-1)/2),1),0))))+IF(MOD(($BE13+1)-1,2)=1,15,0),EDATE('Second Earner'!$C$9,($BE13+1)-1)))))&lt;&gt;'Second Earner'!$C$10,"",IF('Second Earner'!$C$7="Weekly",'Second Earner'!$C$9+7*(($BE13+1)-1),IF('Second Earner'!$C$7="Biweekly",'Second Earner'!$C$9+14*(($BE13+1)-1),IF('Second Earner'!$C$7="Semimonthly",DATE(YEAR('Second Earner'!$C$9),MONTH('Second Earner'!$C$9)+INT((($BE13+1)-1)/2),MIN(DAY('Second Earner'!$C$9),DAY(EOMONTH(DATE(YEAR('Second Earner'!$C$9),MONTH('Second Earner'!$C$9)+INT((($BE13+1)-1)/2),1),0))))+IF(MOD(($BE13+1)-1,2)=1,15,0),EDATE('Second Earner'!$C$9,($BE13+1)-1)))))</f>
      </c>
      <c r="CE14" s="21">
        <f>IF(MIN(IF(AND('Second Earner'!$C$58&gt;MAX($B$6:$B13),'Second Earner'!$C$58&gt;=DATE('Second Earner'!$C$10,1,1),'Second Earner'!$C$58&lt;=DATE('Second Earner'!$C$10,12,31)),'Second Earner'!$C$58,999999),IF(AND('Second Earner'!$C$59&gt;MAX($B$6:$B13),'Second Earner'!$C$59&gt;=DATE('Second Earner'!$C$10,1,1),'Second Earner'!$C$59&lt;=DATE('Second Earner'!$C$10,12,31)),'Second Earner'!$C$59,999999),IF(AND('Second Earner'!$C$60&gt;MAX($B$6:$B13),'Second Earner'!$C$60&gt;=DATE('Second Earner'!$C$10,1,1),'Second Earner'!$C$60&lt;=DATE('Second Earner'!$C$10,12,31)),'Second Earner'!$C$60,999999),IF(AND('Second Earner'!$C$61&gt;MAX($B$6:$B13),'Second Earner'!$C$61&gt;=DATE('Second Earner'!$C$10,1,1),'Second Earner'!$C$61&lt;=DATE('Second Earner'!$C$10,12,31)),'Second Earner'!$C$61,999999),IF(AND('Second Earner'!$C$62&gt;MAX($B$6:$B13),'Second Earner'!$C$62&gt;=DATE('Second Earner'!$C$10,1,1),'Second Earner'!$C$62&lt;=DATE('Second Earner'!$C$10,12,31)),'Second Earner'!$C$62,999999),IF(AND('Second Earner'!$C$63&gt;MAX($B$6:$B13),'Second Earner'!$C$63&gt;=DATE('Second Earner'!$C$10,1,1),'Second Earner'!$C$63&lt;=DATE('Second Earner'!$C$10,12,31)),'Second Earner'!$C$63,999999),IF(AND('Second Earner'!$C$64&gt;MAX($B$6:$B13),'Second Earner'!$C$64&gt;=DATE('Second Earner'!$C$10,1,1),'Second Earner'!$C$64&lt;=DATE('Second Earner'!$C$10,12,31)),'Second Earner'!$C$64,999999),IF(AND('Second Earner'!$C$65&gt;MAX($B$6:$B13),'Second Earner'!$C$65&gt;=DATE('Second Earner'!$C$10,1,1),'Second Earner'!$C$65&lt;=DATE('Second Earner'!$C$10,12,31)),'Second Earner'!$C$65,999999),IF(AND('Second Earner'!$C$66&gt;MAX($B$6:$B13),'Second Earner'!$C$66&gt;=DATE('Second Earner'!$C$10,1,1),'Second Earner'!$C$66&lt;=DATE('Second Earner'!$C$10,12,31)),'Second Earner'!$C$66,999999),IF(AND('Second Earner'!$C$67&gt;MAX($B$6:$B13),'Second Earner'!$C$67&gt;=DATE('Second Earner'!$C$10,1,1),'Second Earner'!$C$67&lt;=DATE('Second Earner'!$C$10,12,31)),'Second Earner'!$C$67,999999))=999999,"",MIN(IF(AND('Second Earner'!$C$58&gt;MAX($B$6:$B13),'Second Earner'!$C$58&gt;=DATE('Second Earner'!$C$10,1,1),'Second Earner'!$C$58&lt;=DATE('Second Earner'!$C$10,12,31)),'Second Earner'!$C$58,999999),IF(AND('Second Earner'!$C$59&gt;MAX($B$6:$B13),'Second Earner'!$C$59&gt;=DATE('Second Earner'!$C$10,1,1),'Second Earner'!$C$59&lt;=DATE('Second Earner'!$C$10,12,31)),'Second Earner'!$C$59,999999),IF(AND('Second Earner'!$C$60&gt;MAX($B$6:$B13),'Second Earner'!$C$60&gt;=DATE('Second Earner'!$C$10,1,1),'Second Earner'!$C$60&lt;=DATE('Second Earner'!$C$10,12,31)),'Second Earner'!$C$60,999999),IF(AND('Second Earner'!$C$61&gt;MAX($B$6:$B13),'Second Earner'!$C$61&gt;=DATE('Second Earner'!$C$10,1,1),'Second Earner'!$C$61&lt;=DATE('Second Earner'!$C$10,12,31)),'Second Earner'!$C$61,999999),IF(AND('Second Earner'!$C$62&gt;MAX($B$6:$B13),'Second Earner'!$C$62&gt;=DATE('Second Earner'!$C$10,1,1),'Second Earner'!$C$62&lt;=DATE('Second Earner'!$C$10,12,31)),'Second Earner'!$C$62,999999),IF(AND('Second Earner'!$C$63&gt;MAX($B$6:$B13),'Second Earner'!$C$63&gt;=DATE('Second Earner'!$C$10,1,1),'Second Earner'!$C$63&lt;=DATE('Second Earner'!$C$10,12,31)),'Second Earner'!$C$63,999999),IF(AND('Second Earner'!$C$64&gt;MAX($B$6:$B13),'Second Earner'!$C$64&gt;=DATE('Second Earner'!$C$10,1,1),'Second Earner'!$C$64&lt;=DATE('Second Earner'!$C$10,12,31)),'Second Earner'!$C$64,999999),IF(AND('Second Earner'!$C$65&gt;MAX($B$6:$B13),'Second Earner'!$C$65&gt;=DATE('Second Earner'!$C$10,1,1),'Second Earner'!$C$65&lt;=DATE('Second Earner'!$C$10,12,31)),'Second Earner'!$C$65,999999),IF(AND('Second Earner'!$C$66&gt;MAX($B$6:$B13),'Second Earner'!$C$66&gt;=DATE('Second Earner'!$C$10,1,1),'Second Earner'!$C$66&lt;=DATE('Second Earner'!$C$10,12,31)),'Second Earner'!$C$66,999999),IF(AND('Second Earner'!$C$67&gt;MAX($B$6:$B13),'Second Earner'!$C$67&gt;=DATE('Second Earner'!$C$10,1,1),'Second Earner'!$C$67&lt;=DATE('Second Earner'!$C$10,12,31)),'Second Earner'!$C$67,999999)))</f>
      </c>
      <c r="CF14">
        <f>IF($B14="","",IF($D14=0,$Y14,""))</f>
      </c>
    </row>
    <row r="15">
      <c r="A15" t="n">
        <v>10</v>
      </c>
      <c r="B15" s="21">
        <f>IF(AND($CD15="",$CE15=""),"",IF($CE15="",$CD15,IF($CD15="",$CE15,MIN($CD15,$CE15))))</f>
      </c>
      <c r="C15" s="7">
        <f>IF($B15="","",IF($BF15=0,0,IF('Second Earner'!$C$4="Annual salary",ROUND($AK15/IF(AND('Second Earner'!$C$88="Actual paydays",MONTH('Second Earner'!$C$9)=1),MAX(1,MAX($BE$6:$BE$68)),'Second Earner'!$C$8),2),$AK15)))</f>
      </c>
      <c r="D15" s="7">
        <f>IF($B15="","",SUMIF('Second Earner'!$C$58:$C$67,$B15,'Second Earner'!$D$58:$D$67))</f>
      </c>
      <c r="E15" s="7">
        <f>IF($B15="","",ROUND(MAX(0,MIN(IF($AL15="Percent",$AM15*($C15+$D15),$AM15),MAX(0,'Second Earner'!$C$34-$AC14))),2))</f>
      </c>
      <c r="F15" s="7">
        <f>IF($B15="","",ROUND(MAX(0,MIN(IF('Second Earner'!$C$32="Percent",'Second Earner'!$D$32*($C15+$D15),'Second Earner'!$D$32),MAX(0,'Second Earner'!$C$34-$AC14-$E15))),2))</f>
      </c>
      <c r="G15" s="7">
        <f>IF($B15="","",IF($BF15=0,0,ROUND(MAX(0,MIN($BL15,'Second Earner'!$C$37-'Second Earner'!$C$54-$BI14)),2)))</f>
      </c>
      <c r="H15" s="7">
        <f>IF($B15="","",IF(OR($BF15=0,$BQ15=1),0,ROUND(MAX(0,MIN(IF($BS15=1,ROUND(MAX(0,MIN($BJ15,'How This Works &amp; Sources'!$C$13)-$BG14)/MAX(1,MAX($BE$6:$BE$68)-($BE14)),2),ROUND(MIN($BJ15,'How This Works &amp; Sources'!$C$13)/'Second Earner'!$C$8,2)),MIN($BJ15,'How This Works &amp; Sources'!$C$13)-$BG14)),2)))</f>
      </c>
      <c r="I15" s="7">
        <f>IF($B15="","",IF(OR($BF15=0,$BR15=1),0,ROUND(MAX(0,MIN(IF($BT15=1,ROUND(MAX(0,MIN($BK15,IF('Second Earner'!$C$12="MFJ",'How This Works &amp; Sources'!$C$14,'How This Works &amp; Sources'!$C$15))-$BH14)/MAX(1,MAX($BE$6:$BE$68)-($BE14)),2),ROUND(MIN($BK15,IF('Second Earner'!$C$12="MFJ",'How This Works &amp; Sources'!$C$14,'How This Works &amp; Sources'!$C$15))/'Second Earner'!$C$8,2)),MIN($BK15,IF('Second Earner'!$C$12="MFJ",'How This Works &amp; Sources'!$C$14,'How This Works &amp; Sources'!$C$15))-$BH14)),2)))</f>
      </c>
      <c r="J15" s="7">
        <f>IF($B15="","",IF($BF15=0,0,$BM15))</f>
      </c>
      <c r="K15" s="7">
        <f>IF($B15="","",IF($BF15=0,0,$BN15+$BO15))</f>
      </c>
      <c r="L15" s="7">
        <f>IF($B15="","",IF($BF15=0,0,'Second Earner'!$D$46))</f>
      </c>
      <c r="M15" s="7">
        <f>IF($B15="","",$C15+$D15+$L15-$E15-$G15-$H15-$I15-$J15-$K15)</f>
      </c>
      <c r="N15" s="7">
        <f>IF($B15="","",$C15+$D15+$L15-$G15-$H15-$I15-$J15-$K15)</f>
      </c>
      <c r="O15" s="7">
        <f>IF($B15="","",$C15+$D15+$L15-$E15-$H15-$I15-$J15-$K15-IF(OR($AN15="CA",$AN15="NJ"),0,$G15))</f>
      </c>
      <c r="P15" s="7">
        <f>IF($B15="","",IF('Second Earner'!$C$18,0,ROUND(MAX(0,IF('Second Earner'!$C$13,SUMPRODUCT(($AH15&gt;INDEX('How This Works &amp; Sources'!$B$29:$J$36,0,IF('Second Earner'!$C$12="MFJ",1,IF('Second Earner'!$C$12="HoH",7,4))))*($AH15-INDEX('How This Works &amp; Sources'!$B$29:$J$36,0,IF('Second Earner'!$C$12="MFJ",1,IF('Second Earner'!$C$12="HoH",7,4))))*INDEX('How This Works &amp; Sources'!$B$29:$J$36,0,IF('Second Earner'!$C$12="MFJ",1,IF('Second Earner'!$C$12="HoH",7,4))+2)),SUMPRODUCT(($AH15&gt;INDEX('How This Works &amp; Sources'!$B$19:$J$26,0,IF('Second Earner'!$C$12="MFJ",1,IF('Second Earner'!$C$12="HoH",7,4))))*($AH15-INDEX('How This Works &amp; Sources'!$B$19:$J$26,0,IF('Second Earner'!$C$12="MFJ",1,IF('Second Earner'!$C$12="HoH",7,4))))*INDEX('How This Works &amp; Sources'!$B$19:$J$26,0,IF('Second Earner'!$C$12="MFJ",1,IF('Second Earner'!$C$12="HoH",7,4))+2)))/'Second Earner'!$C$8-$AO15/'Second Earner'!$C$8)+$AR15+IF('Second Earner'!$C$89="Aggregate",MAX(0,IF('Second Earner'!$C$13,SUMPRODUCT((($AH15+$D15)&gt;INDEX('How This Works &amp; Sources'!$B$29:$J$36,0,IF('Second Earner'!$C$12="MFJ",1,IF('Second Earner'!$C$12="HoH",7,4))))*(($AH15+$D15)-INDEX('How This Works &amp; Sources'!$B$29:$J$36,0,IF('Second Earner'!$C$12="MFJ",1,IF('Second Earner'!$C$12="HoH",7,4))))*INDEX('How This Works &amp; Sources'!$B$29:$J$36,0,IF('Second Earner'!$C$12="MFJ",1,IF('Second Earner'!$C$12="HoH",7,4))+2)),SUMPRODUCT((($AH15+$D15)&gt;INDEX('How This Works &amp; Sources'!$B$19:$J$26,0,IF('Second Earner'!$C$12="MFJ",1,IF('Second Earner'!$C$12="HoH",7,4))))*(($AH15+$D15)-INDEX('How This Works &amp; Sources'!$B$19:$J$26,0,IF('Second Earner'!$C$12="MFJ",1,IF('Second Earner'!$C$12="HoH",7,4))))*INDEX('How This Works &amp; Sources'!$B$19:$J$26,0,IF('Second Earner'!$C$12="MFJ",1,IF('Second Earner'!$C$12="HoH",7,4))+2)))-IF('Second Earner'!$C$13,SUMPRODUCT(($AH15&gt;INDEX('How This Works &amp; Sources'!$B$29:$J$36,0,IF('Second Earner'!$C$12="MFJ",1,IF('Second Earner'!$C$12="HoH",7,4))))*($AH15-INDEX('How This Works &amp; Sources'!$B$29:$J$36,0,IF('Second Earner'!$C$12="MFJ",1,IF('Second Earner'!$C$12="HoH",7,4))))*INDEX('How This Works &amp; Sources'!$B$29:$J$36,0,IF('Second Earner'!$C$12="MFJ",1,IF('Second Earner'!$C$12="HoH",7,4))+2)),SUMPRODUCT(($AH15&gt;INDEX('How This Works &amp; Sources'!$B$19:$J$26,0,IF('Second Earner'!$C$12="MFJ",1,IF('Second Earner'!$C$12="HoH",7,4))))*($AH15-INDEX('How This Works &amp; Sources'!$B$19:$J$26,0,IF('Second Earner'!$C$12="MFJ",1,IF('Second Earner'!$C$12="HoH",7,4))))*INDEX('How This Works &amp; Sources'!$B$19:$J$26,0,IF('Second Earner'!$C$12="MFJ",1,IF('Second Earner'!$C$12="HoH",7,4))+2)))),'How This Works &amp; Sources'!$C$10*$D15),2)))</f>
      </c>
      <c r="Q15" s="7">
        <f>IF($B15="","",ROUND('How This Works &amp; Sources'!$C$4*MIN($N15,MAX(0,'How This Works &amp; Sources'!$C$3-($AX15+$AB14-$AW15))),2))</f>
      </c>
      <c r="R15" s="7">
        <f>IF($B15="","",ROUND('How This Works &amp; Sources'!$C$5*$N15,2))</f>
      </c>
      <c r="S15" s="7">
        <f>IF($B15="","",ROUND('How This Works &amp; Sources'!$C$6*MAX(0,MIN($N15,$AG14+$N15-'How This Works &amp; Sources'!$C$7)),2))</f>
      </c>
      <c r="T15" s="7">
        <f>IF($B15="","",IF('Second Earner'!$C$26,0,IF($AN15="CA",ROUND(IF($AI15&lt;=IF(($AS15+$AT15)&gt;=2,VLOOKUP($AN15,StateTables!$A$6:$AB$56,10,FALSE),VLOOKUP($AN15,StateTables!$A$6:$AB$56,9,FALSE)),0,MAX(0,SUMPRODUCT(($AJ15&gt;INDEX('How This Works &amp; Sources'!$B$39:$J$48,0,IF($AU15="Married",4,IF($AU15="Head of household",7,1))))*($AJ15-INDEX('How This Works &amp; Sources'!$B$39:$J$48,0,IF($AU15="Married",4,IF($AU15="Head of household",7,1))))*INDEX('How This Works &amp; Sources'!$B$39:$J$48,0,IF($AU15="Married",4,IF($AU15="Head of household",7,1))+2))-VLOOKUP($AN15,StateTables!$A$6:$AB$56,11,FALSE)*$AS15)/'Second Earner'!$C$8)+'Second Earner'!$C$25+VLOOKUP($AN15,StateTables!$A$6:$AB$56,13,FALSE)*$D15,2),IF(VLOOKUP($AN15,StateTables!$A$6:$AB$56,4,FALSE)="None",0,IF(ISNUMBER(SEARCH("MANUAL",VLOOKUP($AN15,StateTables!$A$6:$AB$56,5,FALSE))),'Second Earner'!$C$28,ROUND(MAX(0,$BA15+$BB15)/'Second Earner'!$C$8+'Second Earner'!$C$25+$BC15,2))))))</f>
      </c>
      <c r="U15" s="7">
        <f>IF($B15="","",IF(VLOOKUP($AN15,StateTables!$A$6:$AB$56,24,FALSE)="flatq",IF(OR(MONTH($B15)=1,MONTH($B15)=4,MONTH($B15)=7,MONTH($B15)=10),VLOOKUP($AN15,StateTables!$A$6:$AB$56,25,FALSE),0),IF(VLOOKUP($AN15,StateTables!$A$6:$AB$56,24,FALSE)="dbl",MIN(ROUND(0.005*$N15,2),ROUND(0.6*52/'Second Earner'!$C$8,2)),IF(OR(VLOOKUP($AN15,StateTables!$A$6:$AB$56,15,FALSE)="",VLOOKUP($AN15,StateTables!$A$6:$AB$56,15,FALSE)=0),0,ROUND(VLOOKUP($AN15,StateTables!$A$6:$AB$56,15,FALSE)*IF(OR(VLOOKUP($AN15,StateTables!$A$6:$AB$56,16,FALSE)="",VLOOKUP($AN15,StateTables!$A$6:$AB$56,16,FALSE)=0),$N15,MIN($N15,MAX(0,VLOOKUP($AN15,StateTables!$A$6:$AB$56,16,FALSE)-($AX15+$AB14-$AW15)))),2))))+IF(VLOOKUP($AN15,StateTables!$A$6:$AB$56,27,FALSE)="flatq",IF(OR(MONTH($B15)=1,MONTH($B15)=4,MONTH($B15)=7,MONTH($B15)=10),VLOOKUP($AN15,StateTables!$A$6:$AB$56,28,FALSE),0),IF(VLOOKUP($AN15,StateTables!$A$6:$AB$56,27,FALSE)="dbl",MIN(ROUND(0.005*$N15,2),ROUND(0.6*52/'Second Earner'!$C$8,2)),IF(OR(VLOOKUP($AN15,StateTables!$A$6:$AB$56,18,FALSE)="",VLOOKUP($AN15,StateTables!$A$6:$AB$56,18,FALSE)=0),0,ROUND(VLOOKUP($AN15,StateTables!$A$6:$AB$56,18,FALSE)*IF(OR(VLOOKUP($AN15,StateTables!$A$6:$AB$56,19,FALSE)="",VLOOKUP($AN15,StateTables!$A$6:$AB$56,19,FALSE)=0),$N15,MIN($N15,MAX(0,VLOOKUP($AN15,StateTables!$A$6:$AB$56,19,FALSE)-($AX15+$AB14-$AW15)))),2)))))</f>
      </c>
      <c r="V15" s="7">
        <f>IF($B15="","",IF($AN15="NY",IF('Second Earner'!$C$78,ROUND(SUMPRODUCT((MAX(0,($O15-$D15)*'Second Earner'!$C$8-(IF($AU15="Married",5500,5000)+1000*$AS15))&gt;INDEX('How This Works &amp; Sources'!$B$184:$J$198,0,4))*(MAX(0,($O15-$D15)*'Second Earner'!$C$8-(IF($AU15="Married",5500,5000)+1000*$AS15))-INDEX('How This Works &amp; Sources'!$B$184:$J$198,0,4))*INDEX('How This Works &amp; Sources'!$B$184:$J$198,0,4+2))/'Second Earner'!$C$8+0.0425*$D15,2),0)+IF('Second Earner'!$C$79="Resident",ROUND(0.1675*$T15,2),IF('Second Earner'!$C$79="Nonresident",ROUND(0.005*MAX(0,($O15-$D15)-(IF($AU15="Married",7950,7400)+1000*$AS15)/'Second Earner'!$C$8),2),0)),IF($AN15="PA",IF('Second Earner'!$C$80="None",'Second Earner'!$C$27+ROUND('Second Earner'!$C$81*($C15+$D15),2),ROUND(IF('Second Earner'!$C$80="Resident",IF($B15&lt;DATE(2026,7,1),0.0374,0.03735),IF($B15&lt;DATE(2026,7,1),0.0343,0.03425))*($C15+$D15),2)),IF($BF15=0,ROUND('Second Earner'!$C$81*($C15+$D15),2),'Second Earner'!$C$27+ROUND('Second Earner'!$C$81*($C15+$D15),2)))))</f>
      </c>
      <c r="W15" s="7">
        <f>IF($B15="","",IF($BF15=0,0,$BP15))</f>
      </c>
      <c r="X15" s="7">
        <f>IF($B15="","",SUM($E15:$K15)+$P15+$Q15+$R15+$S15+$T15+$U15+$V15+$W15)</f>
      </c>
      <c r="Y15" s="22">
        <f>IF($B15="","",$C15+$D15-$X15)</f>
      </c>
      <c r="Z15" s="7">
        <f>IF($B15="","",$Z14+$C15+$D15)</f>
      </c>
      <c r="AA15" s="7">
        <f>IF($B15="","",$AA14+$Y15)</f>
      </c>
      <c r="AB15" s="7">
        <f>IF($B15="","",$AB14+MIN($N15,MAX(0,'How This Works &amp; Sources'!$C$3-($AX15+$AB14-$AW15))))</f>
      </c>
      <c r="AC15" s="7">
        <f>IF($B15="","",$AC14+$E15+$F15)</f>
      </c>
      <c r="AD15" s="3">
        <f>IF($B15="","",IF(AND($AB14&lt;'How This Works &amp; Sources'!$C$3,$AB15&gt;='How This Works &amp; Sources'!$C$3),"★ Social Security maxed on this check — from the next check your net rises by about $"&amp;TEXT(ROUND('How This Works &amp; Sources'!$C$4*$N15,2),"#,##0.00")&amp;". ","")&amp;IF(AND($AC14&lt;'Second Earner'!$C$34,$AC15&gt;='Second Earner'!$C$34),"★ 401(k) reaches the $"&amp;TEXT('Second Earner'!$C$34,"#,##0")&amp;" cap on this check — deferrals stop and net pay rises. ","")&amp;IF(AND($AG14&lt;'How This Works &amp; Sources'!$C$7,$AG15&gt;='How This Works &amp; Sources'!$C$7),"★ Wages pass $200,000 — the 0.9% Additional Medicare Tax starts here. ","")&amp;IF(AND($BJ15&gt;0,$H15&gt;0,$BG14&lt;MIN($BJ15,'How This Works &amp; Sources'!$C$13),$BG14+$H15&gt;=MIN($BJ15,'How This Works &amp; Sources'!$C$13)),"★ Health FSA election is now fully deferred for the year. ",""))</f>
      </c>
      <c r="AE15" s="41" t="n"/>
      <c r="AF15" s="7">
        <f>IF(OR($B15="",$AE15=""),"",$AE15-$Y15)</f>
      </c>
      <c r="AG15" s="7">
        <f>IF($B15="","",$AG14+$N15)</f>
      </c>
      <c r="AH15" s="7">
        <f>IF($B15="","",MAX(0,($M15-$D15)*'Second Earner'!$C$8+$AP15-$AQ15-IF('Second Earner'!$C$13,0,IF('Second Earner'!$C$12="MFJ",'How This Works &amp; Sources'!$C$8,'How This Works &amp; Sources'!$C$9))))</f>
      </c>
      <c r="AI15" s="7">
        <f>IF($B15="","",$O15*'Second Earner'!$C$8)</f>
      </c>
      <c r="AJ15" s="7">
        <f>IF($B15="","",MAX(0,$AI15-VLOOKUP($AN15,StateTables!$A$6:$AB$56,12,FALSE)*$AT15-IF(($AS15+$AT15)&gt;=2,VLOOKUP($AN15,StateTables!$A$6:$AB$56,8,FALSE),VLOOKUP($AN15,StateTables!$A$6:$AB$56,7,FALSE))))</f>
      </c>
      <c r="AK15" s="7">
        <f>IF($B15="","",IFERROR(LOOKUP(2,1/(('Changes — Earner 2'!$C$6:$C$17="Salary change")*('Changes — Earner 2'!$B$6:$B$17&lt;=$B15)*('Changes — Earner 2'!$B$6:$B$17&lt;&gt;"")),'Changes — Earner 2'!$D$6:$D$17),IF('Second Earner'!$C$4="Annual salary",'Second Earner'!$C$5,'Second Earner'!$C$6)))</f>
      </c>
      <c r="AL15">
        <f>IF($B15="","",IFERROR(LOOKUP(2,1/(('Changes — Earner 2'!$C$6:$C$17="401(k) change")*('Changes — Earner 2'!$B$6:$B$17&lt;=$B15)*('Changes — Earner 2'!$B$6:$B$17&lt;&gt;"")),'Changes — Earner 2'!$D$6:$D$17),'Second Earner'!$C$30))</f>
      </c>
      <c r="AM15" s="7">
        <f>IF($B15="","",IFERROR(LOOKUP(2,1/(('Changes — Earner 2'!$C$6:$C$17="401(k) change")*('Changes — Earner 2'!$B$6:$B$17&lt;=$B15)*('Changes — Earner 2'!$B$6:$B$17&lt;&gt;"")),'Changes — Earner 2'!$E$6:$E$17),'Second Earner'!$D$31))</f>
      </c>
      <c r="AN15">
        <f>IF($B15="","",IFERROR(LOOKUP(2,1/(('Changes — Earner 2'!$C$6:$C$17="State move")*('Changes — Earner 2'!$B$6:$B$17&lt;=$B15)*('Changes — Earner 2'!$B$6:$B$17&lt;&gt;"")),'Changes — Earner 2'!$D$6:$D$17),'Second Earner'!$C$21))</f>
      </c>
      <c r="AO15" s="7">
        <f>IF($B15="","",IFERROR(LOOKUP(2,1/(('Changes — Earner 2'!$C$6:$C$17="W-4 change")*('Changes — Earner 2'!$B$6:$B$17&lt;=$B15)*('Changes — Earner 2'!$B$6:$B$17&lt;&gt;"")),'Changes — Earner 2'!$D$6:$D$17),'Second Earner'!$C$14))</f>
      </c>
      <c r="AP15" s="7">
        <f>IF($B15="","",IFERROR(LOOKUP(2,1/(('Changes — Earner 2'!$C$6:$C$17="W-4 change")*('Changes — Earner 2'!$B$6:$B$17&lt;=$B15)*('Changes — Earner 2'!$B$6:$B$17&lt;&gt;"")),'Changes — Earner 2'!$E$6:$E$17),'Second Earner'!$C$15))</f>
      </c>
      <c r="AQ15" s="7">
        <f>IF($B15="","",IFERROR(LOOKUP(2,1/(('Changes — Earner 2'!$C$6:$C$17="W-4 change")*('Changes — Earner 2'!$B$6:$B$17&lt;=$B15)*('Changes — Earner 2'!$B$6:$B$17&lt;&gt;"")),'Changes — Earner 2'!$F$6:$F$17),'Second Earner'!$C$16))</f>
      </c>
      <c r="AR15" s="7">
        <f>IF($B15="","",IFERROR(LOOKUP(2,1/(('Changes — Earner 2'!$C$6:$C$17="W-4 change")*('Changes — Earner 2'!$B$6:$B$17&lt;=$B15)*('Changes — Earner 2'!$B$6:$B$17&lt;&gt;"")),'Changes — Earner 2'!$G$6:$G$17),'Second Earner'!$C$17))</f>
      </c>
      <c r="AS15" s="6">
        <f>IF($B15="","",IFERROR(LOOKUP(2,1/((('Changes — Earner 2'!$C$6:$C$17="State move")+('Changes — Earner 2'!$C$6:$C$17="State cert change"))*('Changes — Earner 2'!$B$6:$B$17&lt;=$B15)*('Changes — Earner 2'!$B$6:$B$17&lt;&gt;"")),'Changes — Earner 2'!$F$6:$F$17),'Second Earner'!$C$23))</f>
      </c>
      <c r="AT15" s="6">
        <f>IF($B15="","",IFERROR(LOOKUP(2,1/((('Changes — Earner 2'!$C$6:$C$17="State move")+('Changes — Earner 2'!$C$6:$C$17="State cert change"))*('Changes — Earner 2'!$B$6:$B$17&lt;=$B15)*('Changes — Earner 2'!$B$6:$B$17&lt;&gt;"")),'Changes — Earner 2'!$G$6:$G$17),'Second Earner'!$C$24))</f>
      </c>
      <c r="AU15">
        <f>IF($B15="","",IFERROR(LOOKUP(2,1/(('Changes — Earner 2'!$C$6:$C$17="State move")*('Changes — Earner 2'!$B$6:$B$17&lt;=$B15)*('Changes — Earner 2'!$B$6:$B$17&lt;&gt;"")),'Changes — Earner 2'!$E$6:$E$17),'Second Earner'!$C$22))</f>
      </c>
      <c r="AV15" s="6">
        <f>IF($B15="","",1+COUNTIFS('Changes — Earner 2'!$C$6:$C$17,"Employer change",'Changes — Earner 2'!$B$6:$B$17,"&lt;="&amp;$B15,'Changes — Earner 2'!$B$6:$B$17,"&lt;&gt;"))</f>
      </c>
      <c r="AW15" s="7">
        <f>IF($B15="","",IF($AV15=1,'Second Earner'!$C$49,IF(IFERROR(MATCH(IFERROR(LOOKUP(2,1/(('Changes — Earner 2'!$C$6:$C$17="Employer change")*('Changes — Earner 2'!$B$6:$B$17&lt;=$B15)*('Changes — Earner 2'!$B$6:$B$17&lt;&gt;"")),'Changes — Earner 2'!$B$6:$B$17),""),$B$6:$B$68,1),1)&lt;=1,'Second Earner'!$C$49,INDEX($AB$6:$AB$68,MATCH(IFERROR(LOOKUP(2,1/(('Changes — Earner 2'!$C$6:$C$17="Employer change")*('Changes — Earner 2'!$B$6:$B$17&lt;=$B15)*('Changes — Earner 2'!$B$6:$B$17&lt;&gt;"")),'Changes — Earner 2'!$B$6:$B$17),""),$B$6:$B$68,1)-1))))</f>
      </c>
      <c r="AX15" s="7">
        <f>IF($B15="","",IF($AV15=1,'Second Earner'!$C$49,IFERROR(LOOKUP(2,1/(('Changes — Earner 2'!$C$6:$C$17="Employer change")*('Changes — Earner 2'!$B$6:$B$17&lt;=$B15)*('Changes — Earner 2'!$B$6:$B$17&lt;&gt;"")),'Changes — Earner 2'!$D$6:$D$17),0)))</f>
      </c>
      <c r="AY15" s="7">
        <f>IF($B15="","",($O15-$D15)*'Second Earner'!$C$8)</f>
      </c>
      <c r="AZ15" s="7">
        <f>IF($B15="","",IF($AN15="AL",MAX(0,$AY15-IF($AU15="Married",IF($AY15&lt;=25999,8500,MAX(5000,8500-175*CEILING(($AY15-25999)/500,1))),IF($AU15="Head of household",IF($AY15&lt;=25999,5200,MAX(2500,5200-135*CEILING(($AY15-25999)/500,1))),IF($AY15&lt;=25999,3000,MAX(2500,3000-25*CEILING(($AY15-25999)/500,1)))))-($P15-'How This Works &amp; Sources'!$C$10*$D15)*'Second Earner'!$C$8-IF(OR($AU15="Married",$AU15="Head of household"),3000,1500)-$AT15*IF($AY15&lt;=50000,1000,IF($AY15&lt;=100000,500,300))),IF($AN15="AR",IF(MAX(0,$AY15-2470)&lt;97701,INT(MAX(0,$AY15-2470)/100)*100+50,MAX(0,$AY15-2470)),IF($AN15="DE",MAX(0,$AI15-3250),IF($AN15="HI",MAX(0,$AI15-1144*$AS15-4350),IF($AN15="KS",MAX(0,$AI15-(9160*IF($AU15="Married",2,1)+2320*$AT15+IF($AU15="Head of household",2320,0))),IF($AN15="MD",MAX(0,$AI15-3400-3200*$AS15),IF($AN15="MN",MAX(0,$AY15-5300*$AS15),IF($AN15="MO",MAX(0,$AI15-IF($AU15="Head of household",24150,IF($AU15="Married",IF('Second Earner'!$C$83,16100,32200),16100))),IF($AN15="MT",$AY15,IF($AN15="ND",($C15+$L15)*'Second Earner'!$C$8,IF($AN15="NE",MAX(0,$AY15-2440*$AS15),IF($AN15="NJ",MAX(0,$AY15-1000*$AS15),IF($AN15="NY",MAX(0,$AY15-(IF($AU15="Married",7950,7400)+1000*$AS15)),IF($AN15="OH",MAX(0,$AY15-650*$AS15),IF($AN15="OK",MAX(0,$AY15-1000*$AS15),IF($AN15="RI",MAX(0,$AI15-1000*$AS15),IF($AN15="SC",MAX(0,$AI15-5000*$AS15-IF($AS15=0,0,MIN(0.1*$AI15,7500))),IF($AN15="VA",MAX(0,$AI15-IF($AU15="Married",17500,8750)-930*$AS15-800*$AT15),IF($AN15="VT",MAX(0,$AI15-5400*$AS15),IF($AN15="WI",MAX(0,$AI15-MAX(0,IF($AU15="Married",9461-0.2*MAX(0,$AI15-25727),6702-0.12*MAX(0,$AI15-17780)))-400*$AS15),IF($AN15="WV",MAX(0,$AI15-2000*$AS15),$AI15))))))))))))))))))))))</f>
      </c>
      <c r="BA15" s="7">
        <f>IF($B15="","",IF($BW15&lt;&gt;"",$BW15,IF($BX15&lt;&gt;"",$BX15,IF($BY15&lt;&gt;"",$BY15,0))))</f>
      </c>
      <c r="BB15" s="7">
        <f>IF($B15="","",IF($AN15="AR",-29*$AS15,IF($AN15="DE",-110*$AS15,IF($AN15="MD",$AZ15*'Second Earner'!$C$74,IF($AN15="AZ",'Second Earner'!$C$82*($M15-$D15)*'Second Earner'!$C$8,IF($AN15="CO",0.044*MAX(0,$AY15-IF($AU15="Married",10000,5000)),IF($AN15="IA",MAX(0,0.038*MAX(0,$AY15-IF($AU15="Head of household",19500,IF($AU15="Married",26000,13000)))-40*$AS15),IF($AN15="ID",0.053*MAX(0,$AY15-IF($AU15="Married",32000,16094)),IF($AN15="IL",0.0495*MAX(0,$AY15-(2925*$AS15+1000*$AT15)),IF($AN15="IN",(0.0295+'Second Earner'!$C$76)*MAX(0,$AY15-(1000*$AS15+1500*$AT15+3000*'Second Earner'!$C$86)),IF($AN15="KY",0.035*MAX(0,$AI15-3360),IF($AN15="LA",IF('Second Earner'!$C$84="0",0.0309*$AI15,0.0309*MAX(0,$AI15-IF('Second Earner'!$C$84="2",25750,12875))),IF($AN15="MA",0.05*MIN(MAX(0,$AY15-MIN(($BD14+$Q15+$R15+$S15),2000)-IF($AS15=0,0,IF($AS15=1,4400,1000*$AS15+3400))),1107750)+0.09*MAX(0,MAX(0,$AY15-MIN(($BD14+$Q15+$R15+$S15),2000)-IF($AS15=0,0,IF($AS15=1,4400,1000*$AS15+3400)))-1107750)-IF($AU15="Head of household",120,0)-110*'Second Earner'!$C$75,IF($AN15="MI",0.0425*MAX(0,$AY15-5900*$AS15),IF($AN15="MS",0.04*MAX(0,$AI15-IF($AU15="Head of household",3400,IF($AU15="Married",4600,2300))-'Second Earner'!$C$85-10000),IF($AN15="OR",IF(OR($AU15="Married",AND($AU15="Single",$AS15&gt;=3)),SUMPRODUCT((MAX(0,$AY15-MIN(($P15-'How This Works &amp; Sources'!$C$10*$D15)*'Second Earner'!$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Sources'!$B$211:$J$214,0,4))*(MAX(0,$AY15-MIN(($P15-'How This Works &amp; Sources'!$C$10*$D15)*'Second Earner'!$C$8,IF(OR($AU15="Married",AND($AU15="Single",$AS15&gt;=3)),IF($AY15&lt;250000,8750,IF($AY15&lt;260000,7000,IF($AY15&lt;270000,5250,IF($AY15&lt;280000,3500,IF($AY15&lt;290000,1750,0))))),IF($AY15&lt;125000,8750,IF($AY15&lt;130000,7000,IF($AY15&lt;135000,5250,IF($AY15&lt;140000,3500,IF($AY15&lt;145000,1750,0)))))))-IF(OR($AU15="Married",AND($AU15="Single",$AS15&gt;=3)),5820,2910))-INDEX('How This Works &amp; Sources'!$B$211:$J$214,0,4))*INDEX('How This Works &amp; Sources'!$B$211:$J$214,0,4+2)),SUMPRODUCT((MAX(0,$AY15-MIN(($P15-'How This Works &amp; Sources'!$C$10*$D15)*'Second Earner'!$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Sources'!$B$211:$J$214,0,1))*(MAX(0,$AY15-MIN(($P15-'How This Works &amp; Sources'!$C$10*$D15)*'Second Earner'!$C$8,IF(OR($AU15="Married",AND($AU15="Single",$AS15&gt;=3)),IF($AY15&lt;250000,8750,IF($AY15&lt;260000,7000,IF($AY15&lt;270000,5250,IF($AY15&lt;280000,3500,IF($AY15&lt;290000,1750,0))))),IF($AY15&lt;125000,8750,IF($AY15&lt;130000,7000,IF($AY15&lt;135000,5250,IF($AY15&lt;140000,3500,IF($AY15&lt;145000,1750,0)))))))-IF(OR($AU15="Married",AND($AU15="Single",$AS15&gt;=3)),5820,2910))-INDEX('How This Works &amp; Sources'!$B$211:$J$214,0,1))*INDEX('How This Works &amp; Sources'!$B$211:$J$214,0,1+2)))+263-263*IF(IF($AU15="Married",$AY15&gt;200000,$AY15&gt;100000),0,$AS15),IF($AN15="PA",0.0307*(($O15+$E15+$G15)*'Second Earner'!$C$8),IF($AN15="NY",IF($AU15="Married",IF($AZ15&gt;=2155350,0,IF($AZ15&gt;=1077550,0.48,IF($AZ15&gt;=373200,1.21,IF($AZ15&gt;=323200,0.21,IF($AZ15&gt;=211550,-0.19,IF($AZ15&gt;=157650,-2.8,IF($AZ15&gt;=107650,-0.8,IF($AZ15&gt;=96800,0.05,IF($AZ15&gt;=80650,-0.1,IF($AZ15&gt;=13900,0.4,IF($AZ15&gt;=11700,-0.3,IF($AZ15&gt;=8500,0.5,0)))))))))))),IF($AZ15&gt;=1077550,0,IF($AZ15&gt;=265400,4.29,IF($AZ15&gt;=215400,2.29,IF($AZ15&gt;=157650,2.29,IF($AZ15&gt;=107650,0.29,IF($AZ15&gt;=96800,0.05,IF($AZ15&gt;=80650,-0.1,IF($AZ15&gt;=13900,0.4,IF($AZ15&gt;=11700,-0.3,IF($AZ15&gt;=8500,0.5,0))))))))))),0))))))))))))))))))</f>
      </c>
      <c r="BC15" s="7">
        <f>IF($B15="","",IF($AN15="AL",0.05*$D15,IF($AN15="AR",0.039*$D15,IF($AN15="ID",0.053*$D15,IF($AN15="IN",(0.0295+'Second Earner'!$C$76)*$D15,IF($AN15="KS",0.05*$D15,IF($AN15="MA",0.09*MIN($D15,MAX(0,MAX(0,$AY15-MIN(($BD14+$Q15+$R15+$S15),2000)-IF($AS15=0,0,IF($AS15=1,4400,1000*$AS15+3400)))+$D15-1107750))+0.05*($D15-MIN($D15,MAX(0,MAX(0,$AY15-MIN(($BD14+$Q15+$R15+$S15),2000)-IF($AS15=0,0,IF($AS15=1,4400,1000*$AS15+3400)))+$D15-1107750))),IF($AN15="MD",(0.065+'Second Earner'!$C$74)*$D15,IF($AN15="MI",0.0425*$D15,IF($AN15="MN",0.0625*$D15,IF($AN15="MO",0.047*$D15,IF($AN15="MT",0.05*$D15,IF($AN15="ND",0.015*$D15,IF($AN15="NE",0.035*$D15,IF($AN15="NJ",IF('Second Earner'!$C$77="B",SUMPRODUCT(($D15*'Second Earner'!$C$8&gt;INDEX('How This Works &amp; Sources'!$B$155:$J$162,0,4))*($D15*'Second Earner'!$C$8-INDEX('How This Works &amp; Sources'!$B$155:$J$162,0,4))*INDEX('How This Works &amp; Sources'!$B$155:$J$162,0,4+2)),IF('Second Earner'!$C$77="C",SUMPRODUCT(($D15*'Second Earner'!$C$8&gt;INDEX('How This Works &amp; Sources'!$B$155:$J$162,0,7))*($D15*'Second Earner'!$C$8-INDEX('How This Works &amp; Sources'!$B$155:$J$162,0,7))*INDEX('How This Works &amp; Sources'!$B$155:$J$162,0,7+2)),IF('Second Earner'!$C$77="D",SUMPRODUCT(($D15*'Second Earner'!$C$8&gt;INDEX('How This Works &amp; Sources'!$B$167:$J$179,0,1))*($D15*'Second Earner'!$C$8-INDEX('How This Works &amp; Sources'!$B$167:$J$179,0,1))*INDEX('How This Works &amp; Sources'!$B$167:$J$179,0,1+2)),IF('Second Earner'!$C$77="E",SUMPRODUCT(($D15*'Second Earner'!$C$8&gt;INDEX('How This Works &amp; Sources'!$B$167:$J$179,0,4))*($D15*'Second Earner'!$C$8-INDEX('How This Works &amp; Sources'!$B$167:$J$179,0,4))*INDEX('How This Works &amp; Sources'!$B$167:$J$179,0,4+2)),SUMPRODUCT(($D15*'Second Earner'!$C$8&gt;INDEX('How This Works &amp; Sources'!$B$155:$J$162,0,1))*($D15*'Second Earner'!$C$8-INDEX('How This Works &amp; Sources'!$B$155:$J$162,0,1))*INDEX('How This Works &amp; Sources'!$B$155:$J$162,0,1+2))))))/'Second Earner'!$C$8,IF($AN15="NY",0.117*$D15,IF($AN15="OH",0.0275*$D15,IF($AN15="OK",0.045*$D15,IF($AN15="OR",0.08*$D15,IF($AN15="WI",IF($AY15&lt;12760,0.0354,IF($AY15&lt;25520,0.0465,IF($AY15&lt;280950,0.053,0.0765)))*$D15,0))))))))))))))))))))</f>
      </c>
      <c r="BD15" s="7">
        <f>IF($B15="","",$BD14+$Q15+$R15+$S15)</f>
      </c>
      <c r="BE15" s="6">
        <f>IF($B15="",$BE14,$BE14+$BF15)</f>
      </c>
      <c r="BF15" s="6">
        <f>IF($B15="","",IF(AND(IF(YEAR(IF('Second Earner'!$C$7="Weekly",'Second Earner'!$C$9+7*(($BE14+1)-1),IF('Second Earner'!$C$7="Biweekly",'Second Earner'!$C$9+14*(($BE14+1)-1),IF('Second Earner'!$C$7="Semimonthly",DATE(YEAR('Second Earner'!$C$9),MONTH('Second Earner'!$C$9)+INT((($BE14+1)-1)/2),MIN(DAY('Second Earner'!$C$9),DAY(EOMONTH(DATE(YEAR('Second Earner'!$C$9),MONTH('Second Earner'!$C$9)+INT((($BE14+1)-1)/2),1),0))))+IF(MOD(($BE14+1)-1,2)=1,15,0),EDATE('Second Earner'!$C$9,($BE14+1)-1)))))&lt;&gt;'Second Earner'!$C$10,"",IF('Second Earner'!$C$7="Weekly",'Second Earner'!$C$9+7*(($BE14+1)-1),IF('Second Earner'!$C$7="Biweekly",'Second Earner'!$C$9+14*(($BE14+1)-1),IF('Second Earner'!$C$7="Semimonthly",DATE(YEAR('Second Earner'!$C$9),MONTH('Second Earner'!$C$9)+INT((($BE14+1)-1)/2),MIN(DAY('Second Earner'!$C$9),DAY(EOMONTH(DATE(YEAR('Second Earner'!$C$9),MONTH('Second Earner'!$C$9)+INT((($BE14+1)-1)/2),1),0))))+IF(MOD(($BE14+1)-1,2)=1,15,0),EDATE('Second Earner'!$C$9,($BE14+1)-1)))))&lt;&gt;"",$B15=IF(YEAR(IF('Second Earner'!$C$7="Weekly",'Second Earner'!$C$9+7*(($BE14+1)-1),IF('Second Earner'!$C$7="Biweekly",'Second Earner'!$C$9+14*(($BE14+1)-1),IF('Second Earner'!$C$7="Semimonthly",DATE(YEAR('Second Earner'!$C$9),MONTH('Second Earner'!$C$9)+INT((($BE14+1)-1)/2),MIN(DAY('Second Earner'!$C$9),DAY(EOMONTH(DATE(YEAR('Second Earner'!$C$9),MONTH('Second Earner'!$C$9)+INT((($BE14+1)-1)/2),1),0))))+IF(MOD(($BE14+1)-1,2)=1,15,0),EDATE('Second Earner'!$C$9,($BE14+1)-1)))))&lt;&gt;'Second Earner'!$C$10,"",IF('Second Earner'!$C$7="Weekly",'Second Earner'!$C$9+7*(($BE14+1)-1),IF('Second Earner'!$C$7="Biweekly",'Second Earner'!$C$9+14*(($BE14+1)-1),IF('Second Earner'!$C$7="Semimonthly",DATE(YEAR('Second Earner'!$C$9),MONTH('Second Earner'!$C$9)+INT((($BE14+1)-1)/2),MIN(DAY('Second Earner'!$C$9),DAY(EOMONTH(DATE(YEAR('Second Earner'!$C$9),MONTH('Second Earner'!$C$9)+INT((($BE14+1)-1)/2),1),0))))+IF(MOD(($BE14+1)-1,2)=1,15,0),EDATE('Second Earner'!$C$9,($BE14+1)-1)))))),1,0))</f>
      </c>
      <c r="BG15" s="7">
        <f>IF($B15="","",$BG14+$H15)</f>
      </c>
      <c r="BH15" s="7">
        <f>IF($B15="","",$BH14+$I15)</f>
      </c>
      <c r="BI15" s="7">
        <f>IF($B15="","",$BI14+$G15)</f>
      </c>
      <c r="BJ15" s="7">
        <f>IF($B15="","",IFERROR(LOOKUP(2,1/(((('Changes — Earner 2'!$C$6:$C$17="Deduction start"))*('Changes — Earner 2'!$D$6:$D$17="Health FSA"))*('Changes — Earner 2'!$B$6:$B$17&lt;=$B15)*('Changes — Earner 2'!$B$6:$B$17&lt;&gt;"")),'Changes — Earner 2'!$E$6:$E$17),'Second Earner'!$D$38))</f>
      </c>
      <c r="BK15" s="7">
        <f>IF($B15="","",IFERROR(LOOKUP(2,1/(((('Changes — Earner 2'!$C$6:$C$17="Deduction start"))*('Changes — Earner 2'!$D$6:$D$17="Dependent-care FSA"))*('Changes — Earner 2'!$B$6:$B$17&lt;=$B15)*('Changes — Earner 2'!$B$6:$B$17&lt;&gt;"")),'Changes — Earner 2'!$E$6:$E$17),'Second Earner'!$D$39))</f>
      </c>
      <c r="BL15" s="7">
        <f>IF($B15="","",IFERROR(LOOKUP(2,1/(((('Changes — Earner 2'!$C$6:$C$17="Deduction start")+('Changes — Earner 2'!$C$6:$C$17="Deduction stop"))*('Changes — Earner 2'!$D$6:$D$17="HSA"))*('Changes — Earner 2'!$B$6:$B$17&lt;=$B15)*('Changes — Earner 2'!$B$6:$B$17&lt;&gt;"")),'Changes — Earner 2'!$I$6:$I$17),'Second Earner'!$D$35))</f>
      </c>
      <c r="BM15" s="7">
        <f>IF($B15="","",IFERROR(LOOKUP(2,1/(((('Changes — Earner 2'!$C$6:$C$17="Deduction start")+('Changes — Earner 2'!$C$6:$C$17="Deduction stop"))*('Changes — Earner 2'!$D$6:$D$17="Premiums"))*('Changes — Earner 2'!$B$6:$B$17&lt;=$B15)*('Changes — Earner 2'!$B$6:$B$17&lt;&gt;"")),'Changes — Earner 2'!$I$6:$I$17),'Second Earner'!$D$40+'Second Earner'!$D$41+'Second Earner'!$D$42))</f>
      </c>
      <c r="BN15" s="7">
        <f>IF($B15="","",IFERROR(LOOKUP(2,1/(((('Changes — Earner 2'!$C$6:$C$17="Deduction start")+('Changes — Earner 2'!$C$6:$C$17="Deduction stop"))*('Changes — Earner 2'!$D$6:$D$17="Commuter"))*('Changes — Earner 2'!$B$6:$B$17&lt;=$B15)*('Changes — Earner 2'!$B$6:$B$17&lt;&gt;"")),'Changes — Earner 2'!$I$6:$I$17),'Second Earner'!$D$43))</f>
      </c>
      <c r="BO15" s="7">
        <f>IF($B15="","",IFERROR(LOOKUP(2,1/(((('Changes — Earner 2'!$C$6:$C$17="Deduction start")+('Changes — Earner 2'!$C$6:$C$17="Deduction stop"))*('Changes — Earner 2'!$D$6:$D$17="Other pre-tax"))*('Changes — Earner 2'!$B$6:$B$17&lt;=$B15)*('Changes — Earner 2'!$B$6:$B$17&lt;&gt;"")),'Changes — Earner 2'!$I$6:$I$17),'Second Earner'!$D$44))</f>
      </c>
      <c r="BP15" s="7">
        <f>IF($B15="","",IFERROR(LOOKUP(2,1/(((('Changes — Earner 2'!$C$6:$C$17="Deduction start")+('Changes — Earner 2'!$C$6:$C$17="Deduction stop"))*('Changes — Earner 2'!$D$6:$D$17="Other post-tax"))*('Changes — Earner 2'!$B$6:$B$17&lt;=$B15)*('Changes — Earner 2'!$B$6:$B$17&lt;&gt;"")),'Changes — Earner 2'!$I$6:$I$17),'Second Earner'!$D$45))</f>
      </c>
      <c r="BQ15" s="6">
        <f>IF($B15="","",IFERROR(LOOKUP(2,1/(((('Changes — Earner 2'!$C$6:$C$17="Deduction start")+('Changes — Earner 2'!$C$6:$C$17="Deduction stop"))*('Changes — Earner 2'!$D$6:$D$17="Health FSA"))*('Changes — Earner 2'!$B$6:$B$17&lt;=$B15)*('Changes — Earner 2'!$B$6:$B$17&lt;&gt;"")),'Changes — Earner 2'!$J$6:$J$17),0))</f>
      </c>
      <c r="BR15" s="6">
        <f>IF($B15="","",IFERROR(LOOKUP(2,1/(((('Changes — Earner 2'!$C$6:$C$17="Deduction start")+('Changes — Earner 2'!$C$6:$C$17="Deduction stop"))*('Changes — Earner 2'!$D$6:$D$17="Dependent-care FSA"))*('Changes — Earner 2'!$B$6:$B$17&lt;=$B15)*('Changes — Earner 2'!$B$6:$B$17&lt;&gt;"")),'Changes — Earner 2'!$J$6:$J$17),0))</f>
      </c>
      <c r="BS15" s="6">
        <f>IF($B15="","",IF(SUMPRODUCT(('Changes — Earner 2'!$C$6:$C$17="Deduction start")*('Changes — Earner 2'!$B$6:$B$17&lt;=$B15)*('Changes — Earner 2'!$B$6:$B$17&lt;&gt;"")*('Changes — Earner 2'!$D$6:$D$17="Health FSA"))&gt;0,1,0))</f>
      </c>
      <c r="BT15" s="6">
        <f>IF($B15="","",IF(SUMPRODUCT(('Changes — Earner 2'!$C$6:$C$17="Deduction start")*('Changes — Earner 2'!$B$6:$B$17&lt;=$B15)*('Changes — Earner 2'!$B$6:$B$17&lt;&gt;"")*('Changes — Earner 2'!$D$6:$D$17="Dependent-care FSA"))&gt;0,1,0))</f>
      </c>
      <c r="BU15" s="24">
        <f>IF($B15="","",IF('Second Earner'!$C$13,SUMPRODUCT(($AH15&gt;=INDEX('How This Works &amp; Sources'!$B$29:$J$36,0,IF('Second Earner'!$C$12="MFJ",1,IF('Second Earner'!$C$12="HoH",7,4))))*INDEX('How This Works &amp; Sources'!$B$29:$J$36,0,IF('Second Earner'!$C$12="MFJ",1,IF('Second Earner'!$C$12="HoH",7,4))+2)),SUMPRODUCT(($AH15&gt;=INDEX('How This Works &amp; Sources'!$B$19:$J$26,0,IF('Second Earner'!$C$12="MFJ",1,IF('Second Earner'!$C$12="HoH",7,4))))*INDEX('How This Works &amp; Sources'!$B$19:$J$26,0,IF('Second Earner'!$C$12="MFJ",1,IF('Second Earner'!$C$12="HoH",7,4))+2))))</f>
      </c>
      <c r="BV15" s="24">
        <f>IF($B15="","",IF($BZ15&lt;&gt;"",$BZ15,IF($CA15&lt;&gt;"",$CA15,IF($CB15&lt;&gt;"",$CB15,IF($CC15&lt;&gt;"",$CC15,0)))))</f>
      </c>
      <c r="BW15" s="7">
        <f>IF($B15="","",IF($AN15="AR",SUMPRODUCT(($AZ15&gt;INDEX('How This Works &amp; Sources'!$B$82:$J$86,0,7))*($AZ15-INDEX('How This Works &amp; Sources'!$B$82:$J$86,0,7))*INDEX('How This Works &amp; Sources'!$B$82:$J$86,0,7+2)),IF($AN15="MD",IF(OR($AU15="Married",$AU15="Head of household"),SUMPRODUCT(($AZ15&gt;INDEX('How This Works &amp; Sources'!$B$114:$J$120,0,1))*($AZ15-INDEX('How This Works &amp; Sources'!$B$114:$J$120,0,1))*INDEX('How This Works &amp; Sources'!$B$114:$J$120,0,1+2)),SUMPRODUCT(($AZ15&gt;INDEX('How This Works &amp; Sources'!$B$103:$J$109,0,7))*($AZ15-INDEX('How This Works &amp; Sources'!$B$103:$J$109,0,7))*INDEX('How This Works &amp; Sources'!$B$103:$J$109,0,7+2))),IF($AN15="MT",IF($AU15="Head of household",SUMPRODUCT(($AZ15&gt;INDEX('How This Works &amp; Sources'!$B$137:$J$139,0,1))*($AZ15-INDEX('How This Works &amp; Sources'!$B$137:$J$139,0,1))*INDEX('How This Works &amp; Sources'!$B$137:$J$139,0,1+2)),IF($AU15="Married",SUMPRODUCT(($AZ15&gt;INDEX('How This Works &amp; Sources'!$B$125:$J$132,0,7))*($AZ15-INDEX('How This Works &amp; Sources'!$B$125:$J$132,0,7))*INDEX('How This Works &amp; Sources'!$B$125:$J$132,0,7+2)),SUMPRODUCT(($AZ15&gt;INDEX('How This Works &amp; Sources'!$B$125:$J$132,0,4))*($AZ15-INDEX('How This Works &amp; Sources'!$B$125:$J$132,0,4))*INDEX('How This Works &amp; Sources'!$B$125:$J$132,0,4+2)))),IF($AN15="ND",IF($AU15="Head of household",SUMPRODUCT(($AZ15&gt;INDEX('How This Works &amp; Sources'!$B$144:$J$150,0,1))*($AZ15-INDEX('How This Works &amp; Sources'!$B$144:$J$150,0,1))*INDEX('How This Works &amp; Sources'!$B$144:$J$150,0,1+2)),IF($AU15="Married",SUMPRODUCT(($AZ15&gt;INDEX('How This Works &amp; Sources'!$B$137:$J$139,0,7))*($AZ15-INDEX('How This Works &amp; Sources'!$B$137:$J$139,0,7))*INDEX('How This Works &amp; Sources'!$B$137:$J$139,0,7+2)),SUMPRODUCT(($AZ15&gt;INDEX('How This Works &amp; Sources'!$B$137:$J$139,0,4))*($AZ15-INDEX('How This Works &amp; Sources'!$B$137:$J$139,0,4))*INDEX('How This Works &amp; Sources'!$B$137:$J$139,0,4+2)))),IF($AN15="NJ",IF('Second Earner'!$C$77="B",SUMPRODUCT(($AZ15&gt;INDEX('How This Works &amp; Sources'!$B$155:$J$162,0,4))*($AZ15-INDEX('How This Works &amp; Sources'!$B$155:$J$162,0,4))*INDEX('How This Works &amp; Sources'!$B$155:$J$162,0,4+2)),IF('Second Earner'!$C$77="C",SUMPRODUCT(($AZ15&gt;INDEX('How This Works &amp; Sources'!$B$155:$J$162,0,7))*($AZ15-INDEX('How This Works &amp; Sources'!$B$155:$J$162,0,7))*INDEX('How This Works &amp; Sources'!$B$155:$J$162,0,7+2)),IF('Second Earner'!$C$77="D",SUMPRODUCT(($AZ15&gt;INDEX('How This Works &amp; Sources'!$B$167:$J$179,0,1))*($AZ15-INDEX('How This Works &amp; Sources'!$B$167:$J$179,0,1))*INDEX('How This Works &amp; Sources'!$B$167:$J$179,0,1+2)),IF('Second Earner'!$C$77="E",SUMPRODUCT(($AZ15&gt;INDEX('How This Works &amp; Sources'!$B$167:$J$179,0,4))*($AZ15-INDEX('How This Works &amp; Sources'!$B$167:$J$179,0,4))*INDEX('How This Works &amp; Sources'!$B$167:$J$179,0,4+2)),SUMPRODUCT(($AZ15&gt;INDEX('How This Works &amp; Sources'!$B$155:$J$162,0,1))*($AZ15-INDEX('How This Works &amp; Sources'!$B$155:$J$162,0,1))*INDEX('How This Works &amp; Sources'!$B$155:$J$162,0,1+2)))))),IF($AN15="NY",IF($AU15="Married",IF($AZ15&gt;=2155350,$AZ15*IF($AZ15&gt;25000000,0.117,IF($AZ15&gt;5000000,0.111,0.1045)),SUMPRODUCT(($AZ15&gt;INDEX('How This Works &amp; Sources'!$B$184:$J$198,0,1))*($AZ15-INDEX('How This Works &amp; Sources'!$B$184:$J$198,0,1))*INDEX('How This Works &amp; Sources'!$B$184:$J$198,0,1+2))),IF($AZ15&gt;=1077550,$AZ15*IF($AZ15&gt;25000000,0.117,IF($AZ15&gt;5000000,0.111,0.1045)),SUMPRODUCT(($AZ15&gt;INDEX('How This Works &amp; Sources'!$B$167:$J$179,0,7))*($AZ15-INDEX('How This Works &amp; Sources'!$B$167:$J$179,0,7))*INDEX('How This Works &amp; Sources'!$B$167:$J$179,0,7+2)))),"")))))))</f>
      </c>
      <c r="BX15" s="7">
        <f>IF($B15="","",IF($AN15="AL",IF(OR($AU15="Married",$AU15="Head of household"),SUMPRODUCT(($AZ15&gt;INDEX('How This Works &amp; Sources'!$B$82:$J$86,0,4))*($AZ15-INDEX('How This Works &amp; Sources'!$B$82:$J$86,0,4))*INDEX('How This Works &amp; Sources'!$B$82:$J$86,0,4+2)),SUMPRODUCT(($AZ15&gt;INDEX('How This Works &amp; Sources'!$B$82:$J$86,0,1))*($AZ15-INDEX('How This Works &amp; Sources'!$B$82:$J$86,0,1))*INDEX('How This Works &amp; Sources'!$B$82:$J$86,0,1+2))),IF($AN15="KS",IF($AU15="Married",SUMPRODUCT(($AZ15&gt;INDEX('How This Works &amp; Sources'!$B$103:$J$109,0,4))*($AZ15-INDEX('How This Works &amp; Sources'!$B$103:$J$109,0,4))*INDEX('How This Works &amp; Sources'!$B$103:$J$109,0,4+2)),SUMPRODUCT(($AZ15&gt;INDEX('How This Works &amp; Sources'!$B$103:$J$109,0,1))*($AZ15-INDEX('How This Works &amp; Sources'!$B$103:$J$109,0,1))*INDEX('How This Works &amp; Sources'!$B$103:$J$109,0,1+2))),IF($AN15="MN",IF($AU15="Married",SUMPRODUCT(($AZ15&gt;INDEX('How This Works &amp; Sources'!$B$114:$J$120,0,7))*($AZ15-INDEX('How This Works &amp; Sources'!$B$114:$J$120,0,7))*INDEX('How This Works &amp; Sources'!$B$114:$J$120,0,7+2)),SUMPRODUCT(($AZ15&gt;INDEX('How This Works &amp; Sources'!$B$114:$J$120,0,4))*($AZ15-INDEX('How This Works &amp; Sources'!$B$114:$J$120,0,4))*INDEX('How This Works &amp; Sources'!$B$114:$J$120,0,4+2))),IF($AN15="MO",SUMPRODUCT(($AZ15&gt;INDEX('How This Works &amp; Sources'!$B$125:$J$132,0,1))*($AZ15-INDEX('How This Works &amp; Sources'!$B$125:$J$132,0,1))*INDEX('How This Works &amp; Sources'!$B$125:$J$132,0,1+2)),IF($AN15="NE",MAX(IF($AU15="Married",SUMPRODUCT(($AZ15&gt;INDEX('How This Works &amp; Sources'!$B$144:$J$150,0,7))*($AZ15-INDEX('How This Works &amp; Sources'!$B$144:$J$150,0,7))*INDEX('How This Works &amp; Sources'!$B$144:$J$150,0,7+2)),SUMPRODUCT(($AZ15&gt;INDEX('How This Works &amp; Sources'!$B$144:$J$150,0,4))*($AZ15-INDEX('How This Works &amp; Sources'!$B$144:$J$150,0,4))*INDEX('How This Works &amp; Sources'!$B$144:$J$150,0,4+2))),0.015*$AZ15),IF($AN15="OH",IF($B15&gt;=DATE(2026,8,1),SUMPRODUCT(($AZ15&gt;INDEX('How This Works &amp; Sources'!$B$203:$J$206,0,1))*($AZ15-INDEX('How This Works &amp; Sources'!$B$203:$J$206,0,1))*INDEX('How This Works &amp; Sources'!$B$203:$J$206,0,1+2)),SUMPRODUCT(($AZ15&gt;INDEX('How This Works &amp; Sources'!$B$184:$J$198,0,7))*($AZ15-INDEX('How This Works &amp; Sources'!$B$184:$J$198,0,7))*INDEX('How This Works &amp; Sources'!$B$184:$J$198,0,7+2))),IF($AN15="OK",IF($AU15="Married",SUMPRODUCT(($AZ15&gt;INDEX('How This Works &amp; Sources'!$B$203:$J$206,0,7))*($AZ15-INDEX('How This Works &amp; Sources'!$B$203:$J$206,0,7))*INDEX('How This Works &amp; Sources'!$B$203:$J$206,0,7+2)),SUMPRODUCT(($AZ15&gt;INDEX('How This Works &amp; Sources'!$B$203:$J$206,0,4))*($AZ15-INDEX('How This Works &amp; Sources'!$B$203:$J$206,0,4))*INDEX('How This Works &amp; Sources'!$B$203:$J$206,0,4+2))),IF($AN15="VT",IF($AU15="Married",SUMPRODUCT(($AZ15&gt;INDEX('How This Works &amp; Sources'!$B$228:$J$232,0,1))*($AZ15-INDEX('How This Works &amp; Sources'!$B$228:$J$232,0,1))*INDEX('How This Works &amp; Sources'!$B$228:$J$232,0,1+2)),SUMPRODUCT(($AZ15&gt;INDEX('How This Works &amp; Sources'!$B$219:$J$223,0,7))*($AZ15-INDEX('How This Works &amp; Sources'!$B$219:$J$223,0,7))*INDEX('How This Works &amp; Sources'!$B$219:$J$223,0,7+2))),IF($AN15="WV",IF($AU15="Married",SUMPRODUCT(($AZ15&gt;INDEX('How This Works &amp; Sources'!$B$237:$J$241,0,7))*($AZ15-INDEX('How This Works &amp; Sources'!$B$237:$J$241,0,7))*INDEX('How This Works &amp; Sources'!$B$237:$J$241,0,7+2)),SUMPRODUCT(($AZ15&gt;INDEX('How This Works &amp; Sources'!$B$228:$J$232,0,7))*($AZ15-INDEX('How This Works &amp; Sources'!$B$228:$J$232,0,7))*INDEX('How This Works &amp; Sources'!$B$228:$J$232,0,7+2))),""))))))))))</f>
      </c>
      <c r="BY15" s="7">
        <f>IF($B15="","",IF($AN15="DE",SUMPRODUCT(($AZ15&gt;INDEX('How This Works &amp; Sources'!$B$91:$J$98,0,1))*($AZ15-INDEX('How This Works &amp; Sources'!$B$91:$J$98,0,1))*INDEX('How This Works &amp; Sources'!$B$91:$J$98,0,1+2)),IF($AN15="HI",IF($AU15="Married",SUMPRODUCT(($AZ15&gt;INDEX('How This Works &amp; Sources'!$B$91:$J$98,0,7))*($AZ15-INDEX('How This Works &amp; Sources'!$B$91:$J$98,0,7))*INDEX('How This Works &amp; Sources'!$B$91:$J$98,0,7+2)),SUMPRODUCT(($AZ15&gt;INDEX('How This Works &amp; Sources'!$B$91:$J$98,0,4))*($AZ15-INDEX('How This Works &amp; Sources'!$B$91:$J$98,0,4))*INDEX('How This Works &amp; Sources'!$B$91:$J$98,0,4+2))),IF($AN15="RI",SUMPRODUCT(($AZ15&gt;INDEX('How This Works &amp; Sources'!$B$211:$J$214,0,7))*($AZ15-INDEX('How This Works &amp; Sources'!$B$211:$J$214,0,7))*INDEX('How This Works &amp; Sources'!$B$211:$J$214,0,7+2)),IF($AN15="SC",SUMPRODUCT(($AZ15&gt;INDEX('How This Works &amp; Sources'!$B$219:$J$223,0,1))*($AZ15-INDEX('How This Works &amp; Sources'!$B$219:$J$223,0,1))*INDEX('How This Works &amp; Sources'!$B$219:$J$223,0,1+2)),IF($AN15="VA",SUMPRODUCT(($AZ15&gt;INDEX('How This Works &amp; Sources'!$B$219:$J$223,0,4))*($AZ15-INDEX('How This Works &amp; Sources'!$B$219:$J$223,0,4))*INDEX('How This Works &amp; Sources'!$B$219:$J$223,0,4+2)),IF($AN15="WI",SUMPRODUCT(($AZ15&gt;INDEX('How This Works &amp; Sources'!$B$228:$J$232,0,4))*($AZ15-INDEX('How This Works &amp; Sources'!$B$228:$J$232,0,4))*INDEX('How This Works &amp; Sources'!$B$228:$J$232,0,4+2)),"")))))))</f>
      </c>
      <c r="BZ15" s="24">
        <f>IF($B15="","",IF($AN15="KS",IF($AU15="Married",SUMPRODUCT(($AZ15&gt;=INDEX('How This Works &amp; Sources'!$B$103:$J$109,0,4))*INDEX('How This Works &amp; Sources'!$B$103:$J$109,0,4+2)),SUMPRODUCT(($AZ15&gt;=INDEX('How This Works &amp; Sources'!$B$103:$J$109,0,1))*INDEX('How This Works &amp; Sources'!$B$103:$J$109,0,1+2))),IF($AN15="MT",IF($AU15="Head of household",SUMPRODUCT(($AZ15&gt;=INDEX('How This Works &amp; Sources'!$B$137:$J$139,0,1))*INDEX('How This Works &amp; Sources'!$B$137:$J$139,0,1+2)),IF($AU15="Married",SUMPRODUCT(($AZ15&gt;=INDEX('How This Works &amp; Sources'!$B$125:$J$132,0,7))*INDEX('How This Works &amp; Sources'!$B$125:$J$132,0,7+2)),SUMPRODUCT(($AZ15&gt;=INDEX('How This Works &amp; Sources'!$B$125:$J$132,0,4))*INDEX('How This Works &amp; Sources'!$B$125:$J$132,0,4+2)))),IF($AN15="OR",IF(OR($AU15="Married",AND($AU15="Single",$AS15&gt;=3)),SUMPRODUCT((MAX(0,$AY15-MIN(($P15-'How This Works &amp; Sources'!$C$10*$D15)*'Second Earner'!$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Sources'!$B$211:$J$214,0,4))*INDEX('How This Works &amp; Sources'!$B$211:$J$214,0,4+2)),SUMPRODUCT((MAX(0,$AY15-MIN(($P15-'How This Works &amp; Sources'!$C$10*$D15)*'Second Earner'!$C$8,IF(OR($AU15="Married",AND($AU15="Single",$AS15&gt;=3)),IF($AY15&lt;250000,8750,IF($AY15&lt;260000,7000,IF($AY15&lt;270000,5250,IF($AY15&lt;280000,3500,IF($AY15&lt;290000,1750,0))))),IF($AY15&lt;125000,8750,IF($AY15&lt;130000,7000,IF($AY15&lt;135000,5250,IF($AY15&lt;140000,3500,IF($AY15&lt;145000,1750,0)))))))-IF(OR($AU15="Married",AND($AU15="Single",$AS15&gt;=3)),5820,2910))&gt;=INDEX('How This Works &amp; Sources'!$B$211:$J$214,0,1))*INDEX('How This Works &amp; Sources'!$B$211:$J$214,0,1+2)))*IF(($P15-'How This Works &amp; Sources'!$C$10*$D15)*'Second Earner'!$C$8&gt;=IF(OR($AU15="Married",AND($AU15="Single",$AS15&gt;=3)),IF($AY15&lt;250000,8750,IF($AY15&lt;260000,7000,IF($AY15&lt;270000,5250,IF($AY15&lt;280000,3500,IF($AY15&lt;290000,1750,0))))),IF($AY15&lt;125000,8750,IF($AY15&lt;130000,7000,IF($AY15&lt;135000,5250,IF($AY15&lt;140000,3500,IF($AY15&lt;145000,1750,0)))))),1,1-IF('Second Earner'!$C$13,SUMPRODUCT(($AH15&gt;=INDEX('How This Works &amp; Sources'!$B$29:$J$36,0,IF('Second Earner'!$C$12="MFJ",1,IF('Second Earner'!$C$12="HoH",7,4))))*INDEX('How This Works &amp; Sources'!$B$29:$J$36,0,IF('Second Earner'!$C$12="MFJ",1,IF('Second Earner'!$C$12="HoH",7,4))+2)),SUMPRODUCT(($AH15&gt;=INDEX('How This Works &amp; Sources'!$B$19:$J$26,0,IF('Second Earner'!$C$12="MFJ",1,IF('Second Earner'!$C$12="HoH",7,4))))*INDEX('How This Works &amp; Sources'!$B$19:$J$26,0,IF('Second Earner'!$C$12="MFJ",1,IF('Second Earner'!$C$12="HoH",7,4))+2)))),""))))</f>
      </c>
      <c r="CA15" s="24">
        <f>IF($B15="","",IF($AN15="CA",SUMPRODUCT(($AJ15&gt;=INDEX('How This Works &amp; Sources'!$B$39:$J$48,0,IF($AU15="Married",4,IF($AU15="Head of household",7,1))))*INDEX('How This Works &amp; Sources'!$B$39:$J$48,0,IF($AU15="Married",4,IF($AU15="Head of household",7,1))+2)),IF($AN15="AL",IF(OR($AU15="Married",$AU15="Head of household"),SUMPRODUCT(($AZ15&gt;=INDEX('How This Works &amp; Sources'!$B$82:$J$86,0,4))*INDEX('How This Works &amp; Sources'!$B$82:$J$86,0,4+2)),SUMPRODUCT(($AZ15&gt;=INDEX('How This Works &amp; Sources'!$B$82:$J$86,0,1))*INDEX('How This Works &amp; Sources'!$B$82:$J$86,0,1+2)))*(1-IF('Second Earner'!$C$13,SUMPRODUCT(($AH15&gt;=INDEX('How This Works &amp; Sources'!$B$29:$J$36,0,IF('Second Earner'!$C$12="MFJ",1,IF('Second Earner'!$C$12="HoH",7,4))))*INDEX('How This Works &amp; Sources'!$B$29:$J$36,0,IF('Second Earner'!$C$12="MFJ",1,IF('Second Earner'!$C$12="HoH",7,4))+2)),SUMPRODUCT(($AH15&gt;=INDEX('How This Works &amp; Sources'!$B$19:$J$26,0,IF('Second Earner'!$C$12="MFJ",1,IF('Second Earner'!$C$12="HoH",7,4))))*INDEX('How This Works &amp; Sources'!$B$19:$J$26,0,IF('Second Earner'!$C$12="MFJ",1,IF('Second Earner'!$C$12="HoH",7,4))+2)))),IF($AN15="ND",IF($AU15="Head of household",SUMPRODUCT(($AZ15&gt;=INDEX('How This Works &amp; Sources'!$B$144:$J$150,0,1))*INDEX('How This Works &amp; Sources'!$B$144:$J$150,0,1+2)),IF($AU15="Married",SUMPRODUCT(($AZ15&gt;=INDEX('How This Works &amp; Sources'!$B$137:$J$139,0,7))*INDEX('How This Works &amp; Sources'!$B$137:$J$139,0,7+2)),SUMPRODUCT(($AZ15&gt;=INDEX('How This Works &amp; Sources'!$B$137:$J$139,0,4))*INDEX('How This Works &amp; Sources'!$B$137:$J$139,0,4+2)))),IF($AN15="NJ",IF('Second Earner'!$C$77="B",SUMPRODUCT(($AZ15&gt;=INDEX('How This Works &amp; Sources'!$B$155:$J$162,0,4))*INDEX('How This Works &amp; Sources'!$B$155:$J$162,0,4+2)),IF('Second Earner'!$C$77="C",SUMPRODUCT(($AZ15&gt;=INDEX('How This Works &amp; Sources'!$B$155:$J$162,0,7))*INDEX('How This Works &amp; Sources'!$B$155:$J$162,0,7+2)),IF('Second Earner'!$C$77="D",SUMPRODUCT(($AZ15&gt;=INDEX('How This Works &amp; Sources'!$B$167:$J$179,0,1))*INDEX('How This Works &amp; Sources'!$B$167:$J$179,0,1+2)),IF('Second Earner'!$C$77="E",SUMPRODUCT(($AZ15&gt;=INDEX('How This Works &amp; Sources'!$B$167:$J$179,0,4))*INDEX('How This Works &amp; Sources'!$B$167:$J$179,0,4+2)),SUMPRODUCT(($AZ15&gt;=INDEX('How This Works &amp; Sources'!$B$155:$J$162,0,1))*INDEX('How This Works &amp; Sources'!$B$155:$J$162,0,1+2)))))),IF($AN15="NY",IF($AU15="Married",IF($AZ15&gt;=2155350,IF($AZ15&gt;25000000,0.117,IF($AZ15&gt;5000000,0.111,0.1045)),SUMPRODUCT(($AZ15&gt;=INDEX('How This Works &amp; Sources'!$B$184:$J$198,0,1))*INDEX('How This Works &amp; Sources'!$B$184:$J$198,0,1+2))),IF($AZ15&gt;=1077550,IF($AZ15&gt;25000000,0.117,IF($AZ15&gt;5000000,0.111,0.1045)),SUMPRODUCT(($AZ15&gt;=INDEX('How This Works &amp; Sources'!$B$167:$J$179,0,7))*INDEX('How This Works &amp; Sources'!$B$167:$J$179,0,7+2)))),IF($AN15="LA",0.0309,"")))))))</f>
      </c>
      <c r="CB15" s="24">
        <f>IF($B15="","",IF($AN15="HI",IF($AU15="Married",SUMPRODUCT(($AZ15&gt;=INDEX('How This Works &amp; Sources'!$B$91:$J$98,0,7))*INDEX('How This Works &amp; Sources'!$B$91:$J$98,0,7+2)),SUMPRODUCT(($AZ15&gt;=INDEX('How This Works &amp; Sources'!$B$91:$J$98,0,4))*INDEX('How This Works &amp; Sources'!$B$91:$J$98,0,4+2))),IF($AN15="MD",IF(OR($AU15="Married",$AU15="Head of household"),SUMPRODUCT(($AZ15&gt;=INDEX('How This Works &amp; Sources'!$B$114:$J$120,0,1))*INDEX('How This Works &amp; Sources'!$B$114:$J$120,0,1+2)),SUMPRODUCT(($AZ15&gt;=INDEX('How This Works &amp; Sources'!$B$103:$J$109,0,7))*INDEX('How This Works &amp; Sources'!$B$103:$J$109,0,7+2)))+'Second Earner'!$C$74,IF($AN15="MN",IF($AU15="Married",SUMPRODUCT(($AZ15&gt;=INDEX('How This Works &amp; Sources'!$B$114:$J$120,0,7))*INDEX('How This Works &amp; Sources'!$B$114:$J$120,0,7+2)),SUMPRODUCT(($AZ15&gt;=INDEX('How This Works &amp; Sources'!$B$114:$J$120,0,4))*INDEX('How This Works &amp; Sources'!$B$114:$J$120,0,4+2))),IF($AN15="MO",SUMPRODUCT(($AZ15&gt;=INDEX('How This Works &amp; Sources'!$B$125:$J$132,0,1))*INDEX('How This Works &amp; Sources'!$B$125:$J$132,0,1+2)),IF($AN15="NE",MAX(IF($AU15="Married",SUMPRODUCT(($AZ15&gt;=INDEX('How This Works &amp; Sources'!$B$144:$J$150,0,7))*INDEX('How This Works &amp; Sources'!$B$144:$J$150,0,7+2)),SUMPRODUCT(($AZ15&gt;=INDEX('How This Works &amp; Sources'!$B$144:$J$150,0,4))*INDEX('How This Works &amp; Sources'!$B$144:$J$150,0,4+2))),0.015),IF($AN15="OH",IF($B15&gt;=DATE(2026,8,1),SUMPRODUCT(($AZ15&gt;=INDEX('How This Works &amp; Sources'!$B$203:$J$206,0,1))*INDEX('How This Works &amp; Sources'!$B$203:$J$206,0,1+2)),SUMPRODUCT(($AZ15&gt;=INDEX('How This Works &amp; Sources'!$B$184:$J$198,0,7))*INDEX('How This Works &amp; Sources'!$B$184:$J$198,0,7+2))),IF($AN15="OK",IF($AU15="Married",SUMPRODUCT(($AZ15&gt;=INDEX('How This Works &amp; Sources'!$B$203:$J$206,0,7))*INDEX('How This Works &amp; Sources'!$B$203:$J$206,0,7+2)),SUMPRODUCT(($AZ15&gt;=INDEX('How This Works &amp; Sources'!$B$203:$J$206,0,4))*INDEX('How This Works &amp; Sources'!$B$203:$J$206,0,4+2))),IF($AN15="RI",SUMPRODUCT(($AZ15&gt;=INDEX('How This Works &amp; Sources'!$B$211:$J$214,0,7))*INDEX('How This Works &amp; Sources'!$B$211:$J$214,0,7+2)),IF($AN15="VT",IF($AU15="Married",SUMPRODUCT(($AZ15&gt;=INDEX('How This Works &amp; Sources'!$B$228:$J$232,0,1))*INDEX('How This Works &amp; Sources'!$B$228:$J$232,0,1+2)),SUMPRODUCT(($AZ15&gt;=INDEX('How This Works &amp; Sources'!$B$219:$J$223,0,7))*INDEX('How This Works &amp; Sources'!$B$219:$J$223,0,7+2))),IF($AN15="WV",IF($AU15="Married",SUMPRODUCT(($AZ15&gt;=INDEX('How This Works &amp; Sources'!$B$237:$J$241,0,7))*INDEX('How This Works &amp; Sources'!$B$237:$J$241,0,7+2)),SUMPRODUCT(($AZ15&gt;=INDEX('How This Works &amp; Sources'!$B$228:$J$232,0,7))*INDEX('How This Works &amp; Sources'!$B$228:$J$232,0,7+2))),IF($AN15="AZ",'Second Earner'!$C$82,IF($AN15="ID",IF($AY15&gt;IF($AU15="Married",32000,16094),0.053,0),"")))))))))))))</f>
      </c>
      <c r="CC15" s="24">
        <f>IF($B15="","",IF($AN15="AR",SUMPRODUCT(($AZ15&gt;=INDEX('How This Works &amp; Sources'!$B$82:$J$86,0,7))*INDEX('How This Works &amp; Sources'!$B$82:$J$86,0,7+2)),IF($AN15="DE",SUMPRODUCT(($AZ15&gt;=INDEX('How This Works &amp; Sources'!$B$91:$J$98,0,1))*INDEX('How This Works &amp; Sources'!$B$91:$J$98,0,1+2)),IF($AN15="SC",SUMPRODUCT(($AZ15&gt;=INDEX('How This Works &amp; Sources'!$B$219:$J$223,0,1))*INDEX('How This Works &amp; Sources'!$B$219:$J$223,0,1+2)),IF($AN15="VA",SUMPRODUCT(($AZ15&gt;=INDEX('How This Works &amp; Sources'!$B$219:$J$223,0,4))*INDEX('How This Works &amp; Sources'!$B$219:$J$223,0,4+2)),IF($AN15="WI",SUMPRODUCT(($AZ15&gt;=INDEX('How This Works &amp; Sources'!$B$228:$J$232,0,4))*INDEX('How This Works &amp; Sources'!$B$228:$J$232,0,4+2)),IF($AN15="CO",IF($AY15&gt;IF($AU15="Married",10000,5000),0.044,0),IF($AN15="IA",IF($AY15&gt;IF($AU15="Head of household",19500,IF($AU15="Married",26000,13000)),0.038,0),IF($AN15="IL",IF($AY15&gt;(2925*$AS15+1000*$AT15),0.0495,0),IF($AN15="IN",(0.0295+'Second Earner'!$C$76),IF($AN15="KY",IF($AI15&gt;3360,0.035,0),IF($AN15="MA",IF(MAX(0,$AY15-MIN(($BD14+$Q15+$R15+$S15),2000)-IF($AS15=0,0,IF($AS15=1,4400,1000*$AS15+3400)))&gt;=1107750,0.09,0.05),IF($AN15="MI",IF($AY15&gt;5900*$AS15,0.0425,0),IF($AN15="MS",IF($AI15-IF($AU15="Head of household",3400,IF($AU15="Married",4600,2300))-'Second Earner'!$C$85&gt;10000,0.04,0),IF($AN15="PA",0.0307,"")))))))))))))))</f>
      </c>
      <c r="CD15" s="21">
        <f>IF(YEAR(IF('Second Earner'!$C$7="Weekly",'Second Earner'!$C$9+7*(($BE14+1)-1),IF('Second Earner'!$C$7="Biweekly",'Second Earner'!$C$9+14*(($BE14+1)-1),IF('Second Earner'!$C$7="Semimonthly",DATE(YEAR('Second Earner'!$C$9),MONTH('Second Earner'!$C$9)+INT((($BE14+1)-1)/2),MIN(DAY('Second Earner'!$C$9),DAY(EOMONTH(DATE(YEAR('Second Earner'!$C$9),MONTH('Second Earner'!$C$9)+INT((($BE14+1)-1)/2),1),0))))+IF(MOD(($BE14+1)-1,2)=1,15,0),EDATE('Second Earner'!$C$9,($BE14+1)-1)))))&lt;&gt;'Second Earner'!$C$10,"",IF('Second Earner'!$C$7="Weekly",'Second Earner'!$C$9+7*(($BE14+1)-1),IF('Second Earner'!$C$7="Biweekly",'Second Earner'!$C$9+14*(($BE14+1)-1),IF('Second Earner'!$C$7="Semimonthly",DATE(YEAR('Second Earner'!$C$9),MONTH('Second Earner'!$C$9)+INT((($BE14+1)-1)/2),MIN(DAY('Second Earner'!$C$9),DAY(EOMONTH(DATE(YEAR('Second Earner'!$C$9),MONTH('Second Earner'!$C$9)+INT((($BE14+1)-1)/2),1),0))))+IF(MOD(($BE14+1)-1,2)=1,15,0),EDATE('Second Earner'!$C$9,($BE14+1)-1)))))</f>
      </c>
      <c r="CE15" s="21">
        <f>IF(MIN(IF(AND('Second Earner'!$C$58&gt;MAX($B$6:$B14),'Second Earner'!$C$58&gt;=DATE('Second Earner'!$C$10,1,1),'Second Earner'!$C$58&lt;=DATE('Second Earner'!$C$10,12,31)),'Second Earner'!$C$58,999999),IF(AND('Second Earner'!$C$59&gt;MAX($B$6:$B14),'Second Earner'!$C$59&gt;=DATE('Second Earner'!$C$10,1,1),'Second Earner'!$C$59&lt;=DATE('Second Earner'!$C$10,12,31)),'Second Earner'!$C$59,999999),IF(AND('Second Earner'!$C$60&gt;MAX($B$6:$B14),'Second Earner'!$C$60&gt;=DATE('Second Earner'!$C$10,1,1),'Second Earner'!$C$60&lt;=DATE('Second Earner'!$C$10,12,31)),'Second Earner'!$C$60,999999),IF(AND('Second Earner'!$C$61&gt;MAX($B$6:$B14),'Second Earner'!$C$61&gt;=DATE('Second Earner'!$C$10,1,1),'Second Earner'!$C$61&lt;=DATE('Second Earner'!$C$10,12,31)),'Second Earner'!$C$61,999999),IF(AND('Second Earner'!$C$62&gt;MAX($B$6:$B14),'Second Earner'!$C$62&gt;=DATE('Second Earner'!$C$10,1,1),'Second Earner'!$C$62&lt;=DATE('Second Earner'!$C$10,12,31)),'Second Earner'!$C$62,999999),IF(AND('Second Earner'!$C$63&gt;MAX($B$6:$B14),'Second Earner'!$C$63&gt;=DATE('Second Earner'!$C$10,1,1),'Second Earner'!$C$63&lt;=DATE('Second Earner'!$C$10,12,31)),'Second Earner'!$C$63,999999),IF(AND('Second Earner'!$C$64&gt;MAX($B$6:$B14),'Second Earner'!$C$64&gt;=DATE('Second Earner'!$C$10,1,1),'Second Earner'!$C$64&lt;=DATE('Second Earner'!$C$10,12,31)),'Second Earner'!$C$64,999999),IF(AND('Second Earner'!$C$65&gt;MAX($B$6:$B14),'Second Earner'!$C$65&gt;=DATE('Second Earner'!$C$10,1,1),'Second Earner'!$C$65&lt;=DATE('Second Earner'!$C$10,12,31)),'Second Earner'!$C$65,999999),IF(AND('Second Earner'!$C$66&gt;MAX($B$6:$B14),'Second Earner'!$C$66&gt;=DATE('Second Earner'!$C$10,1,1),'Second Earner'!$C$66&lt;=DATE('Second Earner'!$C$10,12,31)),'Second Earner'!$C$66,999999),IF(AND('Second Earner'!$C$67&gt;MAX($B$6:$B14),'Second Earner'!$C$67&gt;=DATE('Second Earner'!$C$10,1,1),'Second Earner'!$C$67&lt;=DATE('Second Earner'!$C$10,12,31)),'Second Earner'!$C$67,999999))=999999,"",MIN(IF(AND('Second Earner'!$C$58&gt;MAX($B$6:$B14),'Second Earner'!$C$58&gt;=DATE('Second Earner'!$C$10,1,1),'Second Earner'!$C$58&lt;=DATE('Second Earner'!$C$10,12,31)),'Second Earner'!$C$58,999999),IF(AND('Second Earner'!$C$59&gt;MAX($B$6:$B14),'Second Earner'!$C$59&gt;=DATE('Second Earner'!$C$10,1,1),'Second Earner'!$C$59&lt;=DATE('Second Earner'!$C$10,12,31)),'Second Earner'!$C$59,999999),IF(AND('Second Earner'!$C$60&gt;MAX($B$6:$B14),'Second Earner'!$C$60&gt;=DATE('Second Earner'!$C$10,1,1),'Second Earner'!$C$60&lt;=DATE('Second Earner'!$C$10,12,31)),'Second Earner'!$C$60,999999),IF(AND('Second Earner'!$C$61&gt;MAX($B$6:$B14),'Second Earner'!$C$61&gt;=DATE('Second Earner'!$C$10,1,1),'Second Earner'!$C$61&lt;=DATE('Second Earner'!$C$10,12,31)),'Second Earner'!$C$61,999999),IF(AND('Second Earner'!$C$62&gt;MAX($B$6:$B14),'Second Earner'!$C$62&gt;=DATE('Second Earner'!$C$10,1,1),'Second Earner'!$C$62&lt;=DATE('Second Earner'!$C$10,12,31)),'Second Earner'!$C$62,999999),IF(AND('Second Earner'!$C$63&gt;MAX($B$6:$B14),'Second Earner'!$C$63&gt;=DATE('Second Earner'!$C$10,1,1),'Second Earner'!$C$63&lt;=DATE('Second Earner'!$C$10,12,31)),'Second Earner'!$C$63,999999),IF(AND('Second Earner'!$C$64&gt;MAX($B$6:$B14),'Second Earner'!$C$64&gt;=DATE('Second Earner'!$C$10,1,1),'Second Earner'!$C$64&lt;=DATE('Second Earner'!$C$10,12,31)),'Second Earner'!$C$64,999999),IF(AND('Second Earner'!$C$65&gt;MAX($B$6:$B14),'Second Earner'!$C$65&gt;=DATE('Second Earner'!$C$10,1,1),'Second Earner'!$C$65&lt;=DATE('Second Earner'!$C$10,12,31)),'Second Earner'!$C$65,999999),IF(AND('Second Earner'!$C$66&gt;MAX($B$6:$B14),'Second Earner'!$C$66&gt;=DATE('Second Earner'!$C$10,1,1),'Second Earner'!$C$66&lt;=DATE('Second Earner'!$C$10,12,31)),'Second Earner'!$C$66,999999),IF(AND('Second Earner'!$C$67&gt;MAX($B$6:$B14),'Second Earner'!$C$67&gt;=DATE('Second Earner'!$C$10,1,1),'Second Earner'!$C$67&lt;=DATE('Second Earner'!$C$10,12,31)),'Second Earner'!$C$67,999999)))</f>
      </c>
      <c r="CF15">
        <f>IF($B15="","",IF($D15=0,$Y15,""))</f>
      </c>
    </row>
    <row r="16">
      <c r="A16" t="n">
        <v>11</v>
      </c>
      <c r="B16" s="21">
        <f>IF(AND($CD16="",$CE16=""),"",IF($CE16="",$CD16,IF($CD16="",$CE16,MIN($CD16,$CE16))))</f>
      </c>
      <c r="C16" s="7">
        <f>IF($B16="","",IF($BF16=0,0,IF('Second Earner'!$C$4="Annual salary",ROUND($AK16/IF(AND('Second Earner'!$C$88="Actual paydays",MONTH('Second Earner'!$C$9)=1),MAX(1,MAX($BE$6:$BE$68)),'Second Earner'!$C$8),2),$AK16)))</f>
      </c>
      <c r="D16" s="7">
        <f>IF($B16="","",SUMIF('Second Earner'!$C$58:$C$67,$B16,'Second Earner'!$D$58:$D$67))</f>
      </c>
      <c r="E16" s="7">
        <f>IF($B16="","",ROUND(MAX(0,MIN(IF($AL16="Percent",$AM16*($C16+$D16),$AM16),MAX(0,'Second Earner'!$C$34-$AC15))),2))</f>
      </c>
      <c r="F16" s="7">
        <f>IF($B16="","",ROUND(MAX(0,MIN(IF('Second Earner'!$C$32="Percent",'Second Earner'!$D$32*($C16+$D16),'Second Earner'!$D$32),MAX(0,'Second Earner'!$C$34-$AC15-$E16))),2))</f>
      </c>
      <c r="G16" s="7">
        <f>IF($B16="","",IF($BF16=0,0,ROUND(MAX(0,MIN($BL16,'Second Earner'!$C$37-'Second Earner'!$C$54-$BI15)),2)))</f>
      </c>
      <c r="H16" s="7">
        <f>IF($B16="","",IF(OR($BF16=0,$BQ16=1),0,ROUND(MAX(0,MIN(IF($BS16=1,ROUND(MAX(0,MIN($BJ16,'How This Works &amp; Sources'!$C$13)-$BG15)/MAX(1,MAX($BE$6:$BE$68)-($BE15)),2),ROUND(MIN($BJ16,'How This Works &amp; Sources'!$C$13)/'Second Earner'!$C$8,2)),MIN($BJ16,'How This Works &amp; Sources'!$C$13)-$BG15)),2)))</f>
      </c>
      <c r="I16" s="7">
        <f>IF($B16="","",IF(OR($BF16=0,$BR16=1),0,ROUND(MAX(0,MIN(IF($BT16=1,ROUND(MAX(0,MIN($BK16,IF('Second Earner'!$C$12="MFJ",'How This Works &amp; Sources'!$C$14,'How This Works &amp; Sources'!$C$15))-$BH15)/MAX(1,MAX($BE$6:$BE$68)-($BE15)),2),ROUND(MIN($BK16,IF('Second Earner'!$C$12="MFJ",'How This Works &amp; Sources'!$C$14,'How This Works &amp; Sources'!$C$15))/'Second Earner'!$C$8,2)),MIN($BK16,IF('Second Earner'!$C$12="MFJ",'How This Works &amp; Sources'!$C$14,'How This Works &amp; Sources'!$C$15))-$BH15)),2)))</f>
      </c>
      <c r="J16" s="7">
        <f>IF($B16="","",IF($BF16=0,0,$BM16))</f>
      </c>
      <c r="K16" s="7">
        <f>IF($B16="","",IF($BF16=0,0,$BN16+$BO16))</f>
      </c>
      <c r="L16" s="7">
        <f>IF($B16="","",IF($BF16=0,0,'Second Earner'!$D$46))</f>
      </c>
      <c r="M16" s="7">
        <f>IF($B16="","",$C16+$D16+$L16-$E16-$G16-$H16-$I16-$J16-$K16)</f>
      </c>
      <c r="N16" s="7">
        <f>IF($B16="","",$C16+$D16+$L16-$G16-$H16-$I16-$J16-$K16)</f>
      </c>
      <c r="O16" s="7">
        <f>IF($B16="","",$C16+$D16+$L16-$E16-$H16-$I16-$J16-$K16-IF(OR($AN16="CA",$AN16="NJ"),0,$G16))</f>
      </c>
      <c r="P16" s="7">
        <f>IF($B16="","",IF('Second Earner'!$C$18,0,ROUND(MAX(0,IF('Second Earner'!$C$13,SUMPRODUCT(($AH16&gt;INDEX('How This Works &amp; Sources'!$B$29:$J$36,0,IF('Second Earner'!$C$12="MFJ",1,IF('Second Earner'!$C$12="HoH",7,4))))*($AH16-INDEX('How This Works &amp; Sources'!$B$29:$J$36,0,IF('Second Earner'!$C$12="MFJ",1,IF('Second Earner'!$C$12="HoH",7,4))))*INDEX('How This Works &amp; Sources'!$B$29:$J$36,0,IF('Second Earner'!$C$12="MFJ",1,IF('Second Earner'!$C$12="HoH",7,4))+2)),SUMPRODUCT(($AH16&gt;INDEX('How This Works &amp; Sources'!$B$19:$J$26,0,IF('Second Earner'!$C$12="MFJ",1,IF('Second Earner'!$C$12="HoH",7,4))))*($AH16-INDEX('How This Works &amp; Sources'!$B$19:$J$26,0,IF('Second Earner'!$C$12="MFJ",1,IF('Second Earner'!$C$12="HoH",7,4))))*INDEX('How This Works &amp; Sources'!$B$19:$J$26,0,IF('Second Earner'!$C$12="MFJ",1,IF('Second Earner'!$C$12="HoH",7,4))+2)))/'Second Earner'!$C$8-$AO16/'Second Earner'!$C$8)+$AR16+IF('Second Earner'!$C$89="Aggregate",MAX(0,IF('Second Earner'!$C$13,SUMPRODUCT((($AH16+$D16)&gt;INDEX('How This Works &amp; Sources'!$B$29:$J$36,0,IF('Second Earner'!$C$12="MFJ",1,IF('Second Earner'!$C$12="HoH",7,4))))*(($AH16+$D16)-INDEX('How This Works &amp; Sources'!$B$29:$J$36,0,IF('Second Earner'!$C$12="MFJ",1,IF('Second Earner'!$C$12="HoH",7,4))))*INDEX('How This Works &amp; Sources'!$B$29:$J$36,0,IF('Second Earner'!$C$12="MFJ",1,IF('Second Earner'!$C$12="HoH",7,4))+2)),SUMPRODUCT((($AH16+$D16)&gt;INDEX('How This Works &amp; Sources'!$B$19:$J$26,0,IF('Second Earner'!$C$12="MFJ",1,IF('Second Earner'!$C$12="HoH",7,4))))*(($AH16+$D16)-INDEX('How This Works &amp; Sources'!$B$19:$J$26,0,IF('Second Earner'!$C$12="MFJ",1,IF('Second Earner'!$C$12="HoH",7,4))))*INDEX('How This Works &amp; Sources'!$B$19:$J$26,0,IF('Second Earner'!$C$12="MFJ",1,IF('Second Earner'!$C$12="HoH",7,4))+2)))-IF('Second Earner'!$C$13,SUMPRODUCT(($AH16&gt;INDEX('How This Works &amp; Sources'!$B$29:$J$36,0,IF('Second Earner'!$C$12="MFJ",1,IF('Second Earner'!$C$12="HoH",7,4))))*($AH16-INDEX('How This Works &amp; Sources'!$B$29:$J$36,0,IF('Second Earner'!$C$12="MFJ",1,IF('Second Earner'!$C$12="HoH",7,4))))*INDEX('How This Works &amp; Sources'!$B$29:$J$36,0,IF('Second Earner'!$C$12="MFJ",1,IF('Second Earner'!$C$12="HoH",7,4))+2)),SUMPRODUCT(($AH16&gt;INDEX('How This Works &amp; Sources'!$B$19:$J$26,0,IF('Second Earner'!$C$12="MFJ",1,IF('Second Earner'!$C$12="HoH",7,4))))*($AH16-INDEX('How This Works &amp; Sources'!$B$19:$J$26,0,IF('Second Earner'!$C$12="MFJ",1,IF('Second Earner'!$C$12="HoH",7,4))))*INDEX('How This Works &amp; Sources'!$B$19:$J$26,0,IF('Second Earner'!$C$12="MFJ",1,IF('Second Earner'!$C$12="HoH",7,4))+2)))),'How This Works &amp; Sources'!$C$10*$D16),2)))</f>
      </c>
      <c r="Q16" s="7">
        <f>IF($B16="","",ROUND('How This Works &amp; Sources'!$C$4*MIN($N16,MAX(0,'How This Works &amp; Sources'!$C$3-($AX16+$AB15-$AW16))),2))</f>
      </c>
      <c r="R16" s="7">
        <f>IF($B16="","",ROUND('How This Works &amp; Sources'!$C$5*$N16,2))</f>
      </c>
      <c r="S16" s="7">
        <f>IF($B16="","",ROUND('How This Works &amp; Sources'!$C$6*MAX(0,MIN($N16,$AG15+$N16-'How This Works &amp; Sources'!$C$7)),2))</f>
      </c>
      <c r="T16" s="7">
        <f>IF($B16="","",IF('Second Earner'!$C$26,0,IF($AN16="CA",ROUND(IF($AI16&lt;=IF(($AS16+$AT16)&gt;=2,VLOOKUP($AN16,StateTables!$A$6:$AB$56,10,FALSE),VLOOKUP($AN16,StateTables!$A$6:$AB$56,9,FALSE)),0,MAX(0,SUMPRODUCT(($AJ16&gt;INDEX('How This Works &amp; Sources'!$B$39:$J$48,0,IF($AU16="Married",4,IF($AU16="Head of household",7,1))))*($AJ16-INDEX('How This Works &amp; Sources'!$B$39:$J$48,0,IF($AU16="Married",4,IF($AU16="Head of household",7,1))))*INDEX('How This Works &amp; Sources'!$B$39:$J$48,0,IF($AU16="Married",4,IF($AU16="Head of household",7,1))+2))-VLOOKUP($AN16,StateTables!$A$6:$AB$56,11,FALSE)*$AS16)/'Second Earner'!$C$8)+'Second Earner'!$C$25+VLOOKUP($AN16,StateTables!$A$6:$AB$56,13,FALSE)*$D16,2),IF(VLOOKUP($AN16,StateTables!$A$6:$AB$56,4,FALSE)="None",0,IF(ISNUMBER(SEARCH("MANUAL",VLOOKUP($AN16,StateTables!$A$6:$AB$56,5,FALSE))),'Second Earner'!$C$28,ROUND(MAX(0,$BA16+$BB16)/'Second Earner'!$C$8+'Second Earner'!$C$25+$BC16,2))))))</f>
      </c>
      <c r="U16" s="7">
        <f>IF($B16="","",IF(VLOOKUP($AN16,StateTables!$A$6:$AB$56,24,FALSE)="flatq",IF(OR(MONTH($B16)=1,MONTH($B16)=4,MONTH($B16)=7,MONTH($B16)=10),VLOOKUP($AN16,StateTables!$A$6:$AB$56,25,FALSE),0),IF(VLOOKUP($AN16,StateTables!$A$6:$AB$56,24,FALSE)="dbl",MIN(ROUND(0.005*$N16,2),ROUND(0.6*52/'Second Earner'!$C$8,2)),IF(OR(VLOOKUP($AN16,StateTables!$A$6:$AB$56,15,FALSE)="",VLOOKUP($AN16,StateTables!$A$6:$AB$56,15,FALSE)=0),0,ROUND(VLOOKUP($AN16,StateTables!$A$6:$AB$56,15,FALSE)*IF(OR(VLOOKUP($AN16,StateTables!$A$6:$AB$56,16,FALSE)="",VLOOKUP($AN16,StateTables!$A$6:$AB$56,16,FALSE)=0),$N16,MIN($N16,MAX(0,VLOOKUP($AN16,StateTables!$A$6:$AB$56,16,FALSE)-($AX16+$AB15-$AW16)))),2))))+IF(VLOOKUP($AN16,StateTables!$A$6:$AB$56,27,FALSE)="flatq",IF(OR(MONTH($B16)=1,MONTH($B16)=4,MONTH($B16)=7,MONTH($B16)=10),VLOOKUP($AN16,StateTables!$A$6:$AB$56,28,FALSE),0),IF(VLOOKUP($AN16,StateTables!$A$6:$AB$56,27,FALSE)="dbl",MIN(ROUND(0.005*$N16,2),ROUND(0.6*52/'Second Earner'!$C$8,2)),IF(OR(VLOOKUP($AN16,StateTables!$A$6:$AB$56,18,FALSE)="",VLOOKUP($AN16,StateTables!$A$6:$AB$56,18,FALSE)=0),0,ROUND(VLOOKUP($AN16,StateTables!$A$6:$AB$56,18,FALSE)*IF(OR(VLOOKUP($AN16,StateTables!$A$6:$AB$56,19,FALSE)="",VLOOKUP($AN16,StateTables!$A$6:$AB$56,19,FALSE)=0),$N16,MIN($N16,MAX(0,VLOOKUP($AN16,StateTables!$A$6:$AB$56,19,FALSE)-($AX16+$AB15-$AW16)))),2)))))</f>
      </c>
      <c r="V16" s="7">
        <f>IF($B16="","",IF($AN16="NY",IF('Second Earner'!$C$78,ROUND(SUMPRODUCT((MAX(0,($O16-$D16)*'Second Earner'!$C$8-(IF($AU16="Married",5500,5000)+1000*$AS16))&gt;INDEX('How This Works &amp; Sources'!$B$184:$J$198,0,4))*(MAX(0,($O16-$D16)*'Second Earner'!$C$8-(IF($AU16="Married",5500,5000)+1000*$AS16))-INDEX('How This Works &amp; Sources'!$B$184:$J$198,0,4))*INDEX('How This Works &amp; Sources'!$B$184:$J$198,0,4+2))/'Second Earner'!$C$8+0.0425*$D16,2),0)+IF('Second Earner'!$C$79="Resident",ROUND(0.1675*$T16,2),IF('Second Earner'!$C$79="Nonresident",ROUND(0.005*MAX(0,($O16-$D16)-(IF($AU16="Married",7950,7400)+1000*$AS16)/'Second Earner'!$C$8),2),0)),IF($AN16="PA",IF('Second Earner'!$C$80="None",'Second Earner'!$C$27+ROUND('Second Earner'!$C$81*($C16+$D16),2),ROUND(IF('Second Earner'!$C$80="Resident",IF($B16&lt;DATE(2026,7,1),0.0374,0.03735),IF($B16&lt;DATE(2026,7,1),0.0343,0.03425))*($C16+$D16),2)),IF($BF16=0,ROUND('Second Earner'!$C$81*($C16+$D16),2),'Second Earner'!$C$27+ROUND('Second Earner'!$C$81*($C16+$D16),2)))))</f>
      </c>
      <c r="W16" s="7">
        <f>IF($B16="","",IF($BF16=0,0,$BP16))</f>
      </c>
      <c r="X16" s="7">
        <f>IF($B16="","",SUM($E16:$K16)+$P16+$Q16+$R16+$S16+$T16+$U16+$V16+$W16)</f>
      </c>
      <c r="Y16" s="22">
        <f>IF($B16="","",$C16+$D16-$X16)</f>
      </c>
      <c r="Z16" s="7">
        <f>IF($B16="","",$Z15+$C16+$D16)</f>
      </c>
      <c r="AA16" s="7">
        <f>IF($B16="","",$AA15+$Y16)</f>
      </c>
      <c r="AB16" s="7">
        <f>IF($B16="","",$AB15+MIN($N16,MAX(0,'How This Works &amp; Sources'!$C$3-($AX16+$AB15-$AW16))))</f>
      </c>
      <c r="AC16" s="7">
        <f>IF($B16="","",$AC15+$E16+$F16)</f>
      </c>
      <c r="AD16" s="3">
        <f>IF($B16="","",IF(AND($AB15&lt;'How This Works &amp; Sources'!$C$3,$AB16&gt;='How This Works &amp; Sources'!$C$3),"★ Social Security maxed on this check — from the next check your net rises by about $"&amp;TEXT(ROUND('How This Works &amp; Sources'!$C$4*$N16,2),"#,##0.00")&amp;". ","")&amp;IF(AND($AC15&lt;'Second Earner'!$C$34,$AC16&gt;='Second Earner'!$C$34),"★ 401(k) reaches the $"&amp;TEXT('Second Earner'!$C$34,"#,##0")&amp;" cap on this check — deferrals stop and net pay rises. ","")&amp;IF(AND($AG15&lt;'How This Works &amp; Sources'!$C$7,$AG16&gt;='How This Works &amp; Sources'!$C$7),"★ Wages pass $200,000 — the 0.9% Additional Medicare Tax starts here. ","")&amp;IF(AND($BJ16&gt;0,$H16&gt;0,$BG15&lt;MIN($BJ16,'How This Works &amp; Sources'!$C$13),$BG15+$H16&gt;=MIN($BJ16,'How This Works &amp; Sources'!$C$13)),"★ Health FSA election is now fully deferred for the year. ",""))</f>
      </c>
      <c r="AE16" s="41" t="n"/>
      <c r="AF16" s="7">
        <f>IF(OR($B16="",$AE16=""),"",$AE16-$Y16)</f>
      </c>
      <c r="AG16" s="7">
        <f>IF($B16="","",$AG15+$N16)</f>
      </c>
      <c r="AH16" s="7">
        <f>IF($B16="","",MAX(0,($M16-$D16)*'Second Earner'!$C$8+$AP16-$AQ16-IF('Second Earner'!$C$13,0,IF('Second Earner'!$C$12="MFJ",'How This Works &amp; Sources'!$C$8,'How This Works &amp; Sources'!$C$9))))</f>
      </c>
      <c r="AI16" s="7">
        <f>IF($B16="","",$O16*'Second Earner'!$C$8)</f>
      </c>
      <c r="AJ16" s="7">
        <f>IF($B16="","",MAX(0,$AI16-VLOOKUP($AN16,StateTables!$A$6:$AB$56,12,FALSE)*$AT16-IF(($AS16+$AT16)&gt;=2,VLOOKUP($AN16,StateTables!$A$6:$AB$56,8,FALSE),VLOOKUP($AN16,StateTables!$A$6:$AB$56,7,FALSE))))</f>
      </c>
      <c r="AK16" s="7">
        <f>IF($B16="","",IFERROR(LOOKUP(2,1/(('Changes — Earner 2'!$C$6:$C$17="Salary change")*('Changes — Earner 2'!$B$6:$B$17&lt;=$B16)*('Changes — Earner 2'!$B$6:$B$17&lt;&gt;"")),'Changes — Earner 2'!$D$6:$D$17),IF('Second Earner'!$C$4="Annual salary",'Second Earner'!$C$5,'Second Earner'!$C$6)))</f>
      </c>
      <c r="AL16">
        <f>IF($B16="","",IFERROR(LOOKUP(2,1/(('Changes — Earner 2'!$C$6:$C$17="401(k) change")*('Changes — Earner 2'!$B$6:$B$17&lt;=$B16)*('Changes — Earner 2'!$B$6:$B$17&lt;&gt;"")),'Changes — Earner 2'!$D$6:$D$17),'Second Earner'!$C$30))</f>
      </c>
      <c r="AM16" s="7">
        <f>IF($B16="","",IFERROR(LOOKUP(2,1/(('Changes — Earner 2'!$C$6:$C$17="401(k) change")*('Changes — Earner 2'!$B$6:$B$17&lt;=$B16)*('Changes — Earner 2'!$B$6:$B$17&lt;&gt;"")),'Changes — Earner 2'!$E$6:$E$17),'Second Earner'!$D$31))</f>
      </c>
      <c r="AN16">
        <f>IF($B16="","",IFERROR(LOOKUP(2,1/(('Changes — Earner 2'!$C$6:$C$17="State move")*('Changes — Earner 2'!$B$6:$B$17&lt;=$B16)*('Changes — Earner 2'!$B$6:$B$17&lt;&gt;"")),'Changes — Earner 2'!$D$6:$D$17),'Second Earner'!$C$21))</f>
      </c>
      <c r="AO16" s="7">
        <f>IF($B16="","",IFERROR(LOOKUP(2,1/(('Changes — Earner 2'!$C$6:$C$17="W-4 change")*('Changes — Earner 2'!$B$6:$B$17&lt;=$B16)*('Changes — Earner 2'!$B$6:$B$17&lt;&gt;"")),'Changes — Earner 2'!$D$6:$D$17),'Second Earner'!$C$14))</f>
      </c>
      <c r="AP16" s="7">
        <f>IF($B16="","",IFERROR(LOOKUP(2,1/(('Changes — Earner 2'!$C$6:$C$17="W-4 change")*('Changes — Earner 2'!$B$6:$B$17&lt;=$B16)*('Changes — Earner 2'!$B$6:$B$17&lt;&gt;"")),'Changes — Earner 2'!$E$6:$E$17),'Second Earner'!$C$15))</f>
      </c>
      <c r="AQ16" s="7">
        <f>IF($B16="","",IFERROR(LOOKUP(2,1/(('Changes — Earner 2'!$C$6:$C$17="W-4 change")*('Changes — Earner 2'!$B$6:$B$17&lt;=$B16)*('Changes — Earner 2'!$B$6:$B$17&lt;&gt;"")),'Changes — Earner 2'!$F$6:$F$17),'Second Earner'!$C$16))</f>
      </c>
      <c r="AR16" s="7">
        <f>IF($B16="","",IFERROR(LOOKUP(2,1/(('Changes — Earner 2'!$C$6:$C$17="W-4 change")*('Changes — Earner 2'!$B$6:$B$17&lt;=$B16)*('Changes — Earner 2'!$B$6:$B$17&lt;&gt;"")),'Changes — Earner 2'!$G$6:$G$17),'Second Earner'!$C$17))</f>
      </c>
      <c r="AS16" s="6">
        <f>IF($B16="","",IFERROR(LOOKUP(2,1/((('Changes — Earner 2'!$C$6:$C$17="State move")+('Changes — Earner 2'!$C$6:$C$17="State cert change"))*('Changes — Earner 2'!$B$6:$B$17&lt;=$B16)*('Changes — Earner 2'!$B$6:$B$17&lt;&gt;"")),'Changes — Earner 2'!$F$6:$F$17),'Second Earner'!$C$23))</f>
      </c>
      <c r="AT16" s="6">
        <f>IF($B16="","",IFERROR(LOOKUP(2,1/((('Changes — Earner 2'!$C$6:$C$17="State move")+('Changes — Earner 2'!$C$6:$C$17="State cert change"))*('Changes — Earner 2'!$B$6:$B$17&lt;=$B16)*('Changes — Earner 2'!$B$6:$B$17&lt;&gt;"")),'Changes — Earner 2'!$G$6:$G$17),'Second Earner'!$C$24))</f>
      </c>
      <c r="AU16">
        <f>IF($B16="","",IFERROR(LOOKUP(2,1/(('Changes — Earner 2'!$C$6:$C$17="State move")*('Changes — Earner 2'!$B$6:$B$17&lt;=$B16)*('Changes — Earner 2'!$B$6:$B$17&lt;&gt;"")),'Changes — Earner 2'!$E$6:$E$17),'Second Earner'!$C$22))</f>
      </c>
      <c r="AV16" s="6">
        <f>IF($B16="","",1+COUNTIFS('Changes — Earner 2'!$C$6:$C$17,"Employer change",'Changes — Earner 2'!$B$6:$B$17,"&lt;="&amp;$B16,'Changes — Earner 2'!$B$6:$B$17,"&lt;&gt;"))</f>
      </c>
      <c r="AW16" s="7">
        <f>IF($B16="","",IF($AV16=1,'Second Earner'!$C$49,IF(IFERROR(MATCH(IFERROR(LOOKUP(2,1/(('Changes — Earner 2'!$C$6:$C$17="Employer change")*('Changes — Earner 2'!$B$6:$B$17&lt;=$B16)*('Changes — Earner 2'!$B$6:$B$17&lt;&gt;"")),'Changes — Earner 2'!$B$6:$B$17),""),$B$6:$B$68,1),1)&lt;=1,'Second Earner'!$C$49,INDEX($AB$6:$AB$68,MATCH(IFERROR(LOOKUP(2,1/(('Changes — Earner 2'!$C$6:$C$17="Employer change")*('Changes — Earner 2'!$B$6:$B$17&lt;=$B16)*('Changes — Earner 2'!$B$6:$B$17&lt;&gt;"")),'Changes — Earner 2'!$B$6:$B$17),""),$B$6:$B$68,1)-1))))</f>
      </c>
      <c r="AX16" s="7">
        <f>IF($B16="","",IF($AV16=1,'Second Earner'!$C$49,IFERROR(LOOKUP(2,1/(('Changes — Earner 2'!$C$6:$C$17="Employer change")*('Changes — Earner 2'!$B$6:$B$17&lt;=$B16)*('Changes — Earner 2'!$B$6:$B$17&lt;&gt;"")),'Changes — Earner 2'!$D$6:$D$17),0)))</f>
      </c>
      <c r="AY16" s="7">
        <f>IF($B16="","",($O16-$D16)*'Second Earner'!$C$8)</f>
      </c>
      <c r="AZ16" s="7">
        <f>IF($B16="","",IF($AN16="AL",MAX(0,$AY16-IF($AU16="Married",IF($AY16&lt;=25999,8500,MAX(5000,8500-175*CEILING(($AY16-25999)/500,1))),IF($AU16="Head of household",IF($AY16&lt;=25999,5200,MAX(2500,5200-135*CEILING(($AY16-25999)/500,1))),IF($AY16&lt;=25999,3000,MAX(2500,3000-25*CEILING(($AY16-25999)/500,1)))))-($P16-'How This Works &amp; Sources'!$C$10*$D16)*'Second Earner'!$C$8-IF(OR($AU16="Married",$AU16="Head of household"),3000,1500)-$AT16*IF($AY16&lt;=50000,1000,IF($AY16&lt;=100000,500,300))),IF($AN16="AR",IF(MAX(0,$AY16-2470)&lt;97701,INT(MAX(0,$AY16-2470)/100)*100+50,MAX(0,$AY16-2470)),IF($AN16="DE",MAX(0,$AI16-3250),IF($AN16="HI",MAX(0,$AI16-1144*$AS16-4350),IF($AN16="KS",MAX(0,$AI16-(9160*IF($AU16="Married",2,1)+2320*$AT16+IF($AU16="Head of household",2320,0))),IF($AN16="MD",MAX(0,$AI16-3400-3200*$AS16),IF($AN16="MN",MAX(0,$AY16-5300*$AS16),IF($AN16="MO",MAX(0,$AI16-IF($AU16="Head of household",24150,IF($AU16="Married",IF('Second Earner'!$C$83,16100,32200),16100))),IF($AN16="MT",$AY16,IF($AN16="ND",($C16+$L16)*'Second Earner'!$C$8,IF($AN16="NE",MAX(0,$AY16-2440*$AS16),IF($AN16="NJ",MAX(0,$AY16-1000*$AS16),IF($AN16="NY",MAX(0,$AY16-(IF($AU16="Married",7950,7400)+1000*$AS16)),IF($AN16="OH",MAX(0,$AY16-650*$AS16),IF($AN16="OK",MAX(0,$AY16-1000*$AS16),IF($AN16="RI",MAX(0,$AI16-1000*$AS16),IF($AN16="SC",MAX(0,$AI16-5000*$AS16-IF($AS16=0,0,MIN(0.1*$AI16,7500))),IF($AN16="VA",MAX(0,$AI16-IF($AU16="Married",17500,8750)-930*$AS16-800*$AT16),IF($AN16="VT",MAX(0,$AI16-5400*$AS16),IF($AN16="WI",MAX(0,$AI16-MAX(0,IF($AU16="Married",9461-0.2*MAX(0,$AI16-25727),6702-0.12*MAX(0,$AI16-17780)))-400*$AS16),IF($AN16="WV",MAX(0,$AI16-2000*$AS16),$AI16))))))))))))))))))))))</f>
      </c>
      <c r="BA16" s="7">
        <f>IF($B16="","",IF($BW16&lt;&gt;"",$BW16,IF($BX16&lt;&gt;"",$BX16,IF($BY16&lt;&gt;"",$BY16,0))))</f>
      </c>
      <c r="BB16" s="7">
        <f>IF($B16="","",IF($AN16="AR",-29*$AS16,IF($AN16="DE",-110*$AS16,IF($AN16="MD",$AZ16*'Second Earner'!$C$74,IF($AN16="AZ",'Second Earner'!$C$82*($M16-$D16)*'Second Earner'!$C$8,IF($AN16="CO",0.044*MAX(0,$AY16-IF($AU16="Married",10000,5000)),IF($AN16="IA",MAX(0,0.038*MAX(0,$AY16-IF($AU16="Head of household",19500,IF($AU16="Married",26000,13000)))-40*$AS16),IF($AN16="ID",0.053*MAX(0,$AY16-IF($AU16="Married",32000,16094)),IF($AN16="IL",0.0495*MAX(0,$AY16-(2925*$AS16+1000*$AT16)),IF($AN16="IN",(0.0295+'Second Earner'!$C$76)*MAX(0,$AY16-(1000*$AS16+1500*$AT16+3000*'Second Earner'!$C$86)),IF($AN16="KY",0.035*MAX(0,$AI16-3360),IF($AN16="LA",IF('Second Earner'!$C$84="0",0.0309*$AI16,0.0309*MAX(0,$AI16-IF('Second Earner'!$C$84="2",25750,12875))),IF($AN16="MA",0.05*MIN(MAX(0,$AY16-MIN(($BD15+$Q16+$R16+$S16),2000)-IF($AS16=0,0,IF($AS16=1,4400,1000*$AS16+3400))),1107750)+0.09*MAX(0,MAX(0,$AY16-MIN(($BD15+$Q16+$R16+$S16),2000)-IF($AS16=0,0,IF($AS16=1,4400,1000*$AS16+3400)))-1107750)-IF($AU16="Head of household",120,0)-110*'Second Earner'!$C$75,IF($AN16="MI",0.0425*MAX(0,$AY16-5900*$AS16),IF($AN16="MS",0.04*MAX(0,$AI16-IF($AU16="Head of household",3400,IF($AU16="Married",4600,2300))-'Second Earner'!$C$85-10000),IF($AN16="OR",IF(OR($AU16="Married",AND($AU16="Single",$AS16&gt;=3)),SUMPRODUCT((MAX(0,$AY16-MIN(($P16-'How This Works &amp; Sources'!$C$10*$D16)*'Second Earner'!$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Sources'!$B$211:$J$214,0,4))*(MAX(0,$AY16-MIN(($P16-'How This Works &amp; Sources'!$C$10*$D16)*'Second Earner'!$C$8,IF(OR($AU16="Married",AND($AU16="Single",$AS16&gt;=3)),IF($AY16&lt;250000,8750,IF($AY16&lt;260000,7000,IF($AY16&lt;270000,5250,IF($AY16&lt;280000,3500,IF($AY16&lt;290000,1750,0))))),IF($AY16&lt;125000,8750,IF($AY16&lt;130000,7000,IF($AY16&lt;135000,5250,IF($AY16&lt;140000,3500,IF($AY16&lt;145000,1750,0)))))))-IF(OR($AU16="Married",AND($AU16="Single",$AS16&gt;=3)),5820,2910))-INDEX('How This Works &amp; Sources'!$B$211:$J$214,0,4))*INDEX('How This Works &amp; Sources'!$B$211:$J$214,0,4+2)),SUMPRODUCT((MAX(0,$AY16-MIN(($P16-'How This Works &amp; Sources'!$C$10*$D16)*'Second Earner'!$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Sources'!$B$211:$J$214,0,1))*(MAX(0,$AY16-MIN(($P16-'How This Works &amp; Sources'!$C$10*$D16)*'Second Earner'!$C$8,IF(OR($AU16="Married",AND($AU16="Single",$AS16&gt;=3)),IF($AY16&lt;250000,8750,IF($AY16&lt;260000,7000,IF($AY16&lt;270000,5250,IF($AY16&lt;280000,3500,IF($AY16&lt;290000,1750,0))))),IF($AY16&lt;125000,8750,IF($AY16&lt;130000,7000,IF($AY16&lt;135000,5250,IF($AY16&lt;140000,3500,IF($AY16&lt;145000,1750,0)))))))-IF(OR($AU16="Married",AND($AU16="Single",$AS16&gt;=3)),5820,2910))-INDEX('How This Works &amp; Sources'!$B$211:$J$214,0,1))*INDEX('How This Works &amp; Sources'!$B$211:$J$214,0,1+2)))+263-263*IF(IF($AU16="Married",$AY16&gt;200000,$AY16&gt;100000),0,$AS16),IF($AN16="PA",0.0307*(($O16+$E16+$G16)*'Second Earner'!$C$8),IF($AN16="NY",IF($AU16="Married",IF($AZ16&gt;=2155350,0,IF($AZ16&gt;=1077550,0.48,IF($AZ16&gt;=373200,1.21,IF($AZ16&gt;=323200,0.21,IF($AZ16&gt;=211550,-0.19,IF($AZ16&gt;=157650,-2.8,IF($AZ16&gt;=107650,-0.8,IF($AZ16&gt;=96800,0.05,IF($AZ16&gt;=80650,-0.1,IF($AZ16&gt;=13900,0.4,IF($AZ16&gt;=11700,-0.3,IF($AZ16&gt;=8500,0.5,0)))))))))))),IF($AZ16&gt;=1077550,0,IF($AZ16&gt;=265400,4.29,IF($AZ16&gt;=215400,2.29,IF($AZ16&gt;=157650,2.29,IF($AZ16&gt;=107650,0.29,IF($AZ16&gt;=96800,0.05,IF($AZ16&gt;=80650,-0.1,IF($AZ16&gt;=13900,0.4,IF($AZ16&gt;=11700,-0.3,IF($AZ16&gt;=8500,0.5,0))))))))))),0))))))))))))))))))</f>
      </c>
      <c r="BC16" s="7">
        <f>IF($B16="","",IF($AN16="AL",0.05*$D16,IF($AN16="AR",0.039*$D16,IF($AN16="ID",0.053*$D16,IF($AN16="IN",(0.0295+'Second Earner'!$C$76)*$D16,IF($AN16="KS",0.05*$D16,IF($AN16="MA",0.09*MIN($D16,MAX(0,MAX(0,$AY16-MIN(($BD15+$Q16+$R16+$S16),2000)-IF($AS16=0,0,IF($AS16=1,4400,1000*$AS16+3400)))+$D16-1107750))+0.05*($D16-MIN($D16,MAX(0,MAX(0,$AY16-MIN(($BD15+$Q16+$R16+$S16),2000)-IF($AS16=0,0,IF($AS16=1,4400,1000*$AS16+3400)))+$D16-1107750))),IF($AN16="MD",(0.065+'Second Earner'!$C$74)*$D16,IF($AN16="MI",0.0425*$D16,IF($AN16="MN",0.0625*$D16,IF($AN16="MO",0.047*$D16,IF($AN16="MT",0.05*$D16,IF($AN16="ND",0.015*$D16,IF($AN16="NE",0.035*$D16,IF($AN16="NJ",IF('Second Earner'!$C$77="B",SUMPRODUCT(($D16*'Second Earner'!$C$8&gt;INDEX('How This Works &amp; Sources'!$B$155:$J$162,0,4))*($D16*'Second Earner'!$C$8-INDEX('How This Works &amp; Sources'!$B$155:$J$162,0,4))*INDEX('How This Works &amp; Sources'!$B$155:$J$162,0,4+2)),IF('Second Earner'!$C$77="C",SUMPRODUCT(($D16*'Second Earner'!$C$8&gt;INDEX('How This Works &amp; Sources'!$B$155:$J$162,0,7))*($D16*'Second Earner'!$C$8-INDEX('How This Works &amp; Sources'!$B$155:$J$162,0,7))*INDEX('How This Works &amp; Sources'!$B$155:$J$162,0,7+2)),IF('Second Earner'!$C$77="D",SUMPRODUCT(($D16*'Second Earner'!$C$8&gt;INDEX('How This Works &amp; Sources'!$B$167:$J$179,0,1))*($D16*'Second Earner'!$C$8-INDEX('How This Works &amp; Sources'!$B$167:$J$179,0,1))*INDEX('How This Works &amp; Sources'!$B$167:$J$179,0,1+2)),IF('Second Earner'!$C$77="E",SUMPRODUCT(($D16*'Second Earner'!$C$8&gt;INDEX('How This Works &amp; Sources'!$B$167:$J$179,0,4))*($D16*'Second Earner'!$C$8-INDEX('How This Works &amp; Sources'!$B$167:$J$179,0,4))*INDEX('How This Works &amp; Sources'!$B$167:$J$179,0,4+2)),SUMPRODUCT(($D16*'Second Earner'!$C$8&gt;INDEX('How This Works &amp; Sources'!$B$155:$J$162,0,1))*($D16*'Second Earner'!$C$8-INDEX('How This Works &amp; Sources'!$B$155:$J$162,0,1))*INDEX('How This Works &amp; Sources'!$B$155:$J$162,0,1+2))))))/'Second Earner'!$C$8,IF($AN16="NY",0.117*$D16,IF($AN16="OH",0.0275*$D16,IF($AN16="OK",0.045*$D16,IF($AN16="OR",0.08*$D16,IF($AN16="WI",IF($AY16&lt;12760,0.0354,IF($AY16&lt;25520,0.0465,IF($AY16&lt;280950,0.053,0.0765)))*$D16,0))))))))))))))))))))</f>
      </c>
      <c r="BD16" s="7">
        <f>IF($B16="","",$BD15+$Q16+$R16+$S16)</f>
      </c>
      <c r="BE16" s="6">
        <f>IF($B16="",$BE15,$BE15+$BF16)</f>
      </c>
      <c r="BF16" s="6">
        <f>IF($B16="","",IF(AND(IF(YEAR(IF('Second Earner'!$C$7="Weekly",'Second Earner'!$C$9+7*(($BE15+1)-1),IF('Second Earner'!$C$7="Biweekly",'Second Earner'!$C$9+14*(($BE15+1)-1),IF('Second Earner'!$C$7="Semimonthly",DATE(YEAR('Second Earner'!$C$9),MONTH('Second Earner'!$C$9)+INT((($BE15+1)-1)/2),MIN(DAY('Second Earner'!$C$9),DAY(EOMONTH(DATE(YEAR('Second Earner'!$C$9),MONTH('Second Earner'!$C$9)+INT((($BE15+1)-1)/2),1),0))))+IF(MOD(($BE15+1)-1,2)=1,15,0),EDATE('Second Earner'!$C$9,($BE15+1)-1)))))&lt;&gt;'Second Earner'!$C$10,"",IF('Second Earner'!$C$7="Weekly",'Second Earner'!$C$9+7*(($BE15+1)-1),IF('Second Earner'!$C$7="Biweekly",'Second Earner'!$C$9+14*(($BE15+1)-1),IF('Second Earner'!$C$7="Semimonthly",DATE(YEAR('Second Earner'!$C$9),MONTH('Second Earner'!$C$9)+INT((($BE15+1)-1)/2),MIN(DAY('Second Earner'!$C$9),DAY(EOMONTH(DATE(YEAR('Second Earner'!$C$9),MONTH('Second Earner'!$C$9)+INT((($BE15+1)-1)/2),1),0))))+IF(MOD(($BE15+1)-1,2)=1,15,0),EDATE('Second Earner'!$C$9,($BE15+1)-1)))))&lt;&gt;"",$B16=IF(YEAR(IF('Second Earner'!$C$7="Weekly",'Second Earner'!$C$9+7*(($BE15+1)-1),IF('Second Earner'!$C$7="Biweekly",'Second Earner'!$C$9+14*(($BE15+1)-1),IF('Second Earner'!$C$7="Semimonthly",DATE(YEAR('Second Earner'!$C$9),MONTH('Second Earner'!$C$9)+INT((($BE15+1)-1)/2),MIN(DAY('Second Earner'!$C$9),DAY(EOMONTH(DATE(YEAR('Second Earner'!$C$9),MONTH('Second Earner'!$C$9)+INT((($BE15+1)-1)/2),1),0))))+IF(MOD(($BE15+1)-1,2)=1,15,0),EDATE('Second Earner'!$C$9,($BE15+1)-1)))))&lt;&gt;'Second Earner'!$C$10,"",IF('Second Earner'!$C$7="Weekly",'Second Earner'!$C$9+7*(($BE15+1)-1),IF('Second Earner'!$C$7="Biweekly",'Second Earner'!$C$9+14*(($BE15+1)-1),IF('Second Earner'!$C$7="Semimonthly",DATE(YEAR('Second Earner'!$C$9),MONTH('Second Earner'!$C$9)+INT((($BE15+1)-1)/2),MIN(DAY('Second Earner'!$C$9),DAY(EOMONTH(DATE(YEAR('Second Earner'!$C$9),MONTH('Second Earner'!$C$9)+INT((($BE15+1)-1)/2),1),0))))+IF(MOD(($BE15+1)-1,2)=1,15,0),EDATE('Second Earner'!$C$9,($BE15+1)-1)))))),1,0))</f>
      </c>
      <c r="BG16" s="7">
        <f>IF($B16="","",$BG15+$H16)</f>
      </c>
      <c r="BH16" s="7">
        <f>IF($B16="","",$BH15+$I16)</f>
      </c>
      <c r="BI16" s="7">
        <f>IF($B16="","",$BI15+$G16)</f>
      </c>
      <c r="BJ16" s="7">
        <f>IF($B16="","",IFERROR(LOOKUP(2,1/(((('Changes — Earner 2'!$C$6:$C$17="Deduction start"))*('Changes — Earner 2'!$D$6:$D$17="Health FSA"))*('Changes — Earner 2'!$B$6:$B$17&lt;=$B16)*('Changes — Earner 2'!$B$6:$B$17&lt;&gt;"")),'Changes — Earner 2'!$E$6:$E$17),'Second Earner'!$D$38))</f>
      </c>
      <c r="BK16" s="7">
        <f>IF($B16="","",IFERROR(LOOKUP(2,1/(((('Changes — Earner 2'!$C$6:$C$17="Deduction start"))*('Changes — Earner 2'!$D$6:$D$17="Dependent-care FSA"))*('Changes — Earner 2'!$B$6:$B$17&lt;=$B16)*('Changes — Earner 2'!$B$6:$B$17&lt;&gt;"")),'Changes — Earner 2'!$E$6:$E$17),'Second Earner'!$D$39))</f>
      </c>
      <c r="BL16" s="7">
        <f>IF($B16="","",IFERROR(LOOKUP(2,1/(((('Changes — Earner 2'!$C$6:$C$17="Deduction start")+('Changes — Earner 2'!$C$6:$C$17="Deduction stop"))*('Changes — Earner 2'!$D$6:$D$17="HSA"))*('Changes — Earner 2'!$B$6:$B$17&lt;=$B16)*('Changes — Earner 2'!$B$6:$B$17&lt;&gt;"")),'Changes — Earner 2'!$I$6:$I$17),'Second Earner'!$D$35))</f>
      </c>
      <c r="BM16" s="7">
        <f>IF($B16="","",IFERROR(LOOKUP(2,1/(((('Changes — Earner 2'!$C$6:$C$17="Deduction start")+('Changes — Earner 2'!$C$6:$C$17="Deduction stop"))*('Changes — Earner 2'!$D$6:$D$17="Premiums"))*('Changes — Earner 2'!$B$6:$B$17&lt;=$B16)*('Changes — Earner 2'!$B$6:$B$17&lt;&gt;"")),'Changes — Earner 2'!$I$6:$I$17),'Second Earner'!$D$40+'Second Earner'!$D$41+'Second Earner'!$D$42))</f>
      </c>
      <c r="BN16" s="7">
        <f>IF($B16="","",IFERROR(LOOKUP(2,1/(((('Changes — Earner 2'!$C$6:$C$17="Deduction start")+('Changes — Earner 2'!$C$6:$C$17="Deduction stop"))*('Changes — Earner 2'!$D$6:$D$17="Commuter"))*('Changes — Earner 2'!$B$6:$B$17&lt;=$B16)*('Changes — Earner 2'!$B$6:$B$17&lt;&gt;"")),'Changes — Earner 2'!$I$6:$I$17),'Second Earner'!$D$43))</f>
      </c>
      <c r="BO16" s="7">
        <f>IF($B16="","",IFERROR(LOOKUP(2,1/(((('Changes — Earner 2'!$C$6:$C$17="Deduction start")+('Changes — Earner 2'!$C$6:$C$17="Deduction stop"))*('Changes — Earner 2'!$D$6:$D$17="Other pre-tax"))*('Changes — Earner 2'!$B$6:$B$17&lt;=$B16)*('Changes — Earner 2'!$B$6:$B$17&lt;&gt;"")),'Changes — Earner 2'!$I$6:$I$17),'Second Earner'!$D$44))</f>
      </c>
      <c r="BP16" s="7">
        <f>IF($B16="","",IFERROR(LOOKUP(2,1/(((('Changes — Earner 2'!$C$6:$C$17="Deduction start")+('Changes — Earner 2'!$C$6:$C$17="Deduction stop"))*('Changes — Earner 2'!$D$6:$D$17="Other post-tax"))*('Changes — Earner 2'!$B$6:$B$17&lt;=$B16)*('Changes — Earner 2'!$B$6:$B$17&lt;&gt;"")),'Changes — Earner 2'!$I$6:$I$17),'Second Earner'!$D$45))</f>
      </c>
      <c r="BQ16" s="6">
        <f>IF($B16="","",IFERROR(LOOKUP(2,1/(((('Changes — Earner 2'!$C$6:$C$17="Deduction start")+('Changes — Earner 2'!$C$6:$C$17="Deduction stop"))*('Changes — Earner 2'!$D$6:$D$17="Health FSA"))*('Changes — Earner 2'!$B$6:$B$17&lt;=$B16)*('Changes — Earner 2'!$B$6:$B$17&lt;&gt;"")),'Changes — Earner 2'!$J$6:$J$17),0))</f>
      </c>
      <c r="BR16" s="6">
        <f>IF($B16="","",IFERROR(LOOKUP(2,1/(((('Changes — Earner 2'!$C$6:$C$17="Deduction start")+('Changes — Earner 2'!$C$6:$C$17="Deduction stop"))*('Changes — Earner 2'!$D$6:$D$17="Dependent-care FSA"))*('Changes — Earner 2'!$B$6:$B$17&lt;=$B16)*('Changes — Earner 2'!$B$6:$B$17&lt;&gt;"")),'Changes — Earner 2'!$J$6:$J$17),0))</f>
      </c>
      <c r="BS16" s="6">
        <f>IF($B16="","",IF(SUMPRODUCT(('Changes — Earner 2'!$C$6:$C$17="Deduction start")*('Changes — Earner 2'!$B$6:$B$17&lt;=$B16)*('Changes — Earner 2'!$B$6:$B$17&lt;&gt;"")*('Changes — Earner 2'!$D$6:$D$17="Health FSA"))&gt;0,1,0))</f>
      </c>
      <c r="BT16" s="6">
        <f>IF($B16="","",IF(SUMPRODUCT(('Changes — Earner 2'!$C$6:$C$17="Deduction start")*('Changes — Earner 2'!$B$6:$B$17&lt;=$B16)*('Changes — Earner 2'!$B$6:$B$17&lt;&gt;"")*('Changes — Earner 2'!$D$6:$D$17="Dependent-care FSA"))&gt;0,1,0))</f>
      </c>
      <c r="BU16" s="24">
        <f>IF($B16="","",IF('Second Earner'!$C$13,SUMPRODUCT(($AH16&gt;=INDEX('How This Works &amp; Sources'!$B$29:$J$36,0,IF('Second Earner'!$C$12="MFJ",1,IF('Second Earner'!$C$12="HoH",7,4))))*INDEX('How This Works &amp; Sources'!$B$29:$J$36,0,IF('Second Earner'!$C$12="MFJ",1,IF('Second Earner'!$C$12="HoH",7,4))+2)),SUMPRODUCT(($AH16&gt;=INDEX('How This Works &amp; Sources'!$B$19:$J$26,0,IF('Second Earner'!$C$12="MFJ",1,IF('Second Earner'!$C$12="HoH",7,4))))*INDEX('How This Works &amp; Sources'!$B$19:$J$26,0,IF('Second Earner'!$C$12="MFJ",1,IF('Second Earner'!$C$12="HoH",7,4))+2))))</f>
      </c>
      <c r="BV16" s="24">
        <f>IF($B16="","",IF($BZ16&lt;&gt;"",$BZ16,IF($CA16&lt;&gt;"",$CA16,IF($CB16&lt;&gt;"",$CB16,IF($CC16&lt;&gt;"",$CC16,0)))))</f>
      </c>
      <c r="BW16" s="7">
        <f>IF($B16="","",IF($AN16="AR",SUMPRODUCT(($AZ16&gt;INDEX('How This Works &amp; Sources'!$B$82:$J$86,0,7))*($AZ16-INDEX('How This Works &amp; Sources'!$B$82:$J$86,0,7))*INDEX('How This Works &amp; Sources'!$B$82:$J$86,0,7+2)),IF($AN16="MD",IF(OR($AU16="Married",$AU16="Head of household"),SUMPRODUCT(($AZ16&gt;INDEX('How This Works &amp; Sources'!$B$114:$J$120,0,1))*($AZ16-INDEX('How This Works &amp; Sources'!$B$114:$J$120,0,1))*INDEX('How This Works &amp; Sources'!$B$114:$J$120,0,1+2)),SUMPRODUCT(($AZ16&gt;INDEX('How This Works &amp; Sources'!$B$103:$J$109,0,7))*($AZ16-INDEX('How This Works &amp; Sources'!$B$103:$J$109,0,7))*INDEX('How This Works &amp; Sources'!$B$103:$J$109,0,7+2))),IF($AN16="MT",IF($AU16="Head of household",SUMPRODUCT(($AZ16&gt;INDEX('How This Works &amp; Sources'!$B$137:$J$139,0,1))*($AZ16-INDEX('How This Works &amp; Sources'!$B$137:$J$139,0,1))*INDEX('How This Works &amp; Sources'!$B$137:$J$139,0,1+2)),IF($AU16="Married",SUMPRODUCT(($AZ16&gt;INDEX('How This Works &amp; Sources'!$B$125:$J$132,0,7))*($AZ16-INDEX('How This Works &amp; Sources'!$B$125:$J$132,0,7))*INDEX('How This Works &amp; Sources'!$B$125:$J$132,0,7+2)),SUMPRODUCT(($AZ16&gt;INDEX('How This Works &amp; Sources'!$B$125:$J$132,0,4))*($AZ16-INDEX('How This Works &amp; Sources'!$B$125:$J$132,0,4))*INDEX('How This Works &amp; Sources'!$B$125:$J$132,0,4+2)))),IF($AN16="ND",IF($AU16="Head of household",SUMPRODUCT(($AZ16&gt;INDEX('How This Works &amp; Sources'!$B$144:$J$150,0,1))*($AZ16-INDEX('How This Works &amp; Sources'!$B$144:$J$150,0,1))*INDEX('How This Works &amp; Sources'!$B$144:$J$150,0,1+2)),IF($AU16="Married",SUMPRODUCT(($AZ16&gt;INDEX('How This Works &amp; Sources'!$B$137:$J$139,0,7))*($AZ16-INDEX('How This Works &amp; Sources'!$B$137:$J$139,0,7))*INDEX('How This Works &amp; Sources'!$B$137:$J$139,0,7+2)),SUMPRODUCT(($AZ16&gt;INDEX('How This Works &amp; Sources'!$B$137:$J$139,0,4))*($AZ16-INDEX('How This Works &amp; Sources'!$B$137:$J$139,0,4))*INDEX('How This Works &amp; Sources'!$B$137:$J$139,0,4+2)))),IF($AN16="NJ",IF('Second Earner'!$C$77="B",SUMPRODUCT(($AZ16&gt;INDEX('How This Works &amp; Sources'!$B$155:$J$162,0,4))*($AZ16-INDEX('How This Works &amp; Sources'!$B$155:$J$162,0,4))*INDEX('How This Works &amp; Sources'!$B$155:$J$162,0,4+2)),IF('Second Earner'!$C$77="C",SUMPRODUCT(($AZ16&gt;INDEX('How This Works &amp; Sources'!$B$155:$J$162,0,7))*($AZ16-INDEX('How This Works &amp; Sources'!$B$155:$J$162,0,7))*INDEX('How This Works &amp; Sources'!$B$155:$J$162,0,7+2)),IF('Second Earner'!$C$77="D",SUMPRODUCT(($AZ16&gt;INDEX('How This Works &amp; Sources'!$B$167:$J$179,0,1))*($AZ16-INDEX('How This Works &amp; Sources'!$B$167:$J$179,0,1))*INDEX('How This Works &amp; Sources'!$B$167:$J$179,0,1+2)),IF('Second Earner'!$C$77="E",SUMPRODUCT(($AZ16&gt;INDEX('How This Works &amp; Sources'!$B$167:$J$179,0,4))*($AZ16-INDEX('How This Works &amp; Sources'!$B$167:$J$179,0,4))*INDEX('How This Works &amp; Sources'!$B$167:$J$179,0,4+2)),SUMPRODUCT(($AZ16&gt;INDEX('How This Works &amp; Sources'!$B$155:$J$162,0,1))*($AZ16-INDEX('How This Works &amp; Sources'!$B$155:$J$162,0,1))*INDEX('How This Works &amp; Sources'!$B$155:$J$162,0,1+2)))))),IF($AN16="NY",IF($AU16="Married",IF($AZ16&gt;=2155350,$AZ16*IF($AZ16&gt;25000000,0.117,IF($AZ16&gt;5000000,0.111,0.1045)),SUMPRODUCT(($AZ16&gt;INDEX('How This Works &amp; Sources'!$B$184:$J$198,0,1))*($AZ16-INDEX('How This Works &amp; Sources'!$B$184:$J$198,0,1))*INDEX('How This Works &amp; Sources'!$B$184:$J$198,0,1+2))),IF($AZ16&gt;=1077550,$AZ16*IF($AZ16&gt;25000000,0.117,IF($AZ16&gt;5000000,0.111,0.1045)),SUMPRODUCT(($AZ16&gt;INDEX('How This Works &amp; Sources'!$B$167:$J$179,0,7))*($AZ16-INDEX('How This Works &amp; Sources'!$B$167:$J$179,0,7))*INDEX('How This Works &amp; Sources'!$B$167:$J$179,0,7+2)))),"")))))))</f>
      </c>
      <c r="BX16" s="7">
        <f>IF($B16="","",IF($AN16="AL",IF(OR($AU16="Married",$AU16="Head of household"),SUMPRODUCT(($AZ16&gt;INDEX('How This Works &amp; Sources'!$B$82:$J$86,0,4))*($AZ16-INDEX('How This Works &amp; Sources'!$B$82:$J$86,0,4))*INDEX('How This Works &amp; Sources'!$B$82:$J$86,0,4+2)),SUMPRODUCT(($AZ16&gt;INDEX('How This Works &amp; Sources'!$B$82:$J$86,0,1))*($AZ16-INDEX('How This Works &amp; Sources'!$B$82:$J$86,0,1))*INDEX('How This Works &amp; Sources'!$B$82:$J$86,0,1+2))),IF($AN16="KS",IF($AU16="Married",SUMPRODUCT(($AZ16&gt;INDEX('How This Works &amp; Sources'!$B$103:$J$109,0,4))*($AZ16-INDEX('How This Works &amp; Sources'!$B$103:$J$109,0,4))*INDEX('How This Works &amp; Sources'!$B$103:$J$109,0,4+2)),SUMPRODUCT(($AZ16&gt;INDEX('How This Works &amp; Sources'!$B$103:$J$109,0,1))*($AZ16-INDEX('How This Works &amp; Sources'!$B$103:$J$109,0,1))*INDEX('How This Works &amp; Sources'!$B$103:$J$109,0,1+2))),IF($AN16="MN",IF($AU16="Married",SUMPRODUCT(($AZ16&gt;INDEX('How This Works &amp; Sources'!$B$114:$J$120,0,7))*($AZ16-INDEX('How This Works &amp; Sources'!$B$114:$J$120,0,7))*INDEX('How This Works &amp; Sources'!$B$114:$J$120,0,7+2)),SUMPRODUCT(($AZ16&gt;INDEX('How This Works &amp; Sources'!$B$114:$J$120,0,4))*($AZ16-INDEX('How This Works &amp; Sources'!$B$114:$J$120,0,4))*INDEX('How This Works &amp; Sources'!$B$114:$J$120,0,4+2))),IF($AN16="MO",SUMPRODUCT(($AZ16&gt;INDEX('How This Works &amp; Sources'!$B$125:$J$132,0,1))*($AZ16-INDEX('How This Works &amp; Sources'!$B$125:$J$132,0,1))*INDEX('How This Works &amp; Sources'!$B$125:$J$132,0,1+2)),IF($AN16="NE",MAX(IF($AU16="Married",SUMPRODUCT(($AZ16&gt;INDEX('How This Works &amp; Sources'!$B$144:$J$150,0,7))*($AZ16-INDEX('How This Works &amp; Sources'!$B$144:$J$150,0,7))*INDEX('How This Works &amp; Sources'!$B$144:$J$150,0,7+2)),SUMPRODUCT(($AZ16&gt;INDEX('How This Works &amp; Sources'!$B$144:$J$150,0,4))*($AZ16-INDEX('How This Works &amp; Sources'!$B$144:$J$150,0,4))*INDEX('How This Works &amp; Sources'!$B$144:$J$150,0,4+2))),0.015*$AZ16),IF($AN16="OH",IF($B16&gt;=DATE(2026,8,1),SUMPRODUCT(($AZ16&gt;INDEX('How This Works &amp; Sources'!$B$203:$J$206,0,1))*($AZ16-INDEX('How This Works &amp; Sources'!$B$203:$J$206,0,1))*INDEX('How This Works &amp; Sources'!$B$203:$J$206,0,1+2)),SUMPRODUCT(($AZ16&gt;INDEX('How This Works &amp; Sources'!$B$184:$J$198,0,7))*($AZ16-INDEX('How This Works &amp; Sources'!$B$184:$J$198,0,7))*INDEX('How This Works &amp; Sources'!$B$184:$J$198,0,7+2))),IF($AN16="OK",IF($AU16="Married",SUMPRODUCT(($AZ16&gt;INDEX('How This Works &amp; Sources'!$B$203:$J$206,0,7))*($AZ16-INDEX('How This Works &amp; Sources'!$B$203:$J$206,0,7))*INDEX('How This Works &amp; Sources'!$B$203:$J$206,0,7+2)),SUMPRODUCT(($AZ16&gt;INDEX('How This Works &amp; Sources'!$B$203:$J$206,0,4))*($AZ16-INDEX('How This Works &amp; Sources'!$B$203:$J$206,0,4))*INDEX('How This Works &amp; Sources'!$B$203:$J$206,0,4+2))),IF($AN16="VT",IF($AU16="Married",SUMPRODUCT(($AZ16&gt;INDEX('How This Works &amp; Sources'!$B$228:$J$232,0,1))*($AZ16-INDEX('How This Works &amp; Sources'!$B$228:$J$232,0,1))*INDEX('How This Works &amp; Sources'!$B$228:$J$232,0,1+2)),SUMPRODUCT(($AZ16&gt;INDEX('How This Works &amp; Sources'!$B$219:$J$223,0,7))*($AZ16-INDEX('How This Works &amp; Sources'!$B$219:$J$223,0,7))*INDEX('How This Works &amp; Sources'!$B$219:$J$223,0,7+2))),IF($AN16="WV",IF($AU16="Married",SUMPRODUCT(($AZ16&gt;INDEX('How This Works &amp; Sources'!$B$237:$J$241,0,7))*($AZ16-INDEX('How This Works &amp; Sources'!$B$237:$J$241,0,7))*INDEX('How This Works &amp; Sources'!$B$237:$J$241,0,7+2)),SUMPRODUCT(($AZ16&gt;INDEX('How This Works &amp; Sources'!$B$228:$J$232,0,7))*($AZ16-INDEX('How This Works &amp; Sources'!$B$228:$J$232,0,7))*INDEX('How This Works &amp; Sources'!$B$228:$J$232,0,7+2))),""))))))))))</f>
      </c>
      <c r="BY16" s="7">
        <f>IF($B16="","",IF($AN16="DE",SUMPRODUCT(($AZ16&gt;INDEX('How This Works &amp; Sources'!$B$91:$J$98,0,1))*($AZ16-INDEX('How This Works &amp; Sources'!$B$91:$J$98,0,1))*INDEX('How This Works &amp; Sources'!$B$91:$J$98,0,1+2)),IF($AN16="HI",IF($AU16="Married",SUMPRODUCT(($AZ16&gt;INDEX('How This Works &amp; Sources'!$B$91:$J$98,0,7))*($AZ16-INDEX('How This Works &amp; Sources'!$B$91:$J$98,0,7))*INDEX('How This Works &amp; Sources'!$B$91:$J$98,0,7+2)),SUMPRODUCT(($AZ16&gt;INDEX('How This Works &amp; Sources'!$B$91:$J$98,0,4))*($AZ16-INDEX('How This Works &amp; Sources'!$B$91:$J$98,0,4))*INDEX('How This Works &amp; Sources'!$B$91:$J$98,0,4+2))),IF($AN16="RI",SUMPRODUCT(($AZ16&gt;INDEX('How This Works &amp; Sources'!$B$211:$J$214,0,7))*($AZ16-INDEX('How This Works &amp; Sources'!$B$211:$J$214,0,7))*INDEX('How This Works &amp; Sources'!$B$211:$J$214,0,7+2)),IF($AN16="SC",SUMPRODUCT(($AZ16&gt;INDEX('How This Works &amp; Sources'!$B$219:$J$223,0,1))*($AZ16-INDEX('How This Works &amp; Sources'!$B$219:$J$223,0,1))*INDEX('How This Works &amp; Sources'!$B$219:$J$223,0,1+2)),IF($AN16="VA",SUMPRODUCT(($AZ16&gt;INDEX('How This Works &amp; Sources'!$B$219:$J$223,0,4))*($AZ16-INDEX('How This Works &amp; Sources'!$B$219:$J$223,0,4))*INDEX('How This Works &amp; Sources'!$B$219:$J$223,0,4+2)),IF($AN16="WI",SUMPRODUCT(($AZ16&gt;INDEX('How This Works &amp; Sources'!$B$228:$J$232,0,4))*($AZ16-INDEX('How This Works &amp; Sources'!$B$228:$J$232,0,4))*INDEX('How This Works &amp; Sources'!$B$228:$J$232,0,4+2)),"")))))))</f>
      </c>
      <c r="BZ16" s="24">
        <f>IF($B16="","",IF($AN16="KS",IF($AU16="Married",SUMPRODUCT(($AZ16&gt;=INDEX('How This Works &amp; Sources'!$B$103:$J$109,0,4))*INDEX('How This Works &amp; Sources'!$B$103:$J$109,0,4+2)),SUMPRODUCT(($AZ16&gt;=INDEX('How This Works &amp; Sources'!$B$103:$J$109,0,1))*INDEX('How This Works &amp; Sources'!$B$103:$J$109,0,1+2))),IF($AN16="MT",IF($AU16="Head of household",SUMPRODUCT(($AZ16&gt;=INDEX('How This Works &amp; Sources'!$B$137:$J$139,0,1))*INDEX('How This Works &amp; Sources'!$B$137:$J$139,0,1+2)),IF($AU16="Married",SUMPRODUCT(($AZ16&gt;=INDEX('How This Works &amp; Sources'!$B$125:$J$132,0,7))*INDEX('How This Works &amp; Sources'!$B$125:$J$132,0,7+2)),SUMPRODUCT(($AZ16&gt;=INDEX('How This Works &amp; Sources'!$B$125:$J$132,0,4))*INDEX('How This Works &amp; Sources'!$B$125:$J$132,0,4+2)))),IF($AN16="OR",IF(OR($AU16="Married",AND($AU16="Single",$AS16&gt;=3)),SUMPRODUCT((MAX(0,$AY16-MIN(($P16-'How This Works &amp; Sources'!$C$10*$D16)*'Second Earner'!$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Sources'!$B$211:$J$214,0,4))*INDEX('How This Works &amp; Sources'!$B$211:$J$214,0,4+2)),SUMPRODUCT((MAX(0,$AY16-MIN(($P16-'How This Works &amp; Sources'!$C$10*$D16)*'Second Earner'!$C$8,IF(OR($AU16="Married",AND($AU16="Single",$AS16&gt;=3)),IF($AY16&lt;250000,8750,IF($AY16&lt;260000,7000,IF($AY16&lt;270000,5250,IF($AY16&lt;280000,3500,IF($AY16&lt;290000,1750,0))))),IF($AY16&lt;125000,8750,IF($AY16&lt;130000,7000,IF($AY16&lt;135000,5250,IF($AY16&lt;140000,3500,IF($AY16&lt;145000,1750,0)))))))-IF(OR($AU16="Married",AND($AU16="Single",$AS16&gt;=3)),5820,2910))&gt;=INDEX('How This Works &amp; Sources'!$B$211:$J$214,0,1))*INDEX('How This Works &amp; Sources'!$B$211:$J$214,0,1+2)))*IF(($P16-'How This Works &amp; Sources'!$C$10*$D16)*'Second Earner'!$C$8&gt;=IF(OR($AU16="Married",AND($AU16="Single",$AS16&gt;=3)),IF($AY16&lt;250000,8750,IF($AY16&lt;260000,7000,IF($AY16&lt;270000,5250,IF($AY16&lt;280000,3500,IF($AY16&lt;290000,1750,0))))),IF($AY16&lt;125000,8750,IF($AY16&lt;130000,7000,IF($AY16&lt;135000,5250,IF($AY16&lt;140000,3500,IF($AY16&lt;145000,1750,0)))))),1,1-IF('Second Earner'!$C$13,SUMPRODUCT(($AH16&gt;=INDEX('How This Works &amp; Sources'!$B$29:$J$36,0,IF('Second Earner'!$C$12="MFJ",1,IF('Second Earner'!$C$12="HoH",7,4))))*INDEX('How This Works &amp; Sources'!$B$29:$J$36,0,IF('Second Earner'!$C$12="MFJ",1,IF('Second Earner'!$C$12="HoH",7,4))+2)),SUMPRODUCT(($AH16&gt;=INDEX('How This Works &amp; Sources'!$B$19:$J$26,0,IF('Second Earner'!$C$12="MFJ",1,IF('Second Earner'!$C$12="HoH",7,4))))*INDEX('How This Works &amp; Sources'!$B$19:$J$26,0,IF('Second Earner'!$C$12="MFJ",1,IF('Second Earner'!$C$12="HoH",7,4))+2)))),""))))</f>
      </c>
      <c r="CA16" s="24">
        <f>IF($B16="","",IF($AN16="CA",SUMPRODUCT(($AJ16&gt;=INDEX('How This Works &amp; Sources'!$B$39:$J$48,0,IF($AU16="Married",4,IF($AU16="Head of household",7,1))))*INDEX('How This Works &amp; Sources'!$B$39:$J$48,0,IF($AU16="Married",4,IF($AU16="Head of household",7,1))+2)),IF($AN16="AL",IF(OR($AU16="Married",$AU16="Head of household"),SUMPRODUCT(($AZ16&gt;=INDEX('How This Works &amp; Sources'!$B$82:$J$86,0,4))*INDEX('How This Works &amp; Sources'!$B$82:$J$86,0,4+2)),SUMPRODUCT(($AZ16&gt;=INDEX('How This Works &amp; Sources'!$B$82:$J$86,0,1))*INDEX('How This Works &amp; Sources'!$B$82:$J$86,0,1+2)))*(1-IF('Second Earner'!$C$13,SUMPRODUCT(($AH16&gt;=INDEX('How This Works &amp; Sources'!$B$29:$J$36,0,IF('Second Earner'!$C$12="MFJ",1,IF('Second Earner'!$C$12="HoH",7,4))))*INDEX('How This Works &amp; Sources'!$B$29:$J$36,0,IF('Second Earner'!$C$12="MFJ",1,IF('Second Earner'!$C$12="HoH",7,4))+2)),SUMPRODUCT(($AH16&gt;=INDEX('How This Works &amp; Sources'!$B$19:$J$26,0,IF('Second Earner'!$C$12="MFJ",1,IF('Second Earner'!$C$12="HoH",7,4))))*INDEX('How This Works &amp; Sources'!$B$19:$J$26,0,IF('Second Earner'!$C$12="MFJ",1,IF('Second Earner'!$C$12="HoH",7,4))+2)))),IF($AN16="ND",IF($AU16="Head of household",SUMPRODUCT(($AZ16&gt;=INDEX('How This Works &amp; Sources'!$B$144:$J$150,0,1))*INDEX('How This Works &amp; Sources'!$B$144:$J$150,0,1+2)),IF($AU16="Married",SUMPRODUCT(($AZ16&gt;=INDEX('How This Works &amp; Sources'!$B$137:$J$139,0,7))*INDEX('How This Works &amp; Sources'!$B$137:$J$139,0,7+2)),SUMPRODUCT(($AZ16&gt;=INDEX('How This Works &amp; Sources'!$B$137:$J$139,0,4))*INDEX('How This Works &amp; Sources'!$B$137:$J$139,0,4+2)))),IF($AN16="NJ",IF('Second Earner'!$C$77="B",SUMPRODUCT(($AZ16&gt;=INDEX('How This Works &amp; Sources'!$B$155:$J$162,0,4))*INDEX('How This Works &amp; Sources'!$B$155:$J$162,0,4+2)),IF('Second Earner'!$C$77="C",SUMPRODUCT(($AZ16&gt;=INDEX('How This Works &amp; Sources'!$B$155:$J$162,0,7))*INDEX('How This Works &amp; Sources'!$B$155:$J$162,0,7+2)),IF('Second Earner'!$C$77="D",SUMPRODUCT(($AZ16&gt;=INDEX('How This Works &amp; Sources'!$B$167:$J$179,0,1))*INDEX('How This Works &amp; Sources'!$B$167:$J$179,0,1+2)),IF('Second Earner'!$C$77="E",SUMPRODUCT(($AZ16&gt;=INDEX('How This Works &amp; Sources'!$B$167:$J$179,0,4))*INDEX('How This Works &amp; Sources'!$B$167:$J$179,0,4+2)),SUMPRODUCT(($AZ16&gt;=INDEX('How This Works &amp; Sources'!$B$155:$J$162,0,1))*INDEX('How This Works &amp; Sources'!$B$155:$J$162,0,1+2)))))),IF($AN16="NY",IF($AU16="Married",IF($AZ16&gt;=2155350,IF($AZ16&gt;25000000,0.117,IF($AZ16&gt;5000000,0.111,0.1045)),SUMPRODUCT(($AZ16&gt;=INDEX('How This Works &amp; Sources'!$B$184:$J$198,0,1))*INDEX('How This Works &amp; Sources'!$B$184:$J$198,0,1+2))),IF($AZ16&gt;=1077550,IF($AZ16&gt;25000000,0.117,IF($AZ16&gt;5000000,0.111,0.1045)),SUMPRODUCT(($AZ16&gt;=INDEX('How This Works &amp; Sources'!$B$167:$J$179,0,7))*INDEX('How This Works &amp; Sources'!$B$167:$J$179,0,7+2)))),IF($AN16="LA",0.0309,"")))))))</f>
      </c>
      <c r="CB16" s="24">
        <f>IF($B16="","",IF($AN16="HI",IF($AU16="Married",SUMPRODUCT(($AZ16&gt;=INDEX('How This Works &amp; Sources'!$B$91:$J$98,0,7))*INDEX('How This Works &amp; Sources'!$B$91:$J$98,0,7+2)),SUMPRODUCT(($AZ16&gt;=INDEX('How This Works &amp; Sources'!$B$91:$J$98,0,4))*INDEX('How This Works &amp; Sources'!$B$91:$J$98,0,4+2))),IF($AN16="MD",IF(OR($AU16="Married",$AU16="Head of household"),SUMPRODUCT(($AZ16&gt;=INDEX('How This Works &amp; Sources'!$B$114:$J$120,0,1))*INDEX('How This Works &amp; Sources'!$B$114:$J$120,0,1+2)),SUMPRODUCT(($AZ16&gt;=INDEX('How This Works &amp; Sources'!$B$103:$J$109,0,7))*INDEX('How This Works &amp; Sources'!$B$103:$J$109,0,7+2)))+'Second Earner'!$C$74,IF($AN16="MN",IF($AU16="Married",SUMPRODUCT(($AZ16&gt;=INDEX('How This Works &amp; Sources'!$B$114:$J$120,0,7))*INDEX('How This Works &amp; Sources'!$B$114:$J$120,0,7+2)),SUMPRODUCT(($AZ16&gt;=INDEX('How This Works &amp; Sources'!$B$114:$J$120,0,4))*INDEX('How This Works &amp; Sources'!$B$114:$J$120,0,4+2))),IF($AN16="MO",SUMPRODUCT(($AZ16&gt;=INDEX('How This Works &amp; Sources'!$B$125:$J$132,0,1))*INDEX('How This Works &amp; Sources'!$B$125:$J$132,0,1+2)),IF($AN16="NE",MAX(IF($AU16="Married",SUMPRODUCT(($AZ16&gt;=INDEX('How This Works &amp; Sources'!$B$144:$J$150,0,7))*INDEX('How This Works &amp; Sources'!$B$144:$J$150,0,7+2)),SUMPRODUCT(($AZ16&gt;=INDEX('How This Works &amp; Sources'!$B$144:$J$150,0,4))*INDEX('How This Works &amp; Sources'!$B$144:$J$150,0,4+2))),0.015),IF($AN16="OH",IF($B16&gt;=DATE(2026,8,1),SUMPRODUCT(($AZ16&gt;=INDEX('How This Works &amp; Sources'!$B$203:$J$206,0,1))*INDEX('How This Works &amp; Sources'!$B$203:$J$206,0,1+2)),SUMPRODUCT(($AZ16&gt;=INDEX('How This Works &amp; Sources'!$B$184:$J$198,0,7))*INDEX('How This Works &amp; Sources'!$B$184:$J$198,0,7+2))),IF($AN16="OK",IF($AU16="Married",SUMPRODUCT(($AZ16&gt;=INDEX('How This Works &amp; Sources'!$B$203:$J$206,0,7))*INDEX('How This Works &amp; Sources'!$B$203:$J$206,0,7+2)),SUMPRODUCT(($AZ16&gt;=INDEX('How This Works &amp; Sources'!$B$203:$J$206,0,4))*INDEX('How This Works &amp; Sources'!$B$203:$J$206,0,4+2))),IF($AN16="RI",SUMPRODUCT(($AZ16&gt;=INDEX('How This Works &amp; Sources'!$B$211:$J$214,0,7))*INDEX('How This Works &amp; Sources'!$B$211:$J$214,0,7+2)),IF($AN16="VT",IF($AU16="Married",SUMPRODUCT(($AZ16&gt;=INDEX('How This Works &amp; Sources'!$B$228:$J$232,0,1))*INDEX('How This Works &amp; Sources'!$B$228:$J$232,0,1+2)),SUMPRODUCT(($AZ16&gt;=INDEX('How This Works &amp; Sources'!$B$219:$J$223,0,7))*INDEX('How This Works &amp; Sources'!$B$219:$J$223,0,7+2))),IF($AN16="WV",IF($AU16="Married",SUMPRODUCT(($AZ16&gt;=INDEX('How This Works &amp; Sources'!$B$237:$J$241,0,7))*INDEX('How This Works &amp; Sources'!$B$237:$J$241,0,7+2)),SUMPRODUCT(($AZ16&gt;=INDEX('How This Works &amp; Sources'!$B$228:$J$232,0,7))*INDEX('How This Works &amp; Sources'!$B$228:$J$232,0,7+2))),IF($AN16="AZ",'Second Earner'!$C$82,IF($AN16="ID",IF($AY16&gt;IF($AU16="Married",32000,16094),0.053,0),"")))))))))))))</f>
      </c>
      <c r="CC16" s="24">
        <f>IF($B16="","",IF($AN16="AR",SUMPRODUCT(($AZ16&gt;=INDEX('How This Works &amp; Sources'!$B$82:$J$86,0,7))*INDEX('How This Works &amp; Sources'!$B$82:$J$86,0,7+2)),IF($AN16="DE",SUMPRODUCT(($AZ16&gt;=INDEX('How This Works &amp; Sources'!$B$91:$J$98,0,1))*INDEX('How This Works &amp; Sources'!$B$91:$J$98,0,1+2)),IF($AN16="SC",SUMPRODUCT(($AZ16&gt;=INDEX('How This Works &amp; Sources'!$B$219:$J$223,0,1))*INDEX('How This Works &amp; Sources'!$B$219:$J$223,0,1+2)),IF($AN16="VA",SUMPRODUCT(($AZ16&gt;=INDEX('How This Works &amp; Sources'!$B$219:$J$223,0,4))*INDEX('How This Works &amp; Sources'!$B$219:$J$223,0,4+2)),IF($AN16="WI",SUMPRODUCT(($AZ16&gt;=INDEX('How This Works &amp; Sources'!$B$228:$J$232,0,4))*INDEX('How This Works &amp; Sources'!$B$228:$J$232,0,4+2)),IF($AN16="CO",IF($AY16&gt;IF($AU16="Married",10000,5000),0.044,0),IF($AN16="IA",IF($AY16&gt;IF($AU16="Head of household",19500,IF($AU16="Married",26000,13000)),0.038,0),IF($AN16="IL",IF($AY16&gt;(2925*$AS16+1000*$AT16),0.0495,0),IF($AN16="IN",(0.0295+'Second Earner'!$C$76),IF($AN16="KY",IF($AI16&gt;3360,0.035,0),IF($AN16="MA",IF(MAX(0,$AY16-MIN(($BD15+$Q16+$R16+$S16),2000)-IF($AS16=0,0,IF($AS16=1,4400,1000*$AS16+3400)))&gt;=1107750,0.09,0.05),IF($AN16="MI",IF($AY16&gt;5900*$AS16,0.0425,0),IF($AN16="MS",IF($AI16-IF($AU16="Head of household",3400,IF($AU16="Married",4600,2300))-'Second Earner'!$C$85&gt;10000,0.04,0),IF($AN16="PA",0.0307,"")))))))))))))))</f>
      </c>
      <c r="CD16" s="21">
        <f>IF(YEAR(IF('Second Earner'!$C$7="Weekly",'Second Earner'!$C$9+7*(($BE15+1)-1),IF('Second Earner'!$C$7="Biweekly",'Second Earner'!$C$9+14*(($BE15+1)-1),IF('Second Earner'!$C$7="Semimonthly",DATE(YEAR('Second Earner'!$C$9),MONTH('Second Earner'!$C$9)+INT((($BE15+1)-1)/2),MIN(DAY('Second Earner'!$C$9),DAY(EOMONTH(DATE(YEAR('Second Earner'!$C$9),MONTH('Second Earner'!$C$9)+INT((($BE15+1)-1)/2),1),0))))+IF(MOD(($BE15+1)-1,2)=1,15,0),EDATE('Second Earner'!$C$9,($BE15+1)-1)))))&lt;&gt;'Second Earner'!$C$10,"",IF('Second Earner'!$C$7="Weekly",'Second Earner'!$C$9+7*(($BE15+1)-1),IF('Second Earner'!$C$7="Biweekly",'Second Earner'!$C$9+14*(($BE15+1)-1),IF('Second Earner'!$C$7="Semimonthly",DATE(YEAR('Second Earner'!$C$9),MONTH('Second Earner'!$C$9)+INT((($BE15+1)-1)/2),MIN(DAY('Second Earner'!$C$9),DAY(EOMONTH(DATE(YEAR('Second Earner'!$C$9),MONTH('Second Earner'!$C$9)+INT((($BE15+1)-1)/2),1),0))))+IF(MOD(($BE15+1)-1,2)=1,15,0),EDATE('Second Earner'!$C$9,($BE15+1)-1)))))</f>
      </c>
      <c r="CE16" s="21">
        <f>IF(MIN(IF(AND('Second Earner'!$C$58&gt;MAX($B$6:$B15),'Second Earner'!$C$58&gt;=DATE('Second Earner'!$C$10,1,1),'Second Earner'!$C$58&lt;=DATE('Second Earner'!$C$10,12,31)),'Second Earner'!$C$58,999999),IF(AND('Second Earner'!$C$59&gt;MAX($B$6:$B15),'Second Earner'!$C$59&gt;=DATE('Second Earner'!$C$10,1,1),'Second Earner'!$C$59&lt;=DATE('Second Earner'!$C$10,12,31)),'Second Earner'!$C$59,999999),IF(AND('Second Earner'!$C$60&gt;MAX($B$6:$B15),'Second Earner'!$C$60&gt;=DATE('Second Earner'!$C$10,1,1),'Second Earner'!$C$60&lt;=DATE('Second Earner'!$C$10,12,31)),'Second Earner'!$C$60,999999),IF(AND('Second Earner'!$C$61&gt;MAX($B$6:$B15),'Second Earner'!$C$61&gt;=DATE('Second Earner'!$C$10,1,1),'Second Earner'!$C$61&lt;=DATE('Second Earner'!$C$10,12,31)),'Second Earner'!$C$61,999999),IF(AND('Second Earner'!$C$62&gt;MAX($B$6:$B15),'Second Earner'!$C$62&gt;=DATE('Second Earner'!$C$10,1,1),'Second Earner'!$C$62&lt;=DATE('Second Earner'!$C$10,12,31)),'Second Earner'!$C$62,999999),IF(AND('Second Earner'!$C$63&gt;MAX($B$6:$B15),'Second Earner'!$C$63&gt;=DATE('Second Earner'!$C$10,1,1),'Second Earner'!$C$63&lt;=DATE('Second Earner'!$C$10,12,31)),'Second Earner'!$C$63,999999),IF(AND('Second Earner'!$C$64&gt;MAX($B$6:$B15),'Second Earner'!$C$64&gt;=DATE('Second Earner'!$C$10,1,1),'Second Earner'!$C$64&lt;=DATE('Second Earner'!$C$10,12,31)),'Second Earner'!$C$64,999999),IF(AND('Second Earner'!$C$65&gt;MAX($B$6:$B15),'Second Earner'!$C$65&gt;=DATE('Second Earner'!$C$10,1,1),'Second Earner'!$C$65&lt;=DATE('Second Earner'!$C$10,12,31)),'Second Earner'!$C$65,999999),IF(AND('Second Earner'!$C$66&gt;MAX($B$6:$B15),'Second Earner'!$C$66&gt;=DATE('Second Earner'!$C$10,1,1),'Second Earner'!$C$66&lt;=DATE('Second Earner'!$C$10,12,31)),'Second Earner'!$C$66,999999),IF(AND('Second Earner'!$C$67&gt;MAX($B$6:$B15),'Second Earner'!$C$67&gt;=DATE('Second Earner'!$C$10,1,1),'Second Earner'!$C$67&lt;=DATE('Second Earner'!$C$10,12,31)),'Second Earner'!$C$67,999999))=999999,"",MIN(IF(AND('Second Earner'!$C$58&gt;MAX($B$6:$B15),'Second Earner'!$C$58&gt;=DATE('Second Earner'!$C$10,1,1),'Second Earner'!$C$58&lt;=DATE('Second Earner'!$C$10,12,31)),'Second Earner'!$C$58,999999),IF(AND('Second Earner'!$C$59&gt;MAX($B$6:$B15),'Second Earner'!$C$59&gt;=DATE('Second Earner'!$C$10,1,1),'Second Earner'!$C$59&lt;=DATE('Second Earner'!$C$10,12,31)),'Second Earner'!$C$59,999999),IF(AND('Second Earner'!$C$60&gt;MAX($B$6:$B15),'Second Earner'!$C$60&gt;=DATE('Second Earner'!$C$10,1,1),'Second Earner'!$C$60&lt;=DATE('Second Earner'!$C$10,12,31)),'Second Earner'!$C$60,999999),IF(AND('Second Earner'!$C$61&gt;MAX($B$6:$B15),'Second Earner'!$C$61&gt;=DATE('Second Earner'!$C$10,1,1),'Second Earner'!$C$61&lt;=DATE('Second Earner'!$C$10,12,31)),'Second Earner'!$C$61,999999),IF(AND('Second Earner'!$C$62&gt;MAX($B$6:$B15),'Second Earner'!$C$62&gt;=DATE('Second Earner'!$C$10,1,1),'Second Earner'!$C$62&lt;=DATE('Second Earner'!$C$10,12,31)),'Second Earner'!$C$62,999999),IF(AND('Second Earner'!$C$63&gt;MAX($B$6:$B15),'Second Earner'!$C$63&gt;=DATE('Second Earner'!$C$10,1,1),'Second Earner'!$C$63&lt;=DATE('Second Earner'!$C$10,12,31)),'Second Earner'!$C$63,999999),IF(AND('Second Earner'!$C$64&gt;MAX($B$6:$B15),'Second Earner'!$C$64&gt;=DATE('Second Earner'!$C$10,1,1),'Second Earner'!$C$64&lt;=DATE('Second Earner'!$C$10,12,31)),'Second Earner'!$C$64,999999),IF(AND('Second Earner'!$C$65&gt;MAX($B$6:$B15),'Second Earner'!$C$65&gt;=DATE('Second Earner'!$C$10,1,1),'Second Earner'!$C$65&lt;=DATE('Second Earner'!$C$10,12,31)),'Second Earner'!$C$65,999999),IF(AND('Second Earner'!$C$66&gt;MAX($B$6:$B15),'Second Earner'!$C$66&gt;=DATE('Second Earner'!$C$10,1,1),'Second Earner'!$C$66&lt;=DATE('Second Earner'!$C$10,12,31)),'Second Earner'!$C$66,999999),IF(AND('Second Earner'!$C$67&gt;MAX($B$6:$B15),'Second Earner'!$C$67&gt;=DATE('Second Earner'!$C$10,1,1),'Second Earner'!$C$67&lt;=DATE('Second Earner'!$C$10,12,31)),'Second Earner'!$C$67,999999)))</f>
      </c>
      <c r="CF16">
        <f>IF($B16="","",IF($D16=0,$Y16,""))</f>
      </c>
    </row>
    <row r="17">
      <c r="A17" t="n">
        <v>12</v>
      </c>
      <c r="B17" s="21">
        <f>IF(AND($CD17="",$CE17=""),"",IF($CE17="",$CD17,IF($CD17="",$CE17,MIN($CD17,$CE17))))</f>
      </c>
      <c r="C17" s="7">
        <f>IF($B17="","",IF($BF17=0,0,IF('Second Earner'!$C$4="Annual salary",ROUND($AK17/IF(AND('Second Earner'!$C$88="Actual paydays",MONTH('Second Earner'!$C$9)=1),MAX(1,MAX($BE$6:$BE$68)),'Second Earner'!$C$8),2),$AK17)))</f>
      </c>
      <c r="D17" s="7">
        <f>IF($B17="","",SUMIF('Second Earner'!$C$58:$C$67,$B17,'Second Earner'!$D$58:$D$67))</f>
      </c>
      <c r="E17" s="7">
        <f>IF($B17="","",ROUND(MAX(0,MIN(IF($AL17="Percent",$AM17*($C17+$D17),$AM17),MAX(0,'Second Earner'!$C$34-$AC16))),2))</f>
      </c>
      <c r="F17" s="7">
        <f>IF($B17="","",ROUND(MAX(0,MIN(IF('Second Earner'!$C$32="Percent",'Second Earner'!$D$32*($C17+$D17),'Second Earner'!$D$32),MAX(0,'Second Earner'!$C$34-$AC16-$E17))),2))</f>
      </c>
      <c r="G17" s="7">
        <f>IF($B17="","",IF($BF17=0,0,ROUND(MAX(0,MIN($BL17,'Second Earner'!$C$37-'Second Earner'!$C$54-$BI16)),2)))</f>
      </c>
      <c r="H17" s="7">
        <f>IF($B17="","",IF(OR($BF17=0,$BQ17=1),0,ROUND(MAX(0,MIN(IF($BS17=1,ROUND(MAX(0,MIN($BJ17,'How This Works &amp; Sources'!$C$13)-$BG16)/MAX(1,MAX($BE$6:$BE$68)-($BE16)),2),ROUND(MIN($BJ17,'How This Works &amp; Sources'!$C$13)/'Second Earner'!$C$8,2)),MIN($BJ17,'How This Works &amp; Sources'!$C$13)-$BG16)),2)))</f>
      </c>
      <c r="I17" s="7">
        <f>IF($B17="","",IF(OR($BF17=0,$BR17=1),0,ROUND(MAX(0,MIN(IF($BT17=1,ROUND(MAX(0,MIN($BK17,IF('Second Earner'!$C$12="MFJ",'How This Works &amp; Sources'!$C$14,'How This Works &amp; Sources'!$C$15))-$BH16)/MAX(1,MAX($BE$6:$BE$68)-($BE16)),2),ROUND(MIN($BK17,IF('Second Earner'!$C$12="MFJ",'How This Works &amp; Sources'!$C$14,'How This Works &amp; Sources'!$C$15))/'Second Earner'!$C$8,2)),MIN($BK17,IF('Second Earner'!$C$12="MFJ",'How This Works &amp; Sources'!$C$14,'How This Works &amp; Sources'!$C$15))-$BH16)),2)))</f>
      </c>
      <c r="J17" s="7">
        <f>IF($B17="","",IF($BF17=0,0,$BM17))</f>
      </c>
      <c r="K17" s="7">
        <f>IF($B17="","",IF($BF17=0,0,$BN17+$BO17))</f>
      </c>
      <c r="L17" s="7">
        <f>IF($B17="","",IF($BF17=0,0,'Second Earner'!$D$46))</f>
      </c>
      <c r="M17" s="7">
        <f>IF($B17="","",$C17+$D17+$L17-$E17-$G17-$H17-$I17-$J17-$K17)</f>
      </c>
      <c r="N17" s="7">
        <f>IF($B17="","",$C17+$D17+$L17-$G17-$H17-$I17-$J17-$K17)</f>
      </c>
      <c r="O17" s="7">
        <f>IF($B17="","",$C17+$D17+$L17-$E17-$H17-$I17-$J17-$K17-IF(OR($AN17="CA",$AN17="NJ"),0,$G17))</f>
      </c>
      <c r="P17" s="7">
        <f>IF($B17="","",IF('Second Earner'!$C$18,0,ROUND(MAX(0,IF('Second Earner'!$C$13,SUMPRODUCT(($AH17&gt;INDEX('How This Works &amp; Sources'!$B$29:$J$36,0,IF('Second Earner'!$C$12="MFJ",1,IF('Second Earner'!$C$12="HoH",7,4))))*($AH17-INDEX('How This Works &amp; Sources'!$B$29:$J$36,0,IF('Second Earner'!$C$12="MFJ",1,IF('Second Earner'!$C$12="HoH",7,4))))*INDEX('How This Works &amp; Sources'!$B$29:$J$36,0,IF('Second Earner'!$C$12="MFJ",1,IF('Second Earner'!$C$12="HoH",7,4))+2)),SUMPRODUCT(($AH17&gt;INDEX('How This Works &amp; Sources'!$B$19:$J$26,0,IF('Second Earner'!$C$12="MFJ",1,IF('Second Earner'!$C$12="HoH",7,4))))*($AH17-INDEX('How This Works &amp; Sources'!$B$19:$J$26,0,IF('Second Earner'!$C$12="MFJ",1,IF('Second Earner'!$C$12="HoH",7,4))))*INDEX('How This Works &amp; Sources'!$B$19:$J$26,0,IF('Second Earner'!$C$12="MFJ",1,IF('Second Earner'!$C$12="HoH",7,4))+2)))/'Second Earner'!$C$8-$AO17/'Second Earner'!$C$8)+$AR17+IF('Second Earner'!$C$89="Aggregate",MAX(0,IF('Second Earner'!$C$13,SUMPRODUCT((($AH17+$D17)&gt;INDEX('How This Works &amp; Sources'!$B$29:$J$36,0,IF('Second Earner'!$C$12="MFJ",1,IF('Second Earner'!$C$12="HoH",7,4))))*(($AH17+$D17)-INDEX('How This Works &amp; Sources'!$B$29:$J$36,0,IF('Second Earner'!$C$12="MFJ",1,IF('Second Earner'!$C$12="HoH",7,4))))*INDEX('How This Works &amp; Sources'!$B$29:$J$36,0,IF('Second Earner'!$C$12="MFJ",1,IF('Second Earner'!$C$12="HoH",7,4))+2)),SUMPRODUCT((($AH17+$D17)&gt;INDEX('How This Works &amp; Sources'!$B$19:$J$26,0,IF('Second Earner'!$C$12="MFJ",1,IF('Second Earner'!$C$12="HoH",7,4))))*(($AH17+$D17)-INDEX('How This Works &amp; Sources'!$B$19:$J$26,0,IF('Second Earner'!$C$12="MFJ",1,IF('Second Earner'!$C$12="HoH",7,4))))*INDEX('How This Works &amp; Sources'!$B$19:$J$26,0,IF('Second Earner'!$C$12="MFJ",1,IF('Second Earner'!$C$12="HoH",7,4))+2)))-IF('Second Earner'!$C$13,SUMPRODUCT(($AH17&gt;INDEX('How This Works &amp; Sources'!$B$29:$J$36,0,IF('Second Earner'!$C$12="MFJ",1,IF('Second Earner'!$C$12="HoH",7,4))))*($AH17-INDEX('How This Works &amp; Sources'!$B$29:$J$36,0,IF('Second Earner'!$C$12="MFJ",1,IF('Second Earner'!$C$12="HoH",7,4))))*INDEX('How This Works &amp; Sources'!$B$29:$J$36,0,IF('Second Earner'!$C$12="MFJ",1,IF('Second Earner'!$C$12="HoH",7,4))+2)),SUMPRODUCT(($AH17&gt;INDEX('How This Works &amp; Sources'!$B$19:$J$26,0,IF('Second Earner'!$C$12="MFJ",1,IF('Second Earner'!$C$12="HoH",7,4))))*($AH17-INDEX('How This Works &amp; Sources'!$B$19:$J$26,0,IF('Second Earner'!$C$12="MFJ",1,IF('Second Earner'!$C$12="HoH",7,4))))*INDEX('How This Works &amp; Sources'!$B$19:$J$26,0,IF('Second Earner'!$C$12="MFJ",1,IF('Second Earner'!$C$12="HoH",7,4))+2)))),'How This Works &amp; Sources'!$C$10*$D17),2)))</f>
      </c>
      <c r="Q17" s="7">
        <f>IF($B17="","",ROUND('How This Works &amp; Sources'!$C$4*MIN($N17,MAX(0,'How This Works &amp; Sources'!$C$3-($AX17+$AB16-$AW17))),2))</f>
      </c>
      <c r="R17" s="7">
        <f>IF($B17="","",ROUND('How This Works &amp; Sources'!$C$5*$N17,2))</f>
      </c>
      <c r="S17" s="7">
        <f>IF($B17="","",ROUND('How This Works &amp; Sources'!$C$6*MAX(0,MIN($N17,$AG16+$N17-'How This Works &amp; Sources'!$C$7)),2))</f>
      </c>
      <c r="T17" s="7">
        <f>IF($B17="","",IF('Second Earner'!$C$26,0,IF($AN17="CA",ROUND(IF($AI17&lt;=IF(($AS17+$AT17)&gt;=2,VLOOKUP($AN17,StateTables!$A$6:$AB$56,10,FALSE),VLOOKUP($AN17,StateTables!$A$6:$AB$56,9,FALSE)),0,MAX(0,SUMPRODUCT(($AJ17&gt;INDEX('How This Works &amp; Sources'!$B$39:$J$48,0,IF($AU17="Married",4,IF($AU17="Head of household",7,1))))*($AJ17-INDEX('How This Works &amp; Sources'!$B$39:$J$48,0,IF($AU17="Married",4,IF($AU17="Head of household",7,1))))*INDEX('How This Works &amp; Sources'!$B$39:$J$48,0,IF($AU17="Married",4,IF($AU17="Head of household",7,1))+2))-VLOOKUP($AN17,StateTables!$A$6:$AB$56,11,FALSE)*$AS17)/'Second Earner'!$C$8)+'Second Earner'!$C$25+VLOOKUP($AN17,StateTables!$A$6:$AB$56,13,FALSE)*$D17,2),IF(VLOOKUP($AN17,StateTables!$A$6:$AB$56,4,FALSE)="None",0,IF(ISNUMBER(SEARCH("MANUAL",VLOOKUP($AN17,StateTables!$A$6:$AB$56,5,FALSE))),'Second Earner'!$C$28,ROUND(MAX(0,$BA17+$BB17)/'Second Earner'!$C$8+'Second Earner'!$C$25+$BC17,2))))))</f>
      </c>
      <c r="U17" s="7">
        <f>IF($B17="","",IF(VLOOKUP($AN17,StateTables!$A$6:$AB$56,24,FALSE)="flatq",IF(OR(MONTH($B17)=1,MONTH($B17)=4,MONTH($B17)=7,MONTH($B17)=10),VLOOKUP($AN17,StateTables!$A$6:$AB$56,25,FALSE),0),IF(VLOOKUP($AN17,StateTables!$A$6:$AB$56,24,FALSE)="dbl",MIN(ROUND(0.005*$N17,2),ROUND(0.6*52/'Second Earner'!$C$8,2)),IF(OR(VLOOKUP($AN17,StateTables!$A$6:$AB$56,15,FALSE)="",VLOOKUP($AN17,StateTables!$A$6:$AB$56,15,FALSE)=0),0,ROUND(VLOOKUP($AN17,StateTables!$A$6:$AB$56,15,FALSE)*IF(OR(VLOOKUP($AN17,StateTables!$A$6:$AB$56,16,FALSE)="",VLOOKUP($AN17,StateTables!$A$6:$AB$56,16,FALSE)=0),$N17,MIN($N17,MAX(0,VLOOKUP($AN17,StateTables!$A$6:$AB$56,16,FALSE)-($AX17+$AB16-$AW17)))),2))))+IF(VLOOKUP($AN17,StateTables!$A$6:$AB$56,27,FALSE)="flatq",IF(OR(MONTH($B17)=1,MONTH($B17)=4,MONTH($B17)=7,MONTH($B17)=10),VLOOKUP($AN17,StateTables!$A$6:$AB$56,28,FALSE),0),IF(VLOOKUP($AN17,StateTables!$A$6:$AB$56,27,FALSE)="dbl",MIN(ROUND(0.005*$N17,2),ROUND(0.6*52/'Second Earner'!$C$8,2)),IF(OR(VLOOKUP($AN17,StateTables!$A$6:$AB$56,18,FALSE)="",VLOOKUP($AN17,StateTables!$A$6:$AB$56,18,FALSE)=0),0,ROUND(VLOOKUP($AN17,StateTables!$A$6:$AB$56,18,FALSE)*IF(OR(VLOOKUP($AN17,StateTables!$A$6:$AB$56,19,FALSE)="",VLOOKUP($AN17,StateTables!$A$6:$AB$56,19,FALSE)=0),$N17,MIN($N17,MAX(0,VLOOKUP($AN17,StateTables!$A$6:$AB$56,19,FALSE)-($AX17+$AB16-$AW17)))),2)))))</f>
      </c>
      <c r="V17" s="7">
        <f>IF($B17="","",IF($AN17="NY",IF('Second Earner'!$C$78,ROUND(SUMPRODUCT((MAX(0,($O17-$D17)*'Second Earner'!$C$8-(IF($AU17="Married",5500,5000)+1000*$AS17))&gt;INDEX('How This Works &amp; Sources'!$B$184:$J$198,0,4))*(MAX(0,($O17-$D17)*'Second Earner'!$C$8-(IF($AU17="Married",5500,5000)+1000*$AS17))-INDEX('How This Works &amp; Sources'!$B$184:$J$198,0,4))*INDEX('How This Works &amp; Sources'!$B$184:$J$198,0,4+2))/'Second Earner'!$C$8+0.0425*$D17,2),0)+IF('Second Earner'!$C$79="Resident",ROUND(0.1675*$T17,2),IF('Second Earner'!$C$79="Nonresident",ROUND(0.005*MAX(0,($O17-$D17)-(IF($AU17="Married",7950,7400)+1000*$AS17)/'Second Earner'!$C$8),2),0)),IF($AN17="PA",IF('Second Earner'!$C$80="None",'Second Earner'!$C$27+ROUND('Second Earner'!$C$81*($C17+$D17),2),ROUND(IF('Second Earner'!$C$80="Resident",IF($B17&lt;DATE(2026,7,1),0.0374,0.03735),IF($B17&lt;DATE(2026,7,1),0.0343,0.03425))*($C17+$D17),2)),IF($BF17=0,ROUND('Second Earner'!$C$81*($C17+$D17),2),'Second Earner'!$C$27+ROUND('Second Earner'!$C$81*($C17+$D17),2)))))</f>
      </c>
      <c r="W17" s="7">
        <f>IF($B17="","",IF($BF17=0,0,$BP17))</f>
      </c>
      <c r="X17" s="7">
        <f>IF($B17="","",SUM($E17:$K17)+$P17+$Q17+$R17+$S17+$T17+$U17+$V17+$W17)</f>
      </c>
      <c r="Y17" s="22">
        <f>IF($B17="","",$C17+$D17-$X17)</f>
      </c>
      <c r="Z17" s="7">
        <f>IF($B17="","",$Z16+$C17+$D17)</f>
      </c>
      <c r="AA17" s="7">
        <f>IF($B17="","",$AA16+$Y17)</f>
      </c>
      <c r="AB17" s="7">
        <f>IF($B17="","",$AB16+MIN($N17,MAX(0,'How This Works &amp; Sources'!$C$3-($AX17+$AB16-$AW17))))</f>
      </c>
      <c r="AC17" s="7">
        <f>IF($B17="","",$AC16+$E17+$F17)</f>
      </c>
      <c r="AD17" s="3">
        <f>IF($B17="","",IF(AND($AB16&lt;'How This Works &amp; Sources'!$C$3,$AB17&gt;='How This Works &amp; Sources'!$C$3),"★ Social Security maxed on this check — from the next check your net rises by about $"&amp;TEXT(ROUND('How This Works &amp; Sources'!$C$4*$N17,2),"#,##0.00")&amp;". ","")&amp;IF(AND($AC16&lt;'Second Earner'!$C$34,$AC17&gt;='Second Earner'!$C$34),"★ 401(k) reaches the $"&amp;TEXT('Second Earner'!$C$34,"#,##0")&amp;" cap on this check — deferrals stop and net pay rises. ","")&amp;IF(AND($AG16&lt;'How This Works &amp; Sources'!$C$7,$AG17&gt;='How This Works &amp; Sources'!$C$7),"★ Wages pass $200,000 — the 0.9% Additional Medicare Tax starts here. ","")&amp;IF(AND($BJ17&gt;0,$H17&gt;0,$BG16&lt;MIN($BJ17,'How This Works &amp; Sources'!$C$13),$BG16+$H17&gt;=MIN($BJ17,'How This Works &amp; Sources'!$C$13)),"★ Health FSA election is now fully deferred for the year. ",""))</f>
      </c>
      <c r="AE17" s="41" t="n"/>
      <c r="AF17" s="7">
        <f>IF(OR($B17="",$AE17=""),"",$AE17-$Y17)</f>
      </c>
      <c r="AG17" s="7">
        <f>IF($B17="","",$AG16+$N17)</f>
      </c>
      <c r="AH17" s="7">
        <f>IF($B17="","",MAX(0,($M17-$D17)*'Second Earner'!$C$8+$AP17-$AQ17-IF('Second Earner'!$C$13,0,IF('Second Earner'!$C$12="MFJ",'How This Works &amp; Sources'!$C$8,'How This Works &amp; Sources'!$C$9))))</f>
      </c>
      <c r="AI17" s="7">
        <f>IF($B17="","",$O17*'Second Earner'!$C$8)</f>
      </c>
      <c r="AJ17" s="7">
        <f>IF($B17="","",MAX(0,$AI17-VLOOKUP($AN17,StateTables!$A$6:$AB$56,12,FALSE)*$AT17-IF(($AS17+$AT17)&gt;=2,VLOOKUP($AN17,StateTables!$A$6:$AB$56,8,FALSE),VLOOKUP($AN17,StateTables!$A$6:$AB$56,7,FALSE))))</f>
      </c>
      <c r="AK17" s="7">
        <f>IF($B17="","",IFERROR(LOOKUP(2,1/(('Changes — Earner 2'!$C$6:$C$17="Salary change")*('Changes — Earner 2'!$B$6:$B$17&lt;=$B17)*('Changes — Earner 2'!$B$6:$B$17&lt;&gt;"")),'Changes — Earner 2'!$D$6:$D$17),IF('Second Earner'!$C$4="Annual salary",'Second Earner'!$C$5,'Second Earner'!$C$6)))</f>
      </c>
      <c r="AL17">
        <f>IF($B17="","",IFERROR(LOOKUP(2,1/(('Changes — Earner 2'!$C$6:$C$17="401(k) change")*('Changes — Earner 2'!$B$6:$B$17&lt;=$B17)*('Changes — Earner 2'!$B$6:$B$17&lt;&gt;"")),'Changes — Earner 2'!$D$6:$D$17),'Second Earner'!$C$30))</f>
      </c>
      <c r="AM17" s="7">
        <f>IF($B17="","",IFERROR(LOOKUP(2,1/(('Changes — Earner 2'!$C$6:$C$17="401(k) change")*('Changes — Earner 2'!$B$6:$B$17&lt;=$B17)*('Changes — Earner 2'!$B$6:$B$17&lt;&gt;"")),'Changes — Earner 2'!$E$6:$E$17),'Second Earner'!$D$31))</f>
      </c>
      <c r="AN17">
        <f>IF($B17="","",IFERROR(LOOKUP(2,1/(('Changes — Earner 2'!$C$6:$C$17="State move")*('Changes — Earner 2'!$B$6:$B$17&lt;=$B17)*('Changes — Earner 2'!$B$6:$B$17&lt;&gt;"")),'Changes — Earner 2'!$D$6:$D$17),'Second Earner'!$C$21))</f>
      </c>
      <c r="AO17" s="7">
        <f>IF($B17="","",IFERROR(LOOKUP(2,1/(('Changes — Earner 2'!$C$6:$C$17="W-4 change")*('Changes — Earner 2'!$B$6:$B$17&lt;=$B17)*('Changes — Earner 2'!$B$6:$B$17&lt;&gt;"")),'Changes — Earner 2'!$D$6:$D$17),'Second Earner'!$C$14))</f>
      </c>
      <c r="AP17" s="7">
        <f>IF($B17="","",IFERROR(LOOKUP(2,1/(('Changes — Earner 2'!$C$6:$C$17="W-4 change")*('Changes — Earner 2'!$B$6:$B$17&lt;=$B17)*('Changes — Earner 2'!$B$6:$B$17&lt;&gt;"")),'Changes — Earner 2'!$E$6:$E$17),'Second Earner'!$C$15))</f>
      </c>
      <c r="AQ17" s="7">
        <f>IF($B17="","",IFERROR(LOOKUP(2,1/(('Changes — Earner 2'!$C$6:$C$17="W-4 change")*('Changes — Earner 2'!$B$6:$B$17&lt;=$B17)*('Changes — Earner 2'!$B$6:$B$17&lt;&gt;"")),'Changes — Earner 2'!$F$6:$F$17),'Second Earner'!$C$16))</f>
      </c>
      <c r="AR17" s="7">
        <f>IF($B17="","",IFERROR(LOOKUP(2,1/(('Changes — Earner 2'!$C$6:$C$17="W-4 change")*('Changes — Earner 2'!$B$6:$B$17&lt;=$B17)*('Changes — Earner 2'!$B$6:$B$17&lt;&gt;"")),'Changes — Earner 2'!$G$6:$G$17),'Second Earner'!$C$17))</f>
      </c>
      <c r="AS17" s="6">
        <f>IF($B17="","",IFERROR(LOOKUP(2,1/((('Changes — Earner 2'!$C$6:$C$17="State move")+('Changes — Earner 2'!$C$6:$C$17="State cert change"))*('Changes — Earner 2'!$B$6:$B$17&lt;=$B17)*('Changes — Earner 2'!$B$6:$B$17&lt;&gt;"")),'Changes — Earner 2'!$F$6:$F$17),'Second Earner'!$C$23))</f>
      </c>
      <c r="AT17" s="6">
        <f>IF($B17="","",IFERROR(LOOKUP(2,1/((('Changes — Earner 2'!$C$6:$C$17="State move")+('Changes — Earner 2'!$C$6:$C$17="State cert change"))*('Changes — Earner 2'!$B$6:$B$17&lt;=$B17)*('Changes — Earner 2'!$B$6:$B$17&lt;&gt;"")),'Changes — Earner 2'!$G$6:$G$17),'Second Earner'!$C$24))</f>
      </c>
      <c r="AU17">
        <f>IF($B17="","",IFERROR(LOOKUP(2,1/(('Changes — Earner 2'!$C$6:$C$17="State move")*('Changes — Earner 2'!$B$6:$B$17&lt;=$B17)*('Changes — Earner 2'!$B$6:$B$17&lt;&gt;"")),'Changes — Earner 2'!$E$6:$E$17),'Second Earner'!$C$22))</f>
      </c>
      <c r="AV17" s="6">
        <f>IF($B17="","",1+COUNTIFS('Changes — Earner 2'!$C$6:$C$17,"Employer change",'Changes — Earner 2'!$B$6:$B$17,"&lt;="&amp;$B17,'Changes — Earner 2'!$B$6:$B$17,"&lt;&gt;"))</f>
      </c>
      <c r="AW17" s="7">
        <f>IF($B17="","",IF($AV17=1,'Second Earner'!$C$49,IF(IFERROR(MATCH(IFERROR(LOOKUP(2,1/(('Changes — Earner 2'!$C$6:$C$17="Employer change")*('Changes — Earner 2'!$B$6:$B$17&lt;=$B17)*('Changes — Earner 2'!$B$6:$B$17&lt;&gt;"")),'Changes — Earner 2'!$B$6:$B$17),""),$B$6:$B$68,1),1)&lt;=1,'Second Earner'!$C$49,INDEX($AB$6:$AB$68,MATCH(IFERROR(LOOKUP(2,1/(('Changes — Earner 2'!$C$6:$C$17="Employer change")*('Changes — Earner 2'!$B$6:$B$17&lt;=$B17)*('Changes — Earner 2'!$B$6:$B$17&lt;&gt;"")),'Changes — Earner 2'!$B$6:$B$17),""),$B$6:$B$68,1)-1))))</f>
      </c>
      <c r="AX17" s="7">
        <f>IF($B17="","",IF($AV17=1,'Second Earner'!$C$49,IFERROR(LOOKUP(2,1/(('Changes — Earner 2'!$C$6:$C$17="Employer change")*('Changes — Earner 2'!$B$6:$B$17&lt;=$B17)*('Changes — Earner 2'!$B$6:$B$17&lt;&gt;"")),'Changes — Earner 2'!$D$6:$D$17),0)))</f>
      </c>
      <c r="AY17" s="7">
        <f>IF($B17="","",($O17-$D17)*'Second Earner'!$C$8)</f>
      </c>
      <c r="AZ17" s="7">
        <f>IF($B17="","",IF($AN17="AL",MAX(0,$AY17-IF($AU17="Married",IF($AY17&lt;=25999,8500,MAX(5000,8500-175*CEILING(($AY17-25999)/500,1))),IF($AU17="Head of household",IF($AY17&lt;=25999,5200,MAX(2500,5200-135*CEILING(($AY17-25999)/500,1))),IF($AY17&lt;=25999,3000,MAX(2500,3000-25*CEILING(($AY17-25999)/500,1)))))-($P17-'How This Works &amp; Sources'!$C$10*$D17)*'Second Earner'!$C$8-IF(OR($AU17="Married",$AU17="Head of household"),3000,1500)-$AT17*IF($AY17&lt;=50000,1000,IF($AY17&lt;=100000,500,300))),IF($AN17="AR",IF(MAX(0,$AY17-2470)&lt;97701,INT(MAX(0,$AY17-2470)/100)*100+50,MAX(0,$AY17-2470)),IF($AN17="DE",MAX(0,$AI17-3250),IF($AN17="HI",MAX(0,$AI17-1144*$AS17-4350),IF($AN17="KS",MAX(0,$AI17-(9160*IF($AU17="Married",2,1)+2320*$AT17+IF($AU17="Head of household",2320,0))),IF($AN17="MD",MAX(0,$AI17-3400-3200*$AS17),IF($AN17="MN",MAX(0,$AY17-5300*$AS17),IF($AN17="MO",MAX(0,$AI17-IF($AU17="Head of household",24150,IF($AU17="Married",IF('Second Earner'!$C$83,16100,32200),16100))),IF($AN17="MT",$AY17,IF($AN17="ND",($C17+$L17)*'Second Earner'!$C$8,IF($AN17="NE",MAX(0,$AY17-2440*$AS17),IF($AN17="NJ",MAX(0,$AY17-1000*$AS17),IF($AN17="NY",MAX(0,$AY17-(IF($AU17="Married",7950,7400)+1000*$AS17)),IF($AN17="OH",MAX(0,$AY17-650*$AS17),IF($AN17="OK",MAX(0,$AY17-1000*$AS17),IF($AN17="RI",MAX(0,$AI17-1000*$AS17),IF($AN17="SC",MAX(0,$AI17-5000*$AS17-IF($AS17=0,0,MIN(0.1*$AI17,7500))),IF($AN17="VA",MAX(0,$AI17-IF($AU17="Married",17500,8750)-930*$AS17-800*$AT17),IF($AN17="VT",MAX(0,$AI17-5400*$AS17),IF($AN17="WI",MAX(0,$AI17-MAX(0,IF($AU17="Married",9461-0.2*MAX(0,$AI17-25727),6702-0.12*MAX(0,$AI17-17780)))-400*$AS17),IF($AN17="WV",MAX(0,$AI17-2000*$AS17),$AI17))))))))))))))))))))))</f>
      </c>
      <c r="BA17" s="7">
        <f>IF($B17="","",IF($BW17&lt;&gt;"",$BW17,IF($BX17&lt;&gt;"",$BX17,IF($BY17&lt;&gt;"",$BY17,0))))</f>
      </c>
      <c r="BB17" s="7">
        <f>IF($B17="","",IF($AN17="AR",-29*$AS17,IF($AN17="DE",-110*$AS17,IF($AN17="MD",$AZ17*'Second Earner'!$C$74,IF($AN17="AZ",'Second Earner'!$C$82*($M17-$D17)*'Second Earner'!$C$8,IF($AN17="CO",0.044*MAX(0,$AY17-IF($AU17="Married",10000,5000)),IF($AN17="IA",MAX(0,0.038*MAX(0,$AY17-IF($AU17="Head of household",19500,IF($AU17="Married",26000,13000)))-40*$AS17),IF($AN17="ID",0.053*MAX(0,$AY17-IF($AU17="Married",32000,16094)),IF($AN17="IL",0.0495*MAX(0,$AY17-(2925*$AS17+1000*$AT17)),IF($AN17="IN",(0.0295+'Second Earner'!$C$76)*MAX(0,$AY17-(1000*$AS17+1500*$AT17+3000*'Second Earner'!$C$86)),IF($AN17="KY",0.035*MAX(0,$AI17-3360),IF($AN17="LA",IF('Second Earner'!$C$84="0",0.0309*$AI17,0.0309*MAX(0,$AI17-IF('Second Earner'!$C$84="2",25750,12875))),IF($AN17="MA",0.05*MIN(MAX(0,$AY17-MIN(($BD16+$Q17+$R17+$S17),2000)-IF($AS17=0,0,IF($AS17=1,4400,1000*$AS17+3400))),1107750)+0.09*MAX(0,MAX(0,$AY17-MIN(($BD16+$Q17+$R17+$S17),2000)-IF($AS17=0,0,IF($AS17=1,4400,1000*$AS17+3400)))-1107750)-IF($AU17="Head of household",120,0)-110*'Second Earner'!$C$75,IF($AN17="MI",0.0425*MAX(0,$AY17-5900*$AS17),IF($AN17="MS",0.04*MAX(0,$AI17-IF($AU17="Head of household",3400,IF($AU17="Married",4600,2300))-'Second Earner'!$C$85-10000),IF($AN17="OR",IF(OR($AU17="Married",AND($AU17="Single",$AS17&gt;=3)),SUMPRODUCT((MAX(0,$AY17-MIN(($P17-'How This Works &amp; Sources'!$C$10*$D17)*'Second Earner'!$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Sources'!$B$211:$J$214,0,4))*(MAX(0,$AY17-MIN(($P17-'How This Works &amp; Sources'!$C$10*$D17)*'Second Earner'!$C$8,IF(OR($AU17="Married",AND($AU17="Single",$AS17&gt;=3)),IF($AY17&lt;250000,8750,IF($AY17&lt;260000,7000,IF($AY17&lt;270000,5250,IF($AY17&lt;280000,3500,IF($AY17&lt;290000,1750,0))))),IF($AY17&lt;125000,8750,IF($AY17&lt;130000,7000,IF($AY17&lt;135000,5250,IF($AY17&lt;140000,3500,IF($AY17&lt;145000,1750,0)))))))-IF(OR($AU17="Married",AND($AU17="Single",$AS17&gt;=3)),5820,2910))-INDEX('How This Works &amp; Sources'!$B$211:$J$214,0,4))*INDEX('How This Works &amp; Sources'!$B$211:$J$214,0,4+2)),SUMPRODUCT((MAX(0,$AY17-MIN(($P17-'How This Works &amp; Sources'!$C$10*$D17)*'Second Earner'!$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Sources'!$B$211:$J$214,0,1))*(MAX(0,$AY17-MIN(($P17-'How This Works &amp; Sources'!$C$10*$D17)*'Second Earner'!$C$8,IF(OR($AU17="Married",AND($AU17="Single",$AS17&gt;=3)),IF($AY17&lt;250000,8750,IF($AY17&lt;260000,7000,IF($AY17&lt;270000,5250,IF($AY17&lt;280000,3500,IF($AY17&lt;290000,1750,0))))),IF($AY17&lt;125000,8750,IF($AY17&lt;130000,7000,IF($AY17&lt;135000,5250,IF($AY17&lt;140000,3500,IF($AY17&lt;145000,1750,0)))))))-IF(OR($AU17="Married",AND($AU17="Single",$AS17&gt;=3)),5820,2910))-INDEX('How This Works &amp; Sources'!$B$211:$J$214,0,1))*INDEX('How This Works &amp; Sources'!$B$211:$J$214,0,1+2)))+263-263*IF(IF($AU17="Married",$AY17&gt;200000,$AY17&gt;100000),0,$AS17),IF($AN17="PA",0.0307*(($O17+$E17+$G17)*'Second Earner'!$C$8),IF($AN17="NY",IF($AU17="Married",IF($AZ17&gt;=2155350,0,IF($AZ17&gt;=1077550,0.48,IF($AZ17&gt;=373200,1.21,IF($AZ17&gt;=323200,0.21,IF($AZ17&gt;=211550,-0.19,IF($AZ17&gt;=157650,-2.8,IF($AZ17&gt;=107650,-0.8,IF($AZ17&gt;=96800,0.05,IF($AZ17&gt;=80650,-0.1,IF($AZ17&gt;=13900,0.4,IF($AZ17&gt;=11700,-0.3,IF($AZ17&gt;=8500,0.5,0)))))))))))),IF($AZ17&gt;=1077550,0,IF($AZ17&gt;=265400,4.29,IF($AZ17&gt;=215400,2.29,IF($AZ17&gt;=157650,2.29,IF($AZ17&gt;=107650,0.29,IF($AZ17&gt;=96800,0.05,IF($AZ17&gt;=80650,-0.1,IF($AZ17&gt;=13900,0.4,IF($AZ17&gt;=11700,-0.3,IF($AZ17&gt;=8500,0.5,0))))))))))),0))))))))))))))))))</f>
      </c>
      <c r="BC17" s="7">
        <f>IF($B17="","",IF($AN17="AL",0.05*$D17,IF($AN17="AR",0.039*$D17,IF($AN17="ID",0.053*$D17,IF($AN17="IN",(0.0295+'Second Earner'!$C$76)*$D17,IF($AN17="KS",0.05*$D17,IF($AN17="MA",0.09*MIN($D17,MAX(0,MAX(0,$AY17-MIN(($BD16+$Q17+$R17+$S17),2000)-IF($AS17=0,0,IF($AS17=1,4400,1000*$AS17+3400)))+$D17-1107750))+0.05*($D17-MIN($D17,MAX(0,MAX(0,$AY17-MIN(($BD16+$Q17+$R17+$S17),2000)-IF($AS17=0,0,IF($AS17=1,4400,1000*$AS17+3400)))+$D17-1107750))),IF($AN17="MD",(0.065+'Second Earner'!$C$74)*$D17,IF($AN17="MI",0.0425*$D17,IF($AN17="MN",0.0625*$D17,IF($AN17="MO",0.047*$D17,IF($AN17="MT",0.05*$D17,IF($AN17="ND",0.015*$D17,IF($AN17="NE",0.035*$D17,IF($AN17="NJ",IF('Second Earner'!$C$77="B",SUMPRODUCT(($D17*'Second Earner'!$C$8&gt;INDEX('How This Works &amp; Sources'!$B$155:$J$162,0,4))*($D17*'Second Earner'!$C$8-INDEX('How This Works &amp; Sources'!$B$155:$J$162,0,4))*INDEX('How This Works &amp; Sources'!$B$155:$J$162,0,4+2)),IF('Second Earner'!$C$77="C",SUMPRODUCT(($D17*'Second Earner'!$C$8&gt;INDEX('How This Works &amp; Sources'!$B$155:$J$162,0,7))*($D17*'Second Earner'!$C$8-INDEX('How This Works &amp; Sources'!$B$155:$J$162,0,7))*INDEX('How This Works &amp; Sources'!$B$155:$J$162,0,7+2)),IF('Second Earner'!$C$77="D",SUMPRODUCT(($D17*'Second Earner'!$C$8&gt;INDEX('How This Works &amp; Sources'!$B$167:$J$179,0,1))*($D17*'Second Earner'!$C$8-INDEX('How This Works &amp; Sources'!$B$167:$J$179,0,1))*INDEX('How This Works &amp; Sources'!$B$167:$J$179,0,1+2)),IF('Second Earner'!$C$77="E",SUMPRODUCT(($D17*'Second Earner'!$C$8&gt;INDEX('How This Works &amp; Sources'!$B$167:$J$179,0,4))*($D17*'Second Earner'!$C$8-INDEX('How This Works &amp; Sources'!$B$167:$J$179,0,4))*INDEX('How This Works &amp; Sources'!$B$167:$J$179,0,4+2)),SUMPRODUCT(($D17*'Second Earner'!$C$8&gt;INDEX('How This Works &amp; Sources'!$B$155:$J$162,0,1))*($D17*'Second Earner'!$C$8-INDEX('How This Works &amp; Sources'!$B$155:$J$162,0,1))*INDEX('How This Works &amp; Sources'!$B$155:$J$162,0,1+2))))))/'Second Earner'!$C$8,IF($AN17="NY",0.117*$D17,IF($AN17="OH",0.0275*$D17,IF($AN17="OK",0.045*$D17,IF($AN17="OR",0.08*$D17,IF($AN17="WI",IF($AY17&lt;12760,0.0354,IF($AY17&lt;25520,0.0465,IF($AY17&lt;280950,0.053,0.0765)))*$D17,0))))))))))))))))))))</f>
      </c>
      <c r="BD17" s="7">
        <f>IF($B17="","",$BD16+$Q17+$R17+$S17)</f>
      </c>
      <c r="BE17" s="6">
        <f>IF($B17="",$BE16,$BE16+$BF17)</f>
      </c>
      <c r="BF17" s="6">
        <f>IF($B17="","",IF(AND(IF(YEAR(IF('Second Earner'!$C$7="Weekly",'Second Earner'!$C$9+7*(($BE16+1)-1),IF('Second Earner'!$C$7="Biweekly",'Second Earner'!$C$9+14*(($BE16+1)-1),IF('Second Earner'!$C$7="Semimonthly",DATE(YEAR('Second Earner'!$C$9),MONTH('Second Earner'!$C$9)+INT((($BE16+1)-1)/2),MIN(DAY('Second Earner'!$C$9),DAY(EOMONTH(DATE(YEAR('Second Earner'!$C$9),MONTH('Second Earner'!$C$9)+INT((($BE16+1)-1)/2),1),0))))+IF(MOD(($BE16+1)-1,2)=1,15,0),EDATE('Second Earner'!$C$9,($BE16+1)-1)))))&lt;&gt;'Second Earner'!$C$10,"",IF('Second Earner'!$C$7="Weekly",'Second Earner'!$C$9+7*(($BE16+1)-1),IF('Second Earner'!$C$7="Biweekly",'Second Earner'!$C$9+14*(($BE16+1)-1),IF('Second Earner'!$C$7="Semimonthly",DATE(YEAR('Second Earner'!$C$9),MONTH('Second Earner'!$C$9)+INT((($BE16+1)-1)/2),MIN(DAY('Second Earner'!$C$9),DAY(EOMONTH(DATE(YEAR('Second Earner'!$C$9),MONTH('Second Earner'!$C$9)+INT((($BE16+1)-1)/2),1),0))))+IF(MOD(($BE16+1)-1,2)=1,15,0),EDATE('Second Earner'!$C$9,($BE16+1)-1)))))&lt;&gt;"",$B17=IF(YEAR(IF('Second Earner'!$C$7="Weekly",'Second Earner'!$C$9+7*(($BE16+1)-1),IF('Second Earner'!$C$7="Biweekly",'Second Earner'!$C$9+14*(($BE16+1)-1),IF('Second Earner'!$C$7="Semimonthly",DATE(YEAR('Second Earner'!$C$9),MONTH('Second Earner'!$C$9)+INT((($BE16+1)-1)/2),MIN(DAY('Second Earner'!$C$9),DAY(EOMONTH(DATE(YEAR('Second Earner'!$C$9),MONTH('Second Earner'!$C$9)+INT((($BE16+1)-1)/2),1),0))))+IF(MOD(($BE16+1)-1,2)=1,15,0),EDATE('Second Earner'!$C$9,($BE16+1)-1)))))&lt;&gt;'Second Earner'!$C$10,"",IF('Second Earner'!$C$7="Weekly",'Second Earner'!$C$9+7*(($BE16+1)-1),IF('Second Earner'!$C$7="Biweekly",'Second Earner'!$C$9+14*(($BE16+1)-1),IF('Second Earner'!$C$7="Semimonthly",DATE(YEAR('Second Earner'!$C$9),MONTH('Second Earner'!$C$9)+INT((($BE16+1)-1)/2),MIN(DAY('Second Earner'!$C$9),DAY(EOMONTH(DATE(YEAR('Second Earner'!$C$9),MONTH('Second Earner'!$C$9)+INT((($BE16+1)-1)/2),1),0))))+IF(MOD(($BE16+1)-1,2)=1,15,0),EDATE('Second Earner'!$C$9,($BE16+1)-1)))))),1,0))</f>
      </c>
      <c r="BG17" s="7">
        <f>IF($B17="","",$BG16+$H17)</f>
      </c>
      <c r="BH17" s="7">
        <f>IF($B17="","",$BH16+$I17)</f>
      </c>
      <c r="BI17" s="7">
        <f>IF($B17="","",$BI16+$G17)</f>
      </c>
      <c r="BJ17" s="7">
        <f>IF($B17="","",IFERROR(LOOKUP(2,1/(((('Changes — Earner 2'!$C$6:$C$17="Deduction start"))*('Changes — Earner 2'!$D$6:$D$17="Health FSA"))*('Changes — Earner 2'!$B$6:$B$17&lt;=$B17)*('Changes — Earner 2'!$B$6:$B$17&lt;&gt;"")),'Changes — Earner 2'!$E$6:$E$17),'Second Earner'!$D$38))</f>
      </c>
      <c r="BK17" s="7">
        <f>IF($B17="","",IFERROR(LOOKUP(2,1/(((('Changes — Earner 2'!$C$6:$C$17="Deduction start"))*('Changes — Earner 2'!$D$6:$D$17="Dependent-care FSA"))*('Changes — Earner 2'!$B$6:$B$17&lt;=$B17)*('Changes — Earner 2'!$B$6:$B$17&lt;&gt;"")),'Changes — Earner 2'!$E$6:$E$17),'Second Earner'!$D$39))</f>
      </c>
      <c r="BL17" s="7">
        <f>IF($B17="","",IFERROR(LOOKUP(2,1/(((('Changes — Earner 2'!$C$6:$C$17="Deduction start")+('Changes — Earner 2'!$C$6:$C$17="Deduction stop"))*('Changes — Earner 2'!$D$6:$D$17="HSA"))*('Changes — Earner 2'!$B$6:$B$17&lt;=$B17)*('Changes — Earner 2'!$B$6:$B$17&lt;&gt;"")),'Changes — Earner 2'!$I$6:$I$17),'Second Earner'!$D$35))</f>
      </c>
      <c r="BM17" s="7">
        <f>IF($B17="","",IFERROR(LOOKUP(2,1/(((('Changes — Earner 2'!$C$6:$C$17="Deduction start")+('Changes — Earner 2'!$C$6:$C$17="Deduction stop"))*('Changes — Earner 2'!$D$6:$D$17="Premiums"))*('Changes — Earner 2'!$B$6:$B$17&lt;=$B17)*('Changes — Earner 2'!$B$6:$B$17&lt;&gt;"")),'Changes — Earner 2'!$I$6:$I$17),'Second Earner'!$D$40+'Second Earner'!$D$41+'Second Earner'!$D$42))</f>
      </c>
      <c r="BN17" s="7">
        <f>IF($B17="","",IFERROR(LOOKUP(2,1/(((('Changes — Earner 2'!$C$6:$C$17="Deduction start")+('Changes — Earner 2'!$C$6:$C$17="Deduction stop"))*('Changes — Earner 2'!$D$6:$D$17="Commuter"))*('Changes — Earner 2'!$B$6:$B$17&lt;=$B17)*('Changes — Earner 2'!$B$6:$B$17&lt;&gt;"")),'Changes — Earner 2'!$I$6:$I$17),'Second Earner'!$D$43))</f>
      </c>
      <c r="BO17" s="7">
        <f>IF($B17="","",IFERROR(LOOKUP(2,1/(((('Changes — Earner 2'!$C$6:$C$17="Deduction start")+('Changes — Earner 2'!$C$6:$C$17="Deduction stop"))*('Changes — Earner 2'!$D$6:$D$17="Other pre-tax"))*('Changes — Earner 2'!$B$6:$B$17&lt;=$B17)*('Changes — Earner 2'!$B$6:$B$17&lt;&gt;"")),'Changes — Earner 2'!$I$6:$I$17),'Second Earner'!$D$44))</f>
      </c>
      <c r="BP17" s="7">
        <f>IF($B17="","",IFERROR(LOOKUP(2,1/(((('Changes — Earner 2'!$C$6:$C$17="Deduction start")+('Changes — Earner 2'!$C$6:$C$17="Deduction stop"))*('Changes — Earner 2'!$D$6:$D$17="Other post-tax"))*('Changes — Earner 2'!$B$6:$B$17&lt;=$B17)*('Changes — Earner 2'!$B$6:$B$17&lt;&gt;"")),'Changes — Earner 2'!$I$6:$I$17),'Second Earner'!$D$45))</f>
      </c>
      <c r="BQ17" s="6">
        <f>IF($B17="","",IFERROR(LOOKUP(2,1/(((('Changes — Earner 2'!$C$6:$C$17="Deduction start")+('Changes — Earner 2'!$C$6:$C$17="Deduction stop"))*('Changes — Earner 2'!$D$6:$D$17="Health FSA"))*('Changes — Earner 2'!$B$6:$B$17&lt;=$B17)*('Changes — Earner 2'!$B$6:$B$17&lt;&gt;"")),'Changes — Earner 2'!$J$6:$J$17),0))</f>
      </c>
      <c r="BR17" s="6">
        <f>IF($B17="","",IFERROR(LOOKUP(2,1/(((('Changes — Earner 2'!$C$6:$C$17="Deduction start")+('Changes — Earner 2'!$C$6:$C$17="Deduction stop"))*('Changes — Earner 2'!$D$6:$D$17="Dependent-care FSA"))*('Changes — Earner 2'!$B$6:$B$17&lt;=$B17)*('Changes — Earner 2'!$B$6:$B$17&lt;&gt;"")),'Changes — Earner 2'!$J$6:$J$17),0))</f>
      </c>
      <c r="BS17" s="6">
        <f>IF($B17="","",IF(SUMPRODUCT(('Changes — Earner 2'!$C$6:$C$17="Deduction start")*('Changes — Earner 2'!$B$6:$B$17&lt;=$B17)*('Changes — Earner 2'!$B$6:$B$17&lt;&gt;"")*('Changes — Earner 2'!$D$6:$D$17="Health FSA"))&gt;0,1,0))</f>
      </c>
      <c r="BT17" s="6">
        <f>IF($B17="","",IF(SUMPRODUCT(('Changes — Earner 2'!$C$6:$C$17="Deduction start")*('Changes — Earner 2'!$B$6:$B$17&lt;=$B17)*('Changes — Earner 2'!$B$6:$B$17&lt;&gt;"")*('Changes — Earner 2'!$D$6:$D$17="Dependent-care FSA"))&gt;0,1,0))</f>
      </c>
      <c r="BU17" s="24">
        <f>IF($B17="","",IF('Second Earner'!$C$13,SUMPRODUCT(($AH17&gt;=INDEX('How This Works &amp; Sources'!$B$29:$J$36,0,IF('Second Earner'!$C$12="MFJ",1,IF('Second Earner'!$C$12="HoH",7,4))))*INDEX('How This Works &amp; Sources'!$B$29:$J$36,0,IF('Second Earner'!$C$12="MFJ",1,IF('Second Earner'!$C$12="HoH",7,4))+2)),SUMPRODUCT(($AH17&gt;=INDEX('How This Works &amp; Sources'!$B$19:$J$26,0,IF('Second Earner'!$C$12="MFJ",1,IF('Second Earner'!$C$12="HoH",7,4))))*INDEX('How This Works &amp; Sources'!$B$19:$J$26,0,IF('Second Earner'!$C$12="MFJ",1,IF('Second Earner'!$C$12="HoH",7,4))+2))))</f>
      </c>
      <c r="BV17" s="24">
        <f>IF($B17="","",IF($BZ17&lt;&gt;"",$BZ17,IF($CA17&lt;&gt;"",$CA17,IF($CB17&lt;&gt;"",$CB17,IF($CC17&lt;&gt;"",$CC17,0)))))</f>
      </c>
      <c r="BW17" s="7">
        <f>IF($B17="","",IF($AN17="AR",SUMPRODUCT(($AZ17&gt;INDEX('How This Works &amp; Sources'!$B$82:$J$86,0,7))*($AZ17-INDEX('How This Works &amp; Sources'!$B$82:$J$86,0,7))*INDEX('How This Works &amp; Sources'!$B$82:$J$86,0,7+2)),IF($AN17="MD",IF(OR($AU17="Married",$AU17="Head of household"),SUMPRODUCT(($AZ17&gt;INDEX('How This Works &amp; Sources'!$B$114:$J$120,0,1))*($AZ17-INDEX('How This Works &amp; Sources'!$B$114:$J$120,0,1))*INDEX('How This Works &amp; Sources'!$B$114:$J$120,0,1+2)),SUMPRODUCT(($AZ17&gt;INDEX('How This Works &amp; Sources'!$B$103:$J$109,0,7))*($AZ17-INDEX('How This Works &amp; Sources'!$B$103:$J$109,0,7))*INDEX('How This Works &amp; Sources'!$B$103:$J$109,0,7+2))),IF($AN17="MT",IF($AU17="Head of household",SUMPRODUCT(($AZ17&gt;INDEX('How This Works &amp; Sources'!$B$137:$J$139,0,1))*($AZ17-INDEX('How This Works &amp; Sources'!$B$137:$J$139,0,1))*INDEX('How This Works &amp; Sources'!$B$137:$J$139,0,1+2)),IF($AU17="Married",SUMPRODUCT(($AZ17&gt;INDEX('How This Works &amp; Sources'!$B$125:$J$132,0,7))*($AZ17-INDEX('How This Works &amp; Sources'!$B$125:$J$132,0,7))*INDEX('How This Works &amp; Sources'!$B$125:$J$132,0,7+2)),SUMPRODUCT(($AZ17&gt;INDEX('How This Works &amp; Sources'!$B$125:$J$132,0,4))*($AZ17-INDEX('How This Works &amp; Sources'!$B$125:$J$132,0,4))*INDEX('How This Works &amp; Sources'!$B$125:$J$132,0,4+2)))),IF($AN17="ND",IF($AU17="Head of household",SUMPRODUCT(($AZ17&gt;INDEX('How This Works &amp; Sources'!$B$144:$J$150,0,1))*($AZ17-INDEX('How This Works &amp; Sources'!$B$144:$J$150,0,1))*INDEX('How This Works &amp; Sources'!$B$144:$J$150,0,1+2)),IF($AU17="Married",SUMPRODUCT(($AZ17&gt;INDEX('How This Works &amp; Sources'!$B$137:$J$139,0,7))*($AZ17-INDEX('How This Works &amp; Sources'!$B$137:$J$139,0,7))*INDEX('How This Works &amp; Sources'!$B$137:$J$139,0,7+2)),SUMPRODUCT(($AZ17&gt;INDEX('How This Works &amp; Sources'!$B$137:$J$139,0,4))*($AZ17-INDEX('How This Works &amp; Sources'!$B$137:$J$139,0,4))*INDEX('How This Works &amp; Sources'!$B$137:$J$139,0,4+2)))),IF($AN17="NJ",IF('Second Earner'!$C$77="B",SUMPRODUCT(($AZ17&gt;INDEX('How This Works &amp; Sources'!$B$155:$J$162,0,4))*($AZ17-INDEX('How This Works &amp; Sources'!$B$155:$J$162,0,4))*INDEX('How This Works &amp; Sources'!$B$155:$J$162,0,4+2)),IF('Second Earner'!$C$77="C",SUMPRODUCT(($AZ17&gt;INDEX('How This Works &amp; Sources'!$B$155:$J$162,0,7))*($AZ17-INDEX('How This Works &amp; Sources'!$B$155:$J$162,0,7))*INDEX('How This Works &amp; Sources'!$B$155:$J$162,0,7+2)),IF('Second Earner'!$C$77="D",SUMPRODUCT(($AZ17&gt;INDEX('How This Works &amp; Sources'!$B$167:$J$179,0,1))*($AZ17-INDEX('How This Works &amp; Sources'!$B$167:$J$179,0,1))*INDEX('How This Works &amp; Sources'!$B$167:$J$179,0,1+2)),IF('Second Earner'!$C$77="E",SUMPRODUCT(($AZ17&gt;INDEX('How This Works &amp; Sources'!$B$167:$J$179,0,4))*($AZ17-INDEX('How This Works &amp; Sources'!$B$167:$J$179,0,4))*INDEX('How This Works &amp; Sources'!$B$167:$J$179,0,4+2)),SUMPRODUCT(($AZ17&gt;INDEX('How This Works &amp; Sources'!$B$155:$J$162,0,1))*($AZ17-INDEX('How This Works &amp; Sources'!$B$155:$J$162,0,1))*INDEX('How This Works &amp; Sources'!$B$155:$J$162,0,1+2)))))),IF($AN17="NY",IF($AU17="Married",IF($AZ17&gt;=2155350,$AZ17*IF($AZ17&gt;25000000,0.117,IF($AZ17&gt;5000000,0.111,0.1045)),SUMPRODUCT(($AZ17&gt;INDEX('How This Works &amp; Sources'!$B$184:$J$198,0,1))*($AZ17-INDEX('How This Works &amp; Sources'!$B$184:$J$198,0,1))*INDEX('How This Works &amp; Sources'!$B$184:$J$198,0,1+2))),IF($AZ17&gt;=1077550,$AZ17*IF($AZ17&gt;25000000,0.117,IF($AZ17&gt;5000000,0.111,0.1045)),SUMPRODUCT(($AZ17&gt;INDEX('How This Works &amp; Sources'!$B$167:$J$179,0,7))*($AZ17-INDEX('How This Works &amp; Sources'!$B$167:$J$179,0,7))*INDEX('How This Works &amp; Sources'!$B$167:$J$179,0,7+2)))),"")))))))</f>
      </c>
      <c r="BX17" s="7">
        <f>IF($B17="","",IF($AN17="AL",IF(OR($AU17="Married",$AU17="Head of household"),SUMPRODUCT(($AZ17&gt;INDEX('How This Works &amp; Sources'!$B$82:$J$86,0,4))*($AZ17-INDEX('How This Works &amp; Sources'!$B$82:$J$86,0,4))*INDEX('How This Works &amp; Sources'!$B$82:$J$86,0,4+2)),SUMPRODUCT(($AZ17&gt;INDEX('How This Works &amp; Sources'!$B$82:$J$86,0,1))*($AZ17-INDEX('How This Works &amp; Sources'!$B$82:$J$86,0,1))*INDEX('How This Works &amp; Sources'!$B$82:$J$86,0,1+2))),IF($AN17="KS",IF($AU17="Married",SUMPRODUCT(($AZ17&gt;INDEX('How This Works &amp; Sources'!$B$103:$J$109,0,4))*($AZ17-INDEX('How This Works &amp; Sources'!$B$103:$J$109,0,4))*INDEX('How This Works &amp; Sources'!$B$103:$J$109,0,4+2)),SUMPRODUCT(($AZ17&gt;INDEX('How This Works &amp; Sources'!$B$103:$J$109,0,1))*($AZ17-INDEX('How This Works &amp; Sources'!$B$103:$J$109,0,1))*INDEX('How This Works &amp; Sources'!$B$103:$J$109,0,1+2))),IF($AN17="MN",IF($AU17="Married",SUMPRODUCT(($AZ17&gt;INDEX('How This Works &amp; Sources'!$B$114:$J$120,0,7))*($AZ17-INDEX('How This Works &amp; Sources'!$B$114:$J$120,0,7))*INDEX('How This Works &amp; Sources'!$B$114:$J$120,0,7+2)),SUMPRODUCT(($AZ17&gt;INDEX('How This Works &amp; Sources'!$B$114:$J$120,0,4))*($AZ17-INDEX('How This Works &amp; Sources'!$B$114:$J$120,0,4))*INDEX('How This Works &amp; Sources'!$B$114:$J$120,0,4+2))),IF($AN17="MO",SUMPRODUCT(($AZ17&gt;INDEX('How This Works &amp; Sources'!$B$125:$J$132,0,1))*($AZ17-INDEX('How This Works &amp; Sources'!$B$125:$J$132,0,1))*INDEX('How This Works &amp; Sources'!$B$125:$J$132,0,1+2)),IF($AN17="NE",MAX(IF($AU17="Married",SUMPRODUCT(($AZ17&gt;INDEX('How This Works &amp; Sources'!$B$144:$J$150,0,7))*($AZ17-INDEX('How This Works &amp; Sources'!$B$144:$J$150,0,7))*INDEX('How This Works &amp; Sources'!$B$144:$J$150,0,7+2)),SUMPRODUCT(($AZ17&gt;INDEX('How This Works &amp; Sources'!$B$144:$J$150,0,4))*($AZ17-INDEX('How This Works &amp; Sources'!$B$144:$J$150,0,4))*INDEX('How This Works &amp; Sources'!$B$144:$J$150,0,4+2))),0.015*$AZ17),IF($AN17="OH",IF($B17&gt;=DATE(2026,8,1),SUMPRODUCT(($AZ17&gt;INDEX('How This Works &amp; Sources'!$B$203:$J$206,0,1))*($AZ17-INDEX('How This Works &amp; Sources'!$B$203:$J$206,0,1))*INDEX('How This Works &amp; Sources'!$B$203:$J$206,0,1+2)),SUMPRODUCT(($AZ17&gt;INDEX('How This Works &amp; Sources'!$B$184:$J$198,0,7))*($AZ17-INDEX('How This Works &amp; Sources'!$B$184:$J$198,0,7))*INDEX('How This Works &amp; Sources'!$B$184:$J$198,0,7+2))),IF($AN17="OK",IF($AU17="Married",SUMPRODUCT(($AZ17&gt;INDEX('How This Works &amp; Sources'!$B$203:$J$206,0,7))*($AZ17-INDEX('How This Works &amp; Sources'!$B$203:$J$206,0,7))*INDEX('How This Works &amp; Sources'!$B$203:$J$206,0,7+2)),SUMPRODUCT(($AZ17&gt;INDEX('How This Works &amp; Sources'!$B$203:$J$206,0,4))*($AZ17-INDEX('How This Works &amp; Sources'!$B$203:$J$206,0,4))*INDEX('How This Works &amp; Sources'!$B$203:$J$206,0,4+2))),IF($AN17="VT",IF($AU17="Married",SUMPRODUCT(($AZ17&gt;INDEX('How This Works &amp; Sources'!$B$228:$J$232,0,1))*($AZ17-INDEX('How This Works &amp; Sources'!$B$228:$J$232,0,1))*INDEX('How This Works &amp; Sources'!$B$228:$J$232,0,1+2)),SUMPRODUCT(($AZ17&gt;INDEX('How This Works &amp; Sources'!$B$219:$J$223,0,7))*($AZ17-INDEX('How This Works &amp; Sources'!$B$219:$J$223,0,7))*INDEX('How This Works &amp; Sources'!$B$219:$J$223,0,7+2))),IF($AN17="WV",IF($AU17="Married",SUMPRODUCT(($AZ17&gt;INDEX('How This Works &amp; Sources'!$B$237:$J$241,0,7))*($AZ17-INDEX('How This Works &amp; Sources'!$B$237:$J$241,0,7))*INDEX('How This Works &amp; Sources'!$B$237:$J$241,0,7+2)),SUMPRODUCT(($AZ17&gt;INDEX('How This Works &amp; Sources'!$B$228:$J$232,0,7))*($AZ17-INDEX('How This Works &amp; Sources'!$B$228:$J$232,0,7))*INDEX('How This Works &amp; Sources'!$B$228:$J$232,0,7+2))),""))))))))))</f>
      </c>
      <c r="BY17" s="7">
        <f>IF($B17="","",IF($AN17="DE",SUMPRODUCT(($AZ17&gt;INDEX('How This Works &amp; Sources'!$B$91:$J$98,0,1))*($AZ17-INDEX('How This Works &amp; Sources'!$B$91:$J$98,0,1))*INDEX('How This Works &amp; Sources'!$B$91:$J$98,0,1+2)),IF($AN17="HI",IF($AU17="Married",SUMPRODUCT(($AZ17&gt;INDEX('How This Works &amp; Sources'!$B$91:$J$98,0,7))*($AZ17-INDEX('How This Works &amp; Sources'!$B$91:$J$98,0,7))*INDEX('How This Works &amp; Sources'!$B$91:$J$98,0,7+2)),SUMPRODUCT(($AZ17&gt;INDEX('How This Works &amp; Sources'!$B$91:$J$98,0,4))*($AZ17-INDEX('How This Works &amp; Sources'!$B$91:$J$98,0,4))*INDEX('How This Works &amp; Sources'!$B$91:$J$98,0,4+2))),IF($AN17="RI",SUMPRODUCT(($AZ17&gt;INDEX('How This Works &amp; Sources'!$B$211:$J$214,0,7))*($AZ17-INDEX('How This Works &amp; Sources'!$B$211:$J$214,0,7))*INDEX('How This Works &amp; Sources'!$B$211:$J$214,0,7+2)),IF($AN17="SC",SUMPRODUCT(($AZ17&gt;INDEX('How This Works &amp; Sources'!$B$219:$J$223,0,1))*($AZ17-INDEX('How This Works &amp; Sources'!$B$219:$J$223,0,1))*INDEX('How This Works &amp; Sources'!$B$219:$J$223,0,1+2)),IF($AN17="VA",SUMPRODUCT(($AZ17&gt;INDEX('How This Works &amp; Sources'!$B$219:$J$223,0,4))*($AZ17-INDEX('How This Works &amp; Sources'!$B$219:$J$223,0,4))*INDEX('How This Works &amp; Sources'!$B$219:$J$223,0,4+2)),IF($AN17="WI",SUMPRODUCT(($AZ17&gt;INDEX('How This Works &amp; Sources'!$B$228:$J$232,0,4))*($AZ17-INDEX('How This Works &amp; Sources'!$B$228:$J$232,0,4))*INDEX('How This Works &amp; Sources'!$B$228:$J$232,0,4+2)),"")))))))</f>
      </c>
      <c r="BZ17" s="24">
        <f>IF($B17="","",IF($AN17="KS",IF($AU17="Married",SUMPRODUCT(($AZ17&gt;=INDEX('How This Works &amp; Sources'!$B$103:$J$109,0,4))*INDEX('How This Works &amp; Sources'!$B$103:$J$109,0,4+2)),SUMPRODUCT(($AZ17&gt;=INDEX('How This Works &amp; Sources'!$B$103:$J$109,0,1))*INDEX('How This Works &amp; Sources'!$B$103:$J$109,0,1+2))),IF($AN17="MT",IF($AU17="Head of household",SUMPRODUCT(($AZ17&gt;=INDEX('How This Works &amp; Sources'!$B$137:$J$139,0,1))*INDEX('How This Works &amp; Sources'!$B$137:$J$139,0,1+2)),IF($AU17="Married",SUMPRODUCT(($AZ17&gt;=INDEX('How This Works &amp; Sources'!$B$125:$J$132,0,7))*INDEX('How This Works &amp; Sources'!$B$125:$J$132,0,7+2)),SUMPRODUCT(($AZ17&gt;=INDEX('How This Works &amp; Sources'!$B$125:$J$132,0,4))*INDEX('How This Works &amp; Sources'!$B$125:$J$132,0,4+2)))),IF($AN17="OR",IF(OR($AU17="Married",AND($AU17="Single",$AS17&gt;=3)),SUMPRODUCT((MAX(0,$AY17-MIN(($P17-'How This Works &amp; Sources'!$C$10*$D17)*'Second Earner'!$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Sources'!$B$211:$J$214,0,4))*INDEX('How This Works &amp; Sources'!$B$211:$J$214,0,4+2)),SUMPRODUCT((MAX(0,$AY17-MIN(($P17-'How This Works &amp; Sources'!$C$10*$D17)*'Second Earner'!$C$8,IF(OR($AU17="Married",AND($AU17="Single",$AS17&gt;=3)),IF($AY17&lt;250000,8750,IF($AY17&lt;260000,7000,IF($AY17&lt;270000,5250,IF($AY17&lt;280000,3500,IF($AY17&lt;290000,1750,0))))),IF($AY17&lt;125000,8750,IF($AY17&lt;130000,7000,IF($AY17&lt;135000,5250,IF($AY17&lt;140000,3500,IF($AY17&lt;145000,1750,0)))))))-IF(OR($AU17="Married",AND($AU17="Single",$AS17&gt;=3)),5820,2910))&gt;=INDEX('How This Works &amp; Sources'!$B$211:$J$214,0,1))*INDEX('How This Works &amp; Sources'!$B$211:$J$214,0,1+2)))*IF(($P17-'How This Works &amp; Sources'!$C$10*$D17)*'Second Earner'!$C$8&gt;=IF(OR($AU17="Married",AND($AU17="Single",$AS17&gt;=3)),IF($AY17&lt;250000,8750,IF($AY17&lt;260000,7000,IF($AY17&lt;270000,5250,IF($AY17&lt;280000,3500,IF($AY17&lt;290000,1750,0))))),IF($AY17&lt;125000,8750,IF($AY17&lt;130000,7000,IF($AY17&lt;135000,5250,IF($AY17&lt;140000,3500,IF($AY17&lt;145000,1750,0)))))),1,1-IF('Second Earner'!$C$13,SUMPRODUCT(($AH17&gt;=INDEX('How This Works &amp; Sources'!$B$29:$J$36,0,IF('Second Earner'!$C$12="MFJ",1,IF('Second Earner'!$C$12="HoH",7,4))))*INDEX('How This Works &amp; Sources'!$B$29:$J$36,0,IF('Second Earner'!$C$12="MFJ",1,IF('Second Earner'!$C$12="HoH",7,4))+2)),SUMPRODUCT(($AH17&gt;=INDEX('How This Works &amp; Sources'!$B$19:$J$26,0,IF('Second Earner'!$C$12="MFJ",1,IF('Second Earner'!$C$12="HoH",7,4))))*INDEX('How This Works &amp; Sources'!$B$19:$J$26,0,IF('Second Earner'!$C$12="MFJ",1,IF('Second Earner'!$C$12="HoH",7,4))+2)))),""))))</f>
      </c>
      <c r="CA17" s="24">
        <f>IF($B17="","",IF($AN17="CA",SUMPRODUCT(($AJ17&gt;=INDEX('How This Works &amp; Sources'!$B$39:$J$48,0,IF($AU17="Married",4,IF($AU17="Head of household",7,1))))*INDEX('How This Works &amp; Sources'!$B$39:$J$48,0,IF($AU17="Married",4,IF($AU17="Head of household",7,1))+2)),IF($AN17="AL",IF(OR($AU17="Married",$AU17="Head of household"),SUMPRODUCT(($AZ17&gt;=INDEX('How This Works &amp; Sources'!$B$82:$J$86,0,4))*INDEX('How This Works &amp; Sources'!$B$82:$J$86,0,4+2)),SUMPRODUCT(($AZ17&gt;=INDEX('How This Works &amp; Sources'!$B$82:$J$86,0,1))*INDEX('How This Works &amp; Sources'!$B$82:$J$86,0,1+2)))*(1-IF('Second Earner'!$C$13,SUMPRODUCT(($AH17&gt;=INDEX('How This Works &amp; Sources'!$B$29:$J$36,0,IF('Second Earner'!$C$12="MFJ",1,IF('Second Earner'!$C$12="HoH",7,4))))*INDEX('How This Works &amp; Sources'!$B$29:$J$36,0,IF('Second Earner'!$C$12="MFJ",1,IF('Second Earner'!$C$12="HoH",7,4))+2)),SUMPRODUCT(($AH17&gt;=INDEX('How This Works &amp; Sources'!$B$19:$J$26,0,IF('Second Earner'!$C$12="MFJ",1,IF('Second Earner'!$C$12="HoH",7,4))))*INDEX('How This Works &amp; Sources'!$B$19:$J$26,0,IF('Second Earner'!$C$12="MFJ",1,IF('Second Earner'!$C$12="HoH",7,4))+2)))),IF($AN17="ND",IF($AU17="Head of household",SUMPRODUCT(($AZ17&gt;=INDEX('How This Works &amp; Sources'!$B$144:$J$150,0,1))*INDEX('How This Works &amp; Sources'!$B$144:$J$150,0,1+2)),IF($AU17="Married",SUMPRODUCT(($AZ17&gt;=INDEX('How This Works &amp; Sources'!$B$137:$J$139,0,7))*INDEX('How This Works &amp; Sources'!$B$137:$J$139,0,7+2)),SUMPRODUCT(($AZ17&gt;=INDEX('How This Works &amp; Sources'!$B$137:$J$139,0,4))*INDEX('How This Works &amp; Sources'!$B$137:$J$139,0,4+2)))),IF($AN17="NJ",IF('Second Earner'!$C$77="B",SUMPRODUCT(($AZ17&gt;=INDEX('How This Works &amp; Sources'!$B$155:$J$162,0,4))*INDEX('How This Works &amp; Sources'!$B$155:$J$162,0,4+2)),IF('Second Earner'!$C$77="C",SUMPRODUCT(($AZ17&gt;=INDEX('How This Works &amp; Sources'!$B$155:$J$162,0,7))*INDEX('How This Works &amp; Sources'!$B$155:$J$162,0,7+2)),IF('Second Earner'!$C$77="D",SUMPRODUCT(($AZ17&gt;=INDEX('How This Works &amp; Sources'!$B$167:$J$179,0,1))*INDEX('How This Works &amp; Sources'!$B$167:$J$179,0,1+2)),IF('Second Earner'!$C$77="E",SUMPRODUCT(($AZ17&gt;=INDEX('How This Works &amp; Sources'!$B$167:$J$179,0,4))*INDEX('How This Works &amp; Sources'!$B$167:$J$179,0,4+2)),SUMPRODUCT(($AZ17&gt;=INDEX('How This Works &amp; Sources'!$B$155:$J$162,0,1))*INDEX('How This Works &amp; Sources'!$B$155:$J$162,0,1+2)))))),IF($AN17="NY",IF($AU17="Married",IF($AZ17&gt;=2155350,IF($AZ17&gt;25000000,0.117,IF($AZ17&gt;5000000,0.111,0.1045)),SUMPRODUCT(($AZ17&gt;=INDEX('How This Works &amp; Sources'!$B$184:$J$198,0,1))*INDEX('How This Works &amp; Sources'!$B$184:$J$198,0,1+2))),IF($AZ17&gt;=1077550,IF($AZ17&gt;25000000,0.117,IF($AZ17&gt;5000000,0.111,0.1045)),SUMPRODUCT(($AZ17&gt;=INDEX('How This Works &amp; Sources'!$B$167:$J$179,0,7))*INDEX('How This Works &amp; Sources'!$B$167:$J$179,0,7+2)))),IF($AN17="LA",0.0309,"")))))))</f>
      </c>
      <c r="CB17" s="24">
        <f>IF($B17="","",IF($AN17="HI",IF($AU17="Married",SUMPRODUCT(($AZ17&gt;=INDEX('How This Works &amp; Sources'!$B$91:$J$98,0,7))*INDEX('How This Works &amp; Sources'!$B$91:$J$98,0,7+2)),SUMPRODUCT(($AZ17&gt;=INDEX('How This Works &amp; Sources'!$B$91:$J$98,0,4))*INDEX('How This Works &amp; Sources'!$B$91:$J$98,0,4+2))),IF($AN17="MD",IF(OR($AU17="Married",$AU17="Head of household"),SUMPRODUCT(($AZ17&gt;=INDEX('How This Works &amp; Sources'!$B$114:$J$120,0,1))*INDEX('How This Works &amp; Sources'!$B$114:$J$120,0,1+2)),SUMPRODUCT(($AZ17&gt;=INDEX('How This Works &amp; Sources'!$B$103:$J$109,0,7))*INDEX('How This Works &amp; Sources'!$B$103:$J$109,0,7+2)))+'Second Earner'!$C$74,IF($AN17="MN",IF($AU17="Married",SUMPRODUCT(($AZ17&gt;=INDEX('How This Works &amp; Sources'!$B$114:$J$120,0,7))*INDEX('How This Works &amp; Sources'!$B$114:$J$120,0,7+2)),SUMPRODUCT(($AZ17&gt;=INDEX('How This Works &amp; Sources'!$B$114:$J$120,0,4))*INDEX('How This Works &amp; Sources'!$B$114:$J$120,0,4+2))),IF($AN17="MO",SUMPRODUCT(($AZ17&gt;=INDEX('How This Works &amp; Sources'!$B$125:$J$132,0,1))*INDEX('How This Works &amp; Sources'!$B$125:$J$132,0,1+2)),IF($AN17="NE",MAX(IF($AU17="Married",SUMPRODUCT(($AZ17&gt;=INDEX('How This Works &amp; Sources'!$B$144:$J$150,0,7))*INDEX('How This Works &amp; Sources'!$B$144:$J$150,0,7+2)),SUMPRODUCT(($AZ17&gt;=INDEX('How This Works &amp; Sources'!$B$144:$J$150,0,4))*INDEX('How This Works &amp; Sources'!$B$144:$J$150,0,4+2))),0.015),IF($AN17="OH",IF($B17&gt;=DATE(2026,8,1),SUMPRODUCT(($AZ17&gt;=INDEX('How This Works &amp; Sources'!$B$203:$J$206,0,1))*INDEX('How This Works &amp; Sources'!$B$203:$J$206,0,1+2)),SUMPRODUCT(($AZ17&gt;=INDEX('How This Works &amp; Sources'!$B$184:$J$198,0,7))*INDEX('How This Works &amp; Sources'!$B$184:$J$198,0,7+2))),IF($AN17="OK",IF($AU17="Married",SUMPRODUCT(($AZ17&gt;=INDEX('How This Works &amp; Sources'!$B$203:$J$206,0,7))*INDEX('How This Works &amp; Sources'!$B$203:$J$206,0,7+2)),SUMPRODUCT(($AZ17&gt;=INDEX('How This Works &amp; Sources'!$B$203:$J$206,0,4))*INDEX('How This Works &amp; Sources'!$B$203:$J$206,0,4+2))),IF($AN17="RI",SUMPRODUCT(($AZ17&gt;=INDEX('How This Works &amp; Sources'!$B$211:$J$214,0,7))*INDEX('How This Works &amp; Sources'!$B$211:$J$214,0,7+2)),IF($AN17="VT",IF($AU17="Married",SUMPRODUCT(($AZ17&gt;=INDEX('How This Works &amp; Sources'!$B$228:$J$232,0,1))*INDEX('How This Works &amp; Sources'!$B$228:$J$232,0,1+2)),SUMPRODUCT(($AZ17&gt;=INDEX('How This Works &amp; Sources'!$B$219:$J$223,0,7))*INDEX('How This Works &amp; Sources'!$B$219:$J$223,0,7+2))),IF($AN17="WV",IF($AU17="Married",SUMPRODUCT(($AZ17&gt;=INDEX('How This Works &amp; Sources'!$B$237:$J$241,0,7))*INDEX('How This Works &amp; Sources'!$B$237:$J$241,0,7+2)),SUMPRODUCT(($AZ17&gt;=INDEX('How This Works &amp; Sources'!$B$228:$J$232,0,7))*INDEX('How This Works &amp; Sources'!$B$228:$J$232,0,7+2))),IF($AN17="AZ",'Second Earner'!$C$82,IF($AN17="ID",IF($AY17&gt;IF($AU17="Married",32000,16094),0.053,0),"")))))))))))))</f>
      </c>
      <c r="CC17" s="24">
        <f>IF($B17="","",IF($AN17="AR",SUMPRODUCT(($AZ17&gt;=INDEX('How This Works &amp; Sources'!$B$82:$J$86,0,7))*INDEX('How This Works &amp; Sources'!$B$82:$J$86,0,7+2)),IF($AN17="DE",SUMPRODUCT(($AZ17&gt;=INDEX('How This Works &amp; Sources'!$B$91:$J$98,0,1))*INDEX('How This Works &amp; Sources'!$B$91:$J$98,0,1+2)),IF($AN17="SC",SUMPRODUCT(($AZ17&gt;=INDEX('How This Works &amp; Sources'!$B$219:$J$223,0,1))*INDEX('How This Works &amp; Sources'!$B$219:$J$223,0,1+2)),IF($AN17="VA",SUMPRODUCT(($AZ17&gt;=INDEX('How This Works &amp; Sources'!$B$219:$J$223,0,4))*INDEX('How This Works &amp; Sources'!$B$219:$J$223,0,4+2)),IF($AN17="WI",SUMPRODUCT(($AZ17&gt;=INDEX('How This Works &amp; Sources'!$B$228:$J$232,0,4))*INDEX('How This Works &amp; Sources'!$B$228:$J$232,0,4+2)),IF($AN17="CO",IF($AY17&gt;IF($AU17="Married",10000,5000),0.044,0),IF($AN17="IA",IF($AY17&gt;IF($AU17="Head of household",19500,IF($AU17="Married",26000,13000)),0.038,0),IF($AN17="IL",IF($AY17&gt;(2925*$AS17+1000*$AT17),0.0495,0),IF($AN17="IN",(0.0295+'Second Earner'!$C$76),IF($AN17="KY",IF($AI17&gt;3360,0.035,0),IF($AN17="MA",IF(MAX(0,$AY17-MIN(($BD16+$Q17+$R17+$S17),2000)-IF($AS17=0,0,IF($AS17=1,4400,1000*$AS17+3400)))&gt;=1107750,0.09,0.05),IF($AN17="MI",IF($AY17&gt;5900*$AS17,0.0425,0),IF($AN17="MS",IF($AI17-IF($AU17="Head of household",3400,IF($AU17="Married",4600,2300))-'Second Earner'!$C$85&gt;10000,0.04,0),IF($AN17="PA",0.0307,"")))))))))))))))</f>
      </c>
      <c r="CD17" s="21">
        <f>IF(YEAR(IF('Second Earner'!$C$7="Weekly",'Second Earner'!$C$9+7*(($BE16+1)-1),IF('Second Earner'!$C$7="Biweekly",'Second Earner'!$C$9+14*(($BE16+1)-1),IF('Second Earner'!$C$7="Semimonthly",DATE(YEAR('Second Earner'!$C$9),MONTH('Second Earner'!$C$9)+INT((($BE16+1)-1)/2),MIN(DAY('Second Earner'!$C$9),DAY(EOMONTH(DATE(YEAR('Second Earner'!$C$9),MONTH('Second Earner'!$C$9)+INT((($BE16+1)-1)/2),1),0))))+IF(MOD(($BE16+1)-1,2)=1,15,0),EDATE('Second Earner'!$C$9,($BE16+1)-1)))))&lt;&gt;'Second Earner'!$C$10,"",IF('Second Earner'!$C$7="Weekly",'Second Earner'!$C$9+7*(($BE16+1)-1),IF('Second Earner'!$C$7="Biweekly",'Second Earner'!$C$9+14*(($BE16+1)-1),IF('Second Earner'!$C$7="Semimonthly",DATE(YEAR('Second Earner'!$C$9),MONTH('Second Earner'!$C$9)+INT((($BE16+1)-1)/2),MIN(DAY('Second Earner'!$C$9),DAY(EOMONTH(DATE(YEAR('Second Earner'!$C$9),MONTH('Second Earner'!$C$9)+INT((($BE16+1)-1)/2),1),0))))+IF(MOD(($BE16+1)-1,2)=1,15,0),EDATE('Second Earner'!$C$9,($BE16+1)-1)))))</f>
      </c>
      <c r="CE17" s="21">
        <f>IF(MIN(IF(AND('Second Earner'!$C$58&gt;MAX($B$6:$B16),'Second Earner'!$C$58&gt;=DATE('Second Earner'!$C$10,1,1),'Second Earner'!$C$58&lt;=DATE('Second Earner'!$C$10,12,31)),'Second Earner'!$C$58,999999),IF(AND('Second Earner'!$C$59&gt;MAX($B$6:$B16),'Second Earner'!$C$59&gt;=DATE('Second Earner'!$C$10,1,1),'Second Earner'!$C$59&lt;=DATE('Second Earner'!$C$10,12,31)),'Second Earner'!$C$59,999999),IF(AND('Second Earner'!$C$60&gt;MAX($B$6:$B16),'Second Earner'!$C$60&gt;=DATE('Second Earner'!$C$10,1,1),'Second Earner'!$C$60&lt;=DATE('Second Earner'!$C$10,12,31)),'Second Earner'!$C$60,999999),IF(AND('Second Earner'!$C$61&gt;MAX($B$6:$B16),'Second Earner'!$C$61&gt;=DATE('Second Earner'!$C$10,1,1),'Second Earner'!$C$61&lt;=DATE('Second Earner'!$C$10,12,31)),'Second Earner'!$C$61,999999),IF(AND('Second Earner'!$C$62&gt;MAX($B$6:$B16),'Second Earner'!$C$62&gt;=DATE('Second Earner'!$C$10,1,1),'Second Earner'!$C$62&lt;=DATE('Second Earner'!$C$10,12,31)),'Second Earner'!$C$62,999999),IF(AND('Second Earner'!$C$63&gt;MAX($B$6:$B16),'Second Earner'!$C$63&gt;=DATE('Second Earner'!$C$10,1,1),'Second Earner'!$C$63&lt;=DATE('Second Earner'!$C$10,12,31)),'Second Earner'!$C$63,999999),IF(AND('Second Earner'!$C$64&gt;MAX($B$6:$B16),'Second Earner'!$C$64&gt;=DATE('Second Earner'!$C$10,1,1),'Second Earner'!$C$64&lt;=DATE('Second Earner'!$C$10,12,31)),'Second Earner'!$C$64,999999),IF(AND('Second Earner'!$C$65&gt;MAX($B$6:$B16),'Second Earner'!$C$65&gt;=DATE('Second Earner'!$C$10,1,1),'Second Earner'!$C$65&lt;=DATE('Second Earner'!$C$10,12,31)),'Second Earner'!$C$65,999999),IF(AND('Second Earner'!$C$66&gt;MAX($B$6:$B16),'Second Earner'!$C$66&gt;=DATE('Second Earner'!$C$10,1,1),'Second Earner'!$C$66&lt;=DATE('Second Earner'!$C$10,12,31)),'Second Earner'!$C$66,999999),IF(AND('Second Earner'!$C$67&gt;MAX($B$6:$B16),'Second Earner'!$C$67&gt;=DATE('Second Earner'!$C$10,1,1),'Second Earner'!$C$67&lt;=DATE('Second Earner'!$C$10,12,31)),'Second Earner'!$C$67,999999))=999999,"",MIN(IF(AND('Second Earner'!$C$58&gt;MAX($B$6:$B16),'Second Earner'!$C$58&gt;=DATE('Second Earner'!$C$10,1,1),'Second Earner'!$C$58&lt;=DATE('Second Earner'!$C$10,12,31)),'Second Earner'!$C$58,999999),IF(AND('Second Earner'!$C$59&gt;MAX($B$6:$B16),'Second Earner'!$C$59&gt;=DATE('Second Earner'!$C$10,1,1),'Second Earner'!$C$59&lt;=DATE('Second Earner'!$C$10,12,31)),'Second Earner'!$C$59,999999),IF(AND('Second Earner'!$C$60&gt;MAX($B$6:$B16),'Second Earner'!$C$60&gt;=DATE('Second Earner'!$C$10,1,1),'Second Earner'!$C$60&lt;=DATE('Second Earner'!$C$10,12,31)),'Second Earner'!$C$60,999999),IF(AND('Second Earner'!$C$61&gt;MAX($B$6:$B16),'Second Earner'!$C$61&gt;=DATE('Second Earner'!$C$10,1,1),'Second Earner'!$C$61&lt;=DATE('Second Earner'!$C$10,12,31)),'Second Earner'!$C$61,999999),IF(AND('Second Earner'!$C$62&gt;MAX($B$6:$B16),'Second Earner'!$C$62&gt;=DATE('Second Earner'!$C$10,1,1),'Second Earner'!$C$62&lt;=DATE('Second Earner'!$C$10,12,31)),'Second Earner'!$C$62,999999),IF(AND('Second Earner'!$C$63&gt;MAX($B$6:$B16),'Second Earner'!$C$63&gt;=DATE('Second Earner'!$C$10,1,1),'Second Earner'!$C$63&lt;=DATE('Second Earner'!$C$10,12,31)),'Second Earner'!$C$63,999999),IF(AND('Second Earner'!$C$64&gt;MAX($B$6:$B16),'Second Earner'!$C$64&gt;=DATE('Second Earner'!$C$10,1,1),'Second Earner'!$C$64&lt;=DATE('Second Earner'!$C$10,12,31)),'Second Earner'!$C$64,999999),IF(AND('Second Earner'!$C$65&gt;MAX($B$6:$B16),'Second Earner'!$C$65&gt;=DATE('Second Earner'!$C$10,1,1),'Second Earner'!$C$65&lt;=DATE('Second Earner'!$C$10,12,31)),'Second Earner'!$C$65,999999),IF(AND('Second Earner'!$C$66&gt;MAX($B$6:$B16),'Second Earner'!$C$66&gt;=DATE('Second Earner'!$C$10,1,1),'Second Earner'!$C$66&lt;=DATE('Second Earner'!$C$10,12,31)),'Second Earner'!$C$66,999999),IF(AND('Second Earner'!$C$67&gt;MAX($B$6:$B16),'Second Earner'!$C$67&gt;=DATE('Second Earner'!$C$10,1,1),'Second Earner'!$C$67&lt;=DATE('Second Earner'!$C$10,12,31)),'Second Earner'!$C$67,999999)))</f>
      </c>
      <c r="CF17">
        <f>IF($B17="","",IF($D17=0,$Y17,""))</f>
      </c>
    </row>
    <row r="18">
      <c r="A18" t="n">
        <v>13</v>
      </c>
      <c r="B18" s="21">
        <f>IF(AND($CD18="",$CE18=""),"",IF($CE18="",$CD18,IF($CD18="",$CE18,MIN($CD18,$CE18))))</f>
      </c>
      <c r="C18" s="7">
        <f>IF($B18="","",IF($BF18=0,0,IF('Second Earner'!$C$4="Annual salary",ROUND($AK18/IF(AND('Second Earner'!$C$88="Actual paydays",MONTH('Second Earner'!$C$9)=1),MAX(1,MAX($BE$6:$BE$68)),'Second Earner'!$C$8),2),$AK18)))</f>
      </c>
      <c r="D18" s="7">
        <f>IF($B18="","",SUMIF('Second Earner'!$C$58:$C$67,$B18,'Second Earner'!$D$58:$D$67))</f>
      </c>
      <c r="E18" s="7">
        <f>IF($B18="","",ROUND(MAX(0,MIN(IF($AL18="Percent",$AM18*($C18+$D18),$AM18),MAX(0,'Second Earner'!$C$34-$AC17))),2))</f>
      </c>
      <c r="F18" s="7">
        <f>IF($B18="","",ROUND(MAX(0,MIN(IF('Second Earner'!$C$32="Percent",'Second Earner'!$D$32*($C18+$D18),'Second Earner'!$D$32),MAX(0,'Second Earner'!$C$34-$AC17-$E18))),2))</f>
      </c>
      <c r="G18" s="7">
        <f>IF($B18="","",IF($BF18=0,0,ROUND(MAX(0,MIN($BL18,'Second Earner'!$C$37-'Second Earner'!$C$54-$BI17)),2)))</f>
      </c>
      <c r="H18" s="7">
        <f>IF($B18="","",IF(OR($BF18=0,$BQ18=1),0,ROUND(MAX(0,MIN(IF($BS18=1,ROUND(MAX(0,MIN($BJ18,'How This Works &amp; Sources'!$C$13)-$BG17)/MAX(1,MAX($BE$6:$BE$68)-($BE17)),2),ROUND(MIN($BJ18,'How This Works &amp; Sources'!$C$13)/'Second Earner'!$C$8,2)),MIN($BJ18,'How This Works &amp; Sources'!$C$13)-$BG17)),2)))</f>
      </c>
      <c r="I18" s="7">
        <f>IF($B18="","",IF(OR($BF18=0,$BR18=1),0,ROUND(MAX(0,MIN(IF($BT18=1,ROUND(MAX(0,MIN($BK18,IF('Second Earner'!$C$12="MFJ",'How This Works &amp; Sources'!$C$14,'How This Works &amp; Sources'!$C$15))-$BH17)/MAX(1,MAX($BE$6:$BE$68)-($BE17)),2),ROUND(MIN($BK18,IF('Second Earner'!$C$12="MFJ",'How This Works &amp; Sources'!$C$14,'How This Works &amp; Sources'!$C$15))/'Second Earner'!$C$8,2)),MIN($BK18,IF('Second Earner'!$C$12="MFJ",'How This Works &amp; Sources'!$C$14,'How This Works &amp; Sources'!$C$15))-$BH17)),2)))</f>
      </c>
      <c r="J18" s="7">
        <f>IF($B18="","",IF($BF18=0,0,$BM18))</f>
      </c>
      <c r="K18" s="7">
        <f>IF($B18="","",IF($BF18=0,0,$BN18+$BO18))</f>
      </c>
      <c r="L18" s="7">
        <f>IF($B18="","",IF($BF18=0,0,'Second Earner'!$D$46))</f>
      </c>
      <c r="M18" s="7">
        <f>IF($B18="","",$C18+$D18+$L18-$E18-$G18-$H18-$I18-$J18-$K18)</f>
      </c>
      <c r="N18" s="7">
        <f>IF($B18="","",$C18+$D18+$L18-$G18-$H18-$I18-$J18-$K18)</f>
      </c>
      <c r="O18" s="7">
        <f>IF($B18="","",$C18+$D18+$L18-$E18-$H18-$I18-$J18-$K18-IF(OR($AN18="CA",$AN18="NJ"),0,$G18))</f>
      </c>
      <c r="P18" s="7">
        <f>IF($B18="","",IF('Second Earner'!$C$18,0,ROUND(MAX(0,IF('Second Earner'!$C$13,SUMPRODUCT(($AH18&gt;INDEX('How This Works &amp; Sources'!$B$29:$J$36,0,IF('Second Earner'!$C$12="MFJ",1,IF('Second Earner'!$C$12="HoH",7,4))))*($AH18-INDEX('How This Works &amp; Sources'!$B$29:$J$36,0,IF('Second Earner'!$C$12="MFJ",1,IF('Second Earner'!$C$12="HoH",7,4))))*INDEX('How This Works &amp; Sources'!$B$29:$J$36,0,IF('Second Earner'!$C$12="MFJ",1,IF('Second Earner'!$C$12="HoH",7,4))+2)),SUMPRODUCT(($AH18&gt;INDEX('How This Works &amp; Sources'!$B$19:$J$26,0,IF('Second Earner'!$C$12="MFJ",1,IF('Second Earner'!$C$12="HoH",7,4))))*($AH18-INDEX('How This Works &amp; Sources'!$B$19:$J$26,0,IF('Second Earner'!$C$12="MFJ",1,IF('Second Earner'!$C$12="HoH",7,4))))*INDEX('How This Works &amp; Sources'!$B$19:$J$26,0,IF('Second Earner'!$C$12="MFJ",1,IF('Second Earner'!$C$12="HoH",7,4))+2)))/'Second Earner'!$C$8-$AO18/'Second Earner'!$C$8)+$AR18+IF('Second Earner'!$C$89="Aggregate",MAX(0,IF('Second Earner'!$C$13,SUMPRODUCT((($AH18+$D18)&gt;INDEX('How This Works &amp; Sources'!$B$29:$J$36,0,IF('Second Earner'!$C$12="MFJ",1,IF('Second Earner'!$C$12="HoH",7,4))))*(($AH18+$D18)-INDEX('How This Works &amp; Sources'!$B$29:$J$36,0,IF('Second Earner'!$C$12="MFJ",1,IF('Second Earner'!$C$12="HoH",7,4))))*INDEX('How This Works &amp; Sources'!$B$29:$J$36,0,IF('Second Earner'!$C$12="MFJ",1,IF('Second Earner'!$C$12="HoH",7,4))+2)),SUMPRODUCT((($AH18+$D18)&gt;INDEX('How This Works &amp; Sources'!$B$19:$J$26,0,IF('Second Earner'!$C$12="MFJ",1,IF('Second Earner'!$C$12="HoH",7,4))))*(($AH18+$D18)-INDEX('How This Works &amp; Sources'!$B$19:$J$26,0,IF('Second Earner'!$C$12="MFJ",1,IF('Second Earner'!$C$12="HoH",7,4))))*INDEX('How This Works &amp; Sources'!$B$19:$J$26,0,IF('Second Earner'!$C$12="MFJ",1,IF('Second Earner'!$C$12="HoH",7,4))+2)))-IF('Second Earner'!$C$13,SUMPRODUCT(($AH18&gt;INDEX('How This Works &amp; Sources'!$B$29:$J$36,0,IF('Second Earner'!$C$12="MFJ",1,IF('Second Earner'!$C$12="HoH",7,4))))*($AH18-INDEX('How This Works &amp; Sources'!$B$29:$J$36,0,IF('Second Earner'!$C$12="MFJ",1,IF('Second Earner'!$C$12="HoH",7,4))))*INDEX('How This Works &amp; Sources'!$B$29:$J$36,0,IF('Second Earner'!$C$12="MFJ",1,IF('Second Earner'!$C$12="HoH",7,4))+2)),SUMPRODUCT(($AH18&gt;INDEX('How This Works &amp; Sources'!$B$19:$J$26,0,IF('Second Earner'!$C$12="MFJ",1,IF('Second Earner'!$C$12="HoH",7,4))))*($AH18-INDEX('How This Works &amp; Sources'!$B$19:$J$26,0,IF('Second Earner'!$C$12="MFJ",1,IF('Second Earner'!$C$12="HoH",7,4))))*INDEX('How This Works &amp; Sources'!$B$19:$J$26,0,IF('Second Earner'!$C$12="MFJ",1,IF('Second Earner'!$C$12="HoH",7,4))+2)))),'How This Works &amp; Sources'!$C$10*$D18),2)))</f>
      </c>
      <c r="Q18" s="7">
        <f>IF($B18="","",ROUND('How This Works &amp; Sources'!$C$4*MIN($N18,MAX(0,'How This Works &amp; Sources'!$C$3-($AX18+$AB17-$AW18))),2))</f>
      </c>
      <c r="R18" s="7">
        <f>IF($B18="","",ROUND('How This Works &amp; Sources'!$C$5*$N18,2))</f>
      </c>
      <c r="S18" s="7">
        <f>IF($B18="","",ROUND('How This Works &amp; Sources'!$C$6*MAX(0,MIN($N18,$AG17+$N18-'How This Works &amp; Sources'!$C$7)),2))</f>
      </c>
      <c r="T18" s="7">
        <f>IF($B18="","",IF('Second Earner'!$C$26,0,IF($AN18="CA",ROUND(IF($AI18&lt;=IF(($AS18+$AT18)&gt;=2,VLOOKUP($AN18,StateTables!$A$6:$AB$56,10,FALSE),VLOOKUP($AN18,StateTables!$A$6:$AB$56,9,FALSE)),0,MAX(0,SUMPRODUCT(($AJ18&gt;INDEX('How This Works &amp; Sources'!$B$39:$J$48,0,IF($AU18="Married",4,IF($AU18="Head of household",7,1))))*($AJ18-INDEX('How This Works &amp; Sources'!$B$39:$J$48,0,IF($AU18="Married",4,IF($AU18="Head of household",7,1))))*INDEX('How This Works &amp; Sources'!$B$39:$J$48,0,IF($AU18="Married",4,IF($AU18="Head of household",7,1))+2))-VLOOKUP($AN18,StateTables!$A$6:$AB$56,11,FALSE)*$AS18)/'Second Earner'!$C$8)+'Second Earner'!$C$25+VLOOKUP($AN18,StateTables!$A$6:$AB$56,13,FALSE)*$D18,2),IF(VLOOKUP($AN18,StateTables!$A$6:$AB$56,4,FALSE)="None",0,IF(ISNUMBER(SEARCH("MANUAL",VLOOKUP($AN18,StateTables!$A$6:$AB$56,5,FALSE))),'Second Earner'!$C$28,ROUND(MAX(0,$BA18+$BB18)/'Second Earner'!$C$8+'Second Earner'!$C$25+$BC18,2))))))</f>
      </c>
      <c r="U18" s="7">
        <f>IF($B18="","",IF(VLOOKUP($AN18,StateTables!$A$6:$AB$56,24,FALSE)="flatq",IF(OR(MONTH($B18)=1,MONTH($B18)=4,MONTH($B18)=7,MONTH($B18)=10),VLOOKUP($AN18,StateTables!$A$6:$AB$56,25,FALSE),0),IF(VLOOKUP($AN18,StateTables!$A$6:$AB$56,24,FALSE)="dbl",MIN(ROUND(0.005*$N18,2),ROUND(0.6*52/'Second Earner'!$C$8,2)),IF(OR(VLOOKUP($AN18,StateTables!$A$6:$AB$56,15,FALSE)="",VLOOKUP($AN18,StateTables!$A$6:$AB$56,15,FALSE)=0),0,ROUND(VLOOKUP($AN18,StateTables!$A$6:$AB$56,15,FALSE)*IF(OR(VLOOKUP($AN18,StateTables!$A$6:$AB$56,16,FALSE)="",VLOOKUP($AN18,StateTables!$A$6:$AB$56,16,FALSE)=0),$N18,MIN($N18,MAX(0,VLOOKUP($AN18,StateTables!$A$6:$AB$56,16,FALSE)-($AX18+$AB17-$AW18)))),2))))+IF(VLOOKUP($AN18,StateTables!$A$6:$AB$56,27,FALSE)="flatq",IF(OR(MONTH($B18)=1,MONTH($B18)=4,MONTH($B18)=7,MONTH($B18)=10),VLOOKUP($AN18,StateTables!$A$6:$AB$56,28,FALSE),0),IF(VLOOKUP($AN18,StateTables!$A$6:$AB$56,27,FALSE)="dbl",MIN(ROUND(0.005*$N18,2),ROUND(0.6*52/'Second Earner'!$C$8,2)),IF(OR(VLOOKUP($AN18,StateTables!$A$6:$AB$56,18,FALSE)="",VLOOKUP($AN18,StateTables!$A$6:$AB$56,18,FALSE)=0),0,ROUND(VLOOKUP($AN18,StateTables!$A$6:$AB$56,18,FALSE)*IF(OR(VLOOKUP($AN18,StateTables!$A$6:$AB$56,19,FALSE)="",VLOOKUP($AN18,StateTables!$A$6:$AB$56,19,FALSE)=0),$N18,MIN($N18,MAX(0,VLOOKUP($AN18,StateTables!$A$6:$AB$56,19,FALSE)-($AX18+$AB17-$AW18)))),2)))))</f>
      </c>
      <c r="V18" s="7">
        <f>IF($B18="","",IF($AN18="NY",IF('Second Earner'!$C$78,ROUND(SUMPRODUCT((MAX(0,($O18-$D18)*'Second Earner'!$C$8-(IF($AU18="Married",5500,5000)+1000*$AS18))&gt;INDEX('How This Works &amp; Sources'!$B$184:$J$198,0,4))*(MAX(0,($O18-$D18)*'Second Earner'!$C$8-(IF($AU18="Married",5500,5000)+1000*$AS18))-INDEX('How This Works &amp; Sources'!$B$184:$J$198,0,4))*INDEX('How This Works &amp; Sources'!$B$184:$J$198,0,4+2))/'Second Earner'!$C$8+0.0425*$D18,2),0)+IF('Second Earner'!$C$79="Resident",ROUND(0.1675*$T18,2),IF('Second Earner'!$C$79="Nonresident",ROUND(0.005*MAX(0,($O18-$D18)-(IF($AU18="Married",7950,7400)+1000*$AS18)/'Second Earner'!$C$8),2),0)),IF($AN18="PA",IF('Second Earner'!$C$80="None",'Second Earner'!$C$27+ROUND('Second Earner'!$C$81*($C18+$D18),2),ROUND(IF('Second Earner'!$C$80="Resident",IF($B18&lt;DATE(2026,7,1),0.0374,0.03735),IF($B18&lt;DATE(2026,7,1),0.0343,0.03425))*($C18+$D18),2)),IF($BF18=0,ROUND('Second Earner'!$C$81*($C18+$D18),2),'Second Earner'!$C$27+ROUND('Second Earner'!$C$81*($C18+$D18),2)))))</f>
      </c>
      <c r="W18" s="7">
        <f>IF($B18="","",IF($BF18=0,0,$BP18))</f>
      </c>
      <c r="X18" s="7">
        <f>IF($B18="","",SUM($E18:$K18)+$P18+$Q18+$R18+$S18+$T18+$U18+$V18+$W18)</f>
      </c>
      <c r="Y18" s="22">
        <f>IF($B18="","",$C18+$D18-$X18)</f>
      </c>
      <c r="Z18" s="7">
        <f>IF($B18="","",$Z17+$C18+$D18)</f>
      </c>
      <c r="AA18" s="7">
        <f>IF($B18="","",$AA17+$Y18)</f>
      </c>
      <c r="AB18" s="7">
        <f>IF($B18="","",$AB17+MIN($N18,MAX(0,'How This Works &amp; Sources'!$C$3-($AX18+$AB17-$AW18))))</f>
      </c>
      <c r="AC18" s="7">
        <f>IF($B18="","",$AC17+$E18+$F18)</f>
      </c>
      <c r="AD18" s="3">
        <f>IF($B18="","",IF(AND($AB17&lt;'How This Works &amp; Sources'!$C$3,$AB18&gt;='How This Works &amp; Sources'!$C$3),"★ Social Security maxed on this check — from the next check your net rises by about $"&amp;TEXT(ROUND('How This Works &amp; Sources'!$C$4*$N18,2),"#,##0.00")&amp;". ","")&amp;IF(AND($AC17&lt;'Second Earner'!$C$34,$AC18&gt;='Second Earner'!$C$34),"★ 401(k) reaches the $"&amp;TEXT('Second Earner'!$C$34,"#,##0")&amp;" cap on this check — deferrals stop and net pay rises. ","")&amp;IF(AND($AG17&lt;'How This Works &amp; Sources'!$C$7,$AG18&gt;='How This Works &amp; Sources'!$C$7),"★ Wages pass $200,000 — the 0.9% Additional Medicare Tax starts here. ","")&amp;IF(AND($BJ18&gt;0,$H18&gt;0,$BG17&lt;MIN($BJ18,'How This Works &amp; Sources'!$C$13),$BG17+$H18&gt;=MIN($BJ18,'How This Works &amp; Sources'!$C$13)),"★ Health FSA election is now fully deferred for the year. ",""))</f>
      </c>
      <c r="AE18" s="41" t="n"/>
      <c r="AF18" s="7">
        <f>IF(OR($B18="",$AE18=""),"",$AE18-$Y18)</f>
      </c>
      <c r="AG18" s="7">
        <f>IF($B18="","",$AG17+$N18)</f>
      </c>
      <c r="AH18" s="7">
        <f>IF($B18="","",MAX(0,($M18-$D18)*'Second Earner'!$C$8+$AP18-$AQ18-IF('Second Earner'!$C$13,0,IF('Second Earner'!$C$12="MFJ",'How This Works &amp; Sources'!$C$8,'How This Works &amp; Sources'!$C$9))))</f>
      </c>
      <c r="AI18" s="7">
        <f>IF($B18="","",$O18*'Second Earner'!$C$8)</f>
      </c>
      <c r="AJ18" s="7">
        <f>IF($B18="","",MAX(0,$AI18-VLOOKUP($AN18,StateTables!$A$6:$AB$56,12,FALSE)*$AT18-IF(($AS18+$AT18)&gt;=2,VLOOKUP($AN18,StateTables!$A$6:$AB$56,8,FALSE),VLOOKUP($AN18,StateTables!$A$6:$AB$56,7,FALSE))))</f>
      </c>
      <c r="AK18" s="7">
        <f>IF($B18="","",IFERROR(LOOKUP(2,1/(('Changes — Earner 2'!$C$6:$C$17="Salary change")*('Changes — Earner 2'!$B$6:$B$17&lt;=$B18)*('Changes — Earner 2'!$B$6:$B$17&lt;&gt;"")),'Changes — Earner 2'!$D$6:$D$17),IF('Second Earner'!$C$4="Annual salary",'Second Earner'!$C$5,'Second Earner'!$C$6)))</f>
      </c>
      <c r="AL18">
        <f>IF($B18="","",IFERROR(LOOKUP(2,1/(('Changes — Earner 2'!$C$6:$C$17="401(k) change")*('Changes — Earner 2'!$B$6:$B$17&lt;=$B18)*('Changes — Earner 2'!$B$6:$B$17&lt;&gt;"")),'Changes — Earner 2'!$D$6:$D$17),'Second Earner'!$C$30))</f>
      </c>
      <c r="AM18" s="7">
        <f>IF($B18="","",IFERROR(LOOKUP(2,1/(('Changes — Earner 2'!$C$6:$C$17="401(k) change")*('Changes — Earner 2'!$B$6:$B$17&lt;=$B18)*('Changes — Earner 2'!$B$6:$B$17&lt;&gt;"")),'Changes — Earner 2'!$E$6:$E$17),'Second Earner'!$D$31))</f>
      </c>
      <c r="AN18">
        <f>IF($B18="","",IFERROR(LOOKUP(2,1/(('Changes — Earner 2'!$C$6:$C$17="State move")*('Changes — Earner 2'!$B$6:$B$17&lt;=$B18)*('Changes — Earner 2'!$B$6:$B$17&lt;&gt;"")),'Changes — Earner 2'!$D$6:$D$17),'Second Earner'!$C$21))</f>
      </c>
      <c r="AO18" s="7">
        <f>IF($B18="","",IFERROR(LOOKUP(2,1/(('Changes — Earner 2'!$C$6:$C$17="W-4 change")*('Changes — Earner 2'!$B$6:$B$17&lt;=$B18)*('Changes — Earner 2'!$B$6:$B$17&lt;&gt;"")),'Changes — Earner 2'!$D$6:$D$17),'Second Earner'!$C$14))</f>
      </c>
      <c r="AP18" s="7">
        <f>IF($B18="","",IFERROR(LOOKUP(2,1/(('Changes — Earner 2'!$C$6:$C$17="W-4 change")*('Changes — Earner 2'!$B$6:$B$17&lt;=$B18)*('Changes — Earner 2'!$B$6:$B$17&lt;&gt;"")),'Changes — Earner 2'!$E$6:$E$17),'Second Earner'!$C$15))</f>
      </c>
      <c r="AQ18" s="7">
        <f>IF($B18="","",IFERROR(LOOKUP(2,1/(('Changes — Earner 2'!$C$6:$C$17="W-4 change")*('Changes — Earner 2'!$B$6:$B$17&lt;=$B18)*('Changes — Earner 2'!$B$6:$B$17&lt;&gt;"")),'Changes — Earner 2'!$F$6:$F$17),'Second Earner'!$C$16))</f>
      </c>
      <c r="AR18" s="7">
        <f>IF($B18="","",IFERROR(LOOKUP(2,1/(('Changes — Earner 2'!$C$6:$C$17="W-4 change")*('Changes — Earner 2'!$B$6:$B$17&lt;=$B18)*('Changes — Earner 2'!$B$6:$B$17&lt;&gt;"")),'Changes — Earner 2'!$G$6:$G$17),'Second Earner'!$C$17))</f>
      </c>
      <c r="AS18" s="6">
        <f>IF($B18="","",IFERROR(LOOKUP(2,1/((('Changes — Earner 2'!$C$6:$C$17="State move")+('Changes — Earner 2'!$C$6:$C$17="State cert change"))*('Changes — Earner 2'!$B$6:$B$17&lt;=$B18)*('Changes — Earner 2'!$B$6:$B$17&lt;&gt;"")),'Changes — Earner 2'!$F$6:$F$17),'Second Earner'!$C$23))</f>
      </c>
      <c r="AT18" s="6">
        <f>IF($B18="","",IFERROR(LOOKUP(2,1/((('Changes — Earner 2'!$C$6:$C$17="State move")+('Changes — Earner 2'!$C$6:$C$17="State cert change"))*('Changes — Earner 2'!$B$6:$B$17&lt;=$B18)*('Changes — Earner 2'!$B$6:$B$17&lt;&gt;"")),'Changes — Earner 2'!$G$6:$G$17),'Second Earner'!$C$24))</f>
      </c>
      <c r="AU18">
        <f>IF($B18="","",IFERROR(LOOKUP(2,1/(('Changes — Earner 2'!$C$6:$C$17="State move")*('Changes — Earner 2'!$B$6:$B$17&lt;=$B18)*('Changes — Earner 2'!$B$6:$B$17&lt;&gt;"")),'Changes — Earner 2'!$E$6:$E$17),'Second Earner'!$C$22))</f>
      </c>
      <c r="AV18" s="6">
        <f>IF($B18="","",1+COUNTIFS('Changes — Earner 2'!$C$6:$C$17,"Employer change",'Changes — Earner 2'!$B$6:$B$17,"&lt;="&amp;$B18,'Changes — Earner 2'!$B$6:$B$17,"&lt;&gt;"))</f>
      </c>
      <c r="AW18" s="7">
        <f>IF($B18="","",IF($AV18=1,'Second Earner'!$C$49,IF(IFERROR(MATCH(IFERROR(LOOKUP(2,1/(('Changes — Earner 2'!$C$6:$C$17="Employer change")*('Changes — Earner 2'!$B$6:$B$17&lt;=$B18)*('Changes — Earner 2'!$B$6:$B$17&lt;&gt;"")),'Changes — Earner 2'!$B$6:$B$17),""),$B$6:$B$68,1),1)&lt;=1,'Second Earner'!$C$49,INDEX($AB$6:$AB$68,MATCH(IFERROR(LOOKUP(2,1/(('Changes — Earner 2'!$C$6:$C$17="Employer change")*('Changes — Earner 2'!$B$6:$B$17&lt;=$B18)*('Changes — Earner 2'!$B$6:$B$17&lt;&gt;"")),'Changes — Earner 2'!$B$6:$B$17),""),$B$6:$B$68,1)-1))))</f>
      </c>
      <c r="AX18" s="7">
        <f>IF($B18="","",IF($AV18=1,'Second Earner'!$C$49,IFERROR(LOOKUP(2,1/(('Changes — Earner 2'!$C$6:$C$17="Employer change")*('Changes — Earner 2'!$B$6:$B$17&lt;=$B18)*('Changes — Earner 2'!$B$6:$B$17&lt;&gt;"")),'Changes — Earner 2'!$D$6:$D$17),0)))</f>
      </c>
      <c r="AY18" s="7">
        <f>IF($B18="","",($O18-$D18)*'Second Earner'!$C$8)</f>
      </c>
      <c r="AZ18" s="7">
        <f>IF($B18="","",IF($AN18="AL",MAX(0,$AY18-IF($AU18="Married",IF($AY18&lt;=25999,8500,MAX(5000,8500-175*CEILING(($AY18-25999)/500,1))),IF($AU18="Head of household",IF($AY18&lt;=25999,5200,MAX(2500,5200-135*CEILING(($AY18-25999)/500,1))),IF($AY18&lt;=25999,3000,MAX(2500,3000-25*CEILING(($AY18-25999)/500,1)))))-($P18-'How This Works &amp; Sources'!$C$10*$D18)*'Second Earner'!$C$8-IF(OR($AU18="Married",$AU18="Head of household"),3000,1500)-$AT18*IF($AY18&lt;=50000,1000,IF($AY18&lt;=100000,500,300))),IF($AN18="AR",IF(MAX(0,$AY18-2470)&lt;97701,INT(MAX(0,$AY18-2470)/100)*100+50,MAX(0,$AY18-2470)),IF($AN18="DE",MAX(0,$AI18-3250),IF($AN18="HI",MAX(0,$AI18-1144*$AS18-4350),IF($AN18="KS",MAX(0,$AI18-(9160*IF($AU18="Married",2,1)+2320*$AT18+IF($AU18="Head of household",2320,0))),IF($AN18="MD",MAX(0,$AI18-3400-3200*$AS18),IF($AN18="MN",MAX(0,$AY18-5300*$AS18),IF($AN18="MO",MAX(0,$AI18-IF($AU18="Head of household",24150,IF($AU18="Married",IF('Second Earner'!$C$83,16100,32200),16100))),IF($AN18="MT",$AY18,IF($AN18="ND",($C18+$L18)*'Second Earner'!$C$8,IF($AN18="NE",MAX(0,$AY18-2440*$AS18),IF($AN18="NJ",MAX(0,$AY18-1000*$AS18),IF($AN18="NY",MAX(0,$AY18-(IF($AU18="Married",7950,7400)+1000*$AS18)),IF($AN18="OH",MAX(0,$AY18-650*$AS18),IF($AN18="OK",MAX(0,$AY18-1000*$AS18),IF($AN18="RI",MAX(0,$AI18-1000*$AS18),IF($AN18="SC",MAX(0,$AI18-5000*$AS18-IF($AS18=0,0,MIN(0.1*$AI18,7500))),IF($AN18="VA",MAX(0,$AI18-IF($AU18="Married",17500,8750)-930*$AS18-800*$AT18),IF($AN18="VT",MAX(0,$AI18-5400*$AS18),IF($AN18="WI",MAX(0,$AI18-MAX(0,IF($AU18="Married",9461-0.2*MAX(0,$AI18-25727),6702-0.12*MAX(0,$AI18-17780)))-400*$AS18),IF($AN18="WV",MAX(0,$AI18-2000*$AS18),$AI18))))))))))))))))))))))</f>
      </c>
      <c r="BA18" s="7">
        <f>IF($B18="","",IF($BW18&lt;&gt;"",$BW18,IF($BX18&lt;&gt;"",$BX18,IF($BY18&lt;&gt;"",$BY18,0))))</f>
      </c>
      <c r="BB18" s="7">
        <f>IF($B18="","",IF($AN18="AR",-29*$AS18,IF($AN18="DE",-110*$AS18,IF($AN18="MD",$AZ18*'Second Earner'!$C$74,IF($AN18="AZ",'Second Earner'!$C$82*($M18-$D18)*'Second Earner'!$C$8,IF($AN18="CO",0.044*MAX(0,$AY18-IF($AU18="Married",10000,5000)),IF($AN18="IA",MAX(0,0.038*MAX(0,$AY18-IF($AU18="Head of household",19500,IF($AU18="Married",26000,13000)))-40*$AS18),IF($AN18="ID",0.053*MAX(0,$AY18-IF($AU18="Married",32000,16094)),IF($AN18="IL",0.0495*MAX(0,$AY18-(2925*$AS18+1000*$AT18)),IF($AN18="IN",(0.0295+'Second Earner'!$C$76)*MAX(0,$AY18-(1000*$AS18+1500*$AT18+3000*'Second Earner'!$C$86)),IF($AN18="KY",0.035*MAX(0,$AI18-3360),IF($AN18="LA",IF('Second Earner'!$C$84="0",0.0309*$AI18,0.0309*MAX(0,$AI18-IF('Second Earner'!$C$84="2",25750,12875))),IF($AN18="MA",0.05*MIN(MAX(0,$AY18-MIN(($BD17+$Q18+$R18+$S18),2000)-IF($AS18=0,0,IF($AS18=1,4400,1000*$AS18+3400))),1107750)+0.09*MAX(0,MAX(0,$AY18-MIN(($BD17+$Q18+$R18+$S18),2000)-IF($AS18=0,0,IF($AS18=1,4400,1000*$AS18+3400)))-1107750)-IF($AU18="Head of household",120,0)-110*'Second Earner'!$C$75,IF($AN18="MI",0.0425*MAX(0,$AY18-5900*$AS18),IF($AN18="MS",0.04*MAX(0,$AI18-IF($AU18="Head of household",3400,IF($AU18="Married",4600,2300))-'Second Earner'!$C$85-10000),IF($AN18="OR",IF(OR($AU18="Married",AND($AU18="Single",$AS18&gt;=3)),SUMPRODUCT((MAX(0,$AY18-MIN(($P18-'How This Works &amp; Sources'!$C$10*$D18)*'Second Earner'!$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Sources'!$B$211:$J$214,0,4))*(MAX(0,$AY18-MIN(($P18-'How This Works &amp; Sources'!$C$10*$D18)*'Second Earner'!$C$8,IF(OR($AU18="Married",AND($AU18="Single",$AS18&gt;=3)),IF($AY18&lt;250000,8750,IF($AY18&lt;260000,7000,IF($AY18&lt;270000,5250,IF($AY18&lt;280000,3500,IF($AY18&lt;290000,1750,0))))),IF($AY18&lt;125000,8750,IF($AY18&lt;130000,7000,IF($AY18&lt;135000,5250,IF($AY18&lt;140000,3500,IF($AY18&lt;145000,1750,0)))))))-IF(OR($AU18="Married",AND($AU18="Single",$AS18&gt;=3)),5820,2910))-INDEX('How This Works &amp; Sources'!$B$211:$J$214,0,4))*INDEX('How This Works &amp; Sources'!$B$211:$J$214,0,4+2)),SUMPRODUCT((MAX(0,$AY18-MIN(($P18-'How This Works &amp; Sources'!$C$10*$D18)*'Second Earner'!$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Sources'!$B$211:$J$214,0,1))*(MAX(0,$AY18-MIN(($P18-'How This Works &amp; Sources'!$C$10*$D18)*'Second Earner'!$C$8,IF(OR($AU18="Married",AND($AU18="Single",$AS18&gt;=3)),IF($AY18&lt;250000,8750,IF($AY18&lt;260000,7000,IF($AY18&lt;270000,5250,IF($AY18&lt;280000,3500,IF($AY18&lt;290000,1750,0))))),IF($AY18&lt;125000,8750,IF($AY18&lt;130000,7000,IF($AY18&lt;135000,5250,IF($AY18&lt;140000,3500,IF($AY18&lt;145000,1750,0)))))))-IF(OR($AU18="Married",AND($AU18="Single",$AS18&gt;=3)),5820,2910))-INDEX('How This Works &amp; Sources'!$B$211:$J$214,0,1))*INDEX('How This Works &amp; Sources'!$B$211:$J$214,0,1+2)))+263-263*IF(IF($AU18="Married",$AY18&gt;200000,$AY18&gt;100000),0,$AS18),IF($AN18="PA",0.0307*(($O18+$E18+$G18)*'Second Earner'!$C$8),IF($AN18="NY",IF($AU18="Married",IF($AZ18&gt;=2155350,0,IF($AZ18&gt;=1077550,0.48,IF($AZ18&gt;=373200,1.21,IF($AZ18&gt;=323200,0.21,IF($AZ18&gt;=211550,-0.19,IF($AZ18&gt;=157650,-2.8,IF($AZ18&gt;=107650,-0.8,IF($AZ18&gt;=96800,0.05,IF($AZ18&gt;=80650,-0.1,IF($AZ18&gt;=13900,0.4,IF($AZ18&gt;=11700,-0.3,IF($AZ18&gt;=8500,0.5,0)))))))))))),IF($AZ18&gt;=1077550,0,IF($AZ18&gt;=265400,4.29,IF($AZ18&gt;=215400,2.29,IF($AZ18&gt;=157650,2.29,IF($AZ18&gt;=107650,0.29,IF($AZ18&gt;=96800,0.05,IF($AZ18&gt;=80650,-0.1,IF($AZ18&gt;=13900,0.4,IF($AZ18&gt;=11700,-0.3,IF($AZ18&gt;=8500,0.5,0))))))))))),0))))))))))))))))))</f>
      </c>
      <c r="BC18" s="7">
        <f>IF($B18="","",IF($AN18="AL",0.05*$D18,IF($AN18="AR",0.039*$D18,IF($AN18="ID",0.053*$D18,IF($AN18="IN",(0.0295+'Second Earner'!$C$76)*$D18,IF($AN18="KS",0.05*$D18,IF($AN18="MA",0.09*MIN($D18,MAX(0,MAX(0,$AY18-MIN(($BD17+$Q18+$R18+$S18),2000)-IF($AS18=0,0,IF($AS18=1,4400,1000*$AS18+3400)))+$D18-1107750))+0.05*($D18-MIN($D18,MAX(0,MAX(0,$AY18-MIN(($BD17+$Q18+$R18+$S18),2000)-IF($AS18=0,0,IF($AS18=1,4400,1000*$AS18+3400)))+$D18-1107750))),IF($AN18="MD",(0.065+'Second Earner'!$C$74)*$D18,IF($AN18="MI",0.0425*$D18,IF($AN18="MN",0.0625*$D18,IF($AN18="MO",0.047*$D18,IF($AN18="MT",0.05*$D18,IF($AN18="ND",0.015*$D18,IF($AN18="NE",0.035*$D18,IF($AN18="NJ",IF('Second Earner'!$C$77="B",SUMPRODUCT(($D18*'Second Earner'!$C$8&gt;INDEX('How This Works &amp; Sources'!$B$155:$J$162,0,4))*($D18*'Second Earner'!$C$8-INDEX('How This Works &amp; Sources'!$B$155:$J$162,0,4))*INDEX('How This Works &amp; Sources'!$B$155:$J$162,0,4+2)),IF('Second Earner'!$C$77="C",SUMPRODUCT(($D18*'Second Earner'!$C$8&gt;INDEX('How This Works &amp; Sources'!$B$155:$J$162,0,7))*($D18*'Second Earner'!$C$8-INDEX('How This Works &amp; Sources'!$B$155:$J$162,0,7))*INDEX('How This Works &amp; Sources'!$B$155:$J$162,0,7+2)),IF('Second Earner'!$C$77="D",SUMPRODUCT(($D18*'Second Earner'!$C$8&gt;INDEX('How This Works &amp; Sources'!$B$167:$J$179,0,1))*($D18*'Second Earner'!$C$8-INDEX('How This Works &amp; Sources'!$B$167:$J$179,0,1))*INDEX('How This Works &amp; Sources'!$B$167:$J$179,0,1+2)),IF('Second Earner'!$C$77="E",SUMPRODUCT(($D18*'Second Earner'!$C$8&gt;INDEX('How This Works &amp; Sources'!$B$167:$J$179,0,4))*($D18*'Second Earner'!$C$8-INDEX('How This Works &amp; Sources'!$B$167:$J$179,0,4))*INDEX('How This Works &amp; Sources'!$B$167:$J$179,0,4+2)),SUMPRODUCT(($D18*'Second Earner'!$C$8&gt;INDEX('How This Works &amp; Sources'!$B$155:$J$162,0,1))*($D18*'Second Earner'!$C$8-INDEX('How This Works &amp; Sources'!$B$155:$J$162,0,1))*INDEX('How This Works &amp; Sources'!$B$155:$J$162,0,1+2))))))/'Second Earner'!$C$8,IF($AN18="NY",0.117*$D18,IF($AN18="OH",0.0275*$D18,IF($AN18="OK",0.045*$D18,IF($AN18="OR",0.08*$D18,IF($AN18="WI",IF($AY18&lt;12760,0.0354,IF($AY18&lt;25520,0.0465,IF($AY18&lt;280950,0.053,0.0765)))*$D18,0))))))))))))))))))))</f>
      </c>
      <c r="BD18" s="7">
        <f>IF($B18="","",$BD17+$Q18+$R18+$S18)</f>
      </c>
      <c r="BE18" s="6">
        <f>IF($B18="",$BE17,$BE17+$BF18)</f>
      </c>
      <c r="BF18" s="6">
        <f>IF($B18="","",IF(AND(IF(YEAR(IF('Second Earner'!$C$7="Weekly",'Second Earner'!$C$9+7*(($BE17+1)-1),IF('Second Earner'!$C$7="Biweekly",'Second Earner'!$C$9+14*(($BE17+1)-1),IF('Second Earner'!$C$7="Semimonthly",DATE(YEAR('Second Earner'!$C$9),MONTH('Second Earner'!$C$9)+INT((($BE17+1)-1)/2),MIN(DAY('Second Earner'!$C$9),DAY(EOMONTH(DATE(YEAR('Second Earner'!$C$9),MONTH('Second Earner'!$C$9)+INT((($BE17+1)-1)/2),1),0))))+IF(MOD(($BE17+1)-1,2)=1,15,0),EDATE('Second Earner'!$C$9,($BE17+1)-1)))))&lt;&gt;'Second Earner'!$C$10,"",IF('Second Earner'!$C$7="Weekly",'Second Earner'!$C$9+7*(($BE17+1)-1),IF('Second Earner'!$C$7="Biweekly",'Second Earner'!$C$9+14*(($BE17+1)-1),IF('Second Earner'!$C$7="Semimonthly",DATE(YEAR('Second Earner'!$C$9),MONTH('Second Earner'!$C$9)+INT((($BE17+1)-1)/2),MIN(DAY('Second Earner'!$C$9),DAY(EOMONTH(DATE(YEAR('Second Earner'!$C$9),MONTH('Second Earner'!$C$9)+INT((($BE17+1)-1)/2),1),0))))+IF(MOD(($BE17+1)-1,2)=1,15,0),EDATE('Second Earner'!$C$9,($BE17+1)-1)))))&lt;&gt;"",$B18=IF(YEAR(IF('Second Earner'!$C$7="Weekly",'Second Earner'!$C$9+7*(($BE17+1)-1),IF('Second Earner'!$C$7="Biweekly",'Second Earner'!$C$9+14*(($BE17+1)-1),IF('Second Earner'!$C$7="Semimonthly",DATE(YEAR('Second Earner'!$C$9),MONTH('Second Earner'!$C$9)+INT((($BE17+1)-1)/2),MIN(DAY('Second Earner'!$C$9),DAY(EOMONTH(DATE(YEAR('Second Earner'!$C$9),MONTH('Second Earner'!$C$9)+INT((($BE17+1)-1)/2),1),0))))+IF(MOD(($BE17+1)-1,2)=1,15,0),EDATE('Second Earner'!$C$9,($BE17+1)-1)))))&lt;&gt;'Second Earner'!$C$10,"",IF('Second Earner'!$C$7="Weekly",'Second Earner'!$C$9+7*(($BE17+1)-1),IF('Second Earner'!$C$7="Biweekly",'Second Earner'!$C$9+14*(($BE17+1)-1),IF('Second Earner'!$C$7="Semimonthly",DATE(YEAR('Second Earner'!$C$9),MONTH('Second Earner'!$C$9)+INT((($BE17+1)-1)/2),MIN(DAY('Second Earner'!$C$9),DAY(EOMONTH(DATE(YEAR('Second Earner'!$C$9),MONTH('Second Earner'!$C$9)+INT((($BE17+1)-1)/2),1),0))))+IF(MOD(($BE17+1)-1,2)=1,15,0),EDATE('Second Earner'!$C$9,($BE17+1)-1)))))),1,0))</f>
      </c>
      <c r="BG18" s="7">
        <f>IF($B18="","",$BG17+$H18)</f>
      </c>
      <c r="BH18" s="7">
        <f>IF($B18="","",$BH17+$I18)</f>
      </c>
      <c r="BI18" s="7">
        <f>IF($B18="","",$BI17+$G18)</f>
      </c>
      <c r="BJ18" s="7">
        <f>IF($B18="","",IFERROR(LOOKUP(2,1/(((('Changes — Earner 2'!$C$6:$C$17="Deduction start"))*('Changes — Earner 2'!$D$6:$D$17="Health FSA"))*('Changes — Earner 2'!$B$6:$B$17&lt;=$B18)*('Changes — Earner 2'!$B$6:$B$17&lt;&gt;"")),'Changes — Earner 2'!$E$6:$E$17),'Second Earner'!$D$38))</f>
      </c>
      <c r="BK18" s="7">
        <f>IF($B18="","",IFERROR(LOOKUP(2,1/(((('Changes — Earner 2'!$C$6:$C$17="Deduction start"))*('Changes — Earner 2'!$D$6:$D$17="Dependent-care FSA"))*('Changes — Earner 2'!$B$6:$B$17&lt;=$B18)*('Changes — Earner 2'!$B$6:$B$17&lt;&gt;"")),'Changes — Earner 2'!$E$6:$E$17),'Second Earner'!$D$39))</f>
      </c>
      <c r="BL18" s="7">
        <f>IF($B18="","",IFERROR(LOOKUP(2,1/(((('Changes — Earner 2'!$C$6:$C$17="Deduction start")+('Changes — Earner 2'!$C$6:$C$17="Deduction stop"))*('Changes — Earner 2'!$D$6:$D$17="HSA"))*('Changes — Earner 2'!$B$6:$B$17&lt;=$B18)*('Changes — Earner 2'!$B$6:$B$17&lt;&gt;"")),'Changes — Earner 2'!$I$6:$I$17),'Second Earner'!$D$35))</f>
      </c>
      <c r="BM18" s="7">
        <f>IF($B18="","",IFERROR(LOOKUP(2,1/(((('Changes — Earner 2'!$C$6:$C$17="Deduction start")+('Changes — Earner 2'!$C$6:$C$17="Deduction stop"))*('Changes — Earner 2'!$D$6:$D$17="Premiums"))*('Changes — Earner 2'!$B$6:$B$17&lt;=$B18)*('Changes — Earner 2'!$B$6:$B$17&lt;&gt;"")),'Changes — Earner 2'!$I$6:$I$17),'Second Earner'!$D$40+'Second Earner'!$D$41+'Second Earner'!$D$42))</f>
      </c>
      <c r="BN18" s="7">
        <f>IF($B18="","",IFERROR(LOOKUP(2,1/(((('Changes — Earner 2'!$C$6:$C$17="Deduction start")+('Changes — Earner 2'!$C$6:$C$17="Deduction stop"))*('Changes — Earner 2'!$D$6:$D$17="Commuter"))*('Changes — Earner 2'!$B$6:$B$17&lt;=$B18)*('Changes — Earner 2'!$B$6:$B$17&lt;&gt;"")),'Changes — Earner 2'!$I$6:$I$17),'Second Earner'!$D$43))</f>
      </c>
      <c r="BO18" s="7">
        <f>IF($B18="","",IFERROR(LOOKUP(2,1/(((('Changes — Earner 2'!$C$6:$C$17="Deduction start")+('Changes — Earner 2'!$C$6:$C$17="Deduction stop"))*('Changes — Earner 2'!$D$6:$D$17="Other pre-tax"))*('Changes — Earner 2'!$B$6:$B$17&lt;=$B18)*('Changes — Earner 2'!$B$6:$B$17&lt;&gt;"")),'Changes — Earner 2'!$I$6:$I$17),'Second Earner'!$D$44))</f>
      </c>
      <c r="BP18" s="7">
        <f>IF($B18="","",IFERROR(LOOKUP(2,1/(((('Changes — Earner 2'!$C$6:$C$17="Deduction start")+('Changes — Earner 2'!$C$6:$C$17="Deduction stop"))*('Changes — Earner 2'!$D$6:$D$17="Other post-tax"))*('Changes — Earner 2'!$B$6:$B$17&lt;=$B18)*('Changes — Earner 2'!$B$6:$B$17&lt;&gt;"")),'Changes — Earner 2'!$I$6:$I$17),'Second Earner'!$D$45))</f>
      </c>
      <c r="BQ18" s="6">
        <f>IF($B18="","",IFERROR(LOOKUP(2,1/(((('Changes — Earner 2'!$C$6:$C$17="Deduction start")+('Changes — Earner 2'!$C$6:$C$17="Deduction stop"))*('Changes — Earner 2'!$D$6:$D$17="Health FSA"))*('Changes — Earner 2'!$B$6:$B$17&lt;=$B18)*('Changes — Earner 2'!$B$6:$B$17&lt;&gt;"")),'Changes — Earner 2'!$J$6:$J$17),0))</f>
      </c>
      <c r="BR18" s="6">
        <f>IF($B18="","",IFERROR(LOOKUP(2,1/(((('Changes — Earner 2'!$C$6:$C$17="Deduction start")+('Changes — Earner 2'!$C$6:$C$17="Deduction stop"))*('Changes — Earner 2'!$D$6:$D$17="Dependent-care FSA"))*('Changes — Earner 2'!$B$6:$B$17&lt;=$B18)*('Changes — Earner 2'!$B$6:$B$17&lt;&gt;"")),'Changes — Earner 2'!$J$6:$J$17),0))</f>
      </c>
      <c r="BS18" s="6">
        <f>IF($B18="","",IF(SUMPRODUCT(('Changes — Earner 2'!$C$6:$C$17="Deduction start")*('Changes — Earner 2'!$B$6:$B$17&lt;=$B18)*('Changes — Earner 2'!$B$6:$B$17&lt;&gt;"")*('Changes — Earner 2'!$D$6:$D$17="Health FSA"))&gt;0,1,0))</f>
      </c>
      <c r="BT18" s="6">
        <f>IF($B18="","",IF(SUMPRODUCT(('Changes — Earner 2'!$C$6:$C$17="Deduction start")*('Changes — Earner 2'!$B$6:$B$17&lt;=$B18)*('Changes — Earner 2'!$B$6:$B$17&lt;&gt;"")*('Changes — Earner 2'!$D$6:$D$17="Dependent-care FSA"))&gt;0,1,0))</f>
      </c>
      <c r="BU18" s="24">
        <f>IF($B18="","",IF('Second Earner'!$C$13,SUMPRODUCT(($AH18&gt;=INDEX('How This Works &amp; Sources'!$B$29:$J$36,0,IF('Second Earner'!$C$12="MFJ",1,IF('Second Earner'!$C$12="HoH",7,4))))*INDEX('How This Works &amp; Sources'!$B$29:$J$36,0,IF('Second Earner'!$C$12="MFJ",1,IF('Second Earner'!$C$12="HoH",7,4))+2)),SUMPRODUCT(($AH18&gt;=INDEX('How This Works &amp; Sources'!$B$19:$J$26,0,IF('Second Earner'!$C$12="MFJ",1,IF('Second Earner'!$C$12="HoH",7,4))))*INDEX('How This Works &amp; Sources'!$B$19:$J$26,0,IF('Second Earner'!$C$12="MFJ",1,IF('Second Earner'!$C$12="HoH",7,4))+2))))</f>
      </c>
      <c r="BV18" s="24">
        <f>IF($B18="","",IF($BZ18&lt;&gt;"",$BZ18,IF($CA18&lt;&gt;"",$CA18,IF($CB18&lt;&gt;"",$CB18,IF($CC18&lt;&gt;"",$CC18,0)))))</f>
      </c>
      <c r="BW18" s="7">
        <f>IF($B18="","",IF($AN18="AR",SUMPRODUCT(($AZ18&gt;INDEX('How This Works &amp; Sources'!$B$82:$J$86,0,7))*($AZ18-INDEX('How This Works &amp; Sources'!$B$82:$J$86,0,7))*INDEX('How This Works &amp; Sources'!$B$82:$J$86,0,7+2)),IF($AN18="MD",IF(OR($AU18="Married",$AU18="Head of household"),SUMPRODUCT(($AZ18&gt;INDEX('How This Works &amp; Sources'!$B$114:$J$120,0,1))*($AZ18-INDEX('How This Works &amp; Sources'!$B$114:$J$120,0,1))*INDEX('How This Works &amp; Sources'!$B$114:$J$120,0,1+2)),SUMPRODUCT(($AZ18&gt;INDEX('How This Works &amp; Sources'!$B$103:$J$109,0,7))*($AZ18-INDEX('How This Works &amp; Sources'!$B$103:$J$109,0,7))*INDEX('How This Works &amp; Sources'!$B$103:$J$109,0,7+2))),IF($AN18="MT",IF($AU18="Head of household",SUMPRODUCT(($AZ18&gt;INDEX('How This Works &amp; Sources'!$B$137:$J$139,0,1))*($AZ18-INDEX('How This Works &amp; Sources'!$B$137:$J$139,0,1))*INDEX('How This Works &amp; Sources'!$B$137:$J$139,0,1+2)),IF($AU18="Married",SUMPRODUCT(($AZ18&gt;INDEX('How This Works &amp; Sources'!$B$125:$J$132,0,7))*($AZ18-INDEX('How This Works &amp; Sources'!$B$125:$J$132,0,7))*INDEX('How This Works &amp; Sources'!$B$125:$J$132,0,7+2)),SUMPRODUCT(($AZ18&gt;INDEX('How This Works &amp; Sources'!$B$125:$J$132,0,4))*($AZ18-INDEX('How This Works &amp; Sources'!$B$125:$J$132,0,4))*INDEX('How This Works &amp; Sources'!$B$125:$J$132,0,4+2)))),IF($AN18="ND",IF($AU18="Head of household",SUMPRODUCT(($AZ18&gt;INDEX('How This Works &amp; Sources'!$B$144:$J$150,0,1))*($AZ18-INDEX('How This Works &amp; Sources'!$B$144:$J$150,0,1))*INDEX('How This Works &amp; Sources'!$B$144:$J$150,0,1+2)),IF($AU18="Married",SUMPRODUCT(($AZ18&gt;INDEX('How This Works &amp; Sources'!$B$137:$J$139,0,7))*($AZ18-INDEX('How This Works &amp; Sources'!$B$137:$J$139,0,7))*INDEX('How This Works &amp; Sources'!$B$137:$J$139,0,7+2)),SUMPRODUCT(($AZ18&gt;INDEX('How This Works &amp; Sources'!$B$137:$J$139,0,4))*($AZ18-INDEX('How This Works &amp; Sources'!$B$137:$J$139,0,4))*INDEX('How This Works &amp; Sources'!$B$137:$J$139,0,4+2)))),IF($AN18="NJ",IF('Second Earner'!$C$77="B",SUMPRODUCT(($AZ18&gt;INDEX('How This Works &amp; Sources'!$B$155:$J$162,0,4))*($AZ18-INDEX('How This Works &amp; Sources'!$B$155:$J$162,0,4))*INDEX('How This Works &amp; Sources'!$B$155:$J$162,0,4+2)),IF('Second Earner'!$C$77="C",SUMPRODUCT(($AZ18&gt;INDEX('How This Works &amp; Sources'!$B$155:$J$162,0,7))*($AZ18-INDEX('How This Works &amp; Sources'!$B$155:$J$162,0,7))*INDEX('How This Works &amp; Sources'!$B$155:$J$162,0,7+2)),IF('Second Earner'!$C$77="D",SUMPRODUCT(($AZ18&gt;INDEX('How This Works &amp; Sources'!$B$167:$J$179,0,1))*($AZ18-INDEX('How This Works &amp; Sources'!$B$167:$J$179,0,1))*INDEX('How This Works &amp; Sources'!$B$167:$J$179,0,1+2)),IF('Second Earner'!$C$77="E",SUMPRODUCT(($AZ18&gt;INDEX('How This Works &amp; Sources'!$B$167:$J$179,0,4))*($AZ18-INDEX('How This Works &amp; Sources'!$B$167:$J$179,0,4))*INDEX('How This Works &amp; Sources'!$B$167:$J$179,0,4+2)),SUMPRODUCT(($AZ18&gt;INDEX('How This Works &amp; Sources'!$B$155:$J$162,0,1))*($AZ18-INDEX('How This Works &amp; Sources'!$B$155:$J$162,0,1))*INDEX('How This Works &amp; Sources'!$B$155:$J$162,0,1+2)))))),IF($AN18="NY",IF($AU18="Married",IF($AZ18&gt;=2155350,$AZ18*IF($AZ18&gt;25000000,0.117,IF($AZ18&gt;5000000,0.111,0.1045)),SUMPRODUCT(($AZ18&gt;INDEX('How This Works &amp; Sources'!$B$184:$J$198,0,1))*($AZ18-INDEX('How This Works &amp; Sources'!$B$184:$J$198,0,1))*INDEX('How This Works &amp; Sources'!$B$184:$J$198,0,1+2))),IF($AZ18&gt;=1077550,$AZ18*IF($AZ18&gt;25000000,0.117,IF($AZ18&gt;5000000,0.111,0.1045)),SUMPRODUCT(($AZ18&gt;INDEX('How This Works &amp; Sources'!$B$167:$J$179,0,7))*($AZ18-INDEX('How This Works &amp; Sources'!$B$167:$J$179,0,7))*INDEX('How This Works &amp; Sources'!$B$167:$J$179,0,7+2)))),"")))))))</f>
      </c>
      <c r="BX18" s="7">
        <f>IF($B18="","",IF($AN18="AL",IF(OR($AU18="Married",$AU18="Head of household"),SUMPRODUCT(($AZ18&gt;INDEX('How This Works &amp; Sources'!$B$82:$J$86,0,4))*($AZ18-INDEX('How This Works &amp; Sources'!$B$82:$J$86,0,4))*INDEX('How This Works &amp; Sources'!$B$82:$J$86,0,4+2)),SUMPRODUCT(($AZ18&gt;INDEX('How This Works &amp; Sources'!$B$82:$J$86,0,1))*($AZ18-INDEX('How This Works &amp; Sources'!$B$82:$J$86,0,1))*INDEX('How This Works &amp; Sources'!$B$82:$J$86,0,1+2))),IF($AN18="KS",IF($AU18="Married",SUMPRODUCT(($AZ18&gt;INDEX('How This Works &amp; Sources'!$B$103:$J$109,0,4))*($AZ18-INDEX('How This Works &amp; Sources'!$B$103:$J$109,0,4))*INDEX('How This Works &amp; Sources'!$B$103:$J$109,0,4+2)),SUMPRODUCT(($AZ18&gt;INDEX('How This Works &amp; Sources'!$B$103:$J$109,0,1))*($AZ18-INDEX('How This Works &amp; Sources'!$B$103:$J$109,0,1))*INDEX('How This Works &amp; Sources'!$B$103:$J$109,0,1+2))),IF($AN18="MN",IF($AU18="Married",SUMPRODUCT(($AZ18&gt;INDEX('How This Works &amp; Sources'!$B$114:$J$120,0,7))*($AZ18-INDEX('How This Works &amp; Sources'!$B$114:$J$120,0,7))*INDEX('How This Works &amp; Sources'!$B$114:$J$120,0,7+2)),SUMPRODUCT(($AZ18&gt;INDEX('How This Works &amp; Sources'!$B$114:$J$120,0,4))*($AZ18-INDEX('How This Works &amp; Sources'!$B$114:$J$120,0,4))*INDEX('How This Works &amp; Sources'!$B$114:$J$120,0,4+2))),IF($AN18="MO",SUMPRODUCT(($AZ18&gt;INDEX('How This Works &amp; Sources'!$B$125:$J$132,0,1))*($AZ18-INDEX('How This Works &amp; Sources'!$B$125:$J$132,0,1))*INDEX('How This Works &amp; Sources'!$B$125:$J$132,0,1+2)),IF($AN18="NE",MAX(IF($AU18="Married",SUMPRODUCT(($AZ18&gt;INDEX('How This Works &amp; Sources'!$B$144:$J$150,0,7))*($AZ18-INDEX('How This Works &amp; Sources'!$B$144:$J$150,0,7))*INDEX('How This Works &amp; Sources'!$B$144:$J$150,0,7+2)),SUMPRODUCT(($AZ18&gt;INDEX('How This Works &amp; Sources'!$B$144:$J$150,0,4))*($AZ18-INDEX('How This Works &amp; Sources'!$B$144:$J$150,0,4))*INDEX('How This Works &amp; Sources'!$B$144:$J$150,0,4+2))),0.015*$AZ18),IF($AN18="OH",IF($B18&gt;=DATE(2026,8,1),SUMPRODUCT(($AZ18&gt;INDEX('How This Works &amp; Sources'!$B$203:$J$206,0,1))*($AZ18-INDEX('How This Works &amp; Sources'!$B$203:$J$206,0,1))*INDEX('How This Works &amp; Sources'!$B$203:$J$206,0,1+2)),SUMPRODUCT(($AZ18&gt;INDEX('How This Works &amp; Sources'!$B$184:$J$198,0,7))*($AZ18-INDEX('How This Works &amp; Sources'!$B$184:$J$198,0,7))*INDEX('How This Works &amp; Sources'!$B$184:$J$198,0,7+2))),IF($AN18="OK",IF($AU18="Married",SUMPRODUCT(($AZ18&gt;INDEX('How This Works &amp; Sources'!$B$203:$J$206,0,7))*($AZ18-INDEX('How This Works &amp; Sources'!$B$203:$J$206,0,7))*INDEX('How This Works &amp; Sources'!$B$203:$J$206,0,7+2)),SUMPRODUCT(($AZ18&gt;INDEX('How This Works &amp; Sources'!$B$203:$J$206,0,4))*($AZ18-INDEX('How This Works &amp; Sources'!$B$203:$J$206,0,4))*INDEX('How This Works &amp; Sources'!$B$203:$J$206,0,4+2))),IF($AN18="VT",IF($AU18="Married",SUMPRODUCT(($AZ18&gt;INDEX('How This Works &amp; Sources'!$B$228:$J$232,0,1))*($AZ18-INDEX('How This Works &amp; Sources'!$B$228:$J$232,0,1))*INDEX('How This Works &amp; Sources'!$B$228:$J$232,0,1+2)),SUMPRODUCT(($AZ18&gt;INDEX('How This Works &amp; Sources'!$B$219:$J$223,0,7))*($AZ18-INDEX('How This Works &amp; Sources'!$B$219:$J$223,0,7))*INDEX('How This Works &amp; Sources'!$B$219:$J$223,0,7+2))),IF($AN18="WV",IF($AU18="Married",SUMPRODUCT(($AZ18&gt;INDEX('How This Works &amp; Sources'!$B$237:$J$241,0,7))*($AZ18-INDEX('How This Works &amp; Sources'!$B$237:$J$241,0,7))*INDEX('How This Works &amp; Sources'!$B$237:$J$241,0,7+2)),SUMPRODUCT(($AZ18&gt;INDEX('How This Works &amp; Sources'!$B$228:$J$232,0,7))*($AZ18-INDEX('How This Works &amp; Sources'!$B$228:$J$232,0,7))*INDEX('How This Works &amp; Sources'!$B$228:$J$232,0,7+2))),""))))))))))</f>
      </c>
      <c r="BY18" s="7">
        <f>IF($B18="","",IF($AN18="DE",SUMPRODUCT(($AZ18&gt;INDEX('How This Works &amp; Sources'!$B$91:$J$98,0,1))*($AZ18-INDEX('How This Works &amp; Sources'!$B$91:$J$98,0,1))*INDEX('How This Works &amp; Sources'!$B$91:$J$98,0,1+2)),IF($AN18="HI",IF($AU18="Married",SUMPRODUCT(($AZ18&gt;INDEX('How This Works &amp; Sources'!$B$91:$J$98,0,7))*($AZ18-INDEX('How This Works &amp; Sources'!$B$91:$J$98,0,7))*INDEX('How This Works &amp; Sources'!$B$91:$J$98,0,7+2)),SUMPRODUCT(($AZ18&gt;INDEX('How This Works &amp; Sources'!$B$91:$J$98,0,4))*($AZ18-INDEX('How This Works &amp; Sources'!$B$91:$J$98,0,4))*INDEX('How This Works &amp; Sources'!$B$91:$J$98,0,4+2))),IF($AN18="RI",SUMPRODUCT(($AZ18&gt;INDEX('How This Works &amp; Sources'!$B$211:$J$214,0,7))*($AZ18-INDEX('How This Works &amp; Sources'!$B$211:$J$214,0,7))*INDEX('How This Works &amp; Sources'!$B$211:$J$214,0,7+2)),IF($AN18="SC",SUMPRODUCT(($AZ18&gt;INDEX('How This Works &amp; Sources'!$B$219:$J$223,0,1))*($AZ18-INDEX('How This Works &amp; Sources'!$B$219:$J$223,0,1))*INDEX('How This Works &amp; Sources'!$B$219:$J$223,0,1+2)),IF($AN18="VA",SUMPRODUCT(($AZ18&gt;INDEX('How This Works &amp; Sources'!$B$219:$J$223,0,4))*($AZ18-INDEX('How This Works &amp; Sources'!$B$219:$J$223,0,4))*INDEX('How This Works &amp; Sources'!$B$219:$J$223,0,4+2)),IF($AN18="WI",SUMPRODUCT(($AZ18&gt;INDEX('How This Works &amp; Sources'!$B$228:$J$232,0,4))*($AZ18-INDEX('How This Works &amp; Sources'!$B$228:$J$232,0,4))*INDEX('How This Works &amp; Sources'!$B$228:$J$232,0,4+2)),"")))))))</f>
      </c>
      <c r="BZ18" s="24">
        <f>IF($B18="","",IF($AN18="KS",IF($AU18="Married",SUMPRODUCT(($AZ18&gt;=INDEX('How This Works &amp; Sources'!$B$103:$J$109,0,4))*INDEX('How This Works &amp; Sources'!$B$103:$J$109,0,4+2)),SUMPRODUCT(($AZ18&gt;=INDEX('How This Works &amp; Sources'!$B$103:$J$109,0,1))*INDEX('How This Works &amp; Sources'!$B$103:$J$109,0,1+2))),IF($AN18="MT",IF($AU18="Head of household",SUMPRODUCT(($AZ18&gt;=INDEX('How This Works &amp; Sources'!$B$137:$J$139,0,1))*INDEX('How This Works &amp; Sources'!$B$137:$J$139,0,1+2)),IF($AU18="Married",SUMPRODUCT(($AZ18&gt;=INDEX('How This Works &amp; Sources'!$B$125:$J$132,0,7))*INDEX('How This Works &amp; Sources'!$B$125:$J$132,0,7+2)),SUMPRODUCT(($AZ18&gt;=INDEX('How This Works &amp; Sources'!$B$125:$J$132,0,4))*INDEX('How This Works &amp; Sources'!$B$125:$J$132,0,4+2)))),IF($AN18="OR",IF(OR($AU18="Married",AND($AU18="Single",$AS18&gt;=3)),SUMPRODUCT((MAX(0,$AY18-MIN(($P18-'How This Works &amp; Sources'!$C$10*$D18)*'Second Earner'!$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Sources'!$B$211:$J$214,0,4))*INDEX('How This Works &amp; Sources'!$B$211:$J$214,0,4+2)),SUMPRODUCT((MAX(0,$AY18-MIN(($P18-'How This Works &amp; Sources'!$C$10*$D18)*'Second Earner'!$C$8,IF(OR($AU18="Married",AND($AU18="Single",$AS18&gt;=3)),IF($AY18&lt;250000,8750,IF($AY18&lt;260000,7000,IF($AY18&lt;270000,5250,IF($AY18&lt;280000,3500,IF($AY18&lt;290000,1750,0))))),IF($AY18&lt;125000,8750,IF($AY18&lt;130000,7000,IF($AY18&lt;135000,5250,IF($AY18&lt;140000,3500,IF($AY18&lt;145000,1750,0)))))))-IF(OR($AU18="Married",AND($AU18="Single",$AS18&gt;=3)),5820,2910))&gt;=INDEX('How This Works &amp; Sources'!$B$211:$J$214,0,1))*INDEX('How This Works &amp; Sources'!$B$211:$J$214,0,1+2)))*IF(($P18-'How This Works &amp; Sources'!$C$10*$D18)*'Second Earner'!$C$8&gt;=IF(OR($AU18="Married",AND($AU18="Single",$AS18&gt;=3)),IF($AY18&lt;250000,8750,IF($AY18&lt;260000,7000,IF($AY18&lt;270000,5250,IF($AY18&lt;280000,3500,IF($AY18&lt;290000,1750,0))))),IF($AY18&lt;125000,8750,IF($AY18&lt;130000,7000,IF($AY18&lt;135000,5250,IF($AY18&lt;140000,3500,IF($AY18&lt;145000,1750,0)))))),1,1-IF('Second Earner'!$C$13,SUMPRODUCT(($AH18&gt;=INDEX('How This Works &amp; Sources'!$B$29:$J$36,0,IF('Second Earner'!$C$12="MFJ",1,IF('Second Earner'!$C$12="HoH",7,4))))*INDEX('How This Works &amp; Sources'!$B$29:$J$36,0,IF('Second Earner'!$C$12="MFJ",1,IF('Second Earner'!$C$12="HoH",7,4))+2)),SUMPRODUCT(($AH18&gt;=INDEX('How This Works &amp; Sources'!$B$19:$J$26,0,IF('Second Earner'!$C$12="MFJ",1,IF('Second Earner'!$C$12="HoH",7,4))))*INDEX('How This Works &amp; Sources'!$B$19:$J$26,0,IF('Second Earner'!$C$12="MFJ",1,IF('Second Earner'!$C$12="HoH",7,4))+2)))),""))))</f>
      </c>
      <c r="CA18" s="24">
        <f>IF($B18="","",IF($AN18="CA",SUMPRODUCT(($AJ18&gt;=INDEX('How This Works &amp; Sources'!$B$39:$J$48,0,IF($AU18="Married",4,IF($AU18="Head of household",7,1))))*INDEX('How This Works &amp; Sources'!$B$39:$J$48,0,IF($AU18="Married",4,IF($AU18="Head of household",7,1))+2)),IF($AN18="AL",IF(OR($AU18="Married",$AU18="Head of household"),SUMPRODUCT(($AZ18&gt;=INDEX('How This Works &amp; Sources'!$B$82:$J$86,0,4))*INDEX('How This Works &amp; Sources'!$B$82:$J$86,0,4+2)),SUMPRODUCT(($AZ18&gt;=INDEX('How This Works &amp; Sources'!$B$82:$J$86,0,1))*INDEX('How This Works &amp; Sources'!$B$82:$J$86,0,1+2)))*(1-IF('Second Earner'!$C$13,SUMPRODUCT(($AH18&gt;=INDEX('How This Works &amp; Sources'!$B$29:$J$36,0,IF('Second Earner'!$C$12="MFJ",1,IF('Second Earner'!$C$12="HoH",7,4))))*INDEX('How This Works &amp; Sources'!$B$29:$J$36,0,IF('Second Earner'!$C$12="MFJ",1,IF('Second Earner'!$C$12="HoH",7,4))+2)),SUMPRODUCT(($AH18&gt;=INDEX('How This Works &amp; Sources'!$B$19:$J$26,0,IF('Second Earner'!$C$12="MFJ",1,IF('Second Earner'!$C$12="HoH",7,4))))*INDEX('How This Works &amp; Sources'!$B$19:$J$26,0,IF('Second Earner'!$C$12="MFJ",1,IF('Second Earner'!$C$12="HoH",7,4))+2)))),IF($AN18="ND",IF($AU18="Head of household",SUMPRODUCT(($AZ18&gt;=INDEX('How This Works &amp; Sources'!$B$144:$J$150,0,1))*INDEX('How This Works &amp; Sources'!$B$144:$J$150,0,1+2)),IF($AU18="Married",SUMPRODUCT(($AZ18&gt;=INDEX('How This Works &amp; Sources'!$B$137:$J$139,0,7))*INDEX('How This Works &amp; Sources'!$B$137:$J$139,0,7+2)),SUMPRODUCT(($AZ18&gt;=INDEX('How This Works &amp; Sources'!$B$137:$J$139,0,4))*INDEX('How This Works &amp; Sources'!$B$137:$J$139,0,4+2)))),IF($AN18="NJ",IF('Second Earner'!$C$77="B",SUMPRODUCT(($AZ18&gt;=INDEX('How This Works &amp; Sources'!$B$155:$J$162,0,4))*INDEX('How This Works &amp; Sources'!$B$155:$J$162,0,4+2)),IF('Second Earner'!$C$77="C",SUMPRODUCT(($AZ18&gt;=INDEX('How This Works &amp; Sources'!$B$155:$J$162,0,7))*INDEX('How This Works &amp; Sources'!$B$155:$J$162,0,7+2)),IF('Second Earner'!$C$77="D",SUMPRODUCT(($AZ18&gt;=INDEX('How This Works &amp; Sources'!$B$167:$J$179,0,1))*INDEX('How This Works &amp; Sources'!$B$167:$J$179,0,1+2)),IF('Second Earner'!$C$77="E",SUMPRODUCT(($AZ18&gt;=INDEX('How This Works &amp; Sources'!$B$167:$J$179,0,4))*INDEX('How This Works &amp; Sources'!$B$167:$J$179,0,4+2)),SUMPRODUCT(($AZ18&gt;=INDEX('How This Works &amp; Sources'!$B$155:$J$162,0,1))*INDEX('How This Works &amp; Sources'!$B$155:$J$162,0,1+2)))))),IF($AN18="NY",IF($AU18="Married",IF($AZ18&gt;=2155350,IF($AZ18&gt;25000000,0.117,IF($AZ18&gt;5000000,0.111,0.1045)),SUMPRODUCT(($AZ18&gt;=INDEX('How This Works &amp; Sources'!$B$184:$J$198,0,1))*INDEX('How This Works &amp; Sources'!$B$184:$J$198,0,1+2))),IF($AZ18&gt;=1077550,IF($AZ18&gt;25000000,0.117,IF($AZ18&gt;5000000,0.111,0.1045)),SUMPRODUCT(($AZ18&gt;=INDEX('How This Works &amp; Sources'!$B$167:$J$179,0,7))*INDEX('How This Works &amp; Sources'!$B$167:$J$179,0,7+2)))),IF($AN18="LA",0.0309,"")))))))</f>
      </c>
      <c r="CB18" s="24">
        <f>IF($B18="","",IF($AN18="HI",IF($AU18="Married",SUMPRODUCT(($AZ18&gt;=INDEX('How This Works &amp; Sources'!$B$91:$J$98,0,7))*INDEX('How This Works &amp; Sources'!$B$91:$J$98,0,7+2)),SUMPRODUCT(($AZ18&gt;=INDEX('How This Works &amp; Sources'!$B$91:$J$98,0,4))*INDEX('How This Works &amp; Sources'!$B$91:$J$98,0,4+2))),IF($AN18="MD",IF(OR($AU18="Married",$AU18="Head of household"),SUMPRODUCT(($AZ18&gt;=INDEX('How This Works &amp; Sources'!$B$114:$J$120,0,1))*INDEX('How This Works &amp; Sources'!$B$114:$J$120,0,1+2)),SUMPRODUCT(($AZ18&gt;=INDEX('How This Works &amp; Sources'!$B$103:$J$109,0,7))*INDEX('How This Works &amp; Sources'!$B$103:$J$109,0,7+2)))+'Second Earner'!$C$74,IF($AN18="MN",IF($AU18="Married",SUMPRODUCT(($AZ18&gt;=INDEX('How This Works &amp; Sources'!$B$114:$J$120,0,7))*INDEX('How This Works &amp; Sources'!$B$114:$J$120,0,7+2)),SUMPRODUCT(($AZ18&gt;=INDEX('How This Works &amp; Sources'!$B$114:$J$120,0,4))*INDEX('How This Works &amp; Sources'!$B$114:$J$120,0,4+2))),IF($AN18="MO",SUMPRODUCT(($AZ18&gt;=INDEX('How This Works &amp; Sources'!$B$125:$J$132,0,1))*INDEX('How This Works &amp; Sources'!$B$125:$J$132,0,1+2)),IF($AN18="NE",MAX(IF($AU18="Married",SUMPRODUCT(($AZ18&gt;=INDEX('How This Works &amp; Sources'!$B$144:$J$150,0,7))*INDEX('How This Works &amp; Sources'!$B$144:$J$150,0,7+2)),SUMPRODUCT(($AZ18&gt;=INDEX('How This Works &amp; Sources'!$B$144:$J$150,0,4))*INDEX('How This Works &amp; Sources'!$B$144:$J$150,0,4+2))),0.015),IF($AN18="OH",IF($B18&gt;=DATE(2026,8,1),SUMPRODUCT(($AZ18&gt;=INDEX('How This Works &amp; Sources'!$B$203:$J$206,0,1))*INDEX('How This Works &amp; Sources'!$B$203:$J$206,0,1+2)),SUMPRODUCT(($AZ18&gt;=INDEX('How This Works &amp; Sources'!$B$184:$J$198,0,7))*INDEX('How This Works &amp; Sources'!$B$184:$J$198,0,7+2))),IF($AN18="OK",IF($AU18="Married",SUMPRODUCT(($AZ18&gt;=INDEX('How This Works &amp; Sources'!$B$203:$J$206,0,7))*INDEX('How This Works &amp; Sources'!$B$203:$J$206,0,7+2)),SUMPRODUCT(($AZ18&gt;=INDEX('How This Works &amp; Sources'!$B$203:$J$206,0,4))*INDEX('How This Works &amp; Sources'!$B$203:$J$206,0,4+2))),IF($AN18="RI",SUMPRODUCT(($AZ18&gt;=INDEX('How This Works &amp; Sources'!$B$211:$J$214,0,7))*INDEX('How This Works &amp; Sources'!$B$211:$J$214,0,7+2)),IF($AN18="VT",IF($AU18="Married",SUMPRODUCT(($AZ18&gt;=INDEX('How This Works &amp; Sources'!$B$228:$J$232,0,1))*INDEX('How This Works &amp; Sources'!$B$228:$J$232,0,1+2)),SUMPRODUCT(($AZ18&gt;=INDEX('How This Works &amp; Sources'!$B$219:$J$223,0,7))*INDEX('How This Works &amp; Sources'!$B$219:$J$223,0,7+2))),IF($AN18="WV",IF($AU18="Married",SUMPRODUCT(($AZ18&gt;=INDEX('How This Works &amp; Sources'!$B$237:$J$241,0,7))*INDEX('How This Works &amp; Sources'!$B$237:$J$241,0,7+2)),SUMPRODUCT(($AZ18&gt;=INDEX('How This Works &amp; Sources'!$B$228:$J$232,0,7))*INDEX('How This Works &amp; Sources'!$B$228:$J$232,0,7+2))),IF($AN18="AZ",'Second Earner'!$C$82,IF($AN18="ID",IF($AY18&gt;IF($AU18="Married",32000,16094),0.053,0),"")))))))))))))</f>
      </c>
      <c r="CC18" s="24">
        <f>IF($B18="","",IF($AN18="AR",SUMPRODUCT(($AZ18&gt;=INDEX('How This Works &amp; Sources'!$B$82:$J$86,0,7))*INDEX('How This Works &amp; Sources'!$B$82:$J$86,0,7+2)),IF($AN18="DE",SUMPRODUCT(($AZ18&gt;=INDEX('How This Works &amp; Sources'!$B$91:$J$98,0,1))*INDEX('How This Works &amp; Sources'!$B$91:$J$98,0,1+2)),IF($AN18="SC",SUMPRODUCT(($AZ18&gt;=INDEX('How This Works &amp; Sources'!$B$219:$J$223,0,1))*INDEX('How This Works &amp; Sources'!$B$219:$J$223,0,1+2)),IF($AN18="VA",SUMPRODUCT(($AZ18&gt;=INDEX('How This Works &amp; Sources'!$B$219:$J$223,0,4))*INDEX('How This Works &amp; Sources'!$B$219:$J$223,0,4+2)),IF($AN18="WI",SUMPRODUCT(($AZ18&gt;=INDEX('How This Works &amp; Sources'!$B$228:$J$232,0,4))*INDEX('How This Works &amp; Sources'!$B$228:$J$232,0,4+2)),IF($AN18="CO",IF($AY18&gt;IF($AU18="Married",10000,5000),0.044,0),IF($AN18="IA",IF($AY18&gt;IF($AU18="Head of household",19500,IF($AU18="Married",26000,13000)),0.038,0),IF($AN18="IL",IF($AY18&gt;(2925*$AS18+1000*$AT18),0.0495,0),IF($AN18="IN",(0.0295+'Second Earner'!$C$76),IF($AN18="KY",IF($AI18&gt;3360,0.035,0),IF($AN18="MA",IF(MAX(0,$AY18-MIN(($BD17+$Q18+$R18+$S18),2000)-IF($AS18=0,0,IF($AS18=1,4400,1000*$AS18+3400)))&gt;=1107750,0.09,0.05),IF($AN18="MI",IF($AY18&gt;5900*$AS18,0.0425,0),IF($AN18="MS",IF($AI18-IF($AU18="Head of household",3400,IF($AU18="Married",4600,2300))-'Second Earner'!$C$85&gt;10000,0.04,0),IF($AN18="PA",0.0307,"")))))))))))))))</f>
      </c>
      <c r="CD18" s="21">
        <f>IF(YEAR(IF('Second Earner'!$C$7="Weekly",'Second Earner'!$C$9+7*(($BE17+1)-1),IF('Second Earner'!$C$7="Biweekly",'Second Earner'!$C$9+14*(($BE17+1)-1),IF('Second Earner'!$C$7="Semimonthly",DATE(YEAR('Second Earner'!$C$9),MONTH('Second Earner'!$C$9)+INT((($BE17+1)-1)/2),MIN(DAY('Second Earner'!$C$9),DAY(EOMONTH(DATE(YEAR('Second Earner'!$C$9),MONTH('Second Earner'!$C$9)+INT((($BE17+1)-1)/2),1),0))))+IF(MOD(($BE17+1)-1,2)=1,15,0),EDATE('Second Earner'!$C$9,($BE17+1)-1)))))&lt;&gt;'Second Earner'!$C$10,"",IF('Second Earner'!$C$7="Weekly",'Second Earner'!$C$9+7*(($BE17+1)-1),IF('Second Earner'!$C$7="Biweekly",'Second Earner'!$C$9+14*(($BE17+1)-1),IF('Second Earner'!$C$7="Semimonthly",DATE(YEAR('Second Earner'!$C$9),MONTH('Second Earner'!$C$9)+INT((($BE17+1)-1)/2),MIN(DAY('Second Earner'!$C$9),DAY(EOMONTH(DATE(YEAR('Second Earner'!$C$9),MONTH('Second Earner'!$C$9)+INT((($BE17+1)-1)/2),1),0))))+IF(MOD(($BE17+1)-1,2)=1,15,0),EDATE('Second Earner'!$C$9,($BE17+1)-1)))))</f>
      </c>
      <c r="CE18" s="21">
        <f>IF(MIN(IF(AND('Second Earner'!$C$58&gt;MAX($B$6:$B17),'Second Earner'!$C$58&gt;=DATE('Second Earner'!$C$10,1,1),'Second Earner'!$C$58&lt;=DATE('Second Earner'!$C$10,12,31)),'Second Earner'!$C$58,999999),IF(AND('Second Earner'!$C$59&gt;MAX($B$6:$B17),'Second Earner'!$C$59&gt;=DATE('Second Earner'!$C$10,1,1),'Second Earner'!$C$59&lt;=DATE('Second Earner'!$C$10,12,31)),'Second Earner'!$C$59,999999),IF(AND('Second Earner'!$C$60&gt;MAX($B$6:$B17),'Second Earner'!$C$60&gt;=DATE('Second Earner'!$C$10,1,1),'Second Earner'!$C$60&lt;=DATE('Second Earner'!$C$10,12,31)),'Second Earner'!$C$60,999999),IF(AND('Second Earner'!$C$61&gt;MAX($B$6:$B17),'Second Earner'!$C$61&gt;=DATE('Second Earner'!$C$10,1,1),'Second Earner'!$C$61&lt;=DATE('Second Earner'!$C$10,12,31)),'Second Earner'!$C$61,999999),IF(AND('Second Earner'!$C$62&gt;MAX($B$6:$B17),'Second Earner'!$C$62&gt;=DATE('Second Earner'!$C$10,1,1),'Second Earner'!$C$62&lt;=DATE('Second Earner'!$C$10,12,31)),'Second Earner'!$C$62,999999),IF(AND('Second Earner'!$C$63&gt;MAX($B$6:$B17),'Second Earner'!$C$63&gt;=DATE('Second Earner'!$C$10,1,1),'Second Earner'!$C$63&lt;=DATE('Second Earner'!$C$10,12,31)),'Second Earner'!$C$63,999999),IF(AND('Second Earner'!$C$64&gt;MAX($B$6:$B17),'Second Earner'!$C$64&gt;=DATE('Second Earner'!$C$10,1,1),'Second Earner'!$C$64&lt;=DATE('Second Earner'!$C$10,12,31)),'Second Earner'!$C$64,999999),IF(AND('Second Earner'!$C$65&gt;MAX($B$6:$B17),'Second Earner'!$C$65&gt;=DATE('Second Earner'!$C$10,1,1),'Second Earner'!$C$65&lt;=DATE('Second Earner'!$C$10,12,31)),'Second Earner'!$C$65,999999),IF(AND('Second Earner'!$C$66&gt;MAX($B$6:$B17),'Second Earner'!$C$66&gt;=DATE('Second Earner'!$C$10,1,1),'Second Earner'!$C$66&lt;=DATE('Second Earner'!$C$10,12,31)),'Second Earner'!$C$66,999999),IF(AND('Second Earner'!$C$67&gt;MAX($B$6:$B17),'Second Earner'!$C$67&gt;=DATE('Second Earner'!$C$10,1,1),'Second Earner'!$C$67&lt;=DATE('Second Earner'!$C$10,12,31)),'Second Earner'!$C$67,999999))=999999,"",MIN(IF(AND('Second Earner'!$C$58&gt;MAX($B$6:$B17),'Second Earner'!$C$58&gt;=DATE('Second Earner'!$C$10,1,1),'Second Earner'!$C$58&lt;=DATE('Second Earner'!$C$10,12,31)),'Second Earner'!$C$58,999999),IF(AND('Second Earner'!$C$59&gt;MAX($B$6:$B17),'Second Earner'!$C$59&gt;=DATE('Second Earner'!$C$10,1,1),'Second Earner'!$C$59&lt;=DATE('Second Earner'!$C$10,12,31)),'Second Earner'!$C$59,999999),IF(AND('Second Earner'!$C$60&gt;MAX($B$6:$B17),'Second Earner'!$C$60&gt;=DATE('Second Earner'!$C$10,1,1),'Second Earner'!$C$60&lt;=DATE('Second Earner'!$C$10,12,31)),'Second Earner'!$C$60,999999),IF(AND('Second Earner'!$C$61&gt;MAX($B$6:$B17),'Second Earner'!$C$61&gt;=DATE('Second Earner'!$C$10,1,1),'Second Earner'!$C$61&lt;=DATE('Second Earner'!$C$10,12,31)),'Second Earner'!$C$61,999999),IF(AND('Second Earner'!$C$62&gt;MAX($B$6:$B17),'Second Earner'!$C$62&gt;=DATE('Second Earner'!$C$10,1,1),'Second Earner'!$C$62&lt;=DATE('Second Earner'!$C$10,12,31)),'Second Earner'!$C$62,999999),IF(AND('Second Earner'!$C$63&gt;MAX($B$6:$B17),'Second Earner'!$C$63&gt;=DATE('Second Earner'!$C$10,1,1),'Second Earner'!$C$63&lt;=DATE('Second Earner'!$C$10,12,31)),'Second Earner'!$C$63,999999),IF(AND('Second Earner'!$C$64&gt;MAX($B$6:$B17),'Second Earner'!$C$64&gt;=DATE('Second Earner'!$C$10,1,1),'Second Earner'!$C$64&lt;=DATE('Second Earner'!$C$10,12,31)),'Second Earner'!$C$64,999999),IF(AND('Second Earner'!$C$65&gt;MAX($B$6:$B17),'Second Earner'!$C$65&gt;=DATE('Second Earner'!$C$10,1,1),'Second Earner'!$C$65&lt;=DATE('Second Earner'!$C$10,12,31)),'Second Earner'!$C$65,999999),IF(AND('Second Earner'!$C$66&gt;MAX($B$6:$B17),'Second Earner'!$C$66&gt;=DATE('Second Earner'!$C$10,1,1),'Second Earner'!$C$66&lt;=DATE('Second Earner'!$C$10,12,31)),'Second Earner'!$C$66,999999),IF(AND('Second Earner'!$C$67&gt;MAX($B$6:$B17),'Second Earner'!$C$67&gt;=DATE('Second Earner'!$C$10,1,1),'Second Earner'!$C$67&lt;=DATE('Second Earner'!$C$10,12,31)),'Second Earner'!$C$67,999999)))</f>
      </c>
      <c r="CF18">
        <f>IF($B18="","",IF($D18=0,$Y18,""))</f>
      </c>
    </row>
    <row r="19">
      <c r="A19" t="n">
        <v>14</v>
      </c>
      <c r="B19" s="21">
        <f>IF(AND($CD19="",$CE19=""),"",IF($CE19="",$CD19,IF($CD19="",$CE19,MIN($CD19,$CE19))))</f>
      </c>
      <c r="C19" s="7">
        <f>IF($B19="","",IF($BF19=0,0,IF('Second Earner'!$C$4="Annual salary",ROUND($AK19/IF(AND('Second Earner'!$C$88="Actual paydays",MONTH('Second Earner'!$C$9)=1),MAX(1,MAX($BE$6:$BE$68)),'Second Earner'!$C$8),2),$AK19)))</f>
      </c>
      <c r="D19" s="7">
        <f>IF($B19="","",SUMIF('Second Earner'!$C$58:$C$67,$B19,'Second Earner'!$D$58:$D$67))</f>
      </c>
      <c r="E19" s="7">
        <f>IF($B19="","",ROUND(MAX(0,MIN(IF($AL19="Percent",$AM19*($C19+$D19),$AM19),MAX(0,'Second Earner'!$C$34-$AC18))),2))</f>
      </c>
      <c r="F19" s="7">
        <f>IF($B19="","",ROUND(MAX(0,MIN(IF('Second Earner'!$C$32="Percent",'Second Earner'!$D$32*($C19+$D19),'Second Earner'!$D$32),MAX(0,'Second Earner'!$C$34-$AC18-$E19))),2))</f>
      </c>
      <c r="G19" s="7">
        <f>IF($B19="","",IF($BF19=0,0,ROUND(MAX(0,MIN($BL19,'Second Earner'!$C$37-'Second Earner'!$C$54-$BI18)),2)))</f>
      </c>
      <c r="H19" s="7">
        <f>IF($B19="","",IF(OR($BF19=0,$BQ19=1),0,ROUND(MAX(0,MIN(IF($BS19=1,ROUND(MAX(0,MIN($BJ19,'How This Works &amp; Sources'!$C$13)-$BG18)/MAX(1,MAX($BE$6:$BE$68)-($BE18)),2),ROUND(MIN($BJ19,'How This Works &amp; Sources'!$C$13)/'Second Earner'!$C$8,2)),MIN($BJ19,'How This Works &amp; Sources'!$C$13)-$BG18)),2)))</f>
      </c>
      <c r="I19" s="7">
        <f>IF($B19="","",IF(OR($BF19=0,$BR19=1),0,ROUND(MAX(0,MIN(IF($BT19=1,ROUND(MAX(0,MIN($BK19,IF('Second Earner'!$C$12="MFJ",'How This Works &amp; Sources'!$C$14,'How This Works &amp; Sources'!$C$15))-$BH18)/MAX(1,MAX($BE$6:$BE$68)-($BE18)),2),ROUND(MIN($BK19,IF('Second Earner'!$C$12="MFJ",'How This Works &amp; Sources'!$C$14,'How This Works &amp; Sources'!$C$15))/'Second Earner'!$C$8,2)),MIN($BK19,IF('Second Earner'!$C$12="MFJ",'How This Works &amp; Sources'!$C$14,'How This Works &amp; Sources'!$C$15))-$BH18)),2)))</f>
      </c>
      <c r="J19" s="7">
        <f>IF($B19="","",IF($BF19=0,0,$BM19))</f>
      </c>
      <c r="K19" s="7">
        <f>IF($B19="","",IF($BF19=0,0,$BN19+$BO19))</f>
      </c>
      <c r="L19" s="7">
        <f>IF($B19="","",IF($BF19=0,0,'Second Earner'!$D$46))</f>
      </c>
      <c r="M19" s="7">
        <f>IF($B19="","",$C19+$D19+$L19-$E19-$G19-$H19-$I19-$J19-$K19)</f>
      </c>
      <c r="N19" s="7">
        <f>IF($B19="","",$C19+$D19+$L19-$G19-$H19-$I19-$J19-$K19)</f>
      </c>
      <c r="O19" s="7">
        <f>IF($B19="","",$C19+$D19+$L19-$E19-$H19-$I19-$J19-$K19-IF(OR($AN19="CA",$AN19="NJ"),0,$G19))</f>
      </c>
      <c r="P19" s="7">
        <f>IF($B19="","",IF('Second Earner'!$C$18,0,ROUND(MAX(0,IF('Second Earner'!$C$13,SUMPRODUCT(($AH19&gt;INDEX('How This Works &amp; Sources'!$B$29:$J$36,0,IF('Second Earner'!$C$12="MFJ",1,IF('Second Earner'!$C$12="HoH",7,4))))*($AH19-INDEX('How This Works &amp; Sources'!$B$29:$J$36,0,IF('Second Earner'!$C$12="MFJ",1,IF('Second Earner'!$C$12="HoH",7,4))))*INDEX('How This Works &amp; Sources'!$B$29:$J$36,0,IF('Second Earner'!$C$12="MFJ",1,IF('Second Earner'!$C$12="HoH",7,4))+2)),SUMPRODUCT(($AH19&gt;INDEX('How This Works &amp; Sources'!$B$19:$J$26,0,IF('Second Earner'!$C$12="MFJ",1,IF('Second Earner'!$C$12="HoH",7,4))))*($AH19-INDEX('How This Works &amp; Sources'!$B$19:$J$26,0,IF('Second Earner'!$C$12="MFJ",1,IF('Second Earner'!$C$12="HoH",7,4))))*INDEX('How This Works &amp; Sources'!$B$19:$J$26,0,IF('Second Earner'!$C$12="MFJ",1,IF('Second Earner'!$C$12="HoH",7,4))+2)))/'Second Earner'!$C$8-$AO19/'Second Earner'!$C$8)+$AR19+IF('Second Earner'!$C$89="Aggregate",MAX(0,IF('Second Earner'!$C$13,SUMPRODUCT((($AH19+$D19)&gt;INDEX('How This Works &amp; Sources'!$B$29:$J$36,0,IF('Second Earner'!$C$12="MFJ",1,IF('Second Earner'!$C$12="HoH",7,4))))*(($AH19+$D19)-INDEX('How This Works &amp; Sources'!$B$29:$J$36,0,IF('Second Earner'!$C$12="MFJ",1,IF('Second Earner'!$C$12="HoH",7,4))))*INDEX('How This Works &amp; Sources'!$B$29:$J$36,0,IF('Second Earner'!$C$12="MFJ",1,IF('Second Earner'!$C$12="HoH",7,4))+2)),SUMPRODUCT((($AH19+$D19)&gt;INDEX('How This Works &amp; Sources'!$B$19:$J$26,0,IF('Second Earner'!$C$12="MFJ",1,IF('Second Earner'!$C$12="HoH",7,4))))*(($AH19+$D19)-INDEX('How This Works &amp; Sources'!$B$19:$J$26,0,IF('Second Earner'!$C$12="MFJ",1,IF('Second Earner'!$C$12="HoH",7,4))))*INDEX('How This Works &amp; Sources'!$B$19:$J$26,0,IF('Second Earner'!$C$12="MFJ",1,IF('Second Earner'!$C$12="HoH",7,4))+2)))-IF('Second Earner'!$C$13,SUMPRODUCT(($AH19&gt;INDEX('How This Works &amp; Sources'!$B$29:$J$36,0,IF('Second Earner'!$C$12="MFJ",1,IF('Second Earner'!$C$12="HoH",7,4))))*($AH19-INDEX('How This Works &amp; Sources'!$B$29:$J$36,0,IF('Second Earner'!$C$12="MFJ",1,IF('Second Earner'!$C$12="HoH",7,4))))*INDEX('How This Works &amp; Sources'!$B$29:$J$36,0,IF('Second Earner'!$C$12="MFJ",1,IF('Second Earner'!$C$12="HoH",7,4))+2)),SUMPRODUCT(($AH19&gt;INDEX('How This Works &amp; Sources'!$B$19:$J$26,0,IF('Second Earner'!$C$12="MFJ",1,IF('Second Earner'!$C$12="HoH",7,4))))*($AH19-INDEX('How This Works &amp; Sources'!$B$19:$J$26,0,IF('Second Earner'!$C$12="MFJ",1,IF('Second Earner'!$C$12="HoH",7,4))))*INDEX('How This Works &amp; Sources'!$B$19:$J$26,0,IF('Second Earner'!$C$12="MFJ",1,IF('Second Earner'!$C$12="HoH",7,4))+2)))),'How This Works &amp; Sources'!$C$10*$D19),2)))</f>
      </c>
      <c r="Q19" s="7">
        <f>IF($B19="","",ROUND('How This Works &amp; Sources'!$C$4*MIN($N19,MAX(0,'How This Works &amp; Sources'!$C$3-($AX19+$AB18-$AW19))),2))</f>
      </c>
      <c r="R19" s="7">
        <f>IF($B19="","",ROUND('How This Works &amp; Sources'!$C$5*$N19,2))</f>
      </c>
      <c r="S19" s="7">
        <f>IF($B19="","",ROUND('How This Works &amp; Sources'!$C$6*MAX(0,MIN($N19,$AG18+$N19-'How This Works &amp; Sources'!$C$7)),2))</f>
      </c>
      <c r="T19" s="7">
        <f>IF($B19="","",IF('Second Earner'!$C$26,0,IF($AN19="CA",ROUND(IF($AI19&lt;=IF(($AS19+$AT19)&gt;=2,VLOOKUP($AN19,StateTables!$A$6:$AB$56,10,FALSE),VLOOKUP($AN19,StateTables!$A$6:$AB$56,9,FALSE)),0,MAX(0,SUMPRODUCT(($AJ19&gt;INDEX('How This Works &amp; Sources'!$B$39:$J$48,0,IF($AU19="Married",4,IF($AU19="Head of household",7,1))))*($AJ19-INDEX('How This Works &amp; Sources'!$B$39:$J$48,0,IF($AU19="Married",4,IF($AU19="Head of household",7,1))))*INDEX('How This Works &amp; Sources'!$B$39:$J$48,0,IF($AU19="Married",4,IF($AU19="Head of household",7,1))+2))-VLOOKUP($AN19,StateTables!$A$6:$AB$56,11,FALSE)*$AS19)/'Second Earner'!$C$8)+'Second Earner'!$C$25+VLOOKUP($AN19,StateTables!$A$6:$AB$56,13,FALSE)*$D19,2),IF(VLOOKUP($AN19,StateTables!$A$6:$AB$56,4,FALSE)="None",0,IF(ISNUMBER(SEARCH("MANUAL",VLOOKUP($AN19,StateTables!$A$6:$AB$56,5,FALSE))),'Second Earner'!$C$28,ROUND(MAX(0,$BA19+$BB19)/'Second Earner'!$C$8+'Second Earner'!$C$25+$BC19,2))))))</f>
      </c>
      <c r="U19" s="7">
        <f>IF($B19="","",IF(VLOOKUP($AN19,StateTables!$A$6:$AB$56,24,FALSE)="flatq",IF(OR(MONTH($B19)=1,MONTH($B19)=4,MONTH($B19)=7,MONTH($B19)=10),VLOOKUP($AN19,StateTables!$A$6:$AB$56,25,FALSE),0),IF(VLOOKUP($AN19,StateTables!$A$6:$AB$56,24,FALSE)="dbl",MIN(ROUND(0.005*$N19,2),ROUND(0.6*52/'Second Earner'!$C$8,2)),IF(OR(VLOOKUP($AN19,StateTables!$A$6:$AB$56,15,FALSE)="",VLOOKUP($AN19,StateTables!$A$6:$AB$56,15,FALSE)=0),0,ROUND(VLOOKUP($AN19,StateTables!$A$6:$AB$56,15,FALSE)*IF(OR(VLOOKUP($AN19,StateTables!$A$6:$AB$56,16,FALSE)="",VLOOKUP($AN19,StateTables!$A$6:$AB$56,16,FALSE)=0),$N19,MIN($N19,MAX(0,VLOOKUP($AN19,StateTables!$A$6:$AB$56,16,FALSE)-($AX19+$AB18-$AW19)))),2))))+IF(VLOOKUP($AN19,StateTables!$A$6:$AB$56,27,FALSE)="flatq",IF(OR(MONTH($B19)=1,MONTH($B19)=4,MONTH($B19)=7,MONTH($B19)=10),VLOOKUP($AN19,StateTables!$A$6:$AB$56,28,FALSE),0),IF(VLOOKUP($AN19,StateTables!$A$6:$AB$56,27,FALSE)="dbl",MIN(ROUND(0.005*$N19,2),ROUND(0.6*52/'Second Earner'!$C$8,2)),IF(OR(VLOOKUP($AN19,StateTables!$A$6:$AB$56,18,FALSE)="",VLOOKUP($AN19,StateTables!$A$6:$AB$56,18,FALSE)=0),0,ROUND(VLOOKUP($AN19,StateTables!$A$6:$AB$56,18,FALSE)*IF(OR(VLOOKUP($AN19,StateTables!$A$6:$AB$56,19,FALSE)="",VLOOKUP($AN19,StateTables!$A$6:$AB$56,19,FALSE)=0),$N19,MIN($N19,MAX(0,VLOOKUP($AN19,StateTables!$A$6:$AB$56,19,FALSE)-($AX19+$AB18-$AW19)))),2)))))</f>
      </c>
      <c r="V19" s="7">
        <f>IF($B19="","",IF($AN19="NY",IF('Second Earner'!$C$78,ROUND(SUMPRODUCT((MAX(0,($O19-$D19)*'Second Earner'!$C$8-(IF($AU19="Married",5500,5000)+1000*$AS19))&gt;INDEX('How This Works &amp; Sources'!$B$184:$J$198,0,4))*(MAX(0,($O19-$D19)*'Second Earner'!$C$8-(IF($AU19="Married",5500,5000)+1000*$AS19))-INDEX('How This Works &amp; Sources'!$B$184:$J$198,0,4))*INDEX('How This Works &amp; Sources'!$B$184:$J$198,0,4+2))/'Second Earner'!$C$8+0.0425*$D19,2),0)+IF('Second Earner'!$C$79="Resident",ROUND(0.1675*$T19,2),IF('Second Earner'!$C$79="Nonresident",ROUND(0.005*MAX(0,($O19-$D19)-(IF($AU19="Married",7950,7400)+1000*$AS19)/'Second Earner'!$C$8),2),0)),IF($AN19="PA",IF('Second Earner'!$C$80="None",'Second Earner'!$C$27+ROUND('Second Earner'!$C$81*($C19+$D19),2),ROUND(IF('Second Earner'!$C$80="Resident",IF($B19&lt;DATE(2026,7,1),0.0374,0.03735),IF($B19&lt;DATE(2026,7,1),0.0343,0.03425))*($C19+$D19),2)),IF($BF19=0,ROUND('Second Earner'!$C$81*($C19+$D19),2),'Second Earner'!$C$27+ROUND('Second Earner'!$C$81*($C19+$D19),2)))))</f>
      </c>
      <c r="W19" s="7">
        <f>IF($B19="","",IF($BF19=0,0,$BP19))</f>
      </c>
      <c r="X19" s="7">
        <f>IF($B19="","",SUM($E19:$K19)+$P19+$Q19+$R19+$S19+$T19+$U19+$V19+$W19)</f>
      </c>
      <c r="Y19" s="22">
        <f>IF($B19="","",$C19+$D19-$X19)</f>
      </c>
      <c r="Z19" s="7">
        <f>IF($B19="","",$Z18+$C19+$D19)</f>
      </c>
      <c r="AA19" s="7">
        <f>IF($B19="","",$AA18+$Y19)</f>
      </c>
      <c r="AB19" s="7">
        <f>IF($B19="","",$AB18+MIN($N19,MAX(0,'How This Works &amp; Sources'!$C$3-($AX19+$AB18-$AW19))))</f>
      </c>
      <c r="AC19" s="7">
        <f>IF($B19="","",$AC18+$E19+$F19)</f>
      </c>
      <c r="AD19" s="3">
        <f>IF($B19="","",IF(AND($AB18&lt;'How This Works &amp; Sources'!$C$3,$AB19&gt;='How This Works &amp; Sources'!$C$3),"★ Social Security maxed on this check — from the next check your net rises by about $"&amp;TEXT(ROUND('How This Works &amp; Sources'!$C$4*$N19,2),"#,##0.00")&amp;". ","")&amp;IF(AND($AC18&lt;'Second Earner'!$C$34,$AC19&gt;='Second Earner'!$C$34),"★ 401(k) reaches the $"&amp;TEXT('Second Earner'!$C$34,"#,##0")&amp;" cap on this check — deferrals stop and net pay rises. ","")&amp;IF(AND($AG18&lt;'How This Works &amp; Sources'!$C$7,$AG19&gt;='How This Works &amp; Sources'!$C$7),"★ Wages pass $200,000 — the 0.9% Additional Medicare Tax starts here. ","")&amp;IF(AND($BJ19&gt;0,$H19&gt;0,$BG18&lt;MIN($BJ19,'How This Works &amp; Sources'!$C$13),$BG18+$H19&gt;=MIN($BJ19,'How This Works &amp; Sources'!$C$13)),"★ Health FSA election is now fully deferred for the year. ",""))</f>
      </c>
      <c r="AE19" s="41" t="n"/>
      <c r="AF19" s="7">
        <f>IF(OR($B19="",$AE19=""),"",$AE19-$Y19)</f>
      </c>
      <c r="AG19" s="7">
        <f>IF($B19="","",$AG18+$N19)</f>
      </c>
      <c r="AH19" s="7">
        <f>IF($B19="","",MAX(0,($M19-$D19)*'Second Earner'!$C$8+$AP19-$AQ19-IF('Second Earner'!$C$13,0,IF('Second Earner'!$C$12="MFJ",'How This Works &amp; Sources'!$C$8,'How This Works &amp; Sources'!$C$9))))</f>
      </c>
      <c r="AI19" s="7">
        <f>IF($B19="","",$O19*'Second Earner'!$C$8)</f>
      </c>
      <c r="AJ19" s="7">
        <f>IF($B19="","",MAX(0,$AI19-VLOOKUP($AN19,StateTables!$A$6:$AB$56,12,FALSE)*$AT19-IF(($AS19+$AT19)&gt;=2,VLOOKUP($AN19,StateTables!$A$6:$AB$56,8,FALSE),VLOOKUP($AN19,StateTables!$A$6:$AB$56,7,FALSE))))</f>
      </c>
      <c r="AK19" s="7">
        <f>IF($B19="","",IFERROR(LOOKUP(2,1/(('Changes — Earner 2'!$C$6:$C$17="Salary change")*('Changes — Earner 2'!$B$6:$B$17&lt;=$B19)*('Changes — Earner 2'!$B$6:$B$17&lt;&gt;"")),'Changes — Earner 2'!$D$6:$D$17),IF('Second Earner'!$C$4="Annual salary",'Second Earner'!$C$5,'Second Earner'!$C$6)))</f>
      </c>
      <c r="AL19">
        <f>IF($B19="","",IFERROR(LOOKUP(2,1/(('Changes — Earner 2'!$C$6:$C$17="401(k) change")*('Changes — Earner 2'!$B$6:$B$17&lt;=$B19)*('Changes — Earner 2'!$B$6:$B$17&lt;&gt;"")),'Changes — Earner 2'!$D$6:$D$17),'Second Earner'!$C$30))</f>
      </c>
      <c r="AM19" s="7">
        <f>IF($B19="","",IFERROR(LOOKUP(2,1/(('Changes — Earner 2'!$C$6:$C$17="401(k) change")*('Changes — Earner 2'!$B$6:$B$17&lt;=$B19)*('Changes — Earner 2'!$B$6:$B$17&lt;&gt;"")),'Changes — Earner 2'!$E$6:$E$17),'Second Earner'!$D$31))</f>
      </c>
      <c r="AN19">
        <f>IF($B19="","",IFERROR(LOOKUP(2,1/(('Changes — Earner 2'!$C$6:$C$17="State move")*('Changes — Earner 2'!$B$6:$B$17&lt;=$B19)*('Changes — Earner 2'!$B$6:$B$17&lt;&gt;"")),'Changes — Earner 2'!$D$6:$D$17),'Second Earner'!$C$21))</f>
      </c>
      <c r="AO19" s="7">
        <f>IF($B19="","",IFERROR(LOOKUP(2,1/(('Changes — Earner 2'!$C$6:$C$17="W-4 change")*('Changes — Earner 2'!$B$6:$B$17&lt;=$B19)*('Changes — Earner 2'!$B$6:$B$17&lt;&gt;"")),'Changes — Earner 2'!$D$6:$D$17),'Second Earner'!$C$14))</f>
      </c>
      <c r="AP19" s="7">
        <f>IF($B19="","",IFERROR(LOOKUP(2,1/(('Changes — Earner 2'!$C$6:$C$17="W-4 change")*('Changes — Earner 2'!$B$6:$B$17&lt;=$B19)*('Changes — Earner 2'!$B$6:$B$17&lt;&gt;"")),'Changes — Earner 2'!$E$6:$E$17),'Second Earner'!$C$15))</f>
      </c>
      <c r="AQ19" s="7">
        <f>IF($B19="","",IFERROR(LOOKUP(2,1/(('Changes — Earner 2'!$C$6:$C$17="W-4 change")*('Changes — Earner 2'!$B$6:$B$17&lt;=$B19)*('Changes — Earner 2'!$B$6:$B$17&lt;&gt;"")),'Changes — Earner 2'!$F$6:$F$17),'Second Earner'!$C$16))</f>
      </c>
      <c r="AR19" s="7">
        <f>IF($B19="","",IFERROR(LOOKUP(2,1/(('Changes — Earner 2'!$C$6:$C$17="W-4 change")*('Changes — Earner 2'!$B$6:$B$17&lt;=$B19)*('Changes — Earner 2'!$B$6:$B$17&lt;&gt;"")),'Changes — Earner 2'!$G$6:$G$17),'Second Earner'!$C$17))</f>
      </c>
      <c r="AS19" s="6">
        <f>IF($B19="","",IFERROR(LOOKUP(2,1/((('Changes — Earner 2'!$C$6:$C$17="State move")+('Changes — Earner 2'!$C$6:$C$17="State cert change"))*('Changes — Earner 2'!$B$6:$B$17&lt;=$B19)*('Changes — Earner 2'!$B$6:$B$17&lt;&gt;"")),'Changes — Earner 2'!$F$6:$F$17),'Second Earner'!$C$23))</f>
      </c>
      <c r="AT19" s="6">
        <f>IF($B19="","",IFERROR(LOOKUP(2,1/((('Changes — Earner 2'!$C$6:$C$17="State move")+('Changes — Earner 2'!$C$6:$C$17="State cert change"))*('Changes — Earner 2'!$B$6:$B$17&lt;=$B19)*('Changes — Earner 2'!$B$6:$B$17&lt;&gt;"")),'Changes — Earner 2'!$G$6:$G$17),'Second Earner'!$C$24))</f>
      </c>
      <c r="AU19">
        <f>IF($B19="","",IFERROR(LOOKUP(2,1/(('Changes — Earner 2'!$C$6:$C$17="State move")*('Changes — Earner 2'!$B$6:$B$17&lt;=$B19)*('Changes — Earner 2'!$B$6:$B$17&lt;&gt;"")),'Changes — Earner 2'!$E$6:$E$17),'Second Earner'!$C$22))</f>
      </c>
      <c r="AV19" s="6">
        <f>IF($B19="","",1+COUNTIFS('Changes — Earner 2'!$C$6:$C$17,"Employer change",'Changes — Earner 2'!$B$6:$B$17,"&lt;="&amp;$B19,'Changes — Earner 2'!$B$6:$B$17,"&lt;&gt;"))</f>
      </c>
      <c r="AW19" s="7">
        <f>IF($B19="","",IF($AV19=1,'Second Earner'!$C$49,IF(IFERROR(MATCH(IFERROR(LOOKUP(2,1/(('Changes — Earner 2'!$C$6:$C$17="Employer change")*('Changes — Earner 2'!$B$6:$B$17&lt;=$B19)*('Changes — Earner 2'!$B$6:$B$17&lt;&gt;"")),'Changes — Earner 2'!$B$6:$B$17),""),$B$6:$B$68,1),1)&lt;=1,'Second Earner'!$C$49,INDEX($AB$6:$AB$68,MATCH(IFERROR(LOOKUP(2,1/(('Changes — Earner 2'!$C$6:$C$17="Employer change")*('Changes — Earner 2'!$B$6:$B$17&lt;=$B19)*('Changes — Earner 2'!$B$6:$B$17&lt;&gt;"")),'Changes — Earner 2'!$B$6:$B$17),""),$B$6:$B$68,1)-1))))</f>
      </c>
      <c r="AX19" s="7">
        <f>IF($B19="","",IF($AV19=1,'Second Earner'!$C$49,IFERROR(LOOKUP(2,1/(('Changes — Earner 2'!$C$6:$C$17="Employer change")*('Changes — Earner 2'!$B$6:$B$17&lt;=$B19)*('Changes — Earner 2'!$B$6:$B$17&lt;&gt;"")),'Changes — Earner 2'!$D$6:$D$17),0)))</f>
      </c>
      <c r="AY19" s="7">
        <f>IF($B19="","",($O19-$D19)*'Second Earner'!$C$8)</f>
      </c>
      <c r="AZ19" s="7">
        <f>IF($B19="","",IF($AN19="AL",MAX(0,$AY19-IF($AU19="Married",IF($AY19&lt;=25999,8500,MAX(5000,8500-175*CEILING(($AY19-25999)/500,1))),IF($AU19="Head of household",IF($AY19&lt;=25999,5200,MAX(2500,5200-135*CEILING(($AY19-25999)/500,1))),IF($AY19&lt;=25999,3000,MAX(2500,3000-25*CEILING(($AY19-25999)/500,1)))))-($P19-'How This Works &amp; Sources'!$C$10*$D19)*'Second Earner'!$C$8-IF(OR($AU19="Married",$AU19="Head of household"),3000,1500)-$AT19*IF($AY19&lt;=50000,1000,IF($AY19&lt;=100000,500,300))),IF($AN19="AR",IF(MAX(0,$AY19-2470)&lt;97701,INT(MAX(0,$AY19-2470)/100)*100+50,MAX(0,$AY19-2470)),IF($AN19="DE",MAX(0,$AI19-3250),IF($AN19="HI",MAX(0,$AI19-1144*$AS19-4350),IF($AN19="KS",MAX(0,$AI19-(9160*IF($AU19="Married",2,1)+2320*$AT19+IF($AU19="Head of household",2320,0))),IF($AN19="MD",MAX(0,$AI19-3400-3200*$AS19),IF($AN19="MN",MAX(0,$AY19-5300*$AS19),IF($AN19="MO",MAX(0,$AI19-IF($AU19="Head of household",24150,IF($AU19="Married",IF('Second Earner'!$C$83,16100,32200),16100))),IF($AN19="MT",$AY19,IF($AN19="ND",($C19+$L19)*'Second Earner'!$C$8,IF($AN19="NE",MAX(0,$AY19-2440*$AS19),IF($AN19="NJ",MAX(0,$AY19-1000*$AS19),IF($AN19="NY",MAX(0,$AY19-(IF($AU19="Married",7950,7400)+1000*$AS19)),IF($AN19="OH",MAX(0,$AY19-650*$AS19),IF($AN19="OK",MAX(0,$AY19-1000*$AS19),IF($AN19="RI",MAX(0,$AI19-1000*$AS19),IF($AN19="SC",MAX(0,$AI19-5000*$AS19-IF($AS19=0,0,MIN(0.1*$AI19,7500))),IF($AN19="VA",MAX(0,$AI19-IF($AU19="Married",17500,8750)-930*$AS19-800*$AT19),IF($AN19="VT",MAX(0,$AI19-5400*$AS19),IF($AN19="WI",MAX(0,$AI19-MAX(0,IF($AU19="Married",9461-0.2*MAX(0,$AI19-25727),6702-0.12*MAX(0,$AI19-17780)))-400*$AS19),IF($AN19="WV",MAX(0,$AI19-2000*$AS19),$AI19))))))))))))))))))))))</f>
      </c>
      <c r="BA19" s="7">
        <f>IF($B19="","",IF($BW19&lt;&gt;"",$BW19,IF($BX19&lt;&gt;"",$BX19,IF($BY19&lt;&gt;"",$BY19,0))))</f>
      </c>
      <c r="BB19" s="7">
        <f>IF($B19="","",IF($AN19="AR",-29*$AS19,IF($AN19="DE",-110*$AS19,IF($AN19="MD",$AZ19*'Second Earner'!$C$74,IF($AN19="AZ",'Second Earner'!$C$82*($M19-$D19)*'Second Earner'!$C$8,IF($AN19="CO",0.044*MAX(0,$AY19-IF($AU19="Married",10000,5000)),IF($AN19="IA",MAX(0,0.038*MAX(0,$AY19-IF($AU19="Head of household",19500,IF($AU19="Married",26000,13000)))-40*$AS19),IF($AN19="ID",0.053*MAX(0,$AY19-IF($AU19="Married",32000,16094)),IF($AN19="IL",0.0495*MAX(0,$AY19-(2925*$AS19+1000*$AT19)),IF($AN19="IN",(0.0295+'Second Earner'!$C$76)*MAX(0,$AY19-(1000*$AS19+1500*$AT19+3000*'Second Earner'!$C$86)),IF($AN19="KY",0.035*MAX(0,$AI19-3360),IF($AN19="LA",IF('Second Earner'!$C$84="0",0.0309*$AI19,0.0309*MAX(0,$AI19-IF('Second Earner'!$C$84="2",25750,12875))),IF($AN19="MA",0.05*MIN(MAX(0,$AY19-MIN(($BD18+$Q19+$R19+$S19),2000)-IF($AS19=0,0,IF($AS19=1,4400,1000*$AS19+3400))),1107750)+0.09*MAX(0,MAX(0,$AY19-MIN(($BD18+$Q19+$R19+$S19),2000)-IF($AS19=0,0,IF($AS19=1,4400,1000*$AS19+3400)))-1107750)-IF($AU19="Head of household",120,0)-110*'Second Earner'!$C$75,IF($AN19="MI",0.0425*MAX(0,$AY19-5900*$AS19),IF($AN19="MS",0.04*MAX(0,$AI19-IF($AU19="Head of household",3400,IF($AU19="Married",4600,2300))-'Second Earner'!$C$85-10000),IF($AN19="OR",IF(OR($AU19="Married",AND($AU19="Single",$AS19&gt;=3)),SUMPRODUCT((MAX(0,$AY19-MIN(($P19-'How This Works &amp; Sources'!$C$10*$D19)*'Second Earner'!$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Sources'!$B$211:$J$214,0,4))*(MAX(0,$AY19-MIN(($P19-'How This Works &amp; Sources'!$C$10*$D19)*'Second Earner'!$C$8,IF(OR($AU19="Married",AND($AU19="Single",$AS19&gt;=3)),IF($AY19&lt;250000,8750,IF($AY19&lt;260000,7000,IF($AY19&lt;270000,5250,IF($AY19&lt;280000,3500,IF($AY19&lt;290000,1750,0))))),IF($AY19&lt;125000,8750,IF($AY19&lt;130000,7000,IF($AY19&lt;135000,5250,IF($AY19&lt;140000,3500,IF($AY19&lt;145000,1750,0)))))))-IF(OR($AU19="Married",AND($AU19="Single",$AS19&gt;=3)),5820,2910))-INDEX('How This Works &amp; Sources'!$B$211:$J$214,0,4))*INDEX('How This Works &amp; Sources'!$B$211:$J$214,0,4+2)),SUMPRODUCT((MAX(0,$AY19-MIN(($P19-'How This Works &amp; Sources'!$C$10*$D19)*'Second Earner'!$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Sources'!$B$211:$J$214,0,1))*(MAX(0,$AY19-MIN(($P19-'How This Works &amp; Sources'!$C$10*$D19)*'Second Earner'!$C$8,IF(OR($AU19="Married",AND($AU19="Single",$AS19&gt;=3)),IF($AY19&lt;250000,8750,IF($AY19&lt;260000,7000,IF($AY19&lt;270000,5250,IF($AY19&lt;280000,3500,IF($AY19&lt;290000,1750,0))))),IF($AY19&lt;125000,8750,IF($AY19&lt;130000,7000,IF($AY19&lt;135000,5250,IF($AY19&lt;140000,3500,IF($AY19&lt;145000,1750,0)))))))-IF(OR($AU19="Married",AND($AU19="Single",$AS19&gt;=3)),5820,2910))-INDEX('How This Works &amp; Sources'!$B$211:$J$214,0,1))*INDEX('How This Works &amp; Sources'!$B$211:$J$214,0,1+2)))+263-263*IF(IF($AU19="Married",$AY19&gt;200000,$AY19&gt;100000),0,$AS19),IF($AN19="PA",0.0307*(($O19+$E19+$G19)*'Second Earner'!$C$8),IF($AN19="NY",IF($AU19="Married",IF($AZ19&gt;=2155350,0,IF($AZ19&gt;=1077550,0.48,IF($AZ19&gt;=373200,1.21,IF($AZ19&gt;=323200,0.21,IF($AZ19&gt;=211550,-0.19,IF($AZ19&gt;=157650,-2.8,IF($AZ19&gt;=107650,-0.8,IF($AZ19&gt;=96800,0.05,IF($AZ19&gt;=80650,-0.1,IF($AZ19&gt;=13900,0.4,IF($AZ19&gt;=11700,-0.3,IF($AZ19&gt;=8500,0.5,0)))))))))))),IF($AZ19&gt;=1077550,0,IF($AZ19&gt;=265400,4.29,IF($AZ19&gt;=215400,2.29,IF($AZ19&gt;=157650,2.29,IF($AZ19&gt;=107650,0.29,IF($AZ19&gt;=96800,0.05,IF($AZ19&gt;=80650,-0.1,IF($AZ19&gt;=13900,0.4,IF($AZ19&gt;=11700,-0.3,IF($AZ19&gt;=8500,0.5,0))))))))))),0))))))))))))))))))</f>
      </c>
      <c r="BC19" s="7">
        <f>IF($B19="","",IF($AN19="AL",0.05*$D19,IF($AN19="AR",0.039*$D19,IF($AN19="ID",0.053*$D19,IF($AN19="IN",(0.0295+'Second Earner'!$C$76)*$D19,IF($AN19="KS",0.05*$D19,IF($AN19="MA",0.09*MIN($D19,MAX(0,MAX(0,$AY19-MIN(($BD18+$Q19+$R19+$S19),2000)-IF($AS19=0,0,IF($AS19=1,4400,1000*$AS19+3400)))+$D19-1107750))+0.05*($D19-MIN($D19,MAX(0,MAX(0,$AY19-MIN(($BD18+$Q19+$R19+$S19),2000)-IF($AS19=0,0,IF($AS19=1,4400,1000*$AS19+3400)))+$D19-1107750))),IF($AN19="MD",(0.065+'Second Earner'!$C$74)*$D19,IF($AN19="MI",0.0425*$D19,IF($AN19="MN",0.0625*$D19,IF($AN19="MO",0.047*$D19,IF($AN19="MT",0.05*$D19,IF($AN19="ND",0.015*$D19,IF($AN19="NE",0.035*$D19,IF($AN19="NJ",IF('Second Earner'!$C$77="B",SUMPRODUCT(($D19*'Second Earner'!$C$8&gt;INDEX('How This Works &amp; Sources'!$B$155:$J$162,0,4))*($D19*'Second Earner'!$C$8-INDEX('How This Works &amp; Sources'!$B$155:$J$162,0,4))*INDEX('How This Works &amp; Sources'!$B$155:$J$162,0,4+2)),IF('Second Earner'!$C$77="C",SUMPRODUCT(($D19*'Second Earner'!$C$8&gt;INDEX('How This Works &amp; Sources'!$B$155:$J$162,0,7))*($D19*'Second Earner'!$C$8-INDEX('How This Works &amp; Sources'!$B$155:$J$162,0,7))*INDEX('How This Works &amp; Sources'!$B$155:$J$162,0,7+2)),IF('Second Earner'!$C$77="D",SUMPRODUCT(($D19*'Second Earner'!$C$8&gt;INDEX('How This Works &amp; Sources'!$B$167:$J$179,0,1))*($D19*'Second Earner'!$C$8-INDEX('How This Works &amp; Sources'!$B$167:$J$179,0,1))*INDEX('How This Works &amp; Sources'!$B$167:$J$179,0,1+2)),IF('Second Earner'!$C$77="E",SUMPRODUCT(($D19*'Second Earner'!$C$8&gt;INDEX('How This Works &amp; Sources'!$B$167:$J$179,0,4))*($D19*'Second Earner'!$C$8-INDEX('How This Works &amp; Sources'!$B$167:$J$179,0,4))*INDEX('How This Works &amp; Sources'!$B$167:$J$179,0,4+2)),SUMPRODUCT(($D19*'Second Earner'!$C$8&gt;INDEX('How This Works &amp; Sources'!$B$155:$J$162,0,1))*($D19*'Second Earner'!$C$8-INDEX('How This Works &amp; Sources'!$B$155:$J$162,0,1))*INDEX('How This Works &amp; Sources'!$B$155:$J$162,0,1+2))))))/'Second Earner'!$C$8,IF($AN19="NY",0.117*$D19,IF($AN19="OH",0.0275*$D19,IF($AN19="OK",0.045*$D19,IF($AN19="OR",0.08*$D19,IF($AN19="WI",IF($AY19&lt;12760,0.0354,IF($AY19&lt;25520,0.0465,IF($AY19&lt;280950,0.053,0.0765)))*$D19,0))))))))))))))))))))</f>
      </c>
      <c r="BD19" s="7">
        <f>IF($B19="","",$BD18+$Q19+$R19+$S19)</f>
      </c>
      <c r="BE19" s="6">
        <f>IF($B19="",$BE18,$BE18+$BF19)</f>
      </c>
      <c r="BF19" s="6">
        <f>IF($B19="","",IF(AND(IF(YEAR(IF('Second Earner'!$C$7="Weekly",'Second Earner'!$C$9+7*(($BE18+1)-1),IF('Second Earner'!$C$7="Biweekly",'Second Earner'!$C$9+14*(($BE18+1)-1),IF('Second Earner'!$C$7="Semimonthly",DATE(YEAR('Second Earner'!$C$9),MONTH('Second Earner'!$C$9)+INT((($BE18+1)-1)/2),MIN(DAY('Second Earner'!$C$9),DAY(EOMONTH(DATE(YEAR('Second Earner'!$C$9),MONTH('Second Earner'!$C$9)+INT((($BE18+1)-1)/2),1),0))))+IF(MOD(($BE18+1)-1,2)=1,15,0),EDATE('Second Earner'!$C$9,($BE18+1)-1)))))&lt;&gt;'Second Earner'!$C$10,"",IF('Second Earner'!$C$7="Weekly",'Second Earner'!$C$9+7*(($BE18+1)-1),IF('Second Earner'!$C$7="Biweekly",'Second Earner'!$C$9+14*(($BE18+1)-1),IF('Second Earner'!$C$7="Semimonthly",DATE(YEAR('Second Earner'!$C$9),MONTH('Second Earner'!$C$9)+INT((($BE18+1)-1)/2),MIN(DAY('Second Earner'!$C$9),DAY(EOMONTH(DATE(YEAR('Second Earner'!$C$9),MONTH('Second Earner'!$C$9)+INT((($BE18+1)-1)/2),1),0))))+IF(MOD(($BE18+1)-1,2)=1,15,0),EDATE('Second Earner'!$C$9,($BE18+1)-1)))))&lt;&gt;"",$B19=IF(YEAR(IF('Second Earner'!$C$7="Weekly",'Second Earner'!$C$9+7*(($BE18+1)-1),IF('Second Earner'!$C$7="Biweekly",'Second Earner'!$C$9+14*(($BE18+1)-1),IF('Second Earner'!$C$7="Semimonthly",DATE(YEAR('Second Earner'!$C$9),MONTH('Second Earner'!$C$9)+INT((($BE18+1)-1)/2),MIN(DAY('Second Earner'!$C$9),DAY(EOMONTH(DATE(YEAR('Second Earner'!$C$9),MONTH('Second Earner'!$C$9)+INT((($BE18+1)-1)/2),1),0))))+IF(MOD(($BE18+1)-1,2)=1,15,0),EDATE('Second Earner'!$C$9,($BE18+1)-1)))))&lt;&gt;'Second Earner'!$C$10,"",IF('Second Earner'!$C$7="Weekly",'Second Earner'!$C$9+7*(($BE18+1)-1),IF('Second Earner'!$C$7="Biweekly",'Second Earner'!$C$9+14*(($BE18+1)-1),IF('Second Earner'!$C$7="Semimonthly",DATE(YEAR('Second Earner'!$C$9),MONTH('Second Earner'!$C$9)+INT((($BE18+1)-1)/2),MIN(DAY('Second Earner'!$C$9),DAY(EOMONTH(DATE(YEAR('Second Earner'!$C$9),MONTH('Second Earner'!$C$9)+INT((($BE18+1)-1)/2),1),0))))+IF(MOD(($BE18+1)-1,2)=1,15,0),EDATE('Second Earner'!$C$9,($BE18+1)-1)))))),1,0))</f>
      </c>
      <c r="BG19" s="7">
        <f>IF($B19="","",$BG18+$H19)</f>
      </c>
      <c r="BH19" s="7">
        <f>IF($B19="","",$BH18+$I19)</f>
      </c>
      <c r="BI19" s="7">
        <f>IF($B19="","",$BI18+$G19)</f>
      </c>
      <c r="BJ19" s="7">
        <f>IF($B19="","",IFERROR(LOOKUP(2,1/(((('Changes — Earner 2'!$C$6:$C$17="Deduction start"))*('Changes — Earner 2'!$D$6:$D$17="Health FSA"))*('Changes — Earner 2'!$B$6:$B$17&lt;=$B19)*('Changes — Earner 2'!$B$6:$B$17&lt;&gt;"")),'Changes — Earner 2'!$E$6:$E$17),'Second Earner'!$D$38))</f>
      </c>
      <c r="BK19" s="7">
        <f>IF($B19="","",IFERROR(LOOKUP(2,1/(((('Changes — Earner 2'!$C$6:$C$17="Deduction start"))*('Changes — Earner 2'!$D$6:$D$17="Dependent-care FSA"))*('Changes — Earner 2'!$B$6:$B$17&lt;=$B19)*('Changes — Earner 2'!$B$6:$B$17&lt;&gt;"")),'Changes — Earner 2'!$E$6:$E$17),'Second Earner'!$D$39))</f>
      </c>
      <c r="BL19" s="7">
        <f>IF($B19="","",IFERROR(LOOKUP(2,1/(((('Changes — Earner 2'!$C$6:$C$17="Deduction start")+('Changes — Earner 2'!$C$6:$C$17="Deduction stop"))*('Changes — Earner 2'!$D$6:$D$17="HSA"))*('Changes — Earner 2'!$B$6:$B$17&lt;=$B19)*('Changes — Earner 2'!$B$6:$B$17&lt;&gt;"")),'Changes — Earner 2'!$I$6:$I$17),'Second Earner'!$D$35))</f>
      </c>
      <c r="BM19" s="7">
        <f>IF($B19="","",IFERROR(LOOKUP(2,1/(((('Changes — Earner 2'!$C$6:$C$17="Deduction start")+('Changes — Earner 2'!$C$6:$C$17="Deduction stop"))*('Changes — Earner 2'!$D$6:$D$17="Premiums"))*('Changes — Earner 2'!$B$6:$B$17&lt;=$B19)*('Changes — Earner 2'!$B$6:$B$17&lt;&gt;"")),'Changes — Earner 2'!$I$6:$I$17),'Second Earner'!$D$40+'Second Earner'!$D$41+'Second Earner'!$D$42))</f>
      </c>
      <c r="BN19" s="7">
        <f>IF($B19="","",IFERROR(LOOKUP(2,1/(((('Changes — Earner 2'!$C$6:$C$17="Deduction start")+('Changes — Earner 2'!$C$6:$C$17="Deduction stop"))*('Changes — Earner 2'!$D$6:$D$17="Commuter"))*('Changes — Earner 2'!$B$6:$B$17&lt;=$B19)*('Changes — Earner 2'!$B$6:$B$17&lt;&gt;"")),'Changes — Earner 2'!$I$6:$I$17),'Second Earner'!$D$43))</f>
      </c>
      <c r="BO19" s="7">
        <f>IF($B19="","",IFERROR(LOOKUP(2,1/(((('Changes — Earner 2'!$C$6:$C$17="Deduction start")+('Changes — Earner 2'!$C$6:$C$17="Deduction stop"))*('Changes — Earner 2'!$D$6:$D$17="Other pre-tax"))*('Changes — Earner 2'!$B$6:$B$17&lt;=$B19)*('Changes — Earner 2'!$B$6:$B$17&lt;&gt;"")),'Changes — Earner 2'!$I$6:$I$17),'Second Earner'!$D$44))</f>
      </c>
      <c r="BP19" s="7">
        <f>IF($B19="","",IFERROR(LOOKUP(2,1/(((('Changes — Earner 2'!$C$6:$C$17="Deduction start")+('Changes — Earner 2'!$C$6:$C$17="Deduction stop"))*('Changes — Earner 2'!$D$6:$D$17="Other post-tax"))*('Changes — Earner 2'!$B$6:$B$17&lt;=$B19)*('Changes — Earner 2'!$B$6:$B$17&lt;&gt;"")),'Changes — Earner 2'!$I$6:$I$17),'Second Earner'!$D$45))</f>
      </c>
      <c r="BQ19" s="6">
        <f>IF($B19="","",IFERROR(LOOKUP(2,1/(((('Changes — Earner 2'!$C$6:$C$17="Deduction start")+('Changes — Earner 2'!$C$6:$C$17="Deduction stop"))*('Changes — Earner 2'!$D$6:$D$17="Health FSA"))*('Changes — Earner 2'!$B$6:$B$17&lt;=$B19)*('Changes — Earner 2'!$B$6:$B$17&lt;&gt;"")),'Changes — Earner 2'!$J$6:$J$17),0))</f>
      </c>
      <c r="BR19" s="6">
        <f>IF($B19="","",IFERROR(LOOKUP(2,1/(((('Changes — Earner 2'!$C$6:$C$17="Deduction start")+('Changes — Earner 2'!$C$6:$C$17="Deduction stop"))*('Changes — Earner 2'!$D$6:$D$17="Dependent-care FSA"))*('Changes — Earner 2'!$B$6:$B$17&lt;=$B19)*('Changes — Earner 2'!$B$6:$B$17&lt;&gt;"")),'Changes — Earner 2'!$J$6:$J$17),0))</f>
      </c>
      <c r="BS19" s="6">
        <f>IF($B19="","",IF(SUMPRODUCT(('Changes — Earner 2'!$C$6:$C$17="Deduction start")*('Changes — Earner 2'!$B$6:$B$17&lt;=$B19)*('Changes — Earner 2'!$B$6:$B$17&lt;&gt;"")*('Changes — Earner 2'!$D$6:$D$17="Health FSA"))&gt;0,1,0))</f>
      </c>
      <c r="BT19" s="6">
        <f>IF($B19="","",IF(SUMPRODUCT(('Changes — Earner 2'!$C$6:$C$17="Deduction start")*('Changes — Earner 2'!$B$6:$B$17&lt;=$B19)*('Changes — Earner 2'!$B$6:$B$17&lt;&gt;"")*('Changes — Earner 2'!$D$6:$D$17="Dependent-care FSA"))&gt;0,1,0))</f>
      </c>
      <c r="BU19" s="24">
        <f>IF($B19="","",IF('Second Earner'!$C$13,SUMPRODUCT(($AH19&gt;=INDEX('How This Works &amp; Sources'!$B$29:$J$36,0,IF('Second Earner'!$C$12="MFJ",1,IF('Second Earner'!$C$12="HoH",7,4))))*INDEX('How This Works &amp; Sources'!$B$29:$J$36,0,IF('Second Earner'!$C$12="MFJ",1,IF('Second Earner'!$C$12="HoH",7,4))+2)),SUMPRODUCT(($AH19&gt;=INDEX('How This Works &amp; Sources'!$B$19:$J$26,0,IF('Second Earner'!$C$12="MFJ",1,IF('Second Earner'!$C$12="HoH",7,4))))*INDEX('How This Works &amp; Sources'!$B$19:$J$26,0,IF('Second Earner'!$C$12="MFJ",1,IF('Second Earner'!$C$12="HoH",7,4))+2))))</f>
      </c>
      <c r="BV19" s="24">
        <f>IF($B19="","",IF($BZ19&lt;&gt;"",$BZ19,IF($CA19&lt;&gt;"",$CA19,IF($CB19&lt;&gt;"",$CB19,IF($CC19&lt;&gt;"",$CC19,0)))))</f>
      </c>
      <c r="BW19" s="7">
        <f>IF($B19="","",IF($AN19="AR",SUMPRODUCT(($AZ19&gt;INDEX('How This Works &amp; Sources'!$B$82:$J$86,0,7))*($AZ19-INDEX('How This Works &amp; Sources'!$B$82:$J$86,0,7))*INDEX('How This Works &amp; Sources'!$B$82:$J$86,0,7+2)),IF($AN19="MD",IF(OR($AU19="Married",$AU19="Head of household"),SUMPRODUCT(($AZ19&gt;INDEX('How This Works &amp; Sources'!$B$114:$J$120,0,1))*($AZ19-INDEX('How This Works &amp; Sources'!$B$114:$J$120,0,1))*INDEX('How This Works &amp; Sources'!$B$114:$J$120,0,1+2)),SUMPRODUCT(($AZ19&gt;INDEX('How This Works &amp; Sources'!$B$103:$J$109,0,7))*($AZ19-INDEX('How This Works &amp; Sources'!$B$103:$J$109,0,7))*INDEX('How This Works &amp; Sources'!$B$103:$J$109,0,7+2))),IF($AN19="MT",IF($AU19="Head of household",SUMPRODUCT(($AZ19&gt;INDEX('How This Works &amp; Sources'!$B$137:$J$139,0,1))*($AZ19-INDEX('How This Works &amp; Sources'!$B$137:$J$139,0,1))*INDEX('How This Works &amp; Sources'!$B$137:$J$139,0,1+2)),IF($AU19="Married",SUMPRODUCT(($AZ19&gt;INDEX('How This Works &amp; Sources'!$B$125:$J$132,0,7))*($AZ19-INDEX('How This Works &amp; Sources'!$B$125:$J$132,0,7))*INDEX('How This Works &amp; Sources'!$B$125:$J$132,0,7+2)),SUMPRODUCT(($AZ19&gt;INDEX('How This Works &amp; Sources'!$B$125:$J$132,0,4))*($AZ19-INDEX('How This Works &amp; Sources'!$B$125:$J$132,0,4))*INDEX('How This Works &amp; Sources'!$B$125:$J$132,0,4+2)))),IF($AN19="ND",IF($AU19="Head of household",SUMPRODUCT(($AZ19&gt;INDEX('How This Works &amp; Sources'!$B$144:$J$150,0,1))*($AZ19-INDEX('How This Works &amp; Sources'!$B$144:$J$150,0,1))*INDEX('How This Works &amp; Sources'!$B$144:$J$150,0,1+2)),IF($AU19="Married",SUMPRODUCT(($AZ19&gt;INDEX('How This Works &amp; Sources'!$B$137:$J$139,0,7))*($AZ19-INDEX('How This Works &amp; Sources'!$B$137:$J$139,0,7))*INDEX('How This Works &amp; Sources'!$B$137:$J$139,0,7+2)),SUMPRODUCT(($AZ19&gt;INDEX('How This Works &amp; Sources'!$B$137:$J$139,0,4))*($AZ19-INDEX('How This Works &amp; Sources'!$B$137:$J$139,0,4))*INDEX('How This Works &amp; Sources'!$B$137:$J$139,0,4+2)))),IF($AN19="NJ",IF('Second Earner'!$C$77="B",SUMPRODUCT(($AZ19&gt;INDEX('How This Works &amp; Sources'!$B$155:$J$162,0,4))*($AZ19-INDEX('How This Works &amp; Sources'!$B$155:$J$162,0,4))*INDEX('How This Works &amp; Sources'!$B$155:$J$162,0,4+2)),IF('Second Earner'!$C$77="C",SUMPRODUCT(($AZ19&gt;INDEX('How This Works &amp; Sources'!$B$155:$J$162,0,7))*($AZ19-INDEX('How This Works &amp; Sources'!$B$155:$J$162,0,7))*INDEX('How This Works &amp; Sources'!$B$155:$J$162,0,7+2)),IF('Second Earner'!$C$77="D",SUMPRODUCT(($AZ19&gt;INDEX('How This Works &amp; Sources'!$B$167:$J$179,0,1))*($AZ19-INDEX('How This Works &amp; Sources'!$B$167:$J$179,0,1))*INDEX('How This Works &amp; Sources'!$B$167:$J$179,0,1+2)),IF('Second Earner'!$C$77="E",SUMPRODUCT(($AZ19&gt;INDEX('How This Works &amp; Sources'!$B$167:$J$179,0,4))*($AZ19-INDEX('How This Works &amp; Sources'!$B$167:$J$179,0,4))*INDEX('How This Works &amp; Sources'!$B$167:$J$179,0,4+2)),SUMPRODUCT(($AZ19&gt;INDEX('How This Works &amp; Sources'!$B$155:$J$162,0,1))*($AZ19-INDEX('How This Works &amp; Sources'!$B$155:$J$162,0,1))*INDEX('How This Works &amp; Sources'!$B$155:$J$162,0,1+2)))))),IF($AN19="NY",IF($AU19="Married",IF($AZ19&gt;=2155350,$AZ19*IF($AZ19&gt;25000000,0.117,IF($AZ19&gt;5000000,0.111,0.1045)),SUMPRODUCT(($AZ19&gt;INDEX('How This Works &amp; Sources'!$B$184:$J$198,0,1))*($AZ19-INDEX('How This Works &amp; Sources'!$B$184:$J$198,0,1))*INDEX('How This Works &amp; Sources'!$B$184:$J$198,0,1+2))),IF($AZ19&gt;=1077550,$AZ19*IF($AZ19&gt;25000000,0.117,IF($AZ19&gt;5000000,0.111,0.1045)),SUMPRODUCT(($AZ19&gt;INDEX('How This Works &amp; Sources'!$B$167:$J$179,0,7))*($AZ19-INDEX('How This Works &amp; Sources'!$B$167:$J$179,0,7))*INDEX('How This Works &amp; Sources'!$B$167:$J$179,0,7+2)))),"")))))))</f>
      </c>
      <c r="BX19" s="7">
        <f>IF($B19="","",IF($AN19="AL",IF(OR($AU19="Married",$AU19="Head of household"),SUMPRODUCT(($AZ19&gt;INDEX('How This Works &amp; Sources'!$B$82:$J$86,0,4))*($AZ19-INDEX('How This Works &amp; Sources'!$B$82:$J$86,0,4))*INDEX('How This Works &amp; Sources'!$B$82:$J$86,0,4+2)),SUMPRODUCT(($AZ19&gt;INDEX('How This Works &amp; Sources'!$B$82:$J$86,0,1))*($AZ19-INDEX('How This Works &amp; Sources'!$B$82:$J$86,0,1))*INDEX('How This Works &amp; Sources'!$B$82:$J$86,0,1+2))),IF($AN19="KS",IF($AU19="Married",SUMPRODUCT(($AZ19&gt;INDEX('How This Works &amp; Sources'!$B$103:$J$109,0,4))*($AZ19-INDEX('How This Works &amp; Sources'!$B$103:$J$109,0,4))*INDEX('How This Works &amp; Sources'!$B$103:$J$109,0,4+2)),SUMPRODUCT(($AZ19&gt;INDEX('How This Works &amp; Sources'!$B$103:$J$109,0,1))*($AZ19-INDEX('How This Works &amp; Sources'!$B$103:$J$109,0,1))*INDEX('How This Works &amp; Sources'!$B$103:$J$109,0,1+2))),IF($AN19="MN",IF($AU19="Married",SUMPRODUCT(($AZ19&gt;INDEX('How This Works &amp; Sources'!$B$114:$J$120,0,7))*($AZ19-INDEX('How This Works &amp; Sources'!$B$114:$J$120,0,7))*INDEX('How This Works &amp; Sources'!$B$114:$J$120,0,7+2)),SUMPRODUCT(($AZ19&gt;INDEX('How This Works &amp; Sources'!$B$114:$J$120,0,4))*($AZ19-INDEX('How This Works &amp; Sources'!$B$114:$J$120,0,4))*INDEX('How This Works &amp; Sources'!$B$114:$J$120,0,4+2))),IF($AN19="MO",SUMPRODUCT(($AZ19&gt;INDEX('How This Works &amp; Sources'!$B$125:$J$132,0,1))*($AZ19-INDEX('How This Works &amp; Sources'!$B$125:$J$132,0,1))*INDEX('How This Works &amp; Sources'!$B$125:$J$132,0,1+2)),IF($AN19="NE",MAX(IF($AU19="Married",SUMPRODUCT(($AZ19&gt;INDEX('How This Works &amp; Sources'!$B$144:$J$150,0,7))*($AZ19-INDEX('How This Works &amp; Sources'!$B$144:$J$150,0,7))*INDEX('How This Works &amp; Sources'!$B$144:$J$150,0,7+2)),SUMPRODUCT(($AZ19&gt;INDEX('How This Works &amp; Sources'!$B$144:$J$150,0,4))*($AZ19-INDEX('How This Works &amp; Sources'!$B$144:$J$150,0,4))*INDEX('How This Works &amp; Sources'!$B$144:$J$150,0,4+2))),0.015*$AZ19),IF($AN19="OH",IF($B19&gt;=DATE(2026,8,1),SUMPRODUCT(($AZ19&gt;INDEX('How This Works &amp; Sources'!$B$203:$J$206,0,1))*($AZ19-INDEX('How This Works &amp; Sources'!$B$203:$J$206,0,1))*INDEX('How This Works &amp; Sources'!$B$203:$J$206,0,1+2)),SUMPRODUCT(($AZ19&gt;INDEX('How This Works &amp; Sources'!$B$184:$J$198,0,7))*($AZ19-INDEX('How This Works &amp; Sources'!$B$184:$J$198,0,7))*INDEX('How This Works &amp; Sources'!$B$184:$J$198,0,7+2))),IF($AN19="OK",IF($AU19="Married",SUMPRODUCT(($AZ19&gt;INDEX('How This Works &amp; Sources'!$B$203:$J$206,0,7))*($AZ19-INDEX('How This Works &amp; Sources'!$B$203:$J$206,0,7))*INDEX('How This Works &amp; Sources'!$B$203:$J$206,0,7+2)),SUMPRODUCT(($AZ19&gt;INDEX('How This Works &amp; Sources'!$B$203:$J$206,0,4))*($AZ19-INDEX('How This Works &amp; Sources'!$B$203:$J$206,0,4))*INDEX('How This Works &amp; Sources'!$B$203:$J$206,0,4+2))),IF($AN19="VT",IF($AU19="Married",SUMPRODUCT(($AZ19&gt;INDEX('How This Works &amp; Sources'!$B$228:$J$232,0,1))*($AZ19-INDEX('How This Works &amp; Sources'!$B$228:$J$232,0,1))*INDEX('How This Works &amp; Sources'!$B$228:$J$232,0,1+2)),SUMPRODUCT(($AZ19&gt;INDEX('How This Works &amp; Sources'!$B$219:$J$223,0,7))*($AZ19-INDEX('How This Works &amp; Sources'!$B$219:$J$223,0,7))*INDEX('How This Works &amp; Sources'!$B$219:$J$223,0,7+2))),IF($AN19="WV",IF($AU19="Married",SUMPRODUCT(($AZ19&gt;INDEX('How This Works &amp; Sources'!$B$237:$J$241,0,7))*($AZ19-INDEX('How This Works &amp; Sources'!$B$237:$J$241,0,7))*INDEX('How This Works &amp; Sources'!$B$237:$J$241,0,7+2)),SUMPRODUCT(($AZ19&gt;INDEX('How This Works &amp; Sources'!$B$228:$J$232,0,7))*($AZ19-INDEX('How This Works &amp; Sources'!$B$228:$J$232,0,7))*INDEX('How This Works &amp; Sources'!$B$228:$J$232,0,7+2))),""))))))))))</f>
      </c>
      <c r="BY19" s="7">
        <f>IF($B19="","",IF($AN19="DE",SUMPRODUCT(($AZ19&gt;INDEX('How This Works &amp; Sources'!$B$91:$J$98,0,1))*($AZ19-INDEX('How This Works &amp; Sources'!$B$91:$J$98,0,1))*INDEX('How This Works &amp; Sources'!$B$91:$J$98,0,1+2)),IF($AN19="HI",IF($AU19="Married",SUMPRODUCT(($AZ19&gt;INDEX('How This Works &amp; Sources'!$B$91:$J$98,0,7))*($AZ19-INDEX('How This Works &amp; Sources'!$B$91:$J$98,0,7))*INDEX('How This Works &amp; Sources'!$B$91:$J$98,0,7+2)),SUMPRODUCT(($AZ19&gt;INDEX('How This Works &amp; Sources'!$B$91:$J$98,0,4))*($AZ19-INDEX('How This Works &amp; Sources'!$B$91:$J$98,0,4))*INDEX('How This Works &amp; Sources'!$B$91:$J$98,0,4+2))),IF($AN19="RI",SUMPRODUCT(($AZ19&gt;INDEX('How This Works &amp; Sources'!$B$211:$J$214,0,7))*($AZ19-INDEX('How This Works &amp; Sources'!$B$211:$J$214,0,7))*INDEX('How This Works &amp; Sources'!$B$211:$J$214,0,7+2)),IF($AN19="SC",SUMPRODUCT(($AZ19&gt;INDEX('How This Works &amp; Sources'!$B$219:$J$223,0,1))*($AZ19-INDEX('How This Works &amp; Sources'!$B$219:$J$223,0,1))*INDEX('How This Works &amp; Sources'!$B$219:$J$223,0,1+2)),IF($AN19="VA",SUMPRODUCT(($AZ19&gt;INDEX('How This Works &amp; Sources'!$B$219:$J$223,0,4))*($AZ19-INDEX('How This Works &amp; Sources'!$B$219:$J$223,0,4))*INDEX('How This Works &amp; Sources'!$B$219:$J$223,0,4+2)),IF($AN19="WI",SUMPRODUCT(($AZ19&gt;INDEX('How This Works &amp; Sources'!$B$228:$J$232,0,4))*($AZ19-INDEX('How This Works &amp; Sources'!$B$228:$J$232,0,4))*INDEX('How This Works &amp; Sources'!$B$228:$J$232,0,4+2)),"")))))))</f>
      </c>
      <c r="BZ19" s="24">
        <f>IF($B19="","",IF($AN19="KS",IF($AU19="Married",SUMPRODUCT(($AZ19&gt;=INDEX('How This Works &amp; Sources'!$B$103:$J$109,0,4))*INDEX('How This Works &amp; Sources'!$B$103:$J$109,0,4+2)),SUMPRODUCT(($AZ19&gt;=INDEX('How This Works &amp; Sources'!$B$103:$J$109,0,1))*INDEX('How This Works &amp; Sources'!$B$103:$J$109,0,1+2))),IF($AN19="MT",IF($AU19="Head of household",SUMPRODUCT(($AZ19&gt;=INDEX('How This Works &amp; Sources'!$B$137:$J$139,0,1))*INDEX('How This Works &amp; Sources'!$B$137:$J$139,0,1+2)),IF($AU19="Married",SUMPRODUCT(($AZ19&gt;=INDEX('How This Works &amp; Sources'!$B$125:$J$132,0,7))*INDEX('How This Works &amp; Sources'!$B$125:$J$132,0,7+2)),SUMPRODUCT(($AZ19&gt;=INDEX('How This Works &amp; Sources'!$B$125:$J$132,0,4))*INDEX('How This Works &amp; Sources'!$B$125:$J$132,0,4+2)))),IF($AN19="OR",IF(OR($AU19="Married",AND($AU19="Single",$AS19&gt;=3)),SUMPRODUCT((MAX(0,$AY19-MIN(($P19-'How This Works &amp; Sources'!$C$10*$D19)*'Second Earner'!$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Sources'!$B$211:$J$214,0,4))*INDEX('How This Works &amp; Sources'!$B$211:$J$214,0,4+2)),SUMPRODUCT((MAX(0,$AY19-MIN(($P19-'How This Works &amp; Sources'!$C$10*$D19)*'Second Earner'!$C$8,IF(OR($AU19="Married",AND($AU19="Single",$AS19&gt;=3)),IF($AY19&lt;250000,8750,IF($AY19&lt;260000,7000,IF($AY19&lt;270000,5250,IF($AY19&lt;280000,3500,IF($AY19&lt;290000,1750,0))))),IF($AY19&lt;125000,8750,IF($AY19&lt;130000,7000,IF($AY19&lt;135000,5250,IF($AY19&lt;140000,3500,IF($AY19&lt;145000,1750,0)))))))-IF(OR($AU19="Married",AND($AU19="Single",$AS19&gt;=3)),5820,2910))&gt;=INDEX('How This Works &amp; Sources'!$B$211:$J$214,0,1))*INDEX('How This Works &amp; Sources'!$B$211:$J$214,0,1+2)))*IF(($P19-'How This Works &amp; Sources'!$C$10*$D19)*'Second Earner'!$C$8&gt;=IF(OR($AU19="Married",AND($AU19="Single",$AS19&gt;=3)),IF($AY19&lt;250000,8750,IF($AY19&lt;260000,7000,IF($AY19&lt;270000,5250,IF($AY19&lt;280000,3500,IF($AY19&lt;290000,1750,0))))),IF($AY19&lt;125000,8750,IF($AY19&lt;130000,7000,IF($AY19&lt;135000,5250,IF($AY19&lt;140000,3500,IF($AY19&lt;145000,1750,0)))))),1,1-IF('Second Earner'!$C$13,SUMPRODUCT(($AH19&gt;=INDEX('How This Works &amp; Sources'!$B$29:$J$36,0,IF('Second Earner'!$C$12="MFJ",1,IF('Second Earner'!$C$12="HoH",7,4))))*INDEX('How This Works &amp; Sources'!$B$29:$J$36,0,IF('Second Earner'!$C$12="MFJ",1,IF('Second Earner'!$C$12="HoH",7,4))+2)),SUMPRODUCT(($AH19&gt;=INDEX('How This Works &amp; Sources'!$B$19:$J$26,0,IF('Second Earner'!$C$12="MFJ",1,IF('Second Earner'!$C$12="HoH",7,4))))*INDEX('How This Works &amp; Sources'!$B$19:$J$26,0,IF('Second Earner'!$C$12="MFJ",1,IF('Second Earner'!$C$12="HoH",7,4))+2)))),""))))</f>
      </c>
      <c r="CA19" s="24">
        <f>IF($B19="","",IF($AN19="CA",SUMPRODUCT(($AJ19&gt;=INDEX('How This Works &amp; Sources'!$B$39:$J$48,0,IF($AU19="Married",4,IF($AU19="Head of household",7,1))))*INDEX('How This Works &amp; Sources'!$B$39:$J$48,0,IF($AU19="Married",4,IF($AU19="Head of household",7,1))+2)),IF($AN19="AL",IF(OR($AU19="Married",$AU19="Head of household"),SUMPRODUCT(($AZ19&gt;=INDEX('How This Works &amp; Sources'!$B$82:$J$86,0,4))*INDEX('How This Works &amp; Sources'!$B$82:$J$86,0,4+2)),SUMPRODUCT(($AZ19&gt;=INDEX('How This Works &amp; Sources'!$B$82:$J$86,0,1))*INDEX('How This Works &amp; Sources'!$B$82:$J$86,0,1+2)))*(1-IF('Second Earner'!$C$13,SUMPRODUCT(($AH19&gt;=INDEX('How This Works &amp; Sources'!$B$29:$J$36,0,IF('Second Earner'!$C$12="MFJ",1,IF('Second Earner'!$C$12="HoH",7,4))))*INDEX('How This Works &amp; Sources'!$B$29:$J$36,0,IF('Second Earner'!$C$12="MFJ",1,IF('Second Earner'!$C$12="HoH",7,4))+2)),SUMPRODUCT(($AH19&gt;=INDEX('How This Works &amp; Sources'!$B$19:$J$26,0,IF('Second Earner'!$C$12="MFJ",1,IF('Second Earner'!$C$12="HoH",7,4))))*INDEX('How This Works &amp; Sources'!$B$19:$J$26,0,IF('Second Earner'!$C$12="MFJ",1,IF('Second Earner'!$C$12="HoH",7,4))+2)))),IF($AN19="ND",IF($AU19="Head of household",SUMPRODUCT(($AZ19&gt;=INDEX('How This Works &amp; Sources'!$B$144:$J$150,0,1))*INDEX('How This Works &amp; Sources'!$B$144:$J$150,0,1+2)),IF($AU19="Married",SUMPRODUCT(($AZ19&gt;=INDEX('How This Works &amp; Sources'!$B$137:$J$139,0,7))*INDEX('How This Works &amp; Sources'!$B$137:$J$139,0,7+2)),SUMPRODUCT(($AZ19&gt;=INDEX('How This Works &amp; Sources'!$B$137:$J$139,0,4))*INDEX('How This Works &amp; Sources'!$B$137:$J$139,0,4+2)))),IF($AN19="NJ",IF('Second Earner'!$C$77="B",SUMPRODUCT(($AZ19&gt;=INDEX('How This Works &amp; Sources'!$B$155:$J$162,0,4))*INDEX('How This Works &amp; Sources'!$B$155:$J$162,0,4+2)),IF('Second Earner'!$C$77="C",SUMPRODUCT(($AZ19&gt;=INDEX('How This Works &amp; Sources'!$B$155:$J$162,0,7))*INDEX('How This Works &amp; Sources'!$B$155:$J$162,0,7+2)),IF('Second Earner'!$C$77="D",SUMPRODUCT(($AZ19&gt;=INDEX('How This Works &amp; Sources'!$B$167:$J$179,0,1))*INDEX('How This Works &amp; Sources'!$B$167:$J$179,0,1+2)),IF('Second Earner'!$C$77="E",SUMPRODUCT(($AZ19&gt;=INDEX('How This Works &amp; Sources'!$B$167:$J$179,0,4))*INDEX('How This Works &amp; Sources'!$B$167:$J$179,0,4+2)),SUMPRODUCT(($AZ19&gt;=INDEX('How This Works &amp; Sources'!$B$155:$J$162,0,1))*INDEX('How This Works &amp; Sources'!$B$155:$J$162,0,1+2)))))),IF($AN19="NY",IF($AU19="Married",IF($AZ19&gt;=2155350,IF($AZ19&gt;25000000,0.117,IF($AZ19&gt;5000000,0.111,0.1045)),SUMPRODUCT(($AZ19&gt;=INDEX('How This Works &amp; Sources'!$B$184:$J$198,0,1))*INDEX('How This Works &amp; Sources'!$B$184:$J$198,0,1+2))),IF($AZ19&gt;=1077550,IF($AZ19&gt;25000000,0.117,IF($AZ19&gt;5000000,0.111,0.1045)),SUMPRODUCT(($AZ19&gt;=INDEX('How This Works &amp; Sources'!$B$167:$J$179,0,7))*INDEX('How This Works &amp; Sources'!$B$167:$J$179,0,7+2)))),IF($AN19="LA",0.0309,"")))))))</f>
      </c>
      <c r="CB19" s="24">
        <f>IF($B19="","",IF($AN19="HI",IF($AU19="Married",SUMPRODUCT(($AZ19&gt;=INDEX('How This Works &amp; Sources'!$B$91:$J$98,0,7))*INDEX('How This Works &amp; Sources'!$B$91:$J$98,0,7+2)),SUMPRODUCT(($AZ19&gt;=INDEX('How This Works &amp; Sources'!$B$91:$J$98,0,4))*INDEX('How This Works &amp; Sources'!$B$91:$J$98,0,4+2))),IF($AN19="MD",IF(OR($AU19="Married",$AU19="Head of household"),SUMPRODUCT(($AZ19&gt;=INDEX('How This Works &amp; Sources'!$B$114:$J$120,0,1))*INDEX('How This Works &amp; Sources'!$B$114:$J$120,0,1+2)),SUMPRODUCT(($AZ19&gt;=INDEX('How This Works &amp; Sources'!$B$103:$J$109,0,7))*INDEX('How This Works &amp; Sources'!$B$103:$J$109,0,7+2)))+'Second Earner'!$C$74,IF($AN19="MN",IF($AU19="Married",SUMPRODUCT(($AZ19&gt;=INDEX('How This Works &amp; Sources'!$B$114:$J$120,0,7))*INDEX('How This Works &amp; Sources'!$B$114:$J$120,0,7+2)),SUMPRODUCT(($AZ19&gt;=INDEX('How This Works &amp; Sources'!$B$114:$J$120,0,4))*INDEX('How This Works &amp; Sources'!$B$114:$J$120,0,4+2))),IF($AN19="MO",SUMPRODUCT(($AZ19&gt;=INDEX('How This Works &amp; Sources'!$B$125:$J$132,0,1))*INDEX('How This Works &amp; Sources'!$B$125:$J$132,0,1+2)),IF($AN19="NE",MAX(IF($AU19="Married",SUMPRODUCT(($AZ19&gt;=INDEX('How This Works &amp; Sources'!$B$144:$J$150,0,7))*INDEX('How This Works &amp; Sources'!$B$144:$J$150,0,7+2)),SUMPRODUCT(($AZ19&gt;=INDEX('How This Works &amp; Sources'!$B$144:$J$150,0,4))*INDEX('How This Works &amp; Sources'!$B$144:$J$150,0,4+2))),0.015),IF($AN19="OH",IF($B19&gt;=DATE(2026,8,1),SUMPRODUCT(($AZ19&gt;=INDEX('How This Works &amp; Sources'!$B$203:$J$206,0,1))*INDEX('How This Works &amp; Sources'!$B$203:$J$206,0,1+2)),SUMPRODUCT(($AZ19&gt;=INDEX('How This Works &amp; Sources'!$B$184:$J$198,0,7))*INDEX('How This Works &amp; Sources'!$B$184:$J$198,0,7+2))),IF($AN19="OK",IF($AU19="Married",SUMPRODUCT(($AZ19&gt;=INDEX('How This Works &amp; Sources'!$B$203:$J$206,0,7))*INDEX('How This Works &amp; Sources'!$B$203:$J$206,0,7+2)),SUMPRODUCT(($AZ19&gt;=INDEX('How This Works &amp; Sources'!$B$203:$J$206,0,4))*INDEX('How This Works &amp; Sources'!$B$203:$J$206,0,4+2))),IF($AN19="RI",SUMPRODUCT(($AZ19&gt;=INDEX('How This Works &amp; Sources'!$B$211:$J$214,0,7))*INDEX('How This Works &amp; Sources'!$B$211:$J$214,0,7+2)),IF($AN19="VT",IF($AU19="Married",SUMPRODUCT(($AZ19&gt;=INDEX('How This Works &amp; Sources'!$B$228:$J$232,0,1))*INDEX('How This Works &amp; Sources'!$B$228:$J$232,0,1+2)),SUMPRODUCT(($AZ19&gt;=INDEX('How This Works &amp; Sources'!$B$219:$J$223,0,7))*INDEX('How This Works &amp; Sources'!$B$219:$J$223,0,7+2))),IF($AN19="WV",IF($AU19="Married",SUMPRODUCT(($AZ19&gt;=INDEX('How This Works &amp; Sources'!$B$237:$J$241,0,7))*INDEX('How This Works &amp; Sources'!$B$237:$J$241,0,7+2)),SUMPRODUCT(($AZ19&gt;=INDEX('How This Works &amp; Sources'!$B$228:$J$232,0,7))*INDEX('How This Works &amp; Sources'!$B$228:$J$232,0,7+2))),IF($AN19="AZ",'Second Earner'!$C$82,IF($AN19="ID",IF($AY19&gt;IF($AU19="Married",32000,16094),0.053,0),"")))))))))))))</f>
      </c>
      <c r="CC19" s="24">
        <f>IF($B19="","",IF($AN19="AR",SUMPRODUCT(($AZ19&gt;=INDEX('How This Works &amp; Sources'!$B$82:$J$86,0,7))*INDEX('How This Works &amp; Sources'!$B$82:$J$86,0,7+2)),IF($AN19="DE",SUMPRODUCT(($AZ19&gt;=INDEX('How This Works &amp; Sources'!$B$91:$J$98,0,1))*INDEX('How This Works &amp; Sources'!$B$91:$J$98,0,1+2)),IF($AN19="SC",SUMPRODUCT(($AZ19&gt;=INDEX('How This Works &amp; Sources'!$B$219:$J$223,0,1))*INDEX('How This Works &amp; Sources'!$B$219:$J$223,0,1+2)),IF($AN19="VA",SUMPRODUCT(($AZ19&gt;=INDEX('How This Works &amp; Sources'!$B$219:$J$223,0,4))*INDEX('How This Works &amp; Sources'!$B$219:$J$223,0,4+2)),IF($AN19="WI",SUMPRODUCT(($AZ19&gt;=INDEX('How This Works &amp; Sources'!$B$228:$J$232,0,4))*INDEX('How This Works &amp; Sources'!$B$228:$J$232,0,4+2)),IF($AN19="CO",IF($AY19&gt;IF($AU19="Married",10000,5000),0.044,0),IF($AN19="IA",IF($AY19&gt;IF($AU19="Head of household",19500,IF($AU19="Married",26000,13000)),0.038,0),IF($AN19="IL",IF($AY19&gt;(2925*$AS19+1000*$AT19),0.0495,0),IF($AN19="IN",(0.0295+'Second Earner'!$C$76),IF($AN19="KY",IF($AI19&gt;3360,0.035,0),IF($AN19="MA",IF(MAX(0,$AY19-MIN(($BD18+$Q19+$R19+$S19),2000)-IF($AS19=0,0,IF($AS19=1,4400,1000*$AS19+3400)))&gt;=1107750,0.09,0.05),IF($AN19="MI",IF($AY19&gt;5900*$AS19,0.0425,0),IF($AN19="MS",IF($AI19-IF($AU19="Head of household",3400,IF($AU19="Married",4600,2300))-'Second Earner'!$C$85&gt;10000,0.04,0),IF($AN19="PA",0.0307,"")))))))))))))))</f>
      </c>
      <c r="CD19" s="21">
        <f>IF(YEAR(IF('Second Earner'!$C$7="Weekly",'Second Earner'!$C$9+7*(($BE18+1)-1),IF('Second Earner'!$C$7="Biweekly",'Second Earner'!$C$9+14*(($BE18+1)-1),IF('Second Earner'!$C$7="Semimonthly",DATE(YEAR('Second Earner'!$C$9),MONTH('Second Earner'!$C$9)+INT((($BE18+1)-1)/2),MIN(DAY('Second Earner'!$C$9),DAY(EOMONTH(DATE(YEAR('Second Earner'!$C$9),MONTH('Second Earner'!$C$9)+INT((($BE18+1)-1)/2),1),0))))+IF(MOD(($BE18+1)-1,2)=1,15,0),EDATE('Second Earner'!$C$9,($BE18+1)-1)))))&lt;&gt;'Second Earner'!$C$10,"",IF('Second Earner'!$C$7="Weekly",'Second Earner'!$C$9+7*(($BE18+1)-1),IF('Second Earner'!$C$7="Biweekly",'Second Earner'!$C$9+14*(($BE18+1)-1),IF('Second Earner'!$C$7="Semimonthly",DATE(YEAR('Second Earner'!$C$9),MONTH('Second Earner'!$C$9)+INT((($BE18+1)-1)/2),MIN(DAY('Second Earner'!$C$9),DAY(EOMONTH(DATE(YEAR('Second Earner'!$C$9),MONTH('Second Earner'!$C$9)+INT((($BE18+1)-1)/2),1),0))))+IF(MOD(($BE18+1)-1,2)=1,15,0),EDATE('Second Earner'!$C$9,($BE18+1)-1)))))</f>
      </c>
      <c r="CE19" s="21">
        <f>IF(MIN(IF(AND('Second Earner'!$C$58&gt;MAX($B$6:$B18),'Second Earner'!$C$58&gt;=DATE('Second Earner'!$C$10,1,1),'Second Earner'!$C$58&lt;=DATE('Second Earner'!$C$10,12,31)),'Second Earner'!$C$58,999999),IF(AND('Second Earner'!$C$59&gt;MAX($B$6:$B18),'Second Earner'!$C$59&gt;=DATE('Second Earner'!$C$10,1,1),'Second Earner'!$C$59&lt;=DATE('Second Earner'!$C$10,12,31)),'Second Earner'!$C$59,999999),IF(AND('Second Earner'!$C$60&gt;MAX($B$6:$B18),'Second Earner'!$C$60&gt;=DATE('Second Earner'!$C$10,1,1),'Second Earner'!$C$60&lt;=DATE('Second Earner'!$C$10,12,31)),'Second Earner'!$C$60,999999),IF(AND('Second Earner'!$C$61&gt;MAX($B$6:$B18),'Second Earner'!$C$61&gt;=DATE('Second Earner'!$C$10,1,1),'Second Earner'!$C$61&lt;=DATE('Second Earner'!$C$10,12,31)),'Second Earner'!$C$61,999999),IF(AND('Second Earner'!$C$62&gt;MAX($B$6:$B18),'Second Earner'!$C$62&gt;=DATE('Second Earner'!$C$10,1,1),'Second Earner'!$C$62&lt;=DATE('Second Earner'!$C$10,12,31)),'Second Earner'!$C$62,999999),IF(AND('Second Earner'!$C$63&gt;MAX($B$6:$B18),'Second Earner'!$C$63&gt;=DATE('Second Earner'!$C$10,1,1),'Second Earner'!$C$63&lt;=DATE('Second Earner'!$C$10,12,31)),'Second Earner'!$C$63,999999),IF(AND('Second Earner'!$C$64&gt;MAX($B$6:$B18),'Second Earner'!$C$64&gt;=DATE('Second Earner'!$C$10,1,1),'Second Earner'!$C$64&lt;=DATE('Second Earner'!$C$10,12,31)),'Second Earner'!$C$64,999999),IF(AND('Second Earner'!$C$65&gt;MAX($B$6:$B18),'Second Earner'!$C$65&gt;=DATE('Second Earner'!$C$10,1,1),'Second Earner'!$C$65&lt;=DATE('Second Earner'!$C$10,12,31)),'Second Earner'!$C$65,999999),IF(AND('Second Earner'!$C$66&gt;MAX($B$6:$B18),'Second Earner'!$C$66&gt;=DATE('Second Earner'!$C$10,1,1),'Second Earner'!$C$66&lt;=DATE('Second Earner'!$C$10,12,31)),'Second Earner'!$C$66,999999),IF(AND('Second Earner'!$C$67&gt;MAX($B$6:$B18),'Second Earner'!$C$67&gt;=DATE('Second Earner'!$C$10,1,1),'Second Earner'!$C$67&lt;=DATE('Second Earner'!$C$10,12,31)),'Second Earner'!$C$67,999999))=999999,"",MIN(IF(AND('Second Earner'!$C$58&gt;MAX($B$6:$B18),'Second Earner'!$C$58&gt;=DATE('Second Earner'!$C$10,1,1),'Second Earner'!$C$58&lt;=DATE('Second Earner'!$C$10,12,31)),'Second Earner'!$C$58,999999),IF(AND('Second Earner'!$C$59&gt;MAX($B$6:$B18),'Second Earner'!$C$59&gt;=DATE('Second Earner'!$C$10,1,1),'Second Earner'!$C$59&lt;=DATE('Second Earner'!$C$10,12,31)),'Second Earner'!$C$59,999999),IF(AND('Second Earner'!$C$60&gt;MAX($B$6:$B18),'Second Earner'!$C$60&gt;=DATE('Second Earner'!$C$10,1,1),'Second Earner'!$C$60&lt;=DATE('Second Earner'!$C$10,12,31)),'Second Earner'!$C$60,999999),IF(AND('Second Earner'!$C$61&gt;MAX($B$6:$B18),'Second Earner'!$C$61&gt;=DATE('Second Earner'!$C$10,1,1),'Second Earner'!$C$61&lt;=DATE('Second Earner'!$C$10,12,31)),'Second Earner'!$C$61,999999),IF(AND('Second Earner'!$C$62&gt;MAX($B$6:$B18),'Second Earner'!$C$62&gt;=DATE('Second Earner'!$C$10,1,1),'Second Earner'!$C$62&lt;=DATE('Second Earner'!$C$10,12,31)),'Second Earner'!$C$62,999999),IF(AND('Second Earner'!$C$63&gt;MAX($B$6:$B18),'Second Earner'!$C$63&gt;=DATE('Second Earner'!$C$10,1,1),'Second Earner'!$C$63&lt;=DATE('Second Earner'!$C$10,12,31)),'Second Earner'!$C$63,999999),IF(AND('Second Earner'!$C$64&gt;MAX($B$6:$B18),'Second Earner'!$C$64&gt;=DATE('Second Earner'!$C$10,1,1),'Second Earner'!$C$64&lt;=DATE('Second Earner'!$C$10,12,31)),'Second Earner'!$C$64,999999),IF(AND('Second Earner'!$C$65&gt;MAX($B$6:$B18),'Second Earner'!$C$65&gt;=DATE('Second Earner'!$C$10,1,1),'Second Earner'!$C$65&lt;=DATE('Second Earner'!$C$10,12,31)),'Second Earner'!$C$65,999999),IF(AND('Second Earner'!$C$66&gt;MAX($B$6:$B18),'Second Earner'!$C$66&gt;=DATE('Second Earner'!$C$10,1,1),'Second Earner'!$C$66&lt;=DATE('Second Earner'!$C$10,12,31)),'Second Earner'!$C$66,999999),IF(AND('Second Earner'!$C$67&gt;MAX($B$6:$B18),'Second Earner'!$C$67&gt;=DATE('Second Earner'!$C$10,1,1),'Second Earner'!$C$67&lt;=DATE('Second Earner'!$C$10,12,31)),'Second Earner'!$C$67,999999)))</f>
      </c>
      <c r="CF19">
        <f>IF($B19="","",IF($D19=0,$Y19,""))</f>
      </c>
    </row>
    <row r="20">
      <c r="A20" t="n">
        <v>15</v>
      </c>
      <c r="B20" s="21">
        <f>IF(AND($CD20="",$CE20=""),"",IF($CE20="",$CD20,IF($CD20="",$CE20,MIN($CD20,$CE20))))</f>
      </c>
      <c r="C20" s="7">
        <f>IF($B20="","",IF($BF20=0,0,IF('Second Earner'!$C$4="Annual salary",ROUND($AK20/IF(AND('Second Earner'!$C$88="Actual paydays",MONTH('Second Earner'!$C$9)=1),MAX(1,MAX($BE$6:$BE$68)),'Second Earner'!$C$8),2),$AK20)))</f>
      </c>
      <c r="D20" s="7">
        <f>IF($B20="","",SUMIF('Second Earner'!$C$58:$C$67,$B20,'Second Earner'!$D$58:$D$67))</f>
      </c>
      <c r="E20" s="7">
        <f>IF($B20="","",ROUND(MAX(0,MIN(IF($AL20="Percent",$AM20*($C20+$D20),$AM20),MAX(0,'Second Earner'!$C$34-$AC19))),2))</f>
      </c>
      <c r="F20" s="7">
        <f>IF($B20="","",ROUND(MAX(0,MIN(IF('Second Earner'!$C$32="Percent",'Second Earner'!$D$32*($C20+$D20),'Second Earner'!$D$32),MAX(0,'Second Earner'!$C$34-$AC19-$E20))),2))</f>
      </c>
      <c r="G20" s="7">
        <f>IF($B20="","",IF($BF20=0,0,ROUND(MAX(0,MIN($BL20,'Second Earner'!$C$37-'Second Earner'!$C$54-$BI19)),2)))</f>
      </c>
      <c r="H20" s="7">
        <f>IF($B20="","",IF(OR($BF20=0,$BQ20=1),0,ROUND(MAX(0,MIN(IF($BS20=1,ROUND(MAX(0,MIN($BJ20,'How This Works &amp; Sources'!$C$13)-$BG19)/MAX(1,MAX($BE$6:$BE$68)-($BE19)),2),ROUND(MIN($BJ20,'How This Works &amp; Sources'!$C$13)/'Second Earner'!$C$8,2)),MIN($BJ20,'How This Works &amp; Sources'!$C$13)-$BG19)),2)))</f>
      </c>
      <c r="I20" s="7">
        <f>IF($B20="","",IF(OR($BF20=0,$BR20=1),0,ROUND(MAX(0,MIN(IF($BT20=1,ROUND(MAX(0,MIN($BK20,IF('Second Earner'!$C$12="MFJ",'How This Works &amp; Sources'!$C$14,'How This Works &amp; Sources'!$C$15))-$BH19)/MAX(1,MAX($BE$6:$BE$68)-($BE19)),2),ROUND(MIN($BK20,IF('Second Earner'!$C$12="MFJ",'How This Works &amp; Sources'!$C$14,'How This Works &amp; Sources'!$C$15))/'Second Earner'!$C$8,2)),MIN($BK20,IF('Second Earner'!$C$12="MFJ",'How This Works &amp; Sources'!$C$14,'How This Works &amp; Sources'!$C$15))-$BH19)),2)))</f>
      </c>
      <c r="J20" s="7">
        <f>IF($B20="","",IF($BF20=0,0,$BM20))</f>
      </c>
      <c r="K20" s="7">
        <f>IF($B20="","",IF($BF20=0,0,$BN20+$BO20))</f>
      </c>
      <c r="L20" s="7">
        <f>IF($B20="","",IF($BF20=0,0,'Second Earner'!$D$46))</f>
      </c>
      <c r="M20" s="7">
        <f>IF($B20="","",$C20+$D20+$L20-$E20-$G20-$H20-$I20-$J20-$K20)</f>
      </c>
      <c r="N20" s="7">
        <f>IF($B20="","",$C20+$D20+$L20-$G20-$H20-$I20-$J20-$K20)</f>
      </c>
      <c r="O20" s="7">
        <f>IF($B20="","",$C20+$D20+$L20-$E20-$H20-$I20-$J20-$K20-IF(OR($AN20="CA",$AN20="NJ"),0,$G20))</f>
      </c>
      <c r="P20" s="7">
        <f>IF($B20="","",IF('Second Earner'!$C$18,0,ROUND(MAX(0,IF('Second Earner'!$C$13,SUMPRODUCT(($AH20&gt;INDEX('How This Works &amp; Sources'!$B$29:$J$36,0,IF('Second Earner'!$C$12="MFJ",1,IF('Second Earner'!$C$12="HoH",7,4))))*($AH20-INDEX('How This Works &amp; Sources'!$B$29:$J$36,0,IF('Second Earner'!$C$12="MFJ",1,IF('Second Earner'!$C$12="HoH",7,4))))*INDEX('How This Works &amp; Sources'!$B$29:$J$36,0,IF('Second Earner'!$C$12="MFJ",1,IF('Second Earner'!$C$12="HoH",7,4))+2)),SUMPRODUCT(($AH20&gt;INDEX('How This Works &amp; Sources'!$B$19:$J$26,0,IF('Second Earner'!$C$12="MFJ",1,IF('Second Earner'!$C$12="HoH",7,4))))*($AH20-INDEX('How This Works &amp; Sources'!$B$19:$J$26,0,IF('Second Earner'!$C$12="MFJ",1,IF('Second Earner'!$C$12="HoH",7,4))))*INDEX('How This Works &amp; Sources'!$B$19:$J$26,0,IF('Second Earner'!$C$12="MFJ",1,IF('Second Earner'!$C$12="HoH",7,4))+2)))/'Second Earner'!$C$8-$AO20/'Second Earner'!$C$8)+$AR20+IF('Second Earner'!$C$89="Aggregate",MAX(0,IF('Second Earner'!$C$13,SUMPRODUCT((($AH20+$D20)&gt;INDEX('How This Works &amp; Sources'!$B$29:$J$36,0,IF('Second Earner'!$C$12="MFJ",1,IF('Second Earner'!$C$12="HoH",7,4))))*(($AH20+$D20)-INDEX('How This Works &amp; Sources'!$B$29:$J$36,0,IF('Second Earner'!$C$12="MFJ",1,IF('Second Earner'!$C$12="HoH",7,4))))*INDEX('How This Works &amp; Sources'!$B$29:$J$36,0,IF('Second Earner'!$C$12="MFJ",1,IF('Second Earner'!$C$12="HoH",7,4))+2)),SUMPRODUCT((($AH20+$D20)&gt;INDEX('How This Works &amp; Sources'!$B$19:$J$26,0,IF('Second Earner'!$C$12="MFJ",1,IF('Second Earner'!$C$12="HoH",7,4))))*(($AH20+$D20)-INDEX('How This Works &amp; Sources'!$B$19:$J$26,0,IF('Second Earner'!$C$12="MFJ",1,IF('Second Earner'!$C$12="HoH",7,4))))*INDEX('How This Works &amp; Sources'!$B$19:$J$26,0,IF('Second Earner'!$C$12="MFJ",1,IF('Second Earner'!$C$12="HoH",7,4))+2)))-IF('Second Earner'!$C$13,SUMPRODUCT(($AH20&gt;INDEX('How This Works &amp; Sources'!$B$29:$J$36,0,IF('Second Earner'!$C$12="MFJ",1,IF('Second Earner'!$C$12="HoH",7,4))))*($AH20-INDEX('How This Works &amp; Sources'!$B$29:$J$36,0,IF('Second Earner'!$C$12="MFJ",1,IF('Second Earner'!$C$12="HoH",7,4))))*INDEX('How This Works &amp; Sources'!$B$29:$J$36,0,IF('Second Earner'!$C$12="MFJ",1,IF('Second Earner'!$C$12="HoH",7,4))+2)),SUMPRODUCT(($AH20&gt;INDEX('How This Works &amp; Sources'!$B$19:$J$26,0,IF('Second Earner'!$C$12="MFJ",1,IF('Second Earner'!$C$12="HoH",7,4))))*($AH20-INDEX('How This Works &amp; Sources'!$B$19:$J$26,0,IF('Second Earner'!$C$12="MFJ",1,IF('Second Earner'!$C$12="HoH",7,4))))*INDEX('How This Works &amp; Sources'!$B$19:$J$26,0,IF('Second Earner'!$C$12="MFJ",1,IF('Second Earner'!$C$12="HoH",7,4))+2)))),'How This Works &amp; Sources'!$C$10*$D20),2)))</f>
      </c>
      <c r="Q20" s="7">
        <f>IF($B20="","",ROUND('How This Works &amp; Sources'!$C$4*MIN($N20,MAX(0,'How This Works &amp; Sources'!$C$3-($AX20+$AB19-$AW20))),2))</f>
      </c>
      <c r="R20" s="7">
        <f>IF($B20="","",ROUND('How This Works &amp; Sources'!$C$5*$N20,2))</f>
      </c>
      <c r="S20" s="7">
        <f>IF($B20="","",ROUND('How This Works &amp; Sources'!$C$6*MAX(0,MIN($N20,$AG19+$N20-'How This Works &amp; Sources'!$C$7)),2))</f>
      </c>
      <c r="T20" s="7">
        <f>IF($B20="","",IF('Second Earner'!$C$26,0,IF($AN20="CA",ROUND(IF($AI20&lt;=IF(($AS20+$AT20)&gt;=2,VLOOKUP($AN20,StateTables!$A$6:$AB$56,10,FALSE),VLOOKUP($AN20,StateTables!$A$6:$AB$56,9,FALSE)),0,MAX(0,SUMPRODUCT(($AJ20&gt;INDEX('How This Works &amp; Sources'!$B$39:$J$48,0,IF($AU20="Married",4,IF($AU20="Head of household",7,1))))*($AJ20-INDEX('How This Works &amp; Sources'!$B$39:$J$48,0,IF($AU20="Married",4,IF($AU20="Head of household",7,1))))*INDEX('How This Works &amp; Sources'!$B$39:$J$48,0,IF($AU20="Married",4,IF($AU20="Head of household",7,1))+2))-VLOOKUP($AN20,StateTables!$A$6:$AB$56,11,FALSE)*$AS20)/'Second Earner'!$C$8)+'Second Earner'!$C$25+VLOOKUP($AN20,StateTables!$A$6:$AB$56,13,FALSE)*$D20,2),IF(VLOOKUP($AN20,StateTables!$A$6:$AB$56,4,FALSE)="None",0,IF(ISNUMBER(SEARCH("MANUAL",VLOOKUP($AN20,StateTables!$A$6:$AB$56,5,FALSE))),'Second Earner'!$C$28,ROUND(MAX(0,$BA20+$BB20)/'Second Earner'!$C$8+'Second Earner'!$C$25+$BC20,2))))))</f>
      </c>
      <c r="U20" s="7">
        <f>IF($B20="","",IF(VLOOKUP($AN20,StateTables!$A$6:$AB$56,24,FALSE)="flatq",IF(OR(MONTH($B20)=1,MONTH($B20)=4,MONTH($B20)=7,MONTH($B20)=10),VLOOKUP($AN20,StateTables!$A$6:$AB$56,25,FALSE),0),IF(VLOOKUP($AN20,StateTables!$A$6:$AB$56,24,FALSE)="dbl",MIN(ROUND(0.005*$N20,2),ROUND(0.6*52/'Second Earner'!$C$8,2)),IF(OR(VLOOKUP($AN20,StateTables!$A$6:$AB$56,15,FALSE)="",VLOOKUP($AN20,StateTables!$A$6:$AB$56,15,FALSE)=0),0,ROUND(VLOOKUP($AN20,StateTables!$A$6:$AB$56,15,FALSE)*IF(OR(VLOOKUP($AN20,StateTables!$A$6:$AB$56,16,FALSE)="",VLOOKUP($AN20,StateTables!$A$6:$AB$56,16,FALSE)=0),$N20,MIN($N20,MAX(0,VLOOKUP($AN20,StateTables!$A$6:$AB$56,16,FALSE)-($AX20+$AB19-$AW20)))),2))))+IF(VLOOKUP($AN20,StateTables!$A$6:$AB$56,27,FALSE)="flatq",IF(OR(MONTH($B20)=1,MONTH($B20)=4,MONTH($B20)=7,MONTH($B20)=10),VLOOKUP($AN20,StateTables!$A$6:$AB$56,28,FALSE),0),IF(VLOOKUP($AN20,StateTables!$A$6:$AB$56,27,FALSE)="dbl",MIN(ROUND(0.005*$N20,2),ROUND(0.6*52/'Second Earner'!$C$8,2)),IF(OR(VLOOKUP($AN20,StateTables!$A$6:$AB$56,18,FALSE)="",VLOOKUP($AN20,StateTables!$A$6:$AB$56,18,FALSE)=0),0,ROUND(VLOOKUP($AN20,StateTables!$A$6:$AB$56,18,FALSE)*IF(OR(VLOOKUP($AN20,StateTables!$A$6:$AB$56,19,FALSE)="",VLOOKUP($AN20,StateTables!$A$6:$AB$56,19,FALSE)=0),$N20,MIN($N20,MAX(0,VLOOKUP($AN20,StateTables!$A$6:$AB$56,19,FALSE)-($AX20+$AB19-$AW20)))),2)))))</f>
      </c>
      <c r="V20" s="7">
        <f>IF($B20="","",IF($AN20="NY",IF('Second Earner'!$C$78,ROUND(SUMPRODUCT((MAX(0,($O20-$D20)*'Second Earner'!$C$8-(IF($AU20="Married",5500,5000)+1000*$AS20))&gt;INDEX('How This Works &amp; Sources'!$B$184:$J$198,0,4))*(MAX(0,($O20-$D20)*'Second Earner'!$C$8-(IF($AU20="Married",5500,5000)+1000*$AS20))-INDEX('How This Works &amp; Sources'!$B$184:$J$198,0,4))*INDEX('How This Works &amp; Sources'!$B$184:$J$198,0,4+2))/'Second Earner'!$C$8+0.0425*$D20,2),0)+IF('Second Earner'!$C$79="Resident",ROUND(0.1675*$T20,2),IF('Second Earner'!$C$79="Nonresident",ROUND(0.005*MAX(0,($O20-$D20)-(IF($AU20="Married",7950,7400)+1000*$AS20)/'Second Earner'!$C$8),2),0)),IF($AN20="PA",IF('Second Earner'!$C$80="None",'Second Earner'!$C$27+ROUND('Second Earner'!$C$81*($C20+$D20),2),ROUND(IF('Second Earner'!$C$80="Resident",IF($B20&lt;DATE(2026,7,1),0.0374,0.03735),IF($B20&lt;DATE(2026,7,1),0.0343,0.03425))*($C20+$D20),2)),IF($BF20=0,ROUND('Second Earner'!$C$81*($C20+$D20),2),'Second Earner'!$C$27+ROUND('Second Earner'!$C$81*($C20+$D20),2)))))</f>
      </c>
      <c r="W20" s="7">
        <f>IF($B20="","",IF($BF20=0,0,$BP20))</f>
      </c>
      <c r="X20" s="7">
        <f>IF($B20="","",SUM($E20:$K20)+$P20+$Q20+$R20+$S20+$T20+$U20+$V20+$W20)</f>
      </c>
      <c r="Y20" s="22">
        <f>IF($B20="","",$C20+$D20-$X20)</f>
      </c>
      <c r="Z20" s="7">
        <f>IF($B20="","",$Z19+$C20+$D20)</f>
      </c>
      <c r="AA20" s="7">
        <f>IF($B20="","",$AA19+$Y20)</f>
      </c>
      <c r="AB20" s="7">
        <f>IF($B20="","",$AB19+MIN($N20,MAX(0,'How This Works &amp; Sources'!$C$3-($AX20+$AB19-$AW20))))</f>
      </c>
      <c r="AC20" s="7">
        <f>IF($B20="","",$AC19+$E20+$F20)</f>
      </c>
      <c r="AD20" s="3">
        <f>IF($B20="","",IF(AND($AB19&lt;'How This Works &amp; Sources'!$C$3,$AB20&gt;='How This Works &amp; Sources'!$C$3),"★ Social Security maxed on this check — from the next check your net rises by about $"&amp;TEXT(ROUND('How This Works &amp; Sources'!$C$4*$N20,2),"#,##0.00")&amp;". ","")&amp;IF(AND($AC19&lt;'Second Earner'!$C$34,$AC20&gt;='Second Earner'!$C$34),"★ 401(k) reaches the $"&amp;TEXT('Second Earner'!$C$34,"#,##0")&amp;" cap on this check — deferrals stop and net pay rises. ","")&amp;IF(AND($AG19&lt;'How This Works &amp; Sources'!$C$7,$AG20&gt;='How This Works &amp; Sources'!$C$7),"★ Wages pass $200,000 — the 0.9% Additional Medicare Tax starts here. ","")&amp;IF(AND($BJ20&gt;0,$H20&gt;0,$BG19&lt;MIN($BJ20,'How This Works &amp; Sources'!$C$13),$BG19+$H20&gt;=MIN($BJ20,'How This Works &amp; Sources'!$C$13)),"★ Health FSA election is now fully deferred for the year. ",""))</f>
      </c>
      <c r="AE20" s="41" t="n"/>
      <c r="AF20" s="7">
        <f>IF(OR($B20="",$AE20=""),"",$AE20-$Y20)</f>
      </c>
      <c r="AG20" s="7">
        <f>IF($B20="","",$AG19+$N20)</f>
      </c>
      <c r="AH20" s="7">
        <f>IF($B20="","",MAX(0,($M20-$D20)*'Second Earner'!$C$8+$AP20-$AQ20-IF('Second Earner'!$C$13,0,IF('Second Earner'!$C$12="MFJ",'How This Works &amp; Sources'!$C$8,'How This Works &amp; Sources'!$C$9))))</f>
      </c>
      <c r="AI20" s="7">
        <f>IF($B20="","",$O20*'Second Earner'!$C$8)</f>
      </c>
      <c r="AJ20" s="7">
        <f>IF($B20="","",MAX(0,$AI20-VLOOKUP($AN20,StateTables!$A$6:$AB$56,12,FALSE)*$AT20-IF(($AS20+$AT20)&gt;=2,VLOOKUP($AN20,StateTables!$A$6:$AB$56,8,FALSE),VLOOKUP($AN20,StateTables!$A$6:$AB$56,7,FALSE))))</f>
      </c>
      <c r="AK20" s="7">
        <f>IF($B20="","",IFERROR(LOOKUP(2,1/(('Changes — Earner 2'!$C$6:$C$17="Salary change")*('Changes — Earner 2'!$B$6:$B$17&lt;=$B20)*('Changes — Earner 2'!$B$6:$B$17&lt;&gt;"")),'Changes — Earner 2'!$D$6:$D$17),IF('Second Earner'!$C$4="Annual salary",'Second Earner'!$C$5,'Second Earner'!$C$6)))</f>
      </c>
      <c r="AL20">
        <f>IF($B20="","",IFERROR(LOOKUP(2,1/(('Changes — Earner 2'!$C$6:$C$17="401(k) change")*('Changes — Earner 2'!$B$6:$B$17&lt;=$B20)*('Changes — Earner 2'!$B$6:$B$17&lt;&gt;"")),'Changes — Earner 2'!$D$6:$D$17),'Second Earner'!$C$30))</f>
      </c>
      <c r="AM20" s="7">
        <f>IF($B20="","",IFERROR(LOOKUP(2,1/(('Changes — Earner 2'!$C$6:$C$17="401(k) change")*('Changes — Earner 2'!$B$6:$B$17&lt;=$B20)*('Changes — Earner 2'!$B$6:$B$17&lt;&gt;"")),'Changes — Earner 2'!$E$6:$E$17),'Second Earner'!$D$31))</f>
      </c>
      <c r="AN20">
        <f>IF($B20="","",IFERROR(LOOKUP(2,1/(('Changes — Earner 2'!$C$6:$C$17="State move")*('Changes — Earner 2'!$B$6:$B$17&lt;=$B20)*('Changes — Earner 2'!$B$6:$B$17&lt;&gt;"")),'Changes — Earner 2'!$D$6:$D$17),'Second Earner'!$C$21))</f>
      </c>
      <c r="AO20" s="7">
        <f>IF($B20="","",IFERROR(LOOKUP(2,1/(('Changes — Earner 2'!$C$6:$C$17="W-4 change")*('Changes — Earner 2'!$B$6:$B$17&lt;=$B20)*('Changes — Earner 2'!$B$6:$B$17&lt;&gt;"")),'Changes — Earner 2'!$D$6:$D$17),'Second Earner'!$C$14))</f>
      </c>
      <c r="AP20" s="7">
        <f>IF($B20="","",IFERROR(LOOKUP(2,1/(('Changes — Earner 2'!$C$6:$C$17="W-4 change")*('Changes — Earner 2'!$B$6:$B$17&lt;=$B20)*('Changes — Earner 2'!$B$6:$B$17&lt;&gt;"")),'Changes — Earner 2'!$E$6:$E$17),'Second Earner'!$C$15))</f>
      </c>
      <c r="AQ20" s="7">
        <f>IF($B20="","",IFERROR(LOOKUP(2,1/(('Changes — Earner 2'!$C$6:$C$17="W-4 change")*('Changes — Earner 2'!$B$6:$B$17&lt;=$B20)*('Changes — Earner 2'!$B$6:$B$17&lt;&gt;"")),'Changes — Earner 2'!$F$6:$F$17),'Second Earner'!$C$16))</f>
      </c>
      <c r="AR20" s="7">
        <f>IF($B20="","",IFERROR(LOOKUP(2,1/(('Changes — Earner 2'!$C$6:$C$17="W-4 change")*('Changes — Earner 2'!$B$6:$B$17&lt;=$B20)*('Changes — Earner 2'!$B$6:$B$17&lt;&gt;"")),'Changes — Earner 2'!$G$6:$G$17),'Second Earner'!$C$17))</f>
      </c>
      <c r="AS20" s="6">
        <f>IF($B20="","",IFERROR(LOOKUP(2,1/((('Changes — Earner 2'!$C$6:$C$17="State move")+('Changes — Earner 2'!$C$6:$C$17="State cert change"))*('Changes — Earner 2'!$B$6:$B$17&lt;=$B20)*('Changes — Earner 2'!$B$6:$B$17&lt;&gt;"")),'Changes — Earner 2'!$F$6:$F$17),'Second Earner'!$C$23))</f>
      </c>
      <c r="AT20" s="6">
        <f>IF($B20="","",IFERROR(LOOKUP(2,1/((('Changes — Earner 2'!$C$6:$C$17="State move")+('Changes — Earner 2'!$C$6:$C$17="State cert change"))*('Changes — Earner 2'!$B$6:$B$17&lt;=$B20)*('Changes — Earner 2'!$B$6:$B$17&lt;&gt;"")),'Changes — Earner 2'!$G$6:$G$17),'Second Earner'!$C$24))</f>
      </c>
      <c r="AU20">
        <f>IF($B20="","",IFERROR(LOOKUP(2,1/(('Changes — Earner 2'!$C$6:$C$17="State move")*('Changes — Earner 2'!$B$6:$B$17&lt;=$B20)*('Changes — Earner 2'!$B$6:$B$17&lt;&gt;"")),'Changes — Earner 2'!$E$6:$E$17),'Second Earner'!$C$22))</f>
      </c>
      <c r="AV20" s="6">
        <f>IF($B20="","",1+COUNTIFS('Changes — Earner 2'!$C$6:$C$17,"Employer change",'Changes — Earner 2'!$B$6:$B$17,"&lt;="&amp;$B20,'Changes — Earner 2'!$B$6:$B$17,"&lt;&gt;"))</f>
      </c>
      <c r="AW20" s="7">
        <f>IF($B20="","",IF($AV20=1,'Second Earner'!$C$49,IF(IFERROR(MATCH(IFERROR(LOOKUP(2,1/(('Changes — Earner 2'!$C$6:$C$17="Employer change")*('Changes — Earner 2'!$B$6:$B$17&lt;=$B20)*('Changes — Earner 2'!$B$6:$B$17&lt;&gt;"")),'Changes — Earner 2'!$B$6:$B$17),""),$B$6:$B$68,1),1)&lt;=1,'Second Earner'!$C$49,INDEX($AB$6:$AB$68,MATCH(IFERROR(LOOKUP(2,1/(('Changes — Earner 2'!$C$6:$C$17="Employer change")*('Changes — Earner 2'!$B$6:$B$17&lt;=$B20)*('Changes — Earner 2'!$B$6:$B$17&lt;&gt;"")),'Changes — Earner 2'!$B$6:$B$17),""),$B$6:$B$68,1)-1))))</f>
      </c>
      <c r="AX20" s="7">
        <f>IF($B20="","",IF($AV20=1,'Second Earner'!$C$49,IFERROR(LOOKUP(2,1/(('Changes — Earner 2'!$C$6:$C$17="Employer change")*('Changes — Earner 2'!$B$6:$B$17&lt;=$B20)*('Changes — Earner 2'!$B$6:$B$17&lt;&gt;"")),'Changes — Earner 2'!$D$6:$D$17),0)))</f>
      </c>
      <c r="AY20" s="7">
        <f>IF($B20="","",($O20-$D20)*'Second Earner'!$C$8)</f>
      </c>
      <c r="AZ20" s="7">
        <f>IF($B20="","",IF($AN20="AL",MAX(0,$AY20-IF($AU20="Married",IF($AY20&lt;=25999,8500,MAX(5000,8500-175*CEILING(($AY20-25999)/500,1))),IF($AU20="Head of household",IF($AY20&lt;=25999,5200,MAX(2500,5200-135*CEILING(($AY20-25999)/500,1))),IF($AY20&lt;=25999,3000,MAX(2500,3000-25*CEILING(($AY20-25999)/500,1)))))-($P20-'How This Works &amp; Sources'!$C$10*$D20)*'Second Earner'!$C$8-IF(OR($AU20="Married",$AU20="Head of household"),3000,1500)-$AT20*IF($AY20&lt;=50000,1000,IF($AY20&lt;=100000,500,300))),IF($AN20="AR",IF(MAX(0,$AY20-2470)&lt;97701,INT(MAX(0,$AY20-2470)/100)*100+50,MAX(0,$AY20-2470)),IF($AN20="DE",MAX(0,$AI20-3250),IF($AN20="HI",MAX(0,$AI20-1144*$AS20-4350),IF($AN20="KS",MAX(0,$AI20-(9160*IF($AU20="Married",2,1)+2320*$AT20+IF($AU20="Head of household",2320,0))),IF($AN20="MD",MAX(0,$AI20-3400-3200*$AS20),IF($AN20="MN",MAX(0,$AY20-5300*$AS20),IF($AN20="MO",MAX(0,$AI20-IF($AU20="Head of household",24150,IF($AU20="Married",IF('Second Earner'!$C$83,16100,32200),16100))),IF($AN20="MT",$AY20,IF($AN20="ND",($C20+$L20)*'Second Earner'!$C$8,IF($AN20="NE",MAX(0,$AY20-2440*$AS20),IF($AN20="NJ",MAX(0,$AY20-1000*$AS20),IF($AN20="NY",MAX(0,$AY20-(IF($AU20="Married",7950,7400)+1000*$AS20)),IF($AN20="OH",MAX(0,$AY20-650*$AS20),IF($AN20="OK",MAX(0,$AY20-1000*$AS20),IF($AN20="RI",MAX(0,$AI20-1000*$AS20),IF($AN20="SC",MAX(0,$AI20-5000*$AS20-IF($AS20=0,0,MIN(0.1*$AI20,7500))),IF($AN20="VA",MAX(0,$AI20-IF($AU20="Married",17500,8750)-930*$AS20-800*$AT20),IF($AN20="VT",MAX(0,$AI20-5400*$AS20),IF($AN20="WI",MAX(0,$AI20-MAX(0,IF($AU20="Married",9461-0.2*MAX(0,$AI20-25727),6702-0.12*MAX(0,$AI20-17780)))-400*$AS20),IF($AN20="WV",MAX(0,$AI20-2000*$AS20),$AI20))))))))))))))))))))))</f>
      </c>
      <c r="BA20" s="7">
        <f>IF($B20="","",IF($BW20&lt;&gt;"",$BW20,IF($BX20&lt;&gt;"",$BX20,IF($BY20&lt;&gt;"",$BY20,0))))</f>
      </c>
      <c r="BB20" s="7">
        <f>IF($B20="","",IF($AN20="AR",-29*$AS20,IF($AN20="DE",-110*$AS20,IF($AN20="MD",$AZ20*'Second Earner'!$C$74,IF($AN20="AZ",'Second Earner'!$C$82*($M20-$D20)*'Second Earner'!$C$8,IF($AN20="CO",0.044*MAX(0,$AY20-IF($AU20="Married",10000,5000)),IF($AN20="IA",MAX(0,0.038*MAX(0,$AY20-IF($AU20="Head of household",19500,IF($AU20="Married",26000,13000)))-40*$AS20),IF($AN20="ID",0.053*MAX(0,$AY20-IF($AU20="Married",32000,16094)),IF($AN20="IL",0.0495*MAX(0,$AY20-(2925*$AS20+1000*$AT20)),IF($AN20="IN",(0.0295+'Second Earner'!$C$76)*MAX(0,$AY20-(1000*$AS20+1500*$AT20+3000*'Second Earner'!$C$86)),IF($AN20="KY",0.035*MAX(0,$AI20-3360),IF($AN20="LA",IF('Second Earner'!$C$84="0",0.0309*$AI20,0.0309*MAX(0,$AI20-IF('Second Earner'!$C$84="2",25750,12875))),IF($AN20="MA",0.05*MIN(MAX(0,$AY20-MIN(($BD19+$Q20+$R20+$S20),2000)-IF($AS20=0,0,IF($AS20=1,4400,1000*$AS20+3400))),1107750)+0.09*MAX(0,MAX(0,$AY20-MIN(($BD19+$Q20+$R20+$S20),2000)-IF($AS20=0,0,IF($AS20=1,4400,1000*$AS20+3400)))-1107750)-IF($AU20="Head of household",120,0)-110*'Second Earner'!$C$75,IF($AN20="MI",0.0425*MAX(0,$AY20-5900*$AS20),IF($AN20="MS",0.04*MAX(0,$AI20-IF($AU20="Head of household",3400,IF($AU20="Married",4600,2300))-'Second Earner'!$C$85-10000),IF($AN20="OR",IF(OR($AU20="Married",AND($AU20="Single",$AS20&gt;=3)),SUMPRODUCT((MAX(0,$AY20-MIN(($P20-'How This Works &amp; Sources'!$C$10*$D20)*'Second Earner'!$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Sources'!$B$211:$J$214,0,4))*(MAX(0,$AY20-MIN(($P20-'How This Works &amp; Sources'!$C$10*$D20)*'Second Earner'!$C$8,IF(OR($AU20="Married",AND($AU20="Single",$AS20&gt;=3)),IF($AY20&lt;250000,8750,IF($AY20&lt;260000,7000,IF($AY20&lt;270000,5250,IF($AY20&lt;280000,3500,IF($AY20&lt;290000,1750,0))))),IF($AY20&lt;125000,8750,IF($AY20&lt;130000,7000,IF($AY20&lt;135000,5250,IF($AY20&lt;140000,3500,IF($AY20&lt;145000,1750,0)))))))-IF(OR($AU20="Married",AND($AU20="Single",$AS20&gt;=3)),5820,2910))-INDEX('How This Works &amp; Sources'!$B$211:$J$214,0,4))*INDEX('How This Works &amp; Sources'!$B$211:$J$214,0,4+2)),SUMPRODUCT((MAX(0,$AY20-MIN(($P20-'How This Works &amp; Sources'!$C$10*$D20)*'Second Earner'!$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Sources'!$B$211:$J$214,0,1))*(MAX(0,$AY20-MIN(($P20-'How This Works &amp; Sources'!$C$10*$D20)*'Second Earner'!$C$8,IF(OR($AU20="Married",AND($AU20="Single",$AS20&gt;=3)),IF($AY20&lt;250000,8750,IF($AY20&lt;260000,7000,IF($AY20&lt;270000,5250,IF($AY20&lt;280000,3500,IF($AY20&lt;290000,1750,0))))),IF($AY20&lt;125000,8750,IF($AY20&lt;130000,7000,IF($AY20&lt;135000,5250,IF($AY20&lt;140000,3500,IF($AY20&lt;145000,1750,0)))))))-IF(OR($AU20="Married",AND($AU20="Single",$AS20&gt;=3)),5820,2910))-INDEX('How This Works &amp; Sources'!$B$211:$J$214,0,1))*INDEX('How This Works &amp; Sources'!$B$211:$J$214,0,1+2)))+263-263*IF(IF($AU20="Married",$AY20&gt;200000,$AY20&gt;100000),0,$AS20),IF($AN20="PA",0.0307*(($O20+$E20+$G20)*'Second Earner'!$C$8),IF($AN20="NY",IF($AU20="Married",IF($AZ20&gt;=2155350,0,IF($AZ20&gt;=1077550,0.48,IF($AZ20&gt;=373200,1.21,IF($AZ20&gt;=323200,0.21,IF($AZ20&gt;=211550,-0.19,IF($AZ20&gt;=157650,-2.8,IF($AZ20&gt;=107650,-0.8,IF($AZ20&gt;=96800,0.05,IF($AZ20&gt;=80650,-0.1,IF($AZ20&gt;=13900,0.4,IF($AZ20&gt;=11700,-0.3,IF($AZ20&gt;=8500,0.5,0)))))))))))),IF($AZ20&gt;=1077550,0,IF($AZ20&gt;=265400,4.29,IF($AZ20&gt;=215400,2.29,IF($AZ20&gt;=157650,2.29,IF($AZ20&gt;=107650,0.29,IF($AZ20&gt;=96800,0.05,IF($AZ20&gt;=80650,-0.1,IF($AZ20&gt;=13900,0.4,IF($AZ20&gt;=11700,-0.3,IF($AZ20&gt;=8500,0.5,0))))))))))),0))))))))))))))))))</f>
      </c>
      <c r="BC20" s="7">
        <f>IF($B20="","",IF($AN20="AL",0.05*$D20,IF($AN20="AR",0.039*$D20,IF($AN20="ID",0.053*$D20,IF($AN20="IN",(0.0295+'Second Earner'!$C$76)*$D20,IF($AN20="KS",0.05*$D20,IF($AN20="MA",0.09*MIN($D20,MAX(0,MAX(0,$AY20-MIN(($BD19+$Q20+$R20+$S20),2000)-IF($AS20=0,0,IF($AS20=1,4400,1000*$AS20+3400)))+$D20-1107750))+0.05*($D20-MIN($D20,MAX(0,MAX(0,$AY20-MIN(($BD19+$Q20+$R20+$S20),2000)-IF($AS20=0,0,IF($AS20=1,4400,1000*$AS20+3400)))+$D20-1107750))),IF($AN20="MD",(0.065+'Second Earner'!$C$74)*$D20,IF($AN20="MI",0.0425*$D20,IF($AN20="MN",0.0625*$D20,IF($AN20="MO",0.047*$D20,IF($AN20="MT",0.05*$D20,IF($AN20="ND",0.015*$D20,IF($AN20="NE",0.035*$D20,IF($AN20="NJ",IF('Second Earner'!$C$77="B",SUMPRODUCT(($D20*'Second Earner'!$C$8&gt;INDEX('How This Works &amp; Sources'!$B$155:$J$162,0,4))*($D20*'Second Earner'!$C$8-INDEX('How This Works &amp; Sources'!$B$155:$J$162,0,4))*INDEX('How This Works &amp; Sources'!$B$155:$J$162,0,4+2)),IF('Second Earner'!$C$77="C",SUMPRODUCT(($D20*'Second Earner'!$C$8&gt;INDEX('How This Works &amp; Sources'!$B$155:$J$162,0,7))*($D20*'Second Earner'!$C$8-INDEX('How This Works &amp; Sources'!$B$155:$J$162,0,7))*INDEX('How This Works &amp; Sources'!$B$155:$J$162,0,7+2)),IF('Second Earner'!$C$77="D",SUMPRODUCT(($D20*'Second Earner'!$C$8&gt;INDEX('How This Works &amp; Sources'!$B$167:$J$179,0,1))*($D20*'Second Earner'!$C$8-INDEX('How This Works &amp; Sources'!$B$167:$J$179,0,1))*INDEX('How This Works &amp; Sources'!$B$167:$J$179,0,1+2)),IF('Second Earner'!$C$77="E",SUMPRODUCT(($D20*'Second Earner'!$C$8&gt;INDEX('How This Works &amp; Sources'!$B$167:$J$179,0,4))*($D20*'Second Earner'!$C$8-INDEX('How This Works &amp; Sources'!$B$167:$J$179,0,4))*INDEX('How This Works &amp; Sources'!$B$167:$J$179,0,4+2)),SUMPRODUCT(($D20*'Second Earner'!$C$8&gt;INDEX('How This Works &amp; Sources'!$B$155:$J$162,0,1))*($D20*'Second Earner'!$C$8-INDEX('How This Works &amp; Sources'!$B$155:$J$162,0,1))*INDEX('How This Works &amp; Sources'!$B$155:$J$162,0,1+2))))))/'Second Earner'!$C$8,IF($AN20="NY",0.117*$D20,IF($AN20="OH",0.0275*$D20,IF($AN20="OK",0.045*$D20,IF($AN20="OR",0.08*$D20,IF($AN20="WI",IF($AY20&lt;12760,0.0354,IF($AY20&lt;25520,0.0465,IF($AY20&lt;280950,0.053,0.0765)))*$D20,0))))))))))))))))))))</f>
      </c>
      <c r="BD20" s="7">
        <f>IF($B20="","",$BD19+$Q20+$R20+$S20)</f>
      </c>
      <c r="BE20" s="6">
        <f>IF($B20="",$BE19,$BE19+$BF20)</f>
      </c>
      <c r="BF20" s="6">
        <f>IF($B20="","",IF(AND(IF(YEAR(IF('Second Earner'!$C$7="Weekly",'Second Earner'!$C$9+7*(($BE19+1)-1),IF('Second Earner'!$C$7="Biweekly",'Second Earner'!$C$9+14*(($BE19+1)-1),IF('Second Earner'!$C$7="Semimonthly",DATE(YEAR('Second Earner'!$C$9),MONTH('Second Earner'!$C$9)+INT((($BE19+1)-1)/2),MIN(DAY('Second Earner'!$C$9),DAY(EOMONTH(DATE(YEAR('Second Earner'!$C$9),MONTH('Second Earner'!$C$9)+INT((($BE19+1)-1)/2),1),0))))+IF(MOD(($BE19+1)-1,2)=1,15,0),EDATE('Second Earner'!$C$9,($BE19+1)-1)))))&lt;&gt;'Second Earner'!$C$10,"",IF('Second Earner'!$C$7="Weekly",'Second Earner'!$C$9+7*(($BE19+1)-1),IF('Second Earner'!$C$7="Biweekly",'Second Earner'!$C$9+14*(($BE19+1)-1),IF('Second Earner'!$C$7="Semimonthly",DATE(YEAR('Second Earner'!$C$9),MONTH('Second Earner'!$C$9)+INT((($BE19+1)-1)/2),MIN(DAY('Second Earner'!$C$9),DAY(EOMONTH(DATE(YEAR('Second Earner'!$C$9),MONTH('Second Earner'!$C$9)+INT((($BE19+1)-1)/2),1),0))))+IF(MOD(($BE19+1)-1,2)=1,15,0),EDATE('Second Earner'!$C$9,($BE19+1)-1)))))&lt;&gt;"",$B20=IF(YEAR(IF('Second Earner'!$C$7="Weekly",'Second Earner'!$C$9+7*(($BE19+1)-1),IF('Second Earner'!$C$7="Biweekly",'Second Earner'!$C$9+14*(($BE19+1)-1),IF('Second Earner'!$C$7="Semimonthly",DATE(YEAR('Second Earner'!$C$9),MONTH('Second Earner'!$C$9)+INT((($BE19+1)-1)/2),MIN(DAY('Second Earner'!$C$9),DAY(EOMONTH(DATE(YEAR('Second Earner'!$C$9),MONTH('Second Earner'!$C$9)+INT((($BE19+1)-1)/2),1),0))))+IF(MOD(($BE19+1)-1,2)=1,15,0),EDATE('Second Earner'!$C$9,($BE19+1)-1)))))&lt;&gt;'Second Earner'!$C$10,"",IF('Second Earner'!$C$7="Weekly",'Second Earner'!$C$9+7*(($BE19+1)-1),IF('Second Earner'!$C$7="Biweekly",'Second Earner'!$C$9+14*(($BE19+1)-1),IF('Second Earner'!$C$7="Semimonthly",DATE(YEAR('Second Earner'!$C$9),MONTH('Second Earner'!$C$9)+INT((($BE19+1)-1)/2),MIN(DAY('Second Earner'!$C$9),DAY(EOMONTH(DATE(YEAR('Second Earner'!$C$9),MONTH('Second Earner'!$C$9)+INT((($BE19+1)-1)/2),1),0))))+IF(MOD(($BE19+1)-1,2)=1,15,0),EDATE('Second Earner'!$C$9,($BE19+1)-1)))))),1,0))</f>
      </c>
      <c r="BG20" s="7">
        <f>IF($B20="","",$BG19+$H20)</f>
      </c>
      <c r="BH20" s="7">
        <f>IF($B20="","",$BH19+$I20)</f>
      </c>
      <c r="BI20" s="7">
        <f>IF($B20="","",$BI19+$G20)</f>
      </c>
      <c r="BJ20" s="7">
        <f>IF($B20="","",IFERROR(LOOKUP(2,1/(((('Changes — Earner 2'!$C$6:$C$17="Deduction start"))*('Changes — Earner 2'!$D$6:$D$17="Health FSA"))*('Changes — Earner 2'!$B$6:$B$17&lt;=$B20)*('Changes — Earner 2'!$B$6:$B$17&lt;&gt;"")),'Changes — Earner 2'!$E$6:$E$17),'Second Earner'!$D$38))</f>
      </c>
      <c r="BK20" s="7">
        <f>IF($B20="","",IFERROR(LOOKUP(2,1/(((('Changes — Earner 2'!$C$6:$C$17="Deduction start"))*('Changes — Earner 2'!$D$6:$D$17="Dependent-care FSA"))*('Changes — Earner 2'!$B$6:$B$17&lt;=$B20)*('Changes — Earner 2'!$B$6:$B$17&lt;&gt;"")),'Changes — Earner 2'!$E$6:$E$17),'Second Earner'!$D$39))</f>
      </c>
      <c r="BL20" s="7">
        <f>IF($B20="","",IFERROR(LOOKUP(2,1/(((('Changes — Earner 2'!$C$6:$C$17="Deduction start")+('Changes — Earner 2'!$C$6:$C$17="Deduction stop"))*('Changes — Earner 2'!$D$6:$D$17="HSA"))*('Changes — Earner 2'!$B$6:$B$17&lt;=$B20)*('Changes — Earner 2'!$B$6:$B$17&lt;&gt;"")),'Changes — Earner 2'!$I$6:$I$17),'Second Earner'!$D$35))</f>
      </c>
      <c r="BM20" s="7">
        <f>IF($B20="","",IFERROR(LOOKUP(2,1/(((('Changes — Earner 2'!$C$6:$C$17="Deduction start")+('Changes — Earner 2'!$C$6:$C$17="Deduction stop"))*('Changes — Earner 2'!$D$6:$D$17="Premiums"))*('Changes — Earner 2'!$B$6:$B$17&lt;=$B20)*('Changes — Earner 2'!$B$6:$B$17&lt;&gt;"")),'Changes — Earner 2'!$I$6:$I$17),'Second Earner'!$D$40+'Second Earner'!$D$41+'Second Earner'!$D$42))</f>
      </c>
      <c r="BN20" s="7">
        <f>IF($B20="","",IFERROR(LOOKUP(2,1/(((('Changes — Earner 2'!$C$6:$C$17="Deduction start")+('Changes — Earner 2'!$C$6:$C$17="Deduction stop"))*('Changes — Earner 2'!$D$6:$D$17="Commuter"))*('Changes — Earner 2'!$B$6:$B$17&lt;=$B20)*('Changes — Earner 2'!$B$6:$B$17&lt;&gt;"")),'Changes — Earner 2'!$I$6:$I$17),'Second Earner'!$D$43))</f>
      </c>
      <c r="BO20" s="7">
        <f>IF($B20="","",IFERROR(LOOKUP(2,1/(((('Changes — Earner 2'!$C$6:$C$17="Deduction start")+('Changes — Earner 2'!$C$6:$C$17="Deduction stop"))*('Changes — Earner 2'!$D$6:$D$17="Other pre-tax"))*('Changes — Earner 2'!$B$6:$B$17&lt;=$B20)*('Changes — Earner 2'!$B$6:$B$17&lt;&gt;"")),'Changes — Earner 2'!$I$6:$I$17),'Second Earner'!$D$44))</f>
      </c>
      <c r="BP20" s="7">
        <f>IF($B20="","",IFERROR(LOOKUP(2,1/(((('Changes — Earner 2'!$C$6:$C$17="Deduction start")+('Changes — Earner 2'!$C$6:$C$17="Deduction stop"))*('Changes — Earner 2'!$D$6:$D$17="Other post-tax"))*('Changes — Earner 2'!$B$6:$B$17&lt;=$B20)*('Changes — Earner 2'!$B$6:$B$17&lt;&gt;"")),'Changes — Earner 2'!$I$6:$I$17),'Second Earner'!$D$45))</f>
      </c>
      <c r="BQ20" s="6">
        <f>IF($B20="","",IFERROR(LOOKUP(2,1/(((('Changes — Earner 2'!$C$6:$C$17="Deduction start")+('Changes — Earner 2'!$C$6:$C$17="Deduction stop"))*('Changes — Earner 2'!$D$6:$D$17="Health FSA"))*('Changes — Earner 2'!$B$6:$B$17&lt;=$B20)*('Changes — Earner 2'!$B$6:$B$17&lt;&gt;"")),'Changes — Earner 2'!$J$6:$J$17),0))</f>
      </c>
      <c r="BR20" s="6">
        <f>IF($B20="","",IFERROR(LOOKUP(2,1/(((('Changes — Earner 2'!$C$6:$C$17="Deduction start")+('Changes — Earner 2'!$C$6:$C$17="Deduction stop"))*('Changes — Earner 2'!$D$6:$D$17="Dependent-care FSA"))*('Changes — Earner 2'!$B$6:$B$17&lt;=$B20)*('Changes — Earner 2'!$B$6:$B$17&lt;&gt;"")),'Changes — Earner 2'!$J$6:$J$17),0))</f>
      </c>
      <c r="BS20" s="6">
        <f>IF($B20="","",IF(SUMPRODUCT(('Changes — Earner 2'!$C$6:$C$17="Deduction start")*('Changes — Earner 2'!$B$6:$B$17&lt;=$B20)*('Changes — Earner 2'!$B$6:$B$17&lt;&gt;"")*('Changes — Earner 2'!$D$6:$D$17="Health FSA"))&gt;0,1,0))</f>
      </c>
      <c r="BT20" s="6">
        <f>IF($B20="","",IF(SUMPRODUCT(('Changes — Earner 2'!$C$6:$C$17="Deduction start")*('Changes — Earner 2'!$B$6:$B$17&lt;=$B20)*('Changes — Earner 2'!$B$6:$B$17&lt;&gt;"")*('Changes — Earner 2'!$D$6:$D$17="Dependent-care FSA"))&gt;0,1,0))</f>
      </c>
      <c r="BU20" s="24">
        <f>IF($B20="","",IF('Second Earner'!$C$13,SUMPRODUCT(($AH20&gt;=INDEX('How This Works &amp; Sources'!$B$29:$J$36,0,IF('Second Earner'!$C$12="MFJ",1,IF('Second Earner'!$C$12="HoH",7,4))))*INDEX('How This Works &amp; Sources'!$B$29:$J$36,0,IF('Second Earner'!$C$12="MFJ",1,IF('Second Earner'!$C$12="HoH",7,4))+2)),SUMPRODUCT(($AH20&gt;=INDEX('How This Works &amp; Sources'!$B$19:$J$26,0,IF('Second Earner'!$C$12="MFJ",1,IF('Second Earner'!$C$12="HoH",7,4))))*INDEX('How This Works &amp; Sources'!$B$19:$J$26,0,IF('Second Earner'!$C$12="MFJ",1,IF('Second Earner'!$C$12="HoH",7,4))+2))))</f>
      </c>
      <c r="BV20" s="24">
        <f>IF($B20="","",IF($BZ20&lt;&gt;"",$BZ20,IF($CA20&lt;&gt;"",$CA20,IF($CB20&lt;&gt;"",$CB20,IF($CC20&lt;&gt;"",$CC20,0)))))</f>
      </c>
      <c r="BW20" s="7">
        <f>IF($B20="","",IF($AN20="AR",SUMPRODUCT(($AZ20&gt;INDEX('How This Works &amp; Sources'!$B$82:$J$86,0,7))*($AZ20-INDEX('How This Works &amp; Sources'!$B$82:$J$86,0,7))*INDEX('How This Works &amp; Sources'!$B$82:$J$86,0,7+2)),IF($AN20="MD",IF(OR($AU20="Married",$AU20="Head of household"),SUMPRODUCT(($AZ20&gt;INDEX('How This Works &amp; Sources'!$B$114:$J$120,0,1))*($AZ20-INDEX('How This Works &amp; Sources'!$B$114:$J$120,0,1))*INDEX('How This Works &amp; Sources'!$B$114:$J$120,0,1+2)),SUMPRODUCT(($AZ20&gt;INDEX('How This Works &amp; Sources'!$B$103:$J$109,0,7))*($AZ20-INDEX('How This Works &amp; Sources'!$B$103:$J$109,0,7))*INDEX('How This Works &amp; Sources'!$B$103:$J$109,0,7+2))),IF($AN20="MT",IF($AU20="Head of household",SUMPRODUCT(($AZ20&gt;INDEX('How This Works &amp; Sources'!$B$137:$J$139,0,1))*($AZ20-INDEX('How This Works &amp; Sources'!$B$137:$J$139,0,1))*INDEX('How This Works &amp; Sources'!$B$137:$J$139,0,1+2)),IF($AU20="Married",SUMPRODUCT(($AZ20&gt;INDEX('How This Works &amp; Sources'!$B$125:$J$132,0,7))*($AZ20-INDEX('How This Works &amp; Sources'!$B$125:$J$132,0,7))*INDEX('How This Works &amp; Sources'!$B$125:$J$132,0,7+2)),SUMPRODUCT(($AZ20&gt;INDEX('How This Works &amp; Sources'!$B$125:$J$132,0,4))*($AZ20-INDEX('How This Works &amp; Sources'!$B$125:$J$132,0,4))*INDEX('How This Works &amp; Sources'!$B$125:$J$132,0,4+2)))),IF($AN20="ND",IF($AU20="Head of household",SUMPRODUCT(($AZ20&gt;INDEX('How This Works &amp; Sources'!$B$144:$J$150,0,1))*($AZ20-INDEX('How This Works &amp; Sources'!$B$144:$J$150,0,1))*INDEX('How This Works &amp; Sources'!$B$144:$J$150,0,1+2)),IF($AU20="Married",SUMPRODUCT(($AZ20&gt;INDEX('How This Works &amp; Sources'!$B$137:$J$139,0,7))*($AZ20-INDEX('How This Works &amp; Sources'!$B$137:$J$139,0,7))*INDEX('How This Works &amp; Sources'!$B$137:$J$139,0,7+2)),SUMPRODUCT(($AZ20&gt;INDEX('How This Works &amp; Sources'!$B$137:$J$139,0,4))*($AZ20-INDEX('How This Works &amp; Sources'!$B$137:$J$139,0,4))*INDEX('How This Works &amp; Sources'!$B$137:$J$139,0,4+2)))),IF($AN20="NJ",IF('Second Earner'!$C$77="B",SUMPRODUCT(($AZ20&gt;INDEX('How This Works &amp; Sources'!$B$155:$J$162,0,4))*($AZ20-INDEX('How This Works &amp; Sources'!$B$155:$J$162,0,4))*INDEX('How This Works &amp; Sources'!$B$155:$J$162,0,4+2)),IF('Second Earner'!$C$77="C",SUMPRODUCT(($AZ20&gt;INDEX('How This Works &amp; Sources'!$B$155:$J$162,0,7))*($AZ20-INDEX('How This Works &amp; Sources'!$B$155:$J$162,0,7))*INDEX('How This Works &amp; Sources'!$B$155:$J$162,0,7+2)),IF('Second Earner'!$C$77="D",SUMPRODUCT(($AZ20&gt;INDEX('How This Works &amp; Sources'!$B$167:$J$179,0,1))*($AZ20-INDEX('How This Works &amp; Sources'!$B$167:$J$179,0,1))*INDEX('How This Works &amp; Sources'!$B$167:$J$179,0,1+2)),IF('Second Earner'!$C$77="E",SUMPRODUCT(($AZ20&gt;INDEX('How This Works &amp; Sources'!$B$167:$J$179,0,4))*($AZ20-INDEX('How This Works &amp; Sources'!$B$167:$J$179,0,4))*INDEX('How This Works &amp; Sources'!$B$167:$J$179,0,4+2)),SUMPRODUCT(($AZ20&gt;INDEX('How This Works &amp; Sources'!$B$155:$J$162,0,1))*($AZ20-INDEX('How This Works &amp; Sources'!$B$155:$J$162,0,1))*INDEX('How This Works &amp; Sources'!$B$155:$J$162,0,1+2)))))),IF($AN20="NY",IF($AU20="Married",IF($AZ20&gt;=2155350,$AZ20*IF($AZ20&gt;25000000,0.117,IF($AZ20&gt;5000000,0.111,0.1045)),SUMPRODUCT(($AZ20&gt;INDEX('How This Works &amp; Sources'!$B$184:$J$198,0,1))*($AZ20-INDEX('How This Works &amp; Sources'!$B$184:$J$198,0,1))*INDEX('How This Works &amp; Sources'!$B$184:$J$198,0,1+2))),IF($AZ20&gt;=1077550,$AZ20*IF($AZ20&gt;25000000,0.117,IF($AZ20&gt;5000000,0.111,0.1045)),SUMPRODUCT(($AZ20&gt;INDEX('How This Works &amp; Sources'!$B$167:$J$179,0,7))*($AZ20-INDEX('How This Works &amp; Sources'!$B$167:$J$179,0,7))*INDEX('How This Works &amp; Sources'!$B$167:$J$179,0,7+2)))),"")))))))</f>
      </c>
      <c r="BX20" s="7">
        <f>IF($B20="","",IF($AN20="AL",IF(OR($AU20="Married",$AU20="Head of household"),SUMPRODUCT(($AZ20&gt;INDEX('How This Works &amp; Sources'!$B$82:$J$86,0,4))*($AZ20-INDEX('How This Works &amp; Sources'!$B$82:$J$86,0,4))*INDEX('How This Works &amp; Sources'!$B$82:$J$86,0,4+2)),SUMPRODUCT(($AZ20&gt;INDEX('How This Works &amp; Sources'!$B$82:$J$86,0,1))*($AZ20-INDEX('How This Works &amp; Sources'!$B$82:$J$86,0,1))*INDEX('How This Works &amp; Sources'!$B$82:$J$86,0,1+2))),IF($AN20="KS",IF($AU20="Married",SUMPRODUCT(($AZ20&gt;INDEX('How This Works &amp; Sources'!$B$103:$J$109,0,4))*($AZ20-INDEX('How This Works &amp; Sources'!$B$103:$J$109,0,4))*INDEX('How This Works &amp; Sources'!$B$103:$J$109,0,4+2)),SUMPRODUCT(($AZ20&gt;INDEX('How This Works &amp; Sources'!$B$103:$J$109,0,1))*($AZ20-INDEX('How This Works &amp; Sources'!$B$103:$J$109,0,1))*INDEX('How This Works &amp; Sources'!$B$103:$J$109,0,1+2))),IF($AN20="MN",IF($AU20="Married",SUMPRODUCT(($AZ20&gt;INDEX('How This Works &amp; Sources'!$B$114:$J$120,0,7))*($AZ20-INDEX('How This Works &amp; Sources'!$B$114:$J$120,0,7))*INDEX('How This Works &amp; Sources'!$B$114:$J$120,0,7+2)),SUMPRODUCT(($AZ20&gt;INDEX('How This Works &amp; Sources'!$B$114:$J$120,0,4))*($AZ20-INDEX('How This Works &amp; Sources'!$B$114:$J$120,0,4))*INDEX('How This Works &amp; Sources'!$B$114:$J$120,0,4+2))),IF($AN20="MO",SUMPRODUCT(($AZ20&gt;INDEX('How This Works &amp; Sources'!$B$125:$J$132,0,1))*($AZ20-INDEX('How This Works &amp; Sources'!$B$125:$J$132,0,1))*INDEX('How This Works &amp; Sources'!$B$125:$J$132,0,1+2)),IF($AN20="NE",MAX(IF($AU20="Married",SUMPRODUCT(($AZ20&gt;INDEX('How This Works &amp; Sources'!$B$144:$J$150,0,7))*($AZ20-INDEX('How This Works &amp; Sources'!$B$144:$J$150,0,7))*INDEX('How This Works &amp; Sources'!$B$144:$J$150,0,7+2)),SUMPRODUCT(($AZ20&gt;INDEX('How This Works &amp; Sources'!$B$144:$J$150,0,4))*($AZ20-INDEX('How This Works &amp; Sources'!$B$144:$J$150,0,4))*INDEX('How This Works &amp; Sources'!$B$144:$J$150,0,4+2))),0.015*$AZ20),IF($AN20="OH",IF($B20&gt;=DATE(2026,8,1),SUMPRODUCT(($AZ20&gt;INDEX('How This Works &amp; Sources'!$B$203:$J$206,0,1))*($AZ20-INDEX('How This Works &amp; Sources'!$B$203:$J$206,0,1))*INDEX('How This Works &amp; Sources'!$B$203:$J$206,0,1+2)),SUMPRODUCT(($AZ20&gt;INDEX('How This Works &amp; Sources'!$B$184:$J$198,0,7))*($AZ20-INDEX('How This Works &amp; Sources'!$B$184:$J$198,0,7))*INDEX('How This Works &amp; Sources'!$B$184:$J$198,0,7+2))),IF($AN20="OK",IF($AU20="Married",SUMPRODUCT(($AZ20&gt;INDEX('How This Works &amp; Sources'!$B$203:$J$206,0,7))*($AZ20-INDEX('How This Works &amp; Sources'!$B$203:$J$206,0,7))*INDEX('How This Works &amp; Sources'!$B$203:$J$206,0,7+2)),SUMPRODUCT(($AZ20&gt;INDEX('How This Works &amp; Sources'!$B$203:$J$206,0,4))*($AZ20-INDEX('How This Works &amp; Sources'!$B$203:$J$206,0,4))*INDEX('How This Works &amp; Sources'!$B$203:$J$206,0,4+2))),IF($AN20="VT",IF($AU20="Married",SUMPRODUCT(($AZ20&gt;INDEX('How This Works &amp; Sources'!$B$228:$J$232,0,1))*($AZ20-INDEX('How This Works &amp; Sources'!$B$228:$J$232,0,1))*INDEX('How This Works &amp; Sources'!$B$228:$J$232,0,1+2)),SUMPRODUCT(($AZ20&gt;INDEX('How This Works &amp; Sources'!$B$219:$J$223,0,7))*($AZ20-INDEX('How This Works &amp; Sources'!$B$219:$J$223,0,7))*INDEX('How This Works &amp; Sources'!$B$219:$J$223,0,7+2))),IF($AN20="WV",IF($AU20="Married",SUMPRODUCT(($AZ20&gt;INDEX('How This Works &amp; Sources'!$B$237:$J$241,0,7))*($AZ20-INDEX('How This Works &amp; Sources'!$B$237:$J$241,0,7))*INDEX('How This Works &amp; Sources'!$B$237:$J$241,0,7+2)),SUMPRODUCT(($AZ20&gt;INDEX('How This Works &amp; Sources'!$B$228:$J$232,0,7))*($AZ20-INDEX('How This Works &amp; Sources'!$B$228:$J$232,0,7))*INDEX('How This Works &amp; Sources'!$B$228:$J$232,0,7+2))),""))))))))))</f>
      </c>
      <c r="BY20" s="7">
        <f>IF($B20="","",IF($AN20="DE",SUMPRODUCT(($AZ20&gt;INDEX('How This Works &amp; Sources'!$B$91:$J$98,0,1))*($AZ20-INDEX('How This Works &amp; Sources'!$B$91:$J$98,0,1))*INDEX('How This Works &amp; Sources'!$B$91:$J$98,0,1+2)),IF($AN20="HI",IF($AU20="Married",SUMPRODUCT(($AZ20&gt;INDEX('How This Works &amp; Sources'!$B$91:$J$98,0,7))*($AZ20-INDEX('How This Works &amp; Sources'!$B$91:$J$98,0,7))*INDEX('How This Works &amp; Sources'!$B$91:$J$98,0,7+2)),SUMPRODUCT(($AZ20&gt;INDEX('How This Works &amp; Sources'!$B$91:$J$98,0,4))*($AZ20-INDEX('How This Works &amp; Sources'!$B$91:$J$98,0,4))*INDEX('How This Works &amp; Sources'!$B$91:$J$98,0,4+2))),IF($AN20="RI",SUMPRODUCT(($AZ20&gt;INDEX('How This Works &amp; Sources'!$B$211:$J$214,0,7))*($AZ20-INDEX('How This Works &amp; Sources'!$B$211:$J$214,0,7))*INDEX('How This Works &amp; Sources'!$B$211:$J$214,0,7+2)),IF($AN20="SC",SUMPRODUCT(($AZ20&gt;INDEX('How This Works &amp; Sources'!$B$219:$J$223,0,1))*($AZ20-INDEX('How This Works &amp; Sources'!$B$219:$J$223,0,1))*INDEX('How This Works &amp; Sources'!$B$219:$J$223,0,1+2)),IF($AN20="VA",SUMPRODUCT(($AZ20&gt;INDEX('How This Works &amp; Sources'!$B$219:$J$223,0,4))*($AZ20-INDEX('How This Works &amp; Sources'!$B$219:$J$223,0,4))*INDEX('How This Works &amp; Sources'!$B$219:$J$223,0,4+2)),IF($AN20="WI",SUMPRODUCT(($AZ20&gt;INDEX('How This Works &amp; Sources'!$B$228:$J$232,0,4))*($AZ20-INDEX('How This Works &amp; Sources'!$B$228:$J$232,0,4))*INDEX('How This Works &amp; Sources'!$B$228:$J$232,0,4+2)),"")))))))</f>
      </c>
      <c r="BZ20" s="24">
        <f>IF($B20="","",IF($AN20="KS",IF($AU20="Married",SUMPRODUCT(($AZ20&gt;=INDEX('How This Works &amp; Sources'!$B$103:$J$109,0,4))*INDEX('How This Works &amp; Sources'!$B$103:$J$109,0,4+2)),SUMPRODUCT(($AZ20&gt;=INDEX('How This Works &amp; Sources'!$B$103:$J$109,0,1))*INDEX('How This Works &amp; Sources'!$B$103:$J$109,0,1+2))),IF($AN20="MT",IF($AU20="Head of household",SUMPRODUCT(($AZ20&gt;=INDEX('How This Works &amp; Sources'!$B$137:$J$139,0,1))*INDEX('How This Works &amp; Sources'!$B$137:$J$139,0,1+2)),IF($AU20="Married",SUMPRODUCT(($AZ20&gt;=INDEX('How This Works &amp; Sources'!$B$125:$J$132,0,7))*INDEX('How This Works &amp; Sources'!$B$125:$J$132,0,7+2)),SUMPRODUCT(($AZ20&gt;=INDEX('How This Works &amp; Sources'!$B$125:$J$132,0,4))*INDEX('How This Works &amp; Sources'!$B$125:$J$132,0,4+2)))),IF($AN20="OR",IF(OR($AU20="Married",AND($AU20="Single",$AS20&gt;=3)),SUMPRODUCT((MAX(0,$AY20-MIN(($P20-'How This Works &amp; Sources'!$C$10*$D20)*'Second Earner'!$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Sources'!$B$211:$J$214,0,4))*INDEX('How This Works &amp; Sources'!$B$211:$J$214,0,4+2)),SUMPRODUCT((MAX(0,$AY20-MIN(($P20-'How This Works &amp; Sources'!$C$10*$D20)*'Second Earner'!$C$8,IF(OR($AU20="Married",AND($AU20="Single",$AS20&gt;=3)),IF($AY20&lt;250000,8750,IF($AY20&lt;260000,7000,IF($AY20&lt;270000,5250,IF($AY20&lt;280000,3500,IF($AY20&lt;290000,1750,0))))),IF($AY20&lt;125000,8750,IF($AY20&lt;130000,7000,IF($AY20&lt;135000,5250,IF($AY20&lt;140000,3500,IF($AY20&lt;145000,1750,0)))))))-IF(OR($AU20="Married",AND($AU20="Single",$AS20&gt;=3)),5820,2910))&gt;=INDEX('How This Works &amp; Sources'!$B$211:$J$214,0,1))*INDEX('How This Works &amp; Sources'!$B$211:$J$214,0,1+2)))*IF(($P20-'How This Works &amp; Sources'!$C$10*$D20)*'Second Earner'!$C$8&gt;=IF(OR($AU20="Married",AND($AU20="Single",$AS20&gt;=3)),IF($AY20&lt;250000,8750,IF($AY20&lt;260000,7000,IF($AY20&lt;270000,5250,IF($AY20&lt;280000,3500,IF($AY20&lt;290000,1750,0))))),IF($AY20&lt;125000,8750,IF($AY20&lt;130000,7000,IF($AY20&lt;135000,5250,IF($AY20&lt;140000,3500,IF($AY20&lt;145000,1750,0)))))),1,1-IF('Second Earner'!$C$13,SUMPRODUCT(($AH20&gt;=INDEX('How This Works &amp; Sources'!$B$29:$J$36,0,IF('Second Earner'!$C$12="MFJ",1,IF('Second Earner'!$C$12="HoH",7,4))))*INDEX('How This Works &amp; Sources'!$B$29:$J$36,0,IF('Second Earner'!$C$12="MFJ",1,IF('Second Earner'!$C$12="HoH",7,4))+2)),SUMPRODUCT(($AH20&gt;=INDEX('How This Works &amp; Sources'!$B$19:$J$26,0,IF('Second Earner'!$C$12="MFJ",1,IF('Second Earner'!$C$12="HoH",7,4))))*INDEX('How This Works &amp; Sources'!$B$19:$J$26,0,IF('Second Earner'!$C$12="MFJ",1,IF('Second Earner'!$C$12="HoH",7,4))+2)))),""))))</f>
      </c>
      <c r="CA20" s="24">
        <f>IF($B20="","",IF($AN20="CA",SUMPRODUCT(($AJ20&gt;=INDEX('How This Works &amp; Sources'!$B$39:$J$48,0,IF($AU20="Married",4,IF($AU20="Head of household",7,1))))*INDEX('How This Works &amp; Sources'!$B$39:$J$48,0,IF($AU20="Married",4,IF($AU20="Head of household",7,1))+2)),IF($AN20="AL",IF(OR($AU20="Married",$AU20="Head of household"),SUMPRODUCT(($AZ20&gt;=INDEX('How This Works &amp; Sources'!$B$82:$J$86,0,4))*INDEX('How This Works &amp; Sources'!$B$82:$J$86,0,4+2)),SUMPRODUCT(($AZ20&gt;=INDEX('How This Works &amp; Sources'!$B$82:$J$86,0,1))*INDEX('How This Works &amp; Sources'!$B$82:$J$86,0,1+2)))*(1-IF('Second Earner'!$C$13,SUMPRODUCT(($AH20&gt;=INDEX('How This Works &amp; Sources'!$B$29:$J$36,0,IF('Second Earner'!$C$12="MFJ",1,IF('Second Earner'!$C$12="HoH",7,4))))*INDEX('How This Works &amp; Sources'!$B$29:$J$36,0,IF('Second Earner'!$C$12="MFJ",1,IF('Second Earner'!$C$12="HoH",7,4))+2)),SUMPRODUCT(($AH20&gt;=INDEX('How This Works &amp; Sources'!$B$19:$J$26,0,IF('Second Earner'!$C$12="MFJ",1,IF('Second Earner'!$C$12="HoH",7,4))))*INDEX('How This Works &amp; Sources'!$B$19:$J$26,0,IF('Second Earner'!$C$12="MFJ",1,IF('Second Earner'!$C$12="HoH",7,4))+2)))),IF($AN20="ND",IF($AU20="Head of household",SUMPRODUCT(($AZ20&gt;=INDEX('How This Works &amp; Sources'!$B$144:$J$150,0,1))*INDEX('How This Works &amp; Sources'!$B$144:$J$150,0,1+2)),IF($AU20="Married",SUMPRODUCT(($AZ20&gt;=INDEX('How This Works &amp; Sources'!$B$137:$J$139,0,7))*INDEX('How This Works &amp; Sources'!$B$137:$J$139,0,7+2)),SUMPRODUCT(($AZ20&gt;=INDEX('How This Works &amp; Sources'!$B$137:$J$139,0,4))*INDEX('How This Works &amp; Sources'!$B$137:$J$139,0,4+2)))),IF($AN20="NJ",IF('Second Earner'!$C$77="B",SUMPRODUCT(($AZ20&gt;=INDEX('How This Works &amp; Sources'!$B$155:$J$162,0,4))*INDEX('How This Works &amp; Sources'!$B$155:$J$162,0,4+2)),IF('Second Earner'!$C$77="C",SUMPRODUCT(($AZ20&gt;=INDEX('How This Works &amp; Sources'!$B$155:$J$162,0,7))*INDEX('How This Works &amp; Sources'!$B$155:$J$162,0,7+2)),IF('Second Earner'!$C$77="D",SUMPRODUCT(($AZ20&gt;=INDEX('How This Works &amp; Sources'!$B$167:$J$179,0,1))*INDEX('How This Works &amp; Sources'!$B$167:$J$179,0,1+2)),IF('Second Earner'!$C$77="E",SUMPRODUCT(($AZ20&gt;=INDEX('How This Works &amp; Sources'!$B$167:$J$179,0,4))*INDEX('How This Works &amp; Sources'!$B$167:$J$179,0,4+2)),SUMPRODUCT(($AZ20&gt;=INDEX('How This Works &amp; Sources'!$B$155:$J$162,0,1))*INDEX('How This Works &amp; Sources'!$B$155:$J$162,0,1+2)))))),IF($AN20="NY",IF($AU20="Married",IF($AZ20&gt;=2155350,IF($AZ20&gt;25000000,0.117,IF($AZ20&gt;5000000,0.111,0.1045)),SUMPRODUCT(($AZ20&gt;=INDEX('How This Works &amp; Sources'!$B$184:$J$198,0,1))*INDEX('How This Works &amp; Sources'!$B$184:$J$198,0,1+2))),IF($AZ20&gt;=1077550,IF($AZ20&gt;25000000,0.117,IF($AZ20&gt;5000000,0.111,0.1045)),SUMPRODUCT(($AZ20&gt;=INDEX('How This Works &amp; Sources'!$B$167:$J$179,0,7))*INDEX('How This Works &amp; Sources'!$B$167:$J$179,0,7+2)))),IF($AN20="LA",0.0309,"")))))))</f>
      </c>
      <c r="CB20" s="24">
        <f>IF($B20="","",IF($AN20="HI",IF($AU20="Married",SUMPRODUCT(($AZ20&gt;=INDEX('How This Works &amp; Sources'!$B$91:$J$98,0,7))*INDEX('How This Works &amp; Sources'!$B$91:$J$98,0,7+2)),SUMPRODUCT(($AZ20&gt;=INDEX('How This Works &amp; Sources'!$B$91:$J$98,0,4))*INDEX('How This Works &amp; Sources'!$B$91:$J$98,0,4+2))),IF($AN20="MD",IF(OR($AU20="Married",$AU20="Head of household"),SUMPRODUCT(($AZ20&gt;=INDEX('How This Works &amp; Sources'!$B$114:$J$120,0,1))*INDEX('How This Works &amp; Sources'!$B$114:$J$120,0,1+2)),SUMPRODUCT(($AZ20&gt;=INDEX('How This Works &amp; Sources'!$B$103:$J$109,0,7))*INDEX('How This Works &amp; Sources'!$B$103:$J$109,0,7+2)))+'Second Earner'!$C$74,IF($AN20="MN",IF($AU20="Married",SUMPRODUCT(($AZ20&gt;=INDEX('How This Works &amp; Sources'!$B$114:$J$120,0,7))*INDEX('How This Works &amp; Sources'!$B$114:$J$120,0,7+2)),SUMPRODUCT(($AZ20&gt;=INDEX('How This Works &amp; Sources'!$B$114:$J$120,0,4))*INDEX('How This Works &amp; Sources'!$B$114:$J$120,0,4+2))),IF($AN20="MO",SUMPRODUCT(($AZ20&gt;=INDEX('How This Works &amp; Sources'!$B$125:$J$132,0,1))*INDEX('How This Works &amp; Sources'!$B$125:$J$132,0,1+2)),IF($AN20="NE",MAX(IF($AU20="Married",SUMPRODUCT(($AZ20&gt;=INDEX('How This Works &amp; Sources'!$B$144:$J$150,0,7))*INDEX('How This Works &amp; Sources'!$B$144:$J$150,0,7+2)),SUMPRODUCT(($AZ20&gt;=INDEX('How This Works &amp; Sources'!$B$144:$J$150,0,4))*INDEX('How This Works &amp; Sources'!$B$144:$J$150,0,4+2))),0.015),IF($AN20="OH",IF($B20&gt;=DATE(2026,8,1),SUMPRODUCT(($AZ20&gt;=INDEX('How This Works &amp; Sources'!$B$203:$J$206,0,1))*INDEX('How This Works &amp; Sources'!$B$203:$J$206,0,1+2)),SUMPRODUCT(($AZ20&gt;=INDEX('How This Works &amp; Sources'!$B$184:$J$198,0,7))*INDEX('How This Works &amp; Sources'!$B$184:$J$198,0,7+2))),IF($AN20="OK",IF($AU20="Married",SUMPRODUCT(($AZ20&gt;=INDEX('How This Works &amp; Sources'!$B$203:$J$206,0,7))*INDEX('How This Works &amp; Sources'!$B$203:$J$206,0,7+2)),SUMPRODUCT(($AZ20&gt;=INDEX('How This Works &amp; Sources'!$B$203:$J$206,0,4))*INDEX('How This Works &amp; Sources'!$B$203:$J$206,0,4+2))),IF($AN20="RI",SUMPRODUCT(($AZ20&gt;=INDEX('How This Works &amp; Sources'!$B$211:$J$214,0,7))*INDEX('How This Works &amp; Sources'!$B$211:$J$214,0,7+2)),IF($AN20="VT",IF($AU20="Married",SUMPRODUCT(($AZ20&gt;=INDEX('How This Works &amp; Sources'!$B$228:$J$232,0,1))*INDEX('How This Works &amp; Sources'!$B$228:$J$232,0,1+2)),SUMPRODUCT(($AZ20&gt;=INDEX('How This Works &amp; Sources'!$B$219:$J$223,0,7))*INDEX('How This Works &amp; Sources'!$B$219:$J$223,0,7+2))),IF($AN20="WV",IF($AU20="Married",SUMPRODUCT(($AZ20&gt;=INDEX('How This Works &amp; Sources'!$B$237:$J$241,0,7))*INDEX('How This Works &amp; Sources'!$B$237:$J$241,0,7+2)),SUMPRODUCT(($AZ20&gt;=INDEX('How This Works &amp; Sources'!$B$228:$J$232,0,7))*INDEX('How This Works &amp; Sources'!$B$228:$J$232,0,7+2))),IF($AN20="AZ",'Second Earner'!$C$82,IF($AN20="ID",IF($AY20&gt;IF($AU20="Married",32000,16094),0.053,0),"")))))))))))))</f>
      </c>
      <c r="CC20" s="24">
        <f>IF($B20="","",IF($AN20="AR",SUMPRODUCT(($AZ20&gt;=INDEX('How This Works &amp; Sources'!$B$82:$J$86,0,7))*INDEX('How This Works &amp; Sources'!$B$82:$J$86,0,7+2)),IF($AN20="DE",SUMPRODUCT(($AZ20&gt;=INDEX('How This Works &amp; Sources'!$B$91:$J$98,0,1))*INDEX('How This Works &amp; Sources'!$B$91:$J$98,0,1+2)),IF($AN20="SC",SUMPRODUCT(($AZ20&gt;=INDEX('How This Works &amp; Sources'!$B$219:$J$223,0,1))*INDEX('How This Works &amp; Sources'!$B$219:$J$223,0,1+2)),IF($AN20="VA",SUMPRODUCT(($AZ20&gt;=INDEX('How This Works &amp; Sources'!$B$219:$J$223,0,4))*INDEX('How This Works &amp; Sources'!$B$219:$J$223,0,4+2)),IF($AN20="WI",SUMPRODUCT(($AZ20&gt;=INDEX('How This Works &amp; Sources'!$B$228:$J$232,0,4))*INDEX('How This Works &amp; Sources'!$B$228:$J$232,0,4+2)),IF($AN20="CO",IF($AY20&gt;IF($AU20="Married",10000,5000),0.044,0),IF($AN20="IA",IF($AY20&gt;IF($AU20="Head of household",19500,IF($AU20="Married",26000,13000)),0.038,0),IF($AN20="IL",IF($AY20&gt;(2925*$AS20+1000*$AT20),0.0495,0),IF($AN20="IN",(0.0295+'Second Earner'!$C$76),IF($AN20="KY",IF($AI20&gt;3360,0.035,0),IF($AN20="MA",IF(MAX(0,$AY20-MIN(($BD19+$Q20+$R20+$S20),2000)-IF($AS20=0,0,IF($AS20=1,4400,1000*$AS20+3400)))&gt;=1107750,0.09,0.05),IF($AN20="MI",IF($AY20&gt;5900*$AS20,0.0425,0),IF($AN20="MS",IF($AI20-IF($AU20="Head of household",3400,IF($AU20="Married",4600,2300))-'Second Earner'!$C$85&gt;10000,0.04,0),IF($AN20="PA",0.0307,"")))))))))))))))</f>
      </c>
      <c r="CD20" s="21">
        <f>IF(YEAR(IF('Second Earner'!$C$7="Weekly",'Second Earner'!$C$9+7*(($BE19+1)-1),IF('Second Earner'!$C$7="Biweekly",'Second Earner'!$C$9+14*(($BE19+1)-1),IF('Second Earner'!$C$7="Semimonthly",DATE(YEAR('Second Earner'!$C$9),MONTH('Second Earner'!$C$9)+INT((($BE19+1)-1)/2),MIN(DAY('Second Earner'!$C$9),DAY(EOMONTH(DATE(YEAR('Second Earner'!$C$9),MONTH('Second Earner'!$C$9)+INT((($BE19+1)-1)/2),1),0))))+IF(MOD(($BE19+1)-1,2)=1,15,0),EDATE('Second Earner'!$C$9,($BE19+1)-1)))))&lt;&gt;'Second Earner'!$C$10,"",IF('Second Earner'!$C$7="Weekly",'Second Earner'!$C$9+7*(($BE19+1)-1),IF('Second Earner'!$C$7="Biweekly",'Second Earner'!$C$9+14*(($BE19+1)-1),IF('Second Earner'!$C$7="Semimonthly",DATE(YEAR('Second Earner'!$C$9),MONTH('Second Earner'!$C$9)+INT((($BE19+1)-1)/2),MIN(DAY('Second Earner'!$C$9),DAY(EOMONTH(DATE(YEAR('Second Earner'!$C$9),MONTH('Second Earner'!$C$9)+INT((($BE19+1)-1)/2),1),0))))+IF(MOD(($BE19+1)-1,2)=1,15,0),EDATE('Second Earner'!$C$9,($BE19+1)-1)))))</f>
      </c>
      <c r="CE20" s="21">
        <f>IF(MIN(IF(AND('Second Earner'!$C$58&gt;MAX($B$6:$B19),'Second Earner'!$C$58&gt;=DATE('Second Earner'!$C$10,1,1),'Second Earner'!$C$58&lt;=DATE('Second Earner'!$C$10,12,31)),'Second Earner'!$C$58,999999),IF(AND('Second Earner'!$C$59&gt;MAX($B$6:$B19),'Second Earner'!$C$59&gt;=DATE('Second Earner'!$C$10,1,1),'Second Earner'!$C$59&lt;=DATE('Second Earner'!$C$10,12,31)),'Second Earner'!$C$59,999999),IF(AND('Second Earner'!$C$60&gt;MAX($B$6:$B19),'Second Earner'!$C$60&gt;=DATE('Second Earner'!$C$10,1,1),'Second Earner'!$C$60&lt;=DATE('Second Earner'!$C$10,12,31)),'Second Earner'!$C$60,999999),IF(AND('Second Earner'!$C$61&gt;MAX($B$6:$B19),'Second Earner'!$C$61&gt;=DATE('Second Earner'!$C$10,1,1),'Second Earner'!$C$61&lt;=DATE('Second Earner'!$C$10,12,31)),'Second Earner'!$C$61,999999),IF(AND('Second Earner'!$C$62&gt;MAX($B$6:$B19),'Second Earner'!$C$62&gt;=DATE('Second Earner'!$C$10,1,1),'Second Earner'!$C$62&lt;=DATE('Second Earner'!$C$10,12,31)),'Second Earner'!$C$62,999999),IF(AND('Second Earner'!$C$63&gt;MAX($B$6:$B19),'Second Earner'!$C$63&gt;=DATE('Second Earner'!$C$10,1,1),'Second Earner'!$C$63&lt;=DATE('Second Earner'!$C$10,12,31)),'Second Earner'!$C$63,999999),IF(AND('Second Earner'!$C$64&gt;MAX($B$6:$B19),'Second Earner'!$C$64&gt;=DATE('Second Earner'!$C$10,1,1),'Second Earner'!$C$64&lt;=DATE('Second Earner'!$C$10,12,31)),'Second Earner'!$C$64,999999),IF(AND('Second Earner'!$C$65&gt;MAX($B$6:$B19),'Second Earner'!$C$65&gt;=DATE('Second Earner'!$C$10,1,1),'Second Earner'!$C$65&lt;=DATE('Second Earner'!$C$10,12,31)),'Second Earner'!$C$65,999999),IF(AND('Second Earner'!$C$66&gt;MAX($B$6:$B19),'Second Earner'!$C$66&gt;=DATE('Second Earner'!$C$10,1,1),'Second Earner'!$C$66&lt;=DATE('Second Earner'!$C$10,12,31)),'Second Earner'!$C$66,999999),IF(AND('Second Earner'!$C$67&gt;MAX($B$6:$B19),'Second Earner'!$C$67&gt;=DATE('Second Earner'!$C$10,1,1),'Second Earner'!$C$67&lt;=DATE('Second Earner'!$C$10,12,31)),'Second Earner'!$C$67,999999))=999999,"",MIN(IF(AND('Second Earner'!$C$58&gt;MAX($B$6:$B19),'Second Earner'!$C$58&gt;=DATE('Second Earner'!$C$10,1,1),'Second Earner'!$C$58&lt;=DATE('Second Earner'!$C$10,12,31)),'Second Earner'!$C$58,999999),IF(AND('Second Earner'!$C$59&gt;MAX($B$6:$B19),'Second Earner'!$C$59&gt;=DATE('Second Earner'!$C$10,1,1),'Second Earner'!$C$59&lt;=DATE('Second Earner'!$C$10,12,31)),'Second Earner'!$C$59,999999),IF(AND('Second Earner'!$C$60&gt;MAX($B$6:$B19),'Second Earner'!$C$60&gt;=DATE('Second Earner'!$C$10,1,1),'Second Earner'!$C$60&lt;=DATE('Second Earner'!$C$10,12,31)),'Second Earner'!$C$60,999999),IF(AND('Second Earner'!$C$61&gt;MAX($B$6:$B19),'Second Earner'!$C$61&gt;=DATE('Second Earner'!$C$10,1,1),'Second Earner'!$C$61&lt;=DATE('Second Earner'!$C$10,12,31)),'Second Earner'!$C$61,999999),IF(AND('Second Earner'!$C$62&gt;MAX($B$6:$B19),'Second Earner'!$C$62&gt;=DATE('Second Earner'!$C$10,1,1),'Second Earner'!$C$62&lt;=DATE('Second Earner'!$C$10,12,31)),'Second Earner'!$C$62,999999),IF(AND('Second Earner'!$C$63&gt;MAX($B$6:$B19),'Second Earner'!$C$63&gt;=DATE('Second Earner'!$C$10,1,1),'Second Earner'!$C$63&lt;=DATE('Second Earner'!$C$10,12,31)),'Second Earner'!$C$63,999999),IF(AND('Second Earner'!$C$64&gt;MAX($B$6:$B19),'Second Earner'!$C$64&gt;=DATE('Second Earner'!$C$10,1,1),'Second Earner'!$C$64&lt;=DATE('Second Earner'!$C$10,12,31)),'Second Earner'!$C$64,999999),IF(AND('Second Earner'!$C$65&gt;MAX($B$6:$B19),'Second Earner'!$C$65&gt;=DATE('Second Earner'!$C$10,1,1),'Second Earner'!$C$65&lt;=DATE('Second Earner'!$C$10,12,31)),'Second Earner'!$C$65,999999),IF(AND('Second Earner'!$C$66&gt;MAX($B$6:$B19),'Second Earner'!$C$66&gt;=DATE('Second Earner'!$C$10,1,1),'Second Earner'!$C$66&lt;=DATE('Second Earner'!$C$10,12,31)),'Second Earner'!$C$66,999999),IF(AND('Second Earner'!$C$67&gt;MAX($B$6:$B19),'Second Earner'!$C$67&gt;=DATE('Second Earner'!$C$10,1,1),'Second Earner'!$C$67&lt;=DATE('Second Earner'!$C$10,12,31)),'Second Earner'!$C$67,999999)))</f>
      </c>
      <c r="CF20">
        <f>IF($B20="","",IF($D20=0,$Y20,""))</f>
      </c>
    </row>
    <row r="21">
      <c r="A21" t="n">
        <v>16</v>
      </c>
      <c r="B21" s="21">
        <f>IF(AND($CD21="",$CE21=""),"",IF($CE21="",$CD21,IF($CD21="",$CE21,MIN($CD21,$CE21))))</f>
      </c>
      <c r="C21" s="7">
        <f>IF($B21="","",IF($BF21=0,0,IF('Second Earner'!$C$4="Annual salary",ROUND($AK21/IF(AND('Second Earner'!$C$88="Actual paydays",MONTH('Second Earner'!$C$9)=1),MAX(1,MAX($BE$6:$BE$68)),'Second Earner'!$C$8),2),$AK21)))</f>
      </c>
      <c r="D21" s="7">
        <f>IF($B21="","",SUMIF('Second Earner'!$C$58:$C$67,$B21,'Second Earner'!$D$58:$D$67))</f>
      </c>
      <c r="E21" s="7">
        <f>IF($B21="","",ROUND(MAX(0,MIN(IF($AL21="Percent",$AM21*($C21+$D21),$AM21),MAX(0,'Second Earner'!$C$34-$AC20))),2))</f>
      </c>
      <c r="F21" s="7">
        <f>IF($B21="","",ROUND(MAX(0,MIN(IF('Second Earner'!$C$32="Percent",'Second Earner'!$D$32*($C21+$D21),'Second Earner'!$D$32),MAX(0,'Second Earner'!$C$34-$AC20-$E21))),2))</f>
      </c>
      <c r="G21" s="7">
        <f>IF($B21="","",IF($BF21=0,0,ROUND(MAX(0,MIN($BL21,'Second Earner'!$C$37-'Second Earner'!$C$54-$BI20)),2)))</f>
      </c>
      <c r="H21" s="7">
        <f>IF($B21="","",IF(OR($BF21=0,$BQ21=1),0,ROUND(MAX(0,MIN(IF($BS21=1,ROUND(MAX(0,MIN($BJ21,'How This Works &amp; Sources'!$C$13)-$BG20)/MAX(1,MAX($BE$6:$BE$68)-($BE20)),2),ROUND(MIN($BJ21,'How This Works &amp; Sources'!$C$13)/'Second Earner'!$C$8,2)),MIN($BJ21,'How This Works &amp; Sources'!$C$13)-$BG20)),2)))</f>
      </c>
      <c r="I21" s="7">
        <f>IF($B21="","",IF(OR($BF21=0,$BR21=1),0,ROUND(MAX(0,MIN(IF($BT21=1,ROUND(MAX(0,MIN($BK21,IF('Second Earner'!$C$12="MFJ",'How This Works &amp; Sources'!$C$14,'How This Works &amp; Sources'!$C$15))-$BH20)/MAX(1,MAX($BE$6:$BE$68)-($BE20)),2),ROUND(MIN($BK21,IF('Second Earner'!$C$12="MFJ",'How This Works &amp; Sources'!$C$14,'How This Works &amp; Sources'!$C$15))/'Second Earner'!$C$8,2)),MIN($BK21,IF('Second Earner'!$C$12="MFJ",'How This Works &amp; Sources'!$C$14,'How This Works &amp; Sources'!$C$15))-$BH20)),2)))</f>
      </c>
      <c r="J21" s="7">
        <f>IF($B21="","",IF($BF21=0,0,$BM21))</f>
      </c>
      <c r="K21" s="7">
        <f>IF($B21="","",IF($BF21=0,0,$BN21+$BO21))</f>
      </c>
      <c r="L21" s="7">
        <f>IF($B21="","",IF($BF21=0,0,'Second Earner'!$D$46))</f>
      </c>
      <c r="M21" s="7">
        <f>IF($B21="","",$C21+$D21+$L21-$E21-$G21-$H21-$I21-$J21-$K21)</f>
      </c>
      <c r="N21" s="7">
        <f>IF($B21="","",$C21+$D21+$L21-$G21-$H21-$I21-$J21-$K21)</f>
      </c>
      <c r="O21" s="7">
        <f>IF($B21="","",$C21+$D21+$L21-$E21-$H21-$I21-$J21-$K21-IF(OR($AN21="CA",$AN21="NJ"),0,$G21))</f>
      </c>
      <c r="P21" s="7">
        <f>IF($B21="","",IF('Second Earner'!$C$18,0,ROUND(MAX(0,IF('Second Earner'!$C$13,SUMPRODUCT(($AH21&gt;INDEX('How This Works &amp; Sources'!$B$29:$J$36,0,IF('Second Earner'!$C$12="MFJ",1,IF('Second Earner'!$C$12="HoH",7,4))))*($AH21-INDEX('How This Works &amp; Sources'!$B$29:$J$36,0,IF('Second Earner'!$C$12="MFJ",1,IF('Second Earner'!$C$12="HoH",7,4))))*INDEX('How This Works &amp; Sources'!$B$29:$J$36,0,IF('Second Earner'!$C$12="MFJ",1,IF('Second Earner'!$C$12="HoH",7,4))+2)),SUMPRODUCT(($AH21&gt;INDEX('How This Works &amp; Sources'!$B$19:$J$26,0,IF('Second Earner'!$C$12="MFJ",1,IF('Second Earner'!$C$12="HoH",7,4))))*($AH21-INDEX('How This Works &amp; Sources'!$B$19:$J$26,0,IF('Second Earner'!$C$12="MFJ",1,IF('Second Earner'!$C$12="HoH",7,4))))*INDEX('How This Works &amp; Sources'!$B$19:$J$26,0,IF('Second Earner'!$C$12="MFJ",1,IF('Second Earner'!$C$12="HoH",7,4))+2)))/'Second Earner'!$C$8-$AO21/'Second Earner'!$C$8)+$AR21+IF('Second Earner'!$C$89="Aggregate",MAX(0,IF('Second Earner'!$C$13,SUMPRODUCT((($AH21+$D21)&gt;INDEX('How This Works &amp; Sources'!$B$29:$J$36,0,IF('Second Earner'!$C$12="MFJ",1,IF('Second Earner'!$C$12="HoH",7,4))))*(($AH21+$D21)-INDEX('How This Works &amp; Sources'!$B$29:$J$36,0,IF('Second Earner'!$C$12="MFJ",1,IF('Second Earner'!$C$12="HoH",7,4))))*INDEX('How This Works &amp; Sources'!$B$29:$J$36,0,IF('Second Earner'!$C$12="MFJ",1,IF('Second Earner'!$C$12="HoH",7,4))+2)),SUMPRODUCT((($AH21+$D21)&gt;INDEX('How This Works &amp; Sources'!$B$19:$J$26,0,IF('Second Earner'!$C$12="MFJ",1,IF('Second Earner'!$C$12="HoH",7,4))))*(($AH21+$D21)-INDEX('How This Works &amp; Sources'!$B$19:$J$26,0,IF('Second Earner'!$C$12="MFJ",1,IF('Second Earner'!$C$12="HoH",7,4))))*INDEX('How This Works &amp; Sources'!$B$19:$J$26,0,IF('Second Earner'!$C$12="MFJ",1,IF('Second Earner'!$C$12="HoH",7,4))+2)))-IF('Second Earner'!$C$13,SUMPRODUCT(($AH21&gt;INDEX('How This Works &amp; Sources'!$B$29:$J$36,0,IF('Second Earner'!$C$12="MFJ",1,IF('Second Earner'!$C$12="HoH",7,4))))*($AH21-INDEX('How This Works &amp; Sources'!$B$29:$J$36,0,IF('Second Earner'!$C$12="MFJ",1,IF('Second Earner'!$C$12="HoH",7,4))))*INDEX('How This Works &amp; Sources'!$B$29:$J$36,0,IF('Second Earner'!$C$12="MFJ",1,IF('Second Earner'!$C$12="HoH",7,4))+2)),SUMPRODUCT(($AH21&gt;INDEX('How This Works &amp; Sources'!$B$19:$J$26,0,IF('Second Earner'!$C$12="MFJ",1,IF('Second Earner'!$C$12="HoH",7,4))))*($AH21-INDEX('How This Works &amp; Sources'!$B$19:$J$26,0,IF('Second Earner'!$C$12="MFJ",1,IF('Second Earner'!$C$12="HoH",7,4))))*INDEX('How This Works &amp; Sources'!$B$19:$J$26,0,IF('Second Earner'!$C$12="MFJ",1,IF('Second Earner'!$C$12="HoH",7,4))+2)))),'How This Works &amp; Sources'!$C$10*$D21),2)))</f>
      </c>
      <c r="Q21" s="7">
        <f>IF($B21="","",ROUND('How This Works &amp; Sources'!$C$4*MIN($N21,MAX(0,'How This Works &amp; Sources'!$C$3-($AX21+$AB20-$AW21))),2))</f>
      </c>
      <c r="R21" s="7">
        <f>IF($B21="","",ROUND('How This Works &amp; Sources'!$C$5*$N21,2))</f>
      </c>
      <c r="S21" s="7">
        <f>IF($B21="","",ROUND('How This Works &amp; Sources'!$C$6*MAX(0,MIN($N21,$AG20+$N21-'How This Works &amp; Sources'!$C$7)),2))</f>
      </c>
      <c r="T21" s="7">
        <f>IF($B21="","",IF('Second Earner'!$C$26,0,IF($AN21="CA",ROUND(IF($AI21&lt;=IF(($AS21+$AT21)&gt;=2,VLOOKUP($AN21,StateTables!$A$6:$AB$56,10,FALSE),VLOOKUP($AN21,StateTables!$A$6:$AB$56,9,FALSE)),0,MAX(0,SUMPRODUCT(($AJ21&gt;INDEX('How This Works &amp; Sources'!$B$39:$J$48,0,IF($AU21="Married",4,IF($AU21="Head of household",7,1))))*($AJ21-INDEX('How This Works &amp; Sources'!$B$39:$J$48,0,IF($AU21="Married",4,IF($AU21="Head of household",7,1))))*INDEX('How This Works &amp; Sources'!$B$39:$J$48,0,IF($AU21="Married",4,IF($AU21="Head of household",7,1))+2))-VLOOKUP($AN21,StateTables!$A$6:$AB$56,11,FALSE)*$AS21)/'Second Earner'!$C$8)+'Second Earner'!$C$25+VLOOKUP($AN21,StateTables!$A$6:$AB$56,13,FALSE)*$D21,2),IF(VLOOKUP($AN21,StateTables!$A$6:$AB$56,4,FALSE)="None",0,IF(ISNUMBER(SEARCH("MANUAL",VLOOKUP($AN21,StateTables!$A$6:$AB$56,5,FALSE))),'Second Earner'!$C$28,ROUND(MAX(0,$BA21+$BB21)/'Second Earner'!$C$8+'Second Earner'!$C$25+$BC21,2))))))</f>
      </c>
      <c r="U21" s="7">
        <f>IF($B21="","",IF(VLOOKUP($AN21,StateTables!$A$6:$AB$56,24,FALSE)="flatq",IF(OR(MONTH($B21)=1,MONTH($B21)=4,MONTH($B21)=7,MONTH($B21)=10),VLOOKUP($AN21,StateTables!$A$6:$AB$56,25,FALSE),0),IF(VLOOKUP($AN21,StateTables!$A$6:$AB$56,24,FALSE)="dbl",MIN(ROUND(0.005*$N21,2),ROUND(0.6*52/'Second Earner'!$C$8,2)),IF(OR(VLOOKUP($AN21,StateTables!$A$6:$AB$56,15,FALSE)="",VLOOKUP($AN21,StateTables!$A$6:$AB$56,15,FALSE)=0),0,ROUND(VLOOKUP($AN21,StateTables!$A$6:$AB$56,15,FALSE)*IF(OR(VLOOKUP($AN21,StateTables!$A$6:$AB$56,16,FALSE)="",VLOOKUP($AN21,StateTables!$A$6:$AB$56,16,FALSE)=0),$N21,MIN($N21,MAX(0,VLOOKUP($AN21,StateTables!$A$6:$AB$56,16,FALSE)-($AX21+$AB20-$AW21)))),2))))+IF(VLOOKUP($AN21,StateTables!$A$6:$AB$56,27,FALSE)="flatq",IF(OR(MONTH($B21)=1,MONTH($B21)=4,MONTH($B21)=7,MONTH($B21)=10),VLOOKUP($AN21,StateTables!$A$6:$AB$56,28,FALSE),0),IF(VLOOKUP($AN21,StateTables!$A$6:$AB$56,27,FALSE)="dbl",MIN(ROUND(0.005*$N21,2),ROUND(0.6*52/'Second Earner'!$C$8,2)),IF(OR(VLOOKUP($AN21,StateTables!$A$6:$AB$56,18,FALSE)="",VLOOKUP($AN21,StateTables!$A$6:$AB$56,18,FALSE)=0),0,ROUND(VLOOKUP($AN21,StateTables!$A$6:$AB$56,18,FALSE)*IF(OR(VLOOKUP($AN21,StateTables!$A$6:$AB$56,19,FALSE)="",VLOOKUP($AN21,StateTables!$A$6:$AB$56,19,FALSE)=0),$N21,MIN($N21,MAX(0,VLOOKUP($AN21,StateTables!$A$6:$AB$56,19,FALSE)-($AX21+$AB20-$AW21)))),2)))))</f>
      </c>
      <c r="V21" s="7">
        <f>IF($B21="","",IF($AN21="NY",IF('Second Earner'!$C$78,ROUND(SUMPRODUCT((MAX(0,($O21-$D21)*'Second Earner'!$C$8-(IF($AU21="Married",5500,5000)+1000*$AS21))&gt;INDEX('How This Works &amp; Sources'!$B$184:$J$198,0,4))*(MAX(0,($O21-$D21)*'Second Earner'!$C$8-(IF($AU21="Married",5500,5000)+1000*$AS21))-INDEX('How This Works &amp; Sources'!$B$184:$J$198,0,4))*INDEX('How This Works &amp; Sources'!$B$184:$J$198,0,4+2))/'Second Earner'!$C$8+0.0425*$D21,2),0)+IF('Second Earner'!$C$79="Resident",ROUND(0.1675*$T21,2),IF('Second Earner'!$C$79="Nonresident",ROUND(0.005*MAX(0,($O21-$D21)-(IF($AU21="Married",7950,7400)+1000*$AS21)/'Second Earner'!$C$8),2),0)),IF($AN21="PA",IF('Second Earner'!$C$80="None",'Second Earner'!$C$27+ROUND('Second Earner'!$C$81*($C21+$D21),2),ROUND(IF('Second Earner'!$C$80="Resident",IF($B21&lt;DATE(2026,7,1),0.0374,0.03735),IF($B21&lt;DATE(2026,7,1),0.0343,0.03425))*($C21+$D21),2)),IF($BF21=0,ROUND('Second Earner'!$C$81*($C21+$D21),2),'Second Earner'!$C$27+ROUND('Second Earner'!$C$81*($C21+$D21),2)))))</f>
      </c>
      <c r="W21" s="7">
        <f>IF($B21="","",IF($BF21=0,0,$BP21))</f>
      </c>
      <c r="X21" s="7">
        <f>IF($B21="","",SUM($E21:$K21)+$P21+$Q21+$R21+$S21+$T21+$U21+$V21+$W21)</f>
      </c>
      <c r="Y21" s="22">
        <f>IF($B21="","",$C21+$D21-$X21)</f>
      </c>
      <c r="Z21" s="7">
        <f>IF($B21="","",$Z20+$C21+$D21)</f>
      </c>
      <c r="AA21" s="7">
        <f>IF($B21="","",$AA20+$Y21)</f>
      </c>
      <c r="AB21" s="7">
        <f>IF($B21="","",$AB20+MIN($N21,MAX(0,'How This Works &amp; Sources'!$C$3-($AX21+$AB20-$AW21))))</f>
      </c>
      <c r="AC21" s="7">
        <f>IF($B21="","",$AC20+$E21+$F21)</f>
      </c>
      <c r="AD21" s="3">
        <f>IF($B21="","",IF(AND($AB20&lt;'How This Works &amp; Sources'!$C$3,$AB21&gt;='How This Works &amp; Sources'!$C$3),"★ Social Security maxed on this check — from the next check your net rises by about $"&amp;TEXT(ROUND('How This Works &amp; Sources'!$C$4*$N21,2),"#,##0.00")&amp;". ","")&amp;IF(AND($AC20&lt;'Second Earner'!$C$34,$AC21&gt;='Second Earner'!$C$34),"★ 401(k) reaches the $"&amp;TEXT('Second Earner'!$C$34,"#,##0")&amp;" cap on this check — deferrals stop and net pay rises. ","")&amp;IF(AND($AG20&lt;'How This Works &amp; Sources'!$C$7,$AG21&gt;='How This Works &amp; Sources'!$C$7),"★ Wages pass $200,000 — the 0.9% Additional Medicare Tax starts here. ","")&amp;IF(AND($BJ21&gt;0,$H21&gt;0,$BG20&lt;MIN($BJ21,'How This Works &amp; Sources'!$C$13),$BG20+$H21&gt;=MIN($BJ21,'How This Works &amp; Sources'!$C$13)),"★ Health FSA election is now fully deferred for the year. ",""))</f>
      </c>
      <c r="AE21" s="41" t="n"/>
      <c r="AF21" s="7">
        <f>IF(OR($B21="",$AE21=""),"",$AE21-$Y21)</f>
      </c>
      <c r="AG21" s="7">
        <f>IF($B21="","",$AG20+$N21)</f>
      </c>
      <c r="AH21" s="7">
        <f>IF($B21="","",MAX(0,($M21-$D21)*'Second Earner'!$C$8+$AP21-$AQ21-IF('Second Earner'!$C$13,0,IF('Second Earner'!$C$12="MFJ",'How This Works &amp; Sources'!$C$8,'How This Works &amp; Sources'!$C$9))))</f>
      </c>
      <c r="AI21" s="7">
        <f>IF($B21="","",$O21*'Second Earner'!$C$8)</f>
      </c>
      <c r="AJ21" s="7">
        <f>IF($B21="","",MAX(0,$AI21-VLOOKUP($AN21,StateTables!$A$6:$AB$56,12,FALSE)*$AT21-IF(($AS21+$AT21)&gt;=2,VLOOKUP($AN21,StateTables!$A$6:$AB$56,8,FALSE),VLOOKUP($AN21,StateTables!$A$6:$AB$56,7,FALSE))))</f>
      </c>
      <c r="AK21" s="7">
        <f>IF($B21="","",IFERROR(LOOKUP(2,1/(('Changes — Earner 2'!$C$6:$C$17="Salary change")*('Changes — Earner 2'!$B$6:$B$17&lt;=$B21)*('Changes — Earner 2'!$B$6:$B$17&lt;&gt;"")),'Changes — Earner 2'!$D$6:$D$17),IF('Second Earner'!$C$4="Annual salary",'Second Earner'!$C$5,'Second Earner'!$C$6)))</f>
      </c>
      <c r="AL21">
        <f>IF($B21="","",IFERROR(LOOKUP(2,1/(('Changes — Earner 2'!$C$6:$C$17="401(k) change")*('Changes — Earner 2'!$B$6:$B$17&lt;=$B21)*('Changes — Earner 2'!$B$6:$B$17&lt;&gt;"")),'Changes — Earner 2'!$D$6:$D$17),'Second Earner'!$C$30))</f>
      </c>
      <c r="AM21" s="7">
        <f>IF($B21="","",IFERROR(LOOKUP(2,1/(('Changes — Earner 2'!$C$6:$C$17="401(k) change")*('Changes — Earner 2'!$B$6:$B$17&lt;=$B21)*('Changes — Earner 2'!$B$6:$B$17&lt;&gt;"")),'Changes — Earner 2'!$E$6:$E$17),'Second Earner'!$D$31))</f>
      </c>
      <c r="AN21">
        <f>IF($B21="","",IFERROR(LOOKUP(2,1/(('Changes — Earner 2'!$C$6:$C$17="State move")*('Changes — Earner 2'!$B$6:$B$17&lt;=$B21)*('Changes — Earner 2'!$B$6:$B$17&lt;&gt;"")),'Changes — Earner 2'!$D$6:$D$17),'Second Earner'!$C$21))</f>
      </c>
      <c r="AO21" s="7">
        <f>IF($B21="","",IFERROR(LOOKUP(2,1/(('Changes — Earner 2'!$C$6:$C$17="W-4 change")*('Changes — Earner 2'!$B$6:$B$17&lt;=$B21)*('Changes — Earner 2'!$B$6:$B$17&lt;&gt;"")),'Changes — Earner 2'!$D$6:$D$17),'Second Earner'!$C$14))</f>
      </c>
      <c r="AP21" s="7">
        <f>IF($B21="","",IFERROR(LOOKUP(2,1/(('Changes — Earner 2'!$C$6:$C$17="W-4 change")*('Changes — Earner 2'!$B$6:$B$17&lt;=$B21)*('Changes — Earner 2'!$B$6:$B$17&lt;&gt;"")),'Changes — Earner 2'!$E$6:$E$17),'Second Earner'!$C$15))</f>
      </c>
      <c r="AQ21" s="7">
        <f>IF($B21="","",IFERROR(LOOKUP(2,1/(('Changes — Earner 2'!$C$6:$C$17="W-4 change")*('Changes — Earner 2'!$B$6:$B$17&lt;=$B21)*('Changes — Earner 2'!$B$6:$B$17&lt;&gt;"")),'Changes — Earner 2'!$F$6:$F$17),'Second Earner'!$C$16))</f>
      </c>
      <c r="AR21" s="7">
        <f>IF($B21="","",IFERROR(LOOKUP(2,1/(('Changes — Earner 2'!$C$6:$C$17="W-4 change")*('Changes — Earner 2'!$B$6:$B$17&lt;=$B21)*('Changes — Earner 2'!$B$6:$B$17&lt;&gt;"")),'Changes — Earner 2'!$G$6:$G$17),'Second Earner'!$C$17))</f>
      </c>
      <c r="AS21" s="6">
        <f>IF($B21="","",IFERROR(LOOKUP(2,1/((('Changes — Earner 2'!$C$6:$C$17="State move")+('Changes — Earner 2'!$C$6:$C$17="State cert change"))*('Changes — Earner 2'!$B$6:$B$17&lt;=$B21)*('Changes — Earner 2'!$B$6:$B$17&lt;&gt;"")),'Changes — Earner 2'!$F$6:$F$17),'Second Earner'!$C$23))</f>
      </c>
      <c r="AT21" s="6">
        <f>IF($B21="","",IFERROR(LOOKUP(2,1/((('Changes — Earner 2'!$C$6:$C$17="State move")+('Changes — Earner 2'!$C$6:$C$17="State cert change"))*('Changes — Earner 2'!$B$6:$B$17&lt;=$B21)*('Changes — Earner 2'!$B$6:$B$17&lt;&gt;"")),'Changes — Earner 2'!$G$6:$G$17),'Second Earner'!$C$24))</f>
      </c>
      <c r="AU21">
        <f>IF($B21="","",IFERROR(LOOKUP(2,1/(('Changes — Earner 2'!$C$6:$C$17="State move")*('Changes — Earner 2'!$B$6:$B$17&lt;=$B21)*('Changes — Earner 2'!$B$6:$B$17&lt;&gt;"")),'Changes — Earner 2'!$E$6:$E$17),'Second Earner'!$C$22))</f>
      </c>
      <c r="AV21" s="6">
        <f>IF($B21="","",1+COUNTIFS('Changes — Earner 2'!$C$6:$C$17,"Employer change",'Changes — Earner 2'!$B$6:$B$17,"&lt;="&amp;$B21,'Changes — Earner 2'!$B$6:$B$17,"&lt;&gt;"))</f>
      </c>
      <c r="AW21" s="7">
        <f>IF($B21="","",IF($AV21=1,'Second Earner'!$C$49,IF(IFERROR(MATCH(IFERROR(LOOKUP(2,1/(('Changes — Earner 2'!$C$6:$C$17="Employer change")*('Changes — Earner 2'!$B$6:$B$17&lt;=$B21)*('Changes — Earner 2'!$B$6:$B$17&lt;&gt;"")),'Changes — Earner 2'!$B$6:$B$17),""),$B$6:$B$68,1),1)&lt;=1,'Second Earner'!$C$49,INDEX($AB$6:$AB$68,MATCH(IFERROR(LOOKUP(2,1/(('Changes — Earner 2'!$C$6:$C$17="Employer change")*('Changes — Earner 2'!$B$6:$B$17&lt;=$B21)*('Changes — Earner 2'!$B$6:$B$17&lt;&gt;"")),'Changes — Earner 2'!$B$6:$B$17),""),$B$6:$B$68,1)-1))))</f>
      </c>
      <c r="AX21" s="7">
        <f>IF($B21="","",IF($AV21=1,'Second Earner'!$C$49,IFERROR(LOOKUP(2,1/(('Changes — Earner 2'!$C$6:$C$17="Employer change")*('Changes — Earner 2'!$B$6:$B$17&lt;=$B21)*('Changes — Earner 2'!$B$6:$B$17&lt;&gt;"")),'Changes — Earner 2'!$D$6:$D$17),0)))</f>
      </c>
      <c r="AY21" s="7">
        <f>IF($B21="","",($O21-$D21)*'Second Earner'!$C$8)</f>
      </c>
      <c r="AZ21" s="7">
        <f>IF($B21="","",IF($AN21="AL",MAX(0,$AY21-IF($AU21="Married",IF($AY21&lt;=25999,8500,MAX(5000,8500-175*CEILING(($AY21-25999)/500,1))),IF($AU21="Head of household",IF($AY21&lt;=25999,5200,MAX(2500,5200-135*CEILING(($AY21-25999)/500,1))),IF($AY21&lt;=25999,3000,MAX(2500,3000-25*CEILING(($AY21-25999)/500,1)))))-($P21-'How This Works &amp; Sources'!$C$10*$D21)*'Second Earner'!$C$8-IF(OR($AU21="Married",$AU21="Head of household"),3000,1500)-$AT21*IF($AY21&lt;=50000,1000,IF($AY21&lt;=100000,500,300))),IF($AN21="AR",IF(MAX(0,$AY21-2470)&lt;97701,INT(MAX(0,$AY21-2470)/100)*100+50,MAX(0,$AY21-2470)),IF($AN21="DE",MAX(0,$AI21-3250),IF($AN21="HI",MAX(0,$AI21-1144*$AS21-4350),IF($AN21="KS",MAX(0,$AI21-(9160*IF($AU21="Married",2,1)+2320*$AT21+IF($AU21="Head of household",2320,0))),IF($AN21="MD",MAX(0,$AI21-3400-3200*$AS21),IF($AN21="MN",MAX(0,$AY21-5300*$AS21),IF($AN21="MO",MAX(0,$AI21-IF($AU21="Head of household",24150,IF($AU21="Married",IF('Second Earner'!$C$83,16100,32200),16100))),IF($AN21="MT",$AY21,IF($AN21="ND",($C21+$L21)*'Second Earner'!$C$8,IF($AN21="NE",MAX(0,$AY21-2440*$AS21),IF($AN21="NJ",MAX(0,$AY21-1000*$AS21),IF($AN21="NY",MAX(0,$AY21-(IF($AU21="Married",7950,7400)+1000*$AS21)),IF($AN21="OH",MAX(0,$AY21-650*$AS21),IF($AN21="OK",MAX(0,$AY21-1000*$AS21),IF($AN21="RI",MAX(0,$AI21-1000*$AS21),IF($AN21="SC",MAX(0,$AI21-5000*$AS21-IF($AS21=0,0,MIN(0.1*$AI21,7500))),IF($AN21="VA",MAX(0,$AI21-IF($AU21="Married",17500,8750)-930*$AS21-800*$AT21),IF($AN21="VT",MAX(0,$AI21-5400*$AS21),IF($AN21="WI",MAX(0,$AI21-MAX(0,IF($AU21="Married",9461-0.2*MAX(0,$AI21-25727),6702-0.12*MAX(0,$AI21-17780)))-400*$AS21),IF($AN21="WV",MAX(0,$AI21-2000*$AS21),$AI21))))))))))))))))))))))</f>
      </c>
      <c r="BA21" s="7">
        <f>IF($B21="","",IF($BW21&lt;&gt;"",$BW21,IF($BX21&lt;&gt;"",$BX21,IF($BY21&lt;&gt;"",$BY21,0))))</f>
      </c>
      <c r="BB21" s="7">
        <f>IF($B21="","",IF($AN21="AR",-29*$AS21,IF($AN21="DE",-110*$AS21,IF($AN21="MD",$AZ21*'Second Earner'!$C$74,IF($AN21="AZ",'Second Earner'!$C$82*($M21-$D21)*'Second Earner'!$C$8,IF($AN21="CO",0.044*MAX(0,$AY21-IF($AU21="Married",10000,5000)),IF($AN21="IA",MAX(0,0.038*MAX(0,$AY21-IF($AU21="Head of household",19500,IF($AU21="Married",26000,13000)))-40*$AS21),IF($AN21="ID",0.053*MAX(0,$AY21-IF($AU21="Married",32000,16094)),IF($AN21="IL",0.0495*MAX(0,$AY21-(2925*$AS21+1000*$AT21)),IF($AN21="IN",(0.0295+'Second Earner'!$C$76)*MAX(0,$AY21-(1000*$AS21+1500*$AT21+3000*'Second Earner'!$C$86)),IF($AN21="KY",0.035*MAX(0,$AI21-3360),IF($AN21="LA",IF('Second Earner'!$C$84="0",0.0309*$AI21,0.0309*MAX(0,$AI21-IF('Second Earner'!$C$84="2",25750,12875))),IF($AN21="MA",0.05*MIN(MAX(0,$AY21-MIN(($BD20+$Q21+$R21+$S21),2000)-IF($AS21=0,0,IF($AS21=1,4400,1000*$AS21+3400))),1107750)+0.09*MAX(0,MAX(0,$AY21-MIN(($BD20+$Q21+$R21+$S21),2000)-IF($AS21=0,0,IF($AS21=1,4400,1000*$AS21+3400)))-1107750)-IF($AU21="Head of household",120,0)-110*'Second Earner'!$C$75,IF($AN21="MI",0.0425*MAX(0,$AY21-5900*$AS21),IF($AN21="MS",0.04*MAX(0,$AI21-IF($AU21="Head of household",3400,IF($AU21="Married",4600,2300))-'Second Earner'!$C$85-10000),IF($AN21="OR",IF(OR($AU21="Married",AND($AU21="Single",$AS21&gt;=3)),SUMPRODUCT((MAX(0,$AY21-MIN(($P21-'How This Works &amp; Sources'!$C$10*$D21)*'Second Earner'!$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Sources'!$B$211:$J$214,0,4))*(MAX(0,$AY21-MIN(($P21-'How This Works &amp; Sources'!$C$10*$D21)*'Second Earner'!$C$8,IF(OR($AU21="Married",AND($AU21="Single",$AS21&gt;=3)),IF($AY21&lt;250000,8750,IF($AY21&lt;260000,7000,IF($AY21&lt;270000,5250,IF($AY21&lt;280000,3500,IF($AY21&lt;290000,1750,0))))),IF($AY21&lt;125000,8750,IF($AY21&lt;130000,7000,IF($AY21&lt;135000,5250,IF($AY21&lt;140000,3500,IF($AY21&lt;145000,1750,0)))))))-IF(OR($AU21="Married",AND($AU21="Single",$AS21&gt;=3)),5820,2910))-INDEX('How This Works &amp; Sources'!$B$211:$J$214,0,4))*INDEX('How This Works &amp; Sources'!$B$211:$J$214,0,4+2)),SUMPRODUCT((MAX(0,$AY21-MIN(($P21-'How This Works &amp; Sources'!$C$10*$D21)*'Second Earner'!$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Sources'!$B$211:$J$214,0,1))*(MAX(0,$AY21-MIN(($P21-'How This Works &amp; Sources'!$C$10*$D21)*'Second Earner'!$C$8,IF(OR($AU21="Married",AND($AU21="Single",$AS21&gt;=3)),IF($AY21&lt;250000,8750,IF($AY21&lt;260000,7000,IF($AY21&lt;270000,5250,IF($AY21&lt;280000,3500,IF($AY21&lt;290000,1750,0))))),IF($AY21&lt;125000,8750,IF($AY21&lt;130000,7000,IF($AY21&lt;135000,5250,IF($AY21&lt;140000,3500,IF($AY21&lt;145000,1750,0)))))))-IF(OR($AU21="Married",AND($AU21="Single",$AS21&gt;=3)),5820,2910))-INDEX('How This Works &amp; Sources'!$B$211:$J$214,0,1))*INDEX('How This Works &amp; Sources'!$B$211:$J$214,0,1+2)))+263-263*IF(IF($AU21="Married",$AY21&gt;200000,$AY21&gt;100000),0,$AS21),IF($AN21="PA",0.0307*(($O21+$E21+$G21)*'Second Earner'!$C$8),IF($AN21="NY",IF($AU21="Married",IF($AZ21&gt;=2155350,0,IF($AZ21&gt;=1077550,0.48,IF($AZ21&gt;=373200,1.21,IF($AZ21&gt;=323200,0.21,IF($AZ21&gt;=211550,-0.19,IF($AZ21&gt;=157650,-2.8,IF($AZ21&gt;=107650,-0.8,IF($AZ21&gt;=96800,0.05,IF($AZ21&gt;=80650,-0.1,IF($AZ21&gt;=13900,0.4,IF($AZ21&gt;=11700,-0.3,IF($AZ21&gt;=8500,0.5,0)))))))))))),IF($AZ21&gt;=1077550,0,IF($AZ21&gt;=265400,4.29,IF($AZ21&gt;=215400,2.29,IF($AZ21&gt;=157650,2.29,IF($AZ21&gt;=107650,0.29,IF($AZ21&gt;=96800,0.05,IF($AZ21&gt;=80650,-0.1,IF($AZ21&gt;=13900,0.4,IF($AZ21&gt;=11700,-0.3,IF($AZ21&gt;=8500,0.5,0))))))))))),0))))))))))))))))))</f>
      </c>
      <c r="BC21" s="7">
        <f>IF($B21="","",IF($AN21="AL",0.05*$D21,IF($AN21="AR",0.039*$D21,IF($AN21="ID",0.053*$D21,IF($AN21="IN",(0.0295+'Second Earner'!$C$76)*$D21,IF($AN21="KS",0.05*$D21,IF($AN21="MA",0.09*MIN($D21,MAX(0,MAX(0,$AY21-MIN(($BD20+$Q21+$R21+$S21),2000)-IF($AS21=0,0,IF($AS21=1,4400,1000*$AS21+3400)))+$D21-1107750))+0.05*($D21-MIN($D21,MAX(0,MAX(0,$AY21-MIN(($BD20+$Q21+$R21+$S21),2000)-IF($AS21=0,0,IF($AS21=1,4400,1000*$AS21+3400)))+$D21-1107750))),IF($AN21="MD",(0.065+'Second Earner'!$C$74)*$D21,IF($AN21="MI",0.0425*$D21,IF($AN21="MN",0.0625*$D21,IF($AN21="MO",0.047*$D21,IF($AN21="MT",0.05*$D21,IF($AN21="ND",0.015*$D21,IF($AN21="NE",0.035*$D21,IF($AN21="NJ",IF('Second Earner'!$C$77="B",SUMPRODUCT(($D21*'Second Earner'!$C$8&gt;INDEX('How This Works &amp; Sources'!$B$155:$J$162,0,4))*($D21*'Second Earner'!$C$8-INDEX('How This Works &amp; Sources'!$B$155:$J$162,0,4))*INDEX('How This Works &amp; Sources'!$B$155:$J$162,0,4+2)),IF('Second Earner'!$C$77="C",SUMPRODUCT(($D21*'Second Earner'!$C$8&gt;INDEX('How This Works &amp; Sources'!$B$155:$J$162,0,7))*($D21*'Second Earner'!$C$8-INDEX('How This Works &amp; Sources'!$B$155:$J$162,0,7))*INDEX('How This Works &amp; Sources'!$B$155:$J$162,0,7+2)),IF('Second Earner'!$C$77="D",SUMPRODUCT(($D21*'Second Earner'!$C$8&gt;INDEX('How This Works &amp; Sources'!$B$167:$J$179,0,1))*($D21*'Second Earner'!$C$8-INDEX('How This Works &amp; Sources'!$B$167:$J$179,0,1))*INDEX('How This Works &amp; Sources'!$B$167:$J$179,0,1+2)),IF('Second Earner'!$C$77="E",SUMPRODUCT(($D21*'Second Earner'!$C$8&gt;INDEX('How This Works &amp; Sources'!$B$167:$J$179,0,4))*($D21*'Second Earner'!$C$8-INDEX('How This Works &amp; Sources'!$B$167:$J$179,0,4))*INDEX('How This Works &amp; Sources'!$B$167:$J$179,0,4+2)),SUMPRODUCT(($D21*'Second Earner'!$C$8&gt;INDEX('How This Works &amp; Sources'!$B$155:$J$162,0,1))*($D21*'Second Earner'!$C$8-INDEX('How This Works &amp; Sources'!$B$155:$J$162,0,1))*INDEX('How This Works &amp; Sources'!$B$155:$J$162,0,1+2))))))/'Second Earner'!$C$8,IF($AN21="NY",0.117*$D21,IF($AN21="OH",0.0275*$D21,IF($AN21="OK",0.045*$D21,IF($AN21="OR",0.08*$D21,IF($AN21="WI",IF($AY21&lt;12760,0.0354,IF($AY21&lt;25520,0.0465,IF($AY21&lt;280950,0.053,0.0765)))*$D21,0))))))))))))))))))))</f>
      </c>
      <c r="BD21" s="7">
        <f>IF($B21="","",$BD20+$Q21+$R21+$S21)</f>
      </c>
      <c r="BE21" s="6">
        <f>IF($B21="",$BE20,$BE20+$BF21)</f>
      </c>
      <c r="BF21" s="6">
        <f>IF($B21="","",IF(AND(IF(YEAR(IF('Second Earner'!$C$7="Weekly",'Second Earner'!$C$9+7*(($BE20+1)-1),IF('Second Earner'!$C$7="Biweekly",'Second Earner'!$C$9+14*(($BE20+1)-1),IF('Second Earner'!$C$7="Semimonthly",DATE(YEAR('Second Earner'!$C$9),MONTH('Second Earner'!$C$9)+INT((($BE20+1)-1)/2),MIN(DAY('Second Earner'!$C$9),DAY(EOMONTH(DATE(YEAR('Second Earner'!$C$9),MONTH('Second Earner'!$C$9)+INT((($BE20+1)-1)/2),1),0))))+IF(MOD(($BE20+1)-1,2)=1,15,0),EDATE('Second Earner'!$C$9,($BE20+1)-1)))))&lt;&gt;'Second Earner'!$C$10,"",IF('Second Earner'!$C$7="Weekly",'Second Earner'!$C$9+7*(($BE20+1)-1),IF('Second Earner'!$C$7="Biweekly",'Second Earner'!$C$9+14*(($BE20+1)-1),IF('Second Earner'!$C$7="Semimonthly",DATE(YEAR('Second Earner'!$C$9),MONTH('Second Earner'!$C$9)+INT((($BE20+1)-1)/2),MIN(DAY('Second Earner'!$C$9),DAY(EOMONTH(DATE(YEAR('Second Earner'!$C$9),MONTH('Second Earner'!$C$9)+INT((($BE20+1)-1)/2),1),0))))+IF(MOD(($BE20+1)-1,2)=1,15,0),EDATE('Second Earner'!$C$9,($BE20+1)-1)))))&lt;&gt;"",$B21=IF(YEAR(IF('Second Earner'!$C$7="Weekly",'Second Earner'!$C$9+7*(($BE20+1)-1),IF('Second Earner'!$C$7="Biweekly",'Second Earner'!$C$9+14*(($BE20+1)-1),IF('Second Earner'!$C$7="Semimonthly",DATE(YEAR('Second Earner'!$C$9),MONTH('Second Earner'!$C$9)+INT((($BE20+1)-1)/2),MIN(DAY('Second Earner'!$C$9),DAY(EOMONTH(DATE(YEAR('Second Earner'!$C$9),MONTH('Second Earner'!$C$9)+INT((($BE20+1)-1)/2),1),0))))+IF(MOD(($BE20+1)-1,2)=1,15,0),EDATE('Second Earner'!$C$9,($BE20+1)-1)))))&lt;&gt;'Second Earner'!$C$10,"",IF('Second Earner'!$C$7="Weekly",'Second Earner'!$C$9+7*(($BE20+1)-1),IF('Second Earner'!$C$7="Biweekly",'Second Earner'!$C$9+14*(($BE20+1)-1),IF('Second Earner'!$C$7="Semimonthly",DATE(YEAR('Second Earner'!$C$9),MONTH('Second Earner'!$C$9)+INT((($BE20+1)-1)/2),MIN(DAY('Second Earner'!$C$9),DAY(EOMONTH(DATE(YEAR('Second Earner'!$C$9),MONTH('Second Earner'!$C$9)+INT((($BE20+1)-1)/2),1),0))))+IF(MOD(($BE20+1)-1,2)=1,15,0),EDATE('Second Earner'!$C$9,($BE20+1)-1)))))),1,0))</f>
      </c>
      <c r="BG21" s="7">
        <f>IF($B21="","",$BG20+$H21)</f>
      </c>
      <c r="BH21" s="7">
        <f>IF($B21="","",$BH20+$I21)</f>
      </c>
      <c r="BI21" s="7">
        <f>IF($B21="","",$BI20+$G21)</f>
      </c>
      <c r="BJ21" s="7">
        <f>IF($B21="","",IFERROR(LOOKUP(2,1/(((('Changes — Earner 2'!$C$6:$C$17="Deduction start"))*('Changes — Earner 2'!$D$6:$D$17="Health FSA"))*('Changes — Earner 2'!$B$6:$B$17&lt;=$B21)*('Changes — Earner 2'!$B$6:$B$17&lt;&gt;"")),'Changes — Earner 2'!$E$6:$E$17),'Second Earner'!$D$38))</f>
      </c>
      <c r="BK21" s="7">
        <f>IF($B21="","",IFERROR(LOOKUP(2,1/(((('Changes — Earner 2'!$C$6:$C$17="Deduction start"))*('Changes — Earner 2'!$D$6:$D$17="Dependent-care FSA"))*('Changes — Earner 2'!$B$6:$B$17&lt;=$B21)*('Changes — Earner 2'!$B$6:$B$17&lt;&gt;"")),'Changes — Earner 2'!$E$6:$E$17),'Second Earner'!$D$39))</f>
      </c>
      <c r="BL21" s="7">
        <f>IF($B21="","",IFERROR(LOOKUP(2,1/(((('Changes — Earner 2'!$C$6:$C$17="Deduction start")+('Changes — Earner 2'!$C$6:$C$17="Deduction stop"))*('Changes — Earner 2'!$D$6:$D$17="HSA"))*('Changes — Earner 2'!$B$6:$B$17&lt;=$B21)*('Changes — Earner 2'!$B$6:$B$17&lt;&gt;"")),'Changes — Earner 2'!$I$6:$I$17),'Second Earner'!$D$35))</f>
      </c>
      <c r="BM21" s="7">
        <f>IF($B21="","",IFERROR(LOOKUP(2,1/(((('Changes — Earner 2'!$C$6:$C$17="Deduction start")+('Changes — Earner 2'!$C$6:$C$17="Deduction stop"))*('Changes — Earner 2'!$D$6:$D$17="Premiums"))*('Changes — Earner 2'!$B$6:$B$17&lt;=$B21)*('Changes — Earner 2'!$B$6:$B$17&lt;&gt;"")),'Changes — Earner 2'!$I$6:$I$17),'Second Earner'!$D$40+'Second Earner'!$D$41+'Second Earner'!$D$42))</f>
      </c>
      <c r="BN21" s="7">
        <f>IF($B21="","",IFERROR(LOOKUP(2,1/(((('Changes — Earner 2'!$C$6:$C$17="Deduction start")+('Changes — Earner 2'!$C$6:$C$17="Deduction stop"))*('Changes — Earner 2'!$D$6:$D$17="Commuter"))*('Changes — Earner 2'!$B$6:$B$17&lt;=$B21)*('Changes — Earner 2'!$B$6:$B$17&lt;&gt;"")),'Changes — Earner 2'!$I$6:$I$17),'Second Earner'!$D$43))</f>
      </c>
      <c r="BO21" s="7">
        <f>IF($B21="","",IFERROR(LOOKUP(2,1/(((('Changes — Earner 2'!$C$6:$C$17="Deduction start")+('Changes — Earner 2'!$C$6:$C$17="Deduction stop"))*('Changes — Earner 2'!$D$6:$D$17="Other pre-tax"))*('Changes — Earner 2'!$B$6:$B$17&lt;=$B21)*('Changes — Earner 2'!$B$6:$B$17&lt;&gt;"")),'Changes — Earner 2'!$I$6:$I$17),'Second Earner'!$D$44))</f>
      </c>
      <c r="BP21" s="7">
        <f>IF($B21="","",IFERROR(LOOKUP(2,1/(((('Changes — Earner 2'!$C$6:$C$17="Deduction start")+('Changes — Earner 2'!$C$6:$C$17="Deduction stop"))*('Changes — Earner 2'!$D$6:$D$17="Other post-tax"))*('Changes — Earner 2'!$B$6:$B$17&lt;=$B21)*('Changes — Earner 2'!$B$6:$B$17&lt;&gt;"")),'Changes — Earner 2'!$I$6:$I$17),'Second Earner'!$D$45))</f>
      </c>
      <c r="BQ21" s="6">
        <f>IF($B21="","",IFERROR(LOOKUP(2,1/(((('Changes — Earner 2'!$C$6:$C$17="Deduction start")+('Changes — Earner 2'!$C$6:$C$17="Deduction stop"))*('Changes — Earner 2'!$D$6:$D$17="Health FSA"))*('Changes — Earner 2'!$B$6:$B$17&lt;=$B21)*('Changes — Earner 2'!$B$6:$B$17&lt;&gt;"")),'Changes — Earner 2'!$J$6:$J$17),0))</f>
      </c>
      <c r="BR21" s="6">
        <f>IF($B21="","",IFERROR(LOOKUP(2,1/(((('Changes — Earner 2'!$C$6:$C$17="Deduction start")+('Changes — Earner 2'!$C$6:$C$17="Deduction stop"))*('Changes — Earner 2'!$D$6:$D$17="Dependent-care FSA"))*('Changes — Earner 2'!$B$6:$B$17&lt;=$B21)*('Changes — Earner 2'!$B$6:$B$17&lt;&gt;"")),'Changes — Earner 2'!$J$6:$J$17),0))</f>
      </c>
      <c r="BS21" s="6">
        <f>IF($B21="","",IF(SUMPRODUCT(('Changes — Earner 2'!$C$6:$C$17="Deduction start")*('Changes — Earner 2'!$B$6:$B$17&lt;=$B21)*('Changes — Earner 2'!$B$6:$B$17&lt;&gt;"")*('Changes — Earner 2'!$D$6:$D$17="Health FSA"))&gt;0,1,0))</f>
      </c>
      <c r="BT21" s="6">
        <f>IF($B21="","",IF(SUMPRODUCT(('Changes — Earner 2'!$C$6:$C$17="Deduction start")*('Changes — Earner 2'!$B$6:$B$17&lt;=$B21)*('Changes — Earner 2'!$B$6:$B$17&lt;&gt;"")*('Changes — Earner 2'!$D$6:$D$17="Dependent-care FSA"))&gt;0,1,0))</f>
      </c>
      <c r="BU21" s="24">
        <f>IF($B21="","",IF('Second Earner'!$C$13,SUMPRODUCT(($AH21&gt;=INDEX('How This Works &amp; Sources'!$B$29:$J$36,0,IF('Second Earner'!$C$12="MFJ",1,IF('Second Earner'!$C$12="HoH",7,4))))*INDEX('How This Works &amp; Sources'!$B$29:$J$36,0,IF('Second Earner'!$C$12="MFJ",1,IF('Second Earner'!$C$12="HoH",7,4))+2)),SUMPRODUCT(($AH21&gt;=INDEX('How This Works &amp; Sources'!$B$19:$J$26,0,IF('Second Earner'!$C$12="MFJ",1,IF('Second Earner'!$C$12="HoH",7,4))))*INDEX('How This Works &amp; Sources'!$B$19:$J$26,0,IF('Second Earner'!$C$12="MFJ",1,IF('Second Earner'!$C$12="HoH",7,4))+2))))</f>
      </c>
      <c r="BV21" s="24">
        <f>IF($B21="","",IF($BZ21&lt;&gt;"",$BZ21,IF($CA21&lt;&gt;"",$CA21,IF($CB21&lt;&gt;"",$CB21,IF($CC21&lt;&gt;"",$CC21,0)))))</f>
      </c>
      <c r="BW21" s="7">
        <f>IF($B21="","",IF($AN21="AR",SUMPRODUCT(($AZ21&gt;INDEX('How This Works &amp; Sources'!$B$82:$J$86,0,7))*($AZ21-INDEX('How This Works &amp; Sources'!$B$82:$J$86,0,7))*INDEX('How This Works &amp; Sources'!$B$82:$J$86,0,7+2)),IF($AN21="MD",IF(OR($AU21="Married",$AU21="Head of household"),SUMPRODUCT(($AZ21&gt;INDEX('How This Works &amp; Sources'!$B$114:$J$120,0,1))*($AZ21-INDEX('How This Works &amp; Sources'!$B$114:$J$120,0,1))*INDEX('How This Works &amp; Sources'!$B$114:$J$120,0,1+2)),SUMPRODUCT(($AZ21&gt;INDEX('How This Works &amp; Sources'!$B$103:$J$109,0,7))*($AZ21-INDEX('How This Works &amp; Sources'!$B$103:$J$109,0,7))*INDEX('How This Works &amp; Sources'!$B$103:$J$109,0,7+2))),IF($AN21="MT",IF($AU21="Head of household",SUMPRODUCT(($AZ21&gt;INDEX('How This Works &amp; Sources'!$B$137:$J$139,0,1))*($AZ21-INDEX('How This Works &amp; Sources'!$B$137:$J$139,0,1))*INDEX('How This Works &amp; Sources'!$B$137:$J$139,0,1+2)),IF($AU21="Married",SUMPRODUCT(($AZ21&gt;INDEX('How This Works &amp; Sources'!$B$125:$J$132,0,7))*($AZ21-INDEX('How This Works &amp; Sources'!$B$125:$J$132,0,7))*INDEX('How This Works &amp; Sources'!$B$125:$J$132,0,7+2)),SUMPRODUCT(($AZ21&gt;INDEX('How This Works &amp; Sources'!$B$125:$J$132,0,4))*($AZ21-INDEX('How This Works &amp; Sources'!$B$125:$J$132,0,4))*INDEX('How This Works &amp; Sources'!$B$125:$J$132,0,4+2)))),IF($AN21="ND",IF($AU21="Head of household",SUMPRODUCT(($AZ21&gt;INDEX('How This Works &amp; Sources'!$B$144:$J$150,0,1))*($AZ21-INDEX('How This Works &amp; Sources'!$B$144:$J$150,0,1))*INDEX('How This Works &amp; Sources'!$B$144:$J$150,0,1+2)),IF($AU21="Married",SUMPRODUCT(($AZ21&gt;INDEX('How This Works &amp; Sources'!$B$137:$J$139,0,7))*($AZ21-INDEX('How This Works &amp; Sources'!$B$137:$J$139,0,7))*INDEX('How This Works &amp; Sources'!$B$137:$J$139,0,7+2)),SUMPRODUCT(($AZ21&gt;INDEX('How This Works &amp; Sources'!$B$137:$J$139,0,4))*($AZ21-INDEX('How This Works &amp; Sources'!$B$137:$J$139,0,4))*INDEX('How This Works &amp; Sources'!$B$137:$J$139,0,4+2)))),IF($AN21="NJ",IF('Second Earner'!$C$77="B",SUMPRODUCT(($AZ21&gt;INDEX('How This Works &amp; Sources'!$B$155:$J$162,0,4))*($AZ21-INDEX('How This Works &amp; Sources'!$B$155:$J$162,0,4))*INDEX('How This Works &amp; Sources'!$B$155:$J$162,0,4+2)),IF('Second Earner'!$C$77="C",SUMPRODUCT(($AZ21&gt;INDEX('How This Works &amp; Sources'!$B$155:$J$162,0,7))*($AZ21-INDEX('How This Works &amp; Sources'!$B$155:$J$162,0,7))*INDEX('How This Works &amp; Sources'!$B$155:$J$162,0,7+2)),IF('Second Earner'!$C$77="D",SUMPRODUCT(($AZ21&gt;INDEX('How This Works &amp; Sources'!$B$167:$J$179,0,1))*($AZ21-INDEX('How This Works &amp; Sources'!$B$167:$J$179,0,1))*INDEX('How This Works &amp; Sources'!$B$167:$J$179,0,1+2)),IF('Second Earner'!$C$77="E",SUMPRODUCT(($AZ21&gt;INDEX('How This Works &amp; Sources'!$B$167:$J$179,0,4))*($AZ21-INDEX('How This Works &amp; Sources'!$B$167:$J$179,0,4))*INDEX('How This Works &amp; Sources'!$B$167:$J$179,0,4+2)),SUMPRODUCT(($AZ21&gt;INDEX('How This Works &amp; Sources'!$B$155:$J$162,0,1))*($AZ21-INDEX('How This Works &amp; Sources'!$B$155:$J$162,0,1))*INDEX('How This Works &amp; Sources'!$B$155:$J$162,0,1+2)))))),IF($AN21="NY",IF($AU21="Married",IF($AZ21&gt;=2155350,$AZ21*IF($AZ21&gt;25000000,0.117,IF($AZ21&gt;5000000,0.111,0.1045)),SUMPRODUCT(($AZ21&gt;INDEX('How This Works &amp; Sources'!$B$184:$J$198,0,1))*($AZ21-INDEX('How This Works &amp; Sources'!$B$184:$J$198,0,1))*INDEX('How This Works &amp; Sources'!$B$184:$J$198,0,1+2))),IF($AZ21&gt;=1077550,$AZ21*IF($AZ21&gt;25000000,0.117,IF($AZ21&gt;5000000,0.111,0.1045)),SUMPRODUCT(($AZ21&gt;INDEX('How This Works &amp; Sources'!$B$167:$J$179,0,7))*($AZ21-INDEX('How This Works &amp; Sources'!$B$167:$J$179,0,7))*INDEX('How This Works &amp; Sources'!$B$167:$J$179,0,7+2)))),"")))))))</f>
      </c>
      <c r="BX21" s="7">
        <f>IF($B21="","",IF($AN21="AL",IF(OR($AU21="Married",$AU21="Head of household"),SUMPRODUCT(($AZ21&gt;INDEX('How This Works &amp; Sources'!$B$82:$J$86,0,4))*($AZ21-INDEX('How This Works &amp; Sources'!$B$82:$J$86,0,4))*INDEX('How This Works &amp; Sources'!$B$82:$J$86,0,4+2)),SUMPRODUCT(($AZ21&gt;INDEX('How This Works &amp; Sources'!$B$82:$J$86,0,1))*($AZ21-INDEX('How This Works &amp; Sources'!$B$82:$J$86,0,1))*INDEX('How This Works &amp; Sources'!$B$82:$J$86,0,1+2))),IF($AN21="KS",IF($AU21="Married",SUMPRODUCT(($AZ21&gt;INDEX('How This Works &amp; Sources'!$B$103:$J$109,0,4))*($AZ21-INDEX('How This Works &amp; Sources'!$B$103:$J$109,0,4))*INDEX('How This Works &amp; Sources'!$B$103:$J$109,0,4+2)),SUMPRODUCT(($AZ21&gt;INDEX('How This Works &amp; Sources'!$B$103:$J$109,0,1))*($AZ21-INDEX('How This Works &amp; Sources'!$B$103:$J$109,0,1))*INDEX('How This Works &amp; Sources'!$B$103:$J$109,0,1+2))),IF($AN21="MN",IF($AU21="Married",SUMPRODUCT(($AZ21&gt;INDEX('How This Works &amp; Sources'!$B$114:$J$120,0,7))*($AZ21-INDEX('How This Works &amp; Sources'!$B$114:$J$120,0,7))*INDEX('How This Works &amp; Sources'!$B$114:$J$120,0,7+2)),SUMPRODUCT(($AZ21&gt;INDEX('How This Works &amp; Sources'!$B$114:$J$120,0,4))*($AZ21-INDEX('How This Works &amp; Sources'!$B$114:$J$120,0,4))*INDEX('How This Works &amp; Sources'!$B$114:$J$120,0,4+2))),IF($AN21="MO",SUMPRODUCT(($AZ21&gt;INDEX('How This Works &amp; Sources'!$B$125:$J$132,0,1))*($AZ21-INDEX('How This Works &amp; Sources'!$B$125:$J$132,0,1))*INDEX('How This Works &amp; Sources'!$B$125:$J$132,0,1+2)),IF($AN21="NE",MAX(IF($AU21="Married",SUMPRODUCT(($AZ21&gt;INDEX('How This Works &amp; Sources'!$B$144:$J$150,0,7))*($AZ21-INDEX('How This Works &amp; Sources'!$B$144:$J$150,0,7))*INDEX('How This Works &amp; Sources'!$B$144:$J$150,0,7+2)),SUMPRODUCT(($AZ21&gt;INDEX('How This Works &amp; Sources'!$B$144:$J$150,0,4))*($AZ21-INDEX('How This Works &amp; Sources'!$B$144:$J$150,0,4))*INDEX('How This Works &amp; Sources'!$B$144:$J$150,0,4+2))),0.015*$AZ21),IF($AN21="OH",IF($B21&gt;=DATE(2026,8,1),SUMPRODUCT(($AZ21&gt;INDEX('How This Works &amp; Sources'!$B$203:$J$206,0,1))*($AZ21-INDEX('How This Works &amp; Sources'!$B$203:$J$206,0,1))*INDEX('How This Works &amp; Sources'!$B$203:$J$206,0,1+2)),SUMPRODUCT(($AZ21&gt;INDEX('How This Works &amp; Sources'!$B$184:$J$198,0,7))*($AZ21-INDEX('How This Works &amp; Sources'!$B$184:$J$198,0,7))*INDEX('How This Works &amp; Sources'!$B$184:$J$198,0,7+2))),IF($AN21="OK",IF($AU21="Married",SUMPRODUCT(($AZ21&gt;INDEX('How This Works &amp; Sources'!$B$203:$J$206,0,7))*($AZ21-INDEX('How This Works &amp; Sources'!$B$203:$J$206,0,7))*INDEX('How This Works &amp; Sources'!$B$203:$J$206,0,7+2)),SUMPRODUCT(($AZ21&gt;INDEX('How This Works &amp; Sources'!$B$203:$J$206,0,4))*($AZ21-INDEX('How This Works &amp; Sources'!$B$203:$J$206,0,4))*INDEX('How This Works &amp; Sources'!$B$203:$J$206,0,4+2))),IF($AN21="VT",IF($AU21="Married",SUMPRODUCT(($AZ21&gt;INDEX('How This Works &amp; Sources'!$B$228:$J$232,0,1))*($AZ21-INDEX('How This Works &amp; Sources'!$B$228:$J$232,0,1))*INDEX('How This Works &amp; Sources'!$B$228:$J$232,0,1+2)),SUMPRODUCT(($AZ21&gt;INDEX('How This Works &amp; Sources'!$B$219:$J$223,0,7))*($AZ21-INDEX('How This Works &amp; Sources'!$B$219:$J$223,0,7))*INDEX('How This Works &amp; Sources'!$B$219:$J$223,0,7+2))),IF($AN21="WV",IF($AU21="Married",SUMPRODUCT(($AZ21&gt;INDEX('How This Works &amp; Sources'!$B$237:$J$241,0,7))*($AZ21-INDEX('How This Works &amp; Sources'!$B$237:$J$241,0,7))*INDEX('How This Works &amp; Sources'!$B$237:$J$241,0,7+2)),SUMPRODUCT(($AZ21&gt;INDEX('How This Works &amp; Sources'!$B$228:$J$232,0,7))*($AZ21-INDEX('How This Works &amp; Sources'!$B$228:$J$232,0,7))*INDEX('How This Works &amp; Sources'!$B$228:$J$232,0,7+2))),""))))))))))</f>
      </c>
      <c r="BY21" s="7">
        <f>IF($B21="","",IF($AN21="DE",SUMPRODUCT(($AZ21&gt;INDEX('How This Works &amp; Sources'!$B$91:$J$98,0,1))*($AZ21-INDEX('How This Works &amp; Sources'!$B$91:$J$98,0,1))*INDEX('How This Works &amp; Sources'!$B$91:$J$98,0,1+2)),IF($AN21="HI",IF($AU21="Married",SUMPRODUCT(($AZ21&gt;INDEX('How This Works &amp; Sources'!$B$91:$J$98,0,7))*($AZ21-INDEX('How This Works &amp; Sources'!$B$91:$J$98,0,7))*INDEX('How This Works &amp; Sources'!$B$91:$J$98,0,7+2)),SUMPRODUCT(($AZ21&gt;INDEX('How This Works &amp; Sources'!$B$91:$J$98,0,4))*($AZ21-INDEX('How This Works &amp; Sources'!$B$91:$J$98,0,4))*INDEX('How This Works &amp; Sources'!$B$91:$J$98,0,4+2))),IF($AN21="RI",SUMPRODUCT(($AZ21&gt;INDEX('How This Works &amp; Sources'!$B$211:$J$214,0,7))*($AZ21-INDEX('How This Works &amp; Sources'!$B$211:$J$214,0,7))*INDEX('How This Works &amp; Sources'!$B$211:$J$214,0,7+2)),IF($AN21="SC",SUMPRODUCT(($AZ21&gt;INDEX('How This Works &amp; Sources'!$B$219:$J$223,0,1))*($AZ21-INDEX('How This Works &amp; Sources'!$B$219:$J$223,0,1))*INDEX('How This Works &amp; Sources'!$B$219:$J$223,0,1+2)),IF($AN21="VA",SUMPRODUCT(($AZ21&gt;INDEX('How This Works &amp; Sources'!$B$219:$J$223,0,4))*($AZ21-INDEX('How This Works &amp; Sources'!$B$219:$J$223,0,4))*INDEX('How This Works &amp; Sources'!$B$219:$J$223,0,4+2)),IF($AN21="WI",SUMPRODUCT(($AZ21&gt;INDEX('How This Works &amp; Sources'!$B$228:$J$232,0,4))*($AZ21-INDEX('How This Works &amp; Sources'!$B$228:$J$232,0,4))*INDEX('How This Works &amp; Sources'!$B$228:$J$232,0,4+2)),"")))))))</f>
      </c>
      <c r="BZ21" s="24">
        <f>IF($B21="","",IF($AN21="KS",IF($AU21="Married",SUMPRODUCT(($AZ21&gt;=INDEX('How This Works &amp; Sources'!$B$103:$J$109,0,4))*INDEX('How This Works &amp; Sources'!$B$103:$J$109,0,4+2)),SUMPRODUCT(($AZ21&gt;=INDEX('How This Works &amp; Sources'!$B$103:$J$109,0,1))*INDEX('How This Works &amp; Sources'!$B$103:$J$109,0,1+2))),IF($AN21="MT",IF($AU21="Head of household",SUMPRODUCT(($AZ21&gt;=INDEX('How This Works &amp; Sources'!$B$137:$J$139,0,1))*INDEX('How This Works &amp; Sources'!$B$137:$J$139,0,1+2)),IF($AU21="Married",SUMPRODUCT(($AZ21&gt;=INDEX('How This Works &amp; Sources'!$B$125:$J$132,0,7))*INDEX('How This Works &amp; Sources'!$B$125:$J$132,0,7+2)),SUMPRODUCT(($AZ21&gt;=INDEX('How This Works &amp; Sources'!$B$125:$J$132,0,4))*INDEX('How This Works &amp; Sources'!$B$125:$J$132,0,4+2)))),IF($AN21="OR",IF(OR($AU21="Married",AND($AU21="Single",$AS21&gt;=3)),SUMPRODUCT((MAX(0,$AY21-MIN(($P21-'How This Works &amp; Sources'!$C$10*$D21)*'Second Earner'!$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Sources'!$B$211:$J$214,0,4))*INDEX('How This Works &amp; Sources'!$B$211:$J$214,0,4+2)),SUMPRODUCT((MAX(0,$AY21-MIN(($P21-'How This Works &amp; Sources'!$C$10*$D21)*'Second Earner'!$C$8,IF(OR($AU21="Married",AND($AU21="Single",$AS21&gt;=3)),IF($AY21&lt;250000,8750,IF($AY21&lt;260000,7000,IF($AY21&lt;270000,5250,IF($AY21&lt;280000,3500,IF($AY21&lt;290000,1750,0))))),IF($AY21&lt;125000,8750,IF($AY21&lt;130000,7000,IF($AY21&lt;135000,5250,IF($AY21&lt;140000,3500,IF($AY21&lt;145000,1750,0)))))))-IF(OR($AU21="Married",AND($AU21="Single",$AS21&gt;=3)),5820,2910))&gt;=INDEX('How This Works &amp; Sources'!$B$211:$J$214,0,1))*INDEX('How This Works &amp; Sources'!$B$211:$J$214,0,1+2)))*IF(($P21-'How This Works &amp; Sources'!$C$10*$D21)*'Second Earner'!$C$8&gt;=IF(OR($AU21="Married",AND($AU21="Single",$AS21&gt;=3)),IF($AY21&lt;250000,8750,IF($AY21&lt;260000,7000,IF($AY21&lt;270000,5250,IF($AY21&lt;280000,3500,IF($AY21&lt;290000,1750,0))))),IF($AY21&lt;125000,8750,IF($AY21&lt;130000,7000,IF($AY21&lt;135000,5250,IF($AY21&lt;140000,3500,IF($AY21&lt;145000,1750,0)))))),1,1-IF('Second Earner'!$C$13,SUMPRODUCT(($AH21&gt;=INDEX('How This Works &amp; Sources'!$B$29:$J$36,0,IF('Second Earner'!$C$12="MFJ",1,IF('Second Earner'!$C$12="HoH",7,4))))*INDEX('How This Works &amp; Sources'!$B$29:$J$36,0,IF('Second Earner'!$C$12="MFJ",1,IF('Second Earner'!$C$12="HoH",7,4))+2)),SUMPRODUCT(($AH21&gt;=INDEX('How This Works &amp; Sources'!$B$19:$J$26,0,IF('Second Earner'!$C$12="MFJ",1,IF('Second Earner'!$C$12="HoH",7,4))))*INDEX('How This Works &amp; Sources'!$B$19:$J$26,0,IF('Second Earner'!$C$12="MFJ",1,IF('Second Earner'!$C$12="HoH",7,4))+2)))),""))))</f>
      </c>
      <c r="CA21" s="24">
        <f>IF($B21="","",IF($AN21="CA",SUMPRODUCT(($AJ21&gt;=INDEX('How This Works &amp; Sources'!$B$39:$J$48,0,IF($AU21="Married",4,IF($AU21="Head of household",7,1))))*INDEX('How This Works &amp; Sources'!$B$39:$J$48,0,IF($AU21="Married",4,IF($AU21="Head of household",7,1))+2)),IF($AN21="AL",IF(OR($AU21="Married",$AU21="Head of household"),SUMPRODUCT(($AZ21&gt;=INDEX('How This Works &amp; Sources'!$B$82:$J$86,0,4))*INDEX('How This Works &amp; Sources'!$B$82:$J$86,0,4+2)),SUMPRODUCT(($AZ21&gt;=INDEX('How This Works &amp; Sources'!$B$82:$J$86,0,1))*INDEX('How This Works &amp; Sources'!$B$82:$J$86,0,1+2)))*(1-IF('Second Earner'!$C$13,SUMPRODUCT(($AH21&gt;=INDEX('How This Works &amp; Sources'!$B$29:$J$36,0,IF('Second Earner'!$C$12="MFJ",1,IF('Second Earner'!$C$12="HoH",7,4))))*INDEX('How This Works &amp; Sources'!$B$29:$J$36,0,IF('Second Earner'!$C$12="MFJ",1,IF('Second Earner'!$C$12="HoH",7,4))+2)),SUMPRODUCT(($AH21&gt;=INDEX('How This Works &amp; Sources'!$B$19:$J$26,0,IF('Second Earner'!$C$12="MFJ",1,IF('Second Earner'!$C$12="HoH",7,4))))*INDEX('How This Works &amp; Sources'!$B$19:$J$26,0,IF('Second Earner'!$C$12="MFJ",1,IF('Second Earner'!$C$12="HoH",7,4))+2)))),IF($AN21="ND",IF($AU21="Head of household",SUMPRODUCT(($AZ21&gt;=INDEX('How This Works &amp; Sources'!$B$144:$J$150,0,1))*INDEX('How This Works &amp; Sources'!$B$144:$J$150,0,1+2)),IF($AU21="Married",SUMPRODUCT(($AZ21&gt;=INDEX('How This Works &amp; Sources'!$B$137:$J$139,0,7))*INDEX('How This Works &amp; Sources'!$B$137:$J$139,0,7+2)),SUMPRODUCT(($AZ21&gt;=INDEX('How This Works &amp; Sources'!$B$137:$J$139,0,4))*INDEX('How This Works &amp; Sources'!$B$137:$J$139,0,4+2)))),IF($AN21="NJ",IF('Second Earner'!$C$77="B",SUMPRODUCT(($AZ21&gt;=INDEX('How This Works &amp; Sources'!$B$155:$J$162,0,4))*INDEX('How This Works &amp; Sources'!$B$155:$J$162,0,4+2)),IF('Second Earner'!$C$77="C",SUMPRODUCT(($AZ21&gt;=INDEX('How This Works &amp; Sources'!$B$155:$J$162,0,7))*INDEX('How This Works &amp; Sources'!$B$155:$J$162,0,7+2)),IF('Second Earner'!$C$77="D",SUMPRODUCT(($AZ21&gt;=INDEX('How This Works &amp; Sources'!$B$167:$J$179,0,1))*INDEX('How This Works &amp; Sources'!$B$167:$J$179,0,1+2)),IF('Second Earner'!$C$77="E",SUMPRODUCT(($AZ21&gt;=INDEX('How This Works &amp; Sources'!$B$167:$J$179,0,4))*INDEX('How This Works &amp; Sources'!$B$167:$J$179,0,4+2)),SUMPRODUCT(($AZ21&gt;=INDEX('How This Works &amp; Sources'!$B$155:$J$162,0,1))*INDEX('How This Works &amp; Sources'!$B$155:$J$162,0,1+2)))))),IF($AN21="NY",IF($AU21="Married",IF($AZ21&gt;=2155350,IF($AZ21&gt;25000000,0.117,IF($AZ21&gt;5000000,0.111,0.1045)),SUMPRODUCT(($AZ21&gt;=INDEX('How This Works &amp; Sources'!$B$184:$J$198,0,1))*INDEX('How This Works &amp; Sources'!$B$184:$J$198,0,1+2))),IF($AZ21&gt;=1077550,IF($AZ21&gt;25000000,0.117,IF($AZ21&gt;5000000,0.111,0.1045)),SUMPRODUCT(($AZ21&gt;=INDEX('How This Works &amp; Sources'!$B$167:$J$179,0,7))*INDEX('How This Works &amp; Sources'!$B$167:$J$179,0,7+2)))),IF($AN21="LA",0.0309,"")))))))</f>
      </c>
      <c r="CB21" s="24">
        <f>IF($B21="","",IF($AN21="HI",IF($AU21="Married",SUMPRODUCT(($AZ21&gt;=INDEX('How This Works &amp; Sources'!$B$91:$J$98,0,7))*INDEX('How This Works &amp; Sources'!$B$91:$J$98,0,7+2)),SUMPRODUCT(($AZ21&gt;=INDEX('How This Works &amp; Sources'!$B$91:$J$98,0,4))*INDEX('How This Works &amp; Sources'!$B$91:$J$98,0,4+2))),IF($AN21="MD",IF(OR($AU21="Married",$AU21="Head of household"),SUMPRODUCT(($AZ21&gt;=INDEX('How This Works &amp; Sources'!$B$114:$J$120,0,1))*INDEX('How This Works &amp; Sources'!$B$114:$J$120,0,1+2)),SUMPRODUCT(($AZ21&gt;=INDEX('How This Works &amp; Sources'!$B$103:$J$109,0,7))*INDEX('How This Works &amp; Sources'!$B$103:$J$109,0,7+2)))+'Second Earner'!$C$74,IF($AN21="MN",IF($AU21="Married",SUMPRODUCT(($AZ21&gt;=INDEX('How This Works &amp; Sources'!$B$114:$J$120,0,7))*INDEX('How This Works &amp; Sources'!$B$114:$J$120,0,7+2)),SUMPRODUCT(($AZ21&gt;=INDEX('How This Works &amp; Sources'!$B$114:$J$120,0,4))*INDEX('How This Works &amp; Sources'!$B$114:$J$120,0,4+2))),IF($AN21="MO",SUMPRODUCT(($AZ21&gt;=INDEX('How This Works &amp; Sources'!$B$125:$J$132,0,1))*INDEX('How This Works &amp; Sources'!$B$125:$J$132,0,1+2)),IF($AN21="NE",MAX(IF($AU21="Married",SUMPRODUCT(($AZ21&gt;=INDEX('How This Works &amp; Sources'!$B$144:$J$150,0,7))*INDEX('How This Works &amp; Sources'!$B$144:$J$150,0,7+2)),SUMPRODUCT(($AZ21&gt;=INDEX('How This Works &amp; Sources'!$B$144:$J$150,0,4))*INDEX('How This Works &amp; Sources'!$B$144:$J$150,0,4+2))),0.015),IF($AN21="OH",IF($B21&gt;=DATE(2026,8,1),SUMPRODUCT(($AZ21&gt;=INDEX('How This Works &amp; Sources'!$B$203:$J$206,0,1))*INDEX('How This Works &amp; Sources'!$B$203:$J$206,0,1+2)),SUMPRODUCT(($AZ21&gt;=INDEX('How This Works &amp; Sources'!$B$184:$J$198,0,7))*INDEX('How This Works &amp; Sources'!$B$184:$J$198,0,7+2))),IF($AN21="OK",IF($AU21="Married",SUMPRODUCT(($AZ21&gt;=INDEX('How This Works &amp; Sources'!$B$203:$J$206,0,7))*INDEX('How This Works &amp; Sources'!$B$203:$J$206,0,7+2)),SUMPRODUCT(($AZ21&gt;=INDEX('How This Works &amp; Sources'!$B$203:$J$206,0,4))*INDEX('How This Works &amp; Sources'!$B$203:$J$206,0,4+2))),IF($AN21="RI",SUMPRODUCT(($AZ21&gt;=INDEX('How This Works &amp; Sources'!$B$211:$J$214,0,7))*INDEX('How This Works &amp; Sources'!$B$211:$J$214,0,7+2)),IF($AN21="VT",IF($AU21="Married",SUMPRODUCT(($AZ21&gt;=INDEX('How This Works &amp; Sources'!$B$228:$J$232,0,1))*INDEX('How This Works &amp; Sources'!$B$228:$J$232,0,1+2)),SUMPRODUCT(($AZ21&gt;=INDEX('How This Works &amp; Sources'!$B$219:$J$223,0,7))*INDEX('How This Works &amp; Sources'!$B$219:$J$223,0,7+2))),IF($AN21="WV",IF($AU21="Married",SUMPRODUCT(($AZ21&gt;=INDEX('How This Works &amp; Sources'!$B$237:$J$241,0,7))*INDEX('How This Works &amp; Sources'!$B$237:$J$241,0,7+2)),SUMPRODUCT(($AZ21&gt;=INDEX('How This Works &amp; Sources'!$B$228:$J$232,0,7))*INDEX('How This Works &amp; Sources'!$B$228:$J$232,0,7+2))),IF($AN21="AZ",'Second Earner'!$C$82,IF($AN21="ID",IF($AY21&gt;IF($AU21="Married",32000,16094),0.053,0),"")))))))))))))</f>
      </c>
      <c r="CC21" s="24">
        <f>IF($B21="","",IF($AN21="AR",SUMPRODUCT(($AZ21&gt;=INDEX('How This Works &amp; Sources'!$B$82:$J$86,0,7))*INDEX('How This Works &amp; Sources'!$B$82:$J$86,0,7+2)),IF($AN21="DE",SUMPRODUCT(($AZ21&gt;=INDEX('How This Works &amp; Sources'!$B$91:$J$98,0,1))*INDEX('How This Works &amp; Sources'!$B$91:$J$98,0,1+2)),IF($AN21="SC",SUMPRODUCT(($AZ21&gt;=INDEX('How This Works &amp; Sources'!$B$219:$J$223,0,1))*INDEX('How This Works &amp; Sources'!$B$219:$J$223,0,1+2)),IF($AN21="VA",SUMPRODUCT(($AZ21&gt;=INDEX('How This Works &amp; Sources'!$B$219:$J$223,0,4))*INDEX('How This Works &amp; Sources'!$B$219:$J$223,0,4+2)),IF($AN21="WI",SUMPRODUCT(($AZ21&gt;=INDEX('How This Works &amp; Sources'!$B$228:$J$232,0,4))*INDEX('How This Works &amp; Sources'!$B$228:$J$232,0,4+2)),IF($AN21="CO",IF($AY21&gt;IF($AU21="Married",10000,5000),0.044,0),IF($AN21="IA",IF($AY21&gt;IF($AU21="Head of household",19500,IF($AU21="Married",26000,13000)),0.038,0),IF($AN21="IL",IF($AY21&gt;(2925*$AS21+1000*$AT21),0.0495,0),IF($AN21="IN",(0.0295+'Second Earner'!$C$76),IF($AN21="KY",IF($AI21&gt;3360,0.035,0),IF($AN21="MA",IF(MAX(0,$AY21-MIN(($BD20+$Q21+$R21+$S21),2000)-IF($AS21=0,0,IF($AS21=1,4400,1000*$AS21+3400)))&gt;=1107750,0.09,0.05),IF($AN21="MI",IF($AY21&gt;5900*$AS21,0.0425,0),IF($AN21="MS",IF($AI21-IF($AU21="Head of household",3400,IF($AU21="Married",4600,2300))-'Second Earner'!$C$85&gt;10000,0.04,0),IF($AN21="PA",0.0307,"")))))))))))))))</f>
      </c>
      <c r="CD21" s="21">
        <f>IF(YEAR(IF('Second Earner'!$C$7="Weekly",'Second Earner'!$C$9+7*(($BE20+1)-1),IF('Second Earner'!$C$7="Biweekly",'Second Earner'!$C$9+14*(($BE20+1)-1),IF('Second Earner'!$C$7="Semimonthly",DATE(YEAR('Second Earner'!$C$9),MONTH('Second Earner'!$C$9)+INT((($BE20+1)-1)/2),MIN(DAY('Second Earner'!$C$9),DAY(EOMONTH(DATE(YEAR('Second Earner'!$C$9),MONTH('Second Earner'!$C$9)+INT((($BE20+1)-1)/2),1),0))))+IF(MOD(($BE20+1)-1,2)=1,15,0),EDATE('Second Earner'!$C$9,($BE20+1)-1)))))&lt;&gt;'Second Earner'!$C$10,"",IF('Second Earner'!$C$7="Weekly",'Second Earner'!$C$9+7*(($BE20+1)-1),IF('Second Earner'!$C$7="Biweekly",'Second Earner'!$C$9+14*(($BE20+1)-1),IF('Second Earner'!$C$7="Semimonthly",DATE(YEAR('Second Earner'!$C$9),MONTH('Second Earner'!$C$9)+INT((($BE20+1)-1)/2),MIN(DAY('Second Earner'!$C$9),DAY(EOMONTH(DATE(YEAR('Second Earner'!$C$9),MONTH('Second Earner'!$C$9)+INT((($BE20+1)-1)/2),1),0))))+IF(MOD(($BE20+1)-1,2)=1,15,0),EDATE('Second Earner'!$C$9,($BE20+1)-1)))))</f>
      </c>
      <c r="CE21" s="21">
        <f>IF(MIN(IF(AND('Second Earner'!$C$58&gt;MAX($B$6:$B20),'Second Earner'!$C$58&gt;=DATE('Second Earner'!$C$10,1,1),'Second Earner'!$C$58&lt;=DATE('Second Earner'!$C$10,12,31)),'Second Earner'!$C$58,999999),IF(AND('Second Earner'!$C$59&gt;MAX($B$6:$B20),'Second Earner'!$C$59&gt;=DATE('Second Earner'!$C$10,1,1),'Second Earner'!$C$59&lt;=DATE('Second Earner'!$C$10,12,31)),'Second Earner'!$C$59,999999),IF(AND('Second Earner'!$C$60&gt;MAX($B$6:$B20),'Second Earner'!$C$60&gt;=DATE('Second Earner'!$C$10,1,1),'Second Earner'!$C$60&lt;=DATE('Second Earner'!$C$10,12,31)),'Second Earner'!$C$60,999999),IF(AND('Second Earner'!$C$61&gt;MAX($B$6:$B20),'Second Earner'!$C$61&gt;=DATE('Second Earner'!$C$10,1,1),'Second Earner'!$C$61&lt;=DATE('Second Earner'!$C$10,12,31)),'Second Earner'!$C$61,999999),IF(AND('Second Earner'!$C$62&gt;MAX($B$6:$B20),'Second Earner'!$C$62&gt;=DATE('Second Earner'!$C$10,1,1),'Second Earner'!$C$62&lt;=DATE('Second Earner'!$C$10,12,31)),'Second Earner'!$C$62,999999),IF(AND('Second Earner'!$C$63&gt;MAX($B$6:$B20),'Second Earner'!$C$63&gt;=DATE('Second Earner'!$C$10,1,1),'Second Earner'!$C$63&lt;=DATE('Second Earner'!$C$10,12,31)),'Second Earner'!$C$63,999999),IF(AND('Second Earner'!$C$64&gt;MAX($B$6:$B20),'Second Earner'!$C$64&gt;=DATE('Second Earner'!$C$10,1,1),'Second Earner'!$C$64&lt;=DATE('Second Earner'!$C$10,12,31)),'Second Earner'!$C$64,999999),IF(AND('Second Earner'!$C$65&gt;MAX($B$6:$B20),'Second Earner'!$C$65&gt;=DATE('Second Earner'!$C$10,1,1),'Second Earner'!$C$65&lt;=DATE('Second Earner'!$C$10,12,31)),'Second Earner'!$C$65,999999),IF(AND('Second Earner'!$C$66&gt;MAX($B$6:$B20),'Second Earner'!$C$66&gt;=DATE('Second Earner'!$C$10,1,1),'Second Earner'!$C$66&lt;=DATE('Second Earner'!$C$10,12,31)),'Second Earner'!$C$66,999999),IF(AND('Second Earner'!$C$67&gt;MAX($B$6:$B20),'Second Earner'!$C$67&gt;=DATE('Second Earner'!$C$10,1,1),'Second Earner'!$C$67&lt;=DATE('Second Earner'!$C$10,12,31)),'Second Earner'!$C$67,999999))=999999,"",MIN(IF(AND('Second Earner'!$C$58&gt;MAX($B$6:$B20),'Second Earner'!$C$58&gt;=DATE('Second Earner'!$C$10,1,1),'Second Earner'!$C$58&lt;=DATE('Second Earner'!$C$10,12,31)),'Second Earner'!$C$58,999999),IF(AND('Second Earner'!$C$59&gt;MAX($B$6:$B20),'Second Earner'!$C$59&gt;=DATE('Second Earner'!$C$10,1,1),'Second Earner'!$C$59&lt;=DATE('Second Earner'!$C$10,12,31)),'Second Earner'!$C$59,999999),IF(AND('Second Earner'!$C$60&gt;MAX($B$6:$B20),'Second Earner'!$C$60&gt;=DATE('Second Earner'!$C$10,1,1),'Second Earner'!$C$60&lt;=DATE('Second Earner'!$C$10,12,31)),'Second Earner'!$C$60,999999),IF(AND('Second Earner'!$C$61&gt;MAX($B$6:$B20),'Second Earner'!$C$61&gt;=DATE('Second Earner'!$C$10,1,1),'Second Earner'!$C$61&lt;=DATE('Second Earner'!$C$10,12,31)),'Second Earner'!$C$61,999999),IF(AND('Second Earner'!$C$62&gt;MAX($B$6:$B20),'Second Earner'!$C$62&gt;=DATE('Second Earner'!$C$10,1,1),'Second Earner'!$C$62&lt;=DATE('Second Earner'!$C$10,12,31)),'Second Earner'!$C$62,999999),IF(AND('Second Earner'!$C$63&gt;MAX($B$6:$B20),'Second Earner'!$C$63&gt;=DATE('Second Earner'!$C$10,1,1),'Second Earner'!$C$63&lt;=DATE('Second Earner'!$C$10,12,31)),'Second Earner'!$C$63,999999),IF(AND('Second Earner'!$C$64&gt;MAX($B$6:$B20),'Second Earner'!$C$64&gt;=DATE('Second Earner'!$C$10,1,1),'Second Earner'!$C$64&lt;=DATE('Second Earner'!$C$10,12,31)),'Second Earner'!$C$64,999999),IF(AND('Second Earner'!$C$65&gt;MAX($B$6:$B20),'Second Earner'!$C$65&gt;=DATE('Second Earner'!$C$10,1,1),'Second Earner'!$C$65&lt;=DATE('Second Earner'!$C$10,12,31)),'Second Earner'!$C$65,999999),IF(AND('Second Earner'!$C$66&gt;MAX($B$6:$B20),'Second Earner'!$C$66&gt;=DATE('Second Earner'!$C$10,1,1),'Second Earner'!$C$66&lt;=DATE('Second Earner'!$C$10,12,31)),'Second Earner'!$C$66,999999),IF(AND('Second Earner'!$C$67&gt;MAX($B$6:$B20),'Second Earner'!$C$67&gt;=DATE('Second Earner'!$C$10,1,1),'Second Earner'!$C$67&lt;=DATE('Second Earner'!$C$10,12,31)),'Second Earner'!$C$67,999999)))</f>
      </c>
      <c r="CF21">
        <f>IF($B21="","",IF($D21=0,$Y21,""))</f>
      </c>
    </row>
    <row r="22">
      <c r="A22" t="n">
        <v>17</v>
      </c>
      <c r="B22" s="21">
        <f>IF(AND($CD22="",$CE22=""),"",IF($CE22="",$CD22,IF($CD22="",$CE22,MIN($CD22,$CE22))))</f>
      </c>
      <c r="C22" s="7">
        <f>IF($B22="","",IF($BF22=0,0,IF('Second Earner'!$C$4="Annual salary",ROUND($AK22/IF(AND('Second Earner'!$C$88="Actual paydays",MONTH('Second Earner'!$C$9)=1),MAX(1,MAX($BE$6:$BE$68)),'Second Earner'!$C$8),2),$AK22)))</f>
      </c>
      <c r="D22" s="7">
        <f>IF($B22="","",SUMIF('Second Earner'!$C$58:$C$67,$B22,'Second Earner'!$D$58:$D$67))</f>
      </c>
      <c r="E22" s="7">
        <f>IF($B22="","",ROUND(MAX(0,MIN(IF($AL22="Percent",$AM22*($C22+$D22),$AM22),MAX(0,'Second Earner'!$C$34-$AC21))),2))</f>
      </c>
      <c r="F22" s="7">
        <f>IF($B22="","",ROUND(MAX(0,MIN(IF('Second Earner'!$C$32="Percent",'Second Earner'!$D$32*($C22+$D22),'Second Earner'!$D$32),MAX(0,'Second Earner'!$C$34-$AC21-$E22))),2))</f>
      </c>
      <c r="G22" s="7">
        <f>IF($B22="","",IF($BF22=0,0,ROUND(MAX(0,MIN($BL22,'Second Earner'!$C$37-'Second Earner'!$C$54-$BI21)),2)))</f>
      </c>
      <c r="H22" s="7">
        <f>IF($B22="","",IF(OR($BF22=0,$BQ22=1),0,ROUND(MAX(0,MIN(IF($BS22=1,ROUND(MAX(0,MIN($BJ22,'How This Works &amp; Sources'!$C$13)-$BG21)/MAX(1,MAX($BE$6:$BE$68)-($BE21)),2),ROUND(MIN($BJ22,'How This Works &amp; Sources'!$C$13)/'Second Earner'!$C$8,2)),MIN($BJ22,'How This Works &amp; Sources'!$C$13)-$BG21)),2)))</f>
      </c>
      <c r="I22" s="7">
        <f>IF($B22="","",IF(OR($BF22=0,$BR22=1),0,ROUND(MAX(0,MIN(IF($BT22=1,ROUND(MAX(0,MIN($BK22,IF('Second Earner'!$C$12="MFJ",'How This Works &amp; Sources'!$C$14,'How This Works &amp; Sources'!$C$15))-$BH21)/MAX(1,MAX($BE$6:$BE$68)-($BE21)),2),ROUND(MIN($BK22,IF('Second Earner'!$C$12="MFJ",'How This Works &amp; Sources'!$C$14,'How This Works &amp; Sources'!$C$15))/'Second Earner'!$C$8,2)),MIN($BK22,IF('Second Earner'!$C$12="MFJ",'How This Works &amp; Sources'!$C$14,'How This Works &amp; Sources'!$C$15))-$BH21)),2)))</f>
      </c>
      <c r="J22" s="7">
        <f>IF($B22="","",IF($BF22=0,0,$BM22))</f>
      </c>
      <c r="K22" s="7">
        <f>IF($B22="","",IF($BF22=0,0,$BN22+$BO22))</f>
      </c>
      <c r="L22" s="7">
        <f>IF($B22="","",IF($BF22=0,0,'Second Earner'!$D$46))</f>
      </c>
      <c r="M22" s="7">
        <f>IF($B22="","",$C22+$D22+$L22-$E22-$G22-$H22-$I22-$J22-$K22)</f>
      </c>
      <c r="N22" s="7">
        <f>IF($B22="","",$C22+$D22+$L22-$G22-$H22-$I22-$J22-$K22)</f>
      </c>
      <c r="O22" s="7">
        <f>IF($B22="","",$C22+$D22+$L22-$E22-$H22-$I22-$J22-$K22-IF(OR($AN22="CA",$AN22="NJ"),0,$G22))</f>
      </c>
      <c r="P22" s="7">
        <f>IF($B22="","",IF('Second Earner'!$C$18,0,ROUND(MAX(0,IF('Second Earner'!$C$13,SUMPRODUCT(($AH22&gt;INDEX('How This Works &amp; Sources'!$B$29:$J$36,0,IF('Second Earner'!$C$12="MFJ",1,IF('Second Earner'!$C$12="HoH",7,4))))*($AH22-INDEX('How This Works &amp; Sources'!$B$29:$J$36,0,IF('Second Earner'!$C$12="MFJ",1,IF('Second Earner'!$C$12="HoH",7,4))))*INDEX('How This Works &amp; Sources'!$B$29:$J$36,0,IF('Second Earner'!$C$12="MFJ",1,IF('Second Earner'!$C$12="HoH",7,4))+2)),SUMPRODUCT(($AH22&gt;INDEX('How This Works &amp; Sources'!$B$19:$J$26,0,IF('Second Earner'!$C$12="MFJ",1,IF('Second Earner'!$C$12="HoH",7,4))))*($AH22-INDEX('How This Works &amp; Sources'!$B$19:$J$26,0,IF('Second Earner'!$C$12="MFJ",1,IF('Second Earner'!$C$12="HoH",7,4))))*INDEX('How This Works &amp; Sources'!$B$19:$J$26,0,IF('Second Earner'!$C$12="MFJ",1,IF('Second Earner'!$C$12="HoH",7,4))+2)))/'Second Earner'!$C$8-$AO22/'Second Earner'!$C$8)+$AR22+IF('Second Earner'!$C$89="Aggregate",MAX(0,IF('Second Earner'!$C$13,SUMPRODUCT((($AH22+$D22)&gt;INDEX('How This Works &amp; Sources'!$B$29:$J$36,0,IF('Second Earner'!$C$12="MFJ",1,IF('Second Earner'!$C$12="HoH",7,4))))*(($AH22+$D22)-INDEX('How This Works &amp; Sources'!$B$29:$J$36,0,IF('Second Earner'!$C$12="MFJ",1,IF('Second Earner'!$C$12="HoH",7,4))))*INDEX('How This Works &amp; Sources'!$B$29:$J$36,0,IF('Second Earner'!$C$12="MFJ",1,IF('Second Earner'!$C$12="HoH",7,4))+2)),SUMPRODUCT((($AH22+$D22)&gt;INDEX('How This Works &amp; Sources'!$B$19:$J$26,0,IF('Second Earner'!$C$12="MFJ",1,IF('Second Earner'!$C$12="HoH",7,4))))*(($AH22+$D22)-INDEX('How This Works &amp; Sources'!$B$19:$J$26,0,IF('Second Earner'!$C$12="MFJ",1,IF('Second Earner'!$C$12="HoH",7,4))))*INDEX('How This Works &amp; Sources'!$B$19:$J$26,0,IF('Second Earner'!$C$12="MFJ",1,IF('Second Earner'!$C$12="HoH",7,4))+2)))-IF('Second Earner'!$C$13,SUMPRODUCT(($AH22&gt;INDEX('How This Works &amp; Sources'!$B$29:$J$36,0,IF('Second Earner'!$C$12="MFJ",1,IF('Second Earner'!$C$12="HoH",7,4))))*($AH22-INDEX('How This Works &amp; Sources'!$B$29:$J$36,0,IF('Second Earner'!$C$12="MFJ",1,IF('Second Earner'!$C$12="HoH",7,4))))*INDEX('How This Works &amp; Sources'!$B$29:$J$36,0,IF('Second Earner'!$C$12="MFJ",1,IF('Second Earner'!$C$12="HoH",7,4))+2)),SUMPRODUCT(($AH22&gt;INDEX('How This Works &amp; Sources'!$B$19:$J$26,0,IF('Second Earner'!$C$12="MFJ",1,IF('Second Earner'!$C$12="HoH",7,4))))*($AH22-INDEX('How This Works &amp; Sources'!$B$19:$J$26,0,IF('Second Earner'!$C$12="MFJ",1,IF('Second Earner'!$C$12="HoH",7,4))))*INDEX('How This Works &amp; Sources'!$B$19:$J$26,0,IF('Second Earner'!$C$12="MFJ",1,IF('Second Earner'!$C$12="HoH",7,4))+2)))),'How This Works &amp; Sources'!$C$10*$D22),2)))</f>
      </c>
      <c r="Q22" s="7">
        <f>IF($B22="","",ROUND('How This Works &amp; Sources'!$C$4*MIN($N22,MAX(0,'How This Works &amp; Sources'!$C$3-($AX22+$AB21-$AW22))),2))</f>
      </c>
      <c r="R22" s="7">
        <f>IF($B22="","",ROUND('How This Works &amp; Sources'!$C$5*$N22,2))</f>
      </c>
      <c r="S22" s="7">
        <f>IF($B22="","",ROUND('How This Works &amp; Sources'!$C$6*MAX(0,MIN($N22,$AG21+$N22-'How This Works &amp; Sources'!$C$7)),2))</f>
      </c>
      <c r="T22" s="7">
        <f>IF($B22="","",IF('Second Earner'!$C$26,0,IF($AN22="CA",ROUND(IF($AI22&lt;=IF(($AS22+$AT22)&gt;=2,VLOOKUP($AN22,StateTables!$A$6:$AB$56,10,FALSE),VLOOKUP($AN22,StateTables!$A$6:$AB$56,9,FALSE)),0,MAX(0,SUMPRODUCT(($AJ22&gt;INDEX('How This Works &amp; Sources'!$B$39:$J$48,0,IF($AU22="Married",4,IF($AU22="Head of household",7,1))))*($AJ22-INDEX('How This Works &amp; Sources'!$B$39:$J$48,0,IF($AU22="Married",4,IF($AU22="Head of household",7,1))))*INDEX('How This Works &amp; Sources'!$B$39:$J$48,0,IF($AU22="Married",4,IF($AU22="Head of household",7,1))+2))-VLOOKUP($AN22,StateTables!$A$6:$AB$56,11,FALSE)*$AS22)/'Second Earner'!$C$8)+'Second Earner'!$C$25+VLOOKUP($AN22,StateTables!$A$6:$AB$56,13,FALSE)*$D22,2),IF(VLOOKUP($AN22,StateTables!$A$6:$AB$56,4,FALSE)="None",0,IF(ISNUMBER(SEARCH("MANUAL",VLOOKUP($AN22,StateTables!$A$6:$AB$56,5,FALSE))),'Second Earner'!$C$28,ROUND(MAX(0,$BA22+$BB22)/'Second Earner'!$C$8+'Second Earner'!$C$25+$BC22,2))))))</f>
      </c>
      <c r="U22" s="7">
        <f>IF($B22="","",IF(VLOOKUP($AN22,StateTables!$A$6:$AB$56,24,FALSE)="flatq",IF(OR(MONTH($B22)=1,MONTH($B22)=4,MONTH($B22)=7,MONTH($B22)=10),VLOOKUP($AN22,StateTables!$A$6:$AB$56,25,FALSE),0),IF(VLOOKUP($AN22,StateTables!$A$6:$AB$56,24,FALSE)="dbl",MIN(ROUND(0.005*$N22,2),ROUND(0.6*52/'Second Earner'!$C$8,2)),IF(OR(VLOOKUP($AN22,StateTables!$A$6:$AB$56,15,FALSE)="",VLOOKUP($AN22,StateTables!$A$6:$AB$56,15,FALSE)=0),0,ROUND(VLOOKUP($AN22,StateTables!$A$6:$AB$56,15,FALSE)*IF(OR(VLOOKUP($AN22,StateTables!$A$6:$AB$56,16,FALSE)="",VLOOKUP($AN22,StateTables!$A$6:$AB$56,16,FALSE)=0),$N22,MIN($N22,MAX(0,VLOOKUP($AN22,StateTables!$A$6:$AB$56,16,FALSE)-($AX22+$AB21-$AW22)))),2))))+IF(VLOOKUP($AN22,StateTables!$A$6:$AB$56,27,FALSE)="flatq",IF(OR(MONTH($B22)=1,MONTH($B22)=4,MONTH($B22)=7,MONTH($B22)=10),VLOOKUP($AN22,StateTables!$A$6:$AB$56,28,FALSE),0),IF(VLOOKUP($AN22,StateTables!$A$6:$AB$56,27,FALSE)="dbl",MIN(ROUND(0.005*$N22,2),ROUND(0.6*52/'Second Earner'!$C$8,2)),IF(OR(VLOOKUP($AN22,StateTables!$A$6:$AB$56,18,FALSE)="",VLOOKUP($AN22,StateTables!$A$6:$AB$56,18,FALSE)=0),0,ROUND(VLOOKUP($AN22,StateTables!$A$6:$AB$56,18,FALSE)*IF(OR(VLOOKUP($AN22,StateTables!$A$6:$AB$56,19,FALSE)="",VLOOKUP($AN22,StateTables!$A$6:$AB$56,19,FALSE)=0),$N22,MIN($N22,MAX(0,VLOOKUP($AN22,StateTables!$A$6:$AB$56,19,FALSE)-($AX22+$AB21-$AW22)))),2)))))</f>
      </c>
      <c r="V22" s="7">
        <f>IF($B22="","",IF($AN22="NY",IF('Second Earner'!$C$78,ROUND(SUMPRODUCT((MAX(0,($O22-$D22)*'Second Earner'!$C$8-(IF($AU22="Married",5500,5000)+1000*$AS22))&gt;INDEX('How This Works &amp; Sources'!$B$184:$J$198,0,4))*(MAX(0,($O22-$D22)*'Second Earner'!$C$8-(IF($AU22="Married",5500,5000)+1000*$AS22))-INDEX('How This Works &amp; Sources'!$B$184:$J$198,0,4))*INDEX('How This Works &amp; Sources'!$B$184:$J$198,0,4+2))/'Second Earner'!$C$8+0.0425*$D22,2),0)+IF('Second Earner'!$C$79="Resident",ROUND(0.1675*$T22,2),IF('Second Earner'!$C$79="Nonresident",ROUND(0.005*MAX(0,($O22-$D22)-(IF($AU22="Married",7950,7400)+1000*$AS22)/'Second Earner'!$C$8),2),0)),IF($AN22="PA",IF('Second Earner'!$C$80="None",'Second Earner'!$C$27+ROUND('Second Earner'!$C$81*($C22+$D22),2),ROUND(IF('Second Earner'!$C$80="Resident",IF($B22&lt;DATE(2026,7,1),0.0374,0.03735),IF($B22&lt;DATE(2026,7,1),0.0343,0.03425))*($C22+$D22),2)),IF($BF22=0,ROUND('Second Earner'!$C$81*($C22+$D22),2),'Second Earner'!$C$27+ROUND('Second Earner'!$C$81*($C22+$D22),2)))))</f>
      </c>
      <c r="W22" s="7">
        <f>IF($B22="","",IF($BF22=0,0,$BP22))</f>
      </c>
      <c r="X22" s="7">
        <f>IF($B22="","",SUM($E22:$K22)+$P22+$Q22+$R22+$S22+$T22+$U22+$V22+$W22)</f>
      </c>
      <c r="Y22" s="22">
        <f>IF($B22="","",$C22+$D22-$X22)</f>
      </c>
      <c r="Z22" s="7">
        <f>IF($B22="","",$Z21+$C22+$D22)</f>
      </c>
      <c r="AA22" s="7">
        <f>IF($B22="","",$AA21+$Y22)</f>
      </c>
      <c r="AB22" s="7">
        <f>IF($B22="","",$AB21+MIN($N22,MAX(0,'How This Works &amp; Sources'!$C$3-($AX22+$AB21-$AW22))))</f>
      </c>
      <c r="AC22" s="7">
        <f>IF($B22="","",$AC21+$E22+$F22)</f>
      </c>
      <c r="AD22" s="3">
        <f>IF($B22="","",IF(AND($AB21&lt;'How This Works &amp; Sources'!$C$3,$AB22&gt;='How This Works &amp; Sources'!$C$3),"★ Social Security maxed on this check — from the next check your net rises by about $"&amp;TEXT(ROUND('How This Works &amp; Sources'!$C$4*$N22,2),"#,##0.00")&amp;". ","")&amp;IF(AND($AC21&lt;'Second Earner'!$C$34,$AC22&gt;='Second Earner'!$C$34),"★ 401(k) reaches the $"&amp;TEXT('Second Earner'!$C$34,"#,##0")&amp;" cap on this check — deferrals stop and net pay rises. ","")&amp;IF(AND($AG21&lt;'How This Works &amp; Sources'!$C$7,$AG22&gt;='How This Works &amp; Sources'!$C$7),"★ Wages pass $200,000 — the 0.9% Additional Medicare Tax starts here. ","")&amp;IF(AND($BJ22&gt;0,$H22&gt;0,$BG21&lt;MIN($BJ22,'How This Works &amp; Sources'!$C$13),$BG21+$H22&gt;=MIN($BJ22,'How This Works &amp; Sources'!$C$13)),"★ Health FSA election is now fully deferred for the year. ",""))</f>
      </c>
      <c r="AE22" s="41" t="n"/>
      <c r="AF22" s="7">
        <f>IF(OR($B22="",$AE22=""),"",$AE22-$Y22)</f>
      </c>
      <c r="AG22" s="7">
        <f>IF($B22="","",$AG21+$N22)</f>
      </c>
      <c r="AH22" s="7">
        <f>IF($B22="","",MAX(0,($M22-$D22)*'Second Earner'!$C$8+$AP22-$AQ22-IF('Second Earner'!$C$13,0,IF('Second Earner'!$C$12="MFJ",'How This Works &amp; Sources'!$C$8,'How This Works &amp; Sources'!$C$9))))</f>
      </c>
      <c r="AI22" s="7">
        <f>IF($B22="","",$O22*'Second Earner'!$C$8)</f>
      </c>
      <c r="AJ22" s="7">
        <f>IF($B22="","",MAX(0,$AI22-VLOOKUP($AN22,StateTables!$A$6:$AB$56,12,FALSE)*$AT22-IF(($AS22+$AT22)&gt;=2,VLOOKUP($AN22,StateTables!$A$6:$AB$56,8,FALSE),VLOOKUP($AN22,StateTables!$A$6:$AB$56,7,FALSE))))</f>
      </c>
      <c r="AK22" s="7">
        <f>IF($B22="","",IFERROR(LOOKUP(2,1/(('Changes — Earner 2'!$C$6:$C$17="Salary change")*('Changes — Earner 2'!$B$6:$B$17&lt;=$B22)*('Changes — Earner 2'!$B$6:$B$17&lt;&gt;"")),'Changes — Earner 2'!$D$6:$D$17),IF('Second Earner'!$C$4="Annual salary",'Second Earner'!$C$5,'Second Earner'!$C$6)))</f>
      </c>
      <c r="AL22">
        <f>IF($B22="","",IFERROR(LOOKUP(2,1/(('Changes — Earner 2'!$C$6:$C$17="401(k) change")*('Changes — Earner 2'!$B$6:$B$17&lt;=$B22)*('Changes — Earner 2'!$B$6:$B$17&lt;&gt;"")),'Changes — Earner 2'!$D$6:$D$17),'Second Earner'!$C$30))</f>
      </c>
      <c r="AM22" s="7">
        <f>IF($B22="","",IFERROR(LOOKUP(2,1/(('Changes — Earner 2'!$C$6:$C$17="401(k) change")*('Changes — Earner 2'!$B$6:$B$17&lt;=$B22)*('Changes — Earner 2'!$B$6:$B$17&lt;&gt;"")),'Changes — Earner 2'!$E$6:$E$17),'Second Earner'!$D$31))</f>
      </c>
      <c r="AN22">
        <f>IF($B22="","",IFERROR(LOOKUP(2,1/(('Changes — Earner 2'!$C$6:$C$17="State move")*('Changes — Earner 2'!$B$6:$B$17&lt;=$B22)*('Changes — Earner 2'!$B$6:$B$17&lt;&gt;"")),'Changes — Earner 2'!$D$6:$D$17),'Second Earner'!$C$21))</f>
      </c>
      <c r="AO22" s="7">
        <f>IF($B22="","",IFERROR(LOOKUP(2,1/(('Changes — Earner 2'!$C$6:$C$17="W-4 change")*('Changes — Earner 2'!$B$6:$B$17&lt;=$B22)*('Changes — Earner 2'!$B$6:$B$17&lt;&gt;"")),'Changes — Earner 2'!$D$6:$D$17),'Second Earner'!$C$14))</f>
      </c>
      <c r="AP22" s="7">
        <f>IF($B22="","",IFERROR(LOOKUP(2,1/(('Changes — Earner 2'!$C$6:$C$17="W-4 change")*('Changes — Earner 2'!$B$6:$B$17&lt;=$B22)*('Changes — Earner 2'!$B$6:$B$17&lt;&gt;"")),'Changes — Earner 2'!$E$6:$E$17),'Second Earner'!$C$15))</f>
      </c>
      <c r="AQ22" s="7">
        <f>IF($B22="","",IFERROR(LOOKUP(2,1/(('Changes — Earner 2'!$C$6:$C$17="W-4 change")*('Changes — Earner 2'!$B$6:$B$17&lt;=$B22)*('Changes — Earner 2'!$B$6:$B$17&lt;&gt;"")),'Changes — Earner 2'!$F$6:$F$17),'Second Earner'!$C$16))</f>
      </c>
      <c r="AR22" s="7">
        <f>IF($B22="","",IFERROR(LOOKUP(2,1/(('Changes — Earner 2'!$C$6:$C$17="W-4 change")*('Changes — Earner 2'!$B$6:$B$17&lt;=$B22)*('Changes — Earner 2'!$B$6:$B$17&lt;&gt;"")),'Changes — Earner 2'!$G$6:$G$17),'Second Earner'!$C$17))</f>
      </c>
      <c r="AS22" s="6">
        <f>IF($B22="","",IFERROR(LOOKUP(2,1/((('Changes — Earner 2'!$C$6:$C$17="State move")+('Changes — Earner 2'!$C$6:$C$17="State cert change"))*('Changes — Earner 2'!$B$6:$B$17&lt;=$B22)*('Changes — Earner 2'!$B$6:$B$17&lt;&gt;"")),'Changes — Earner 2'!$F$6:$F$17),'Second Earner'!$C$23))</f>
      </c>
      <c r="AT22" s="6">
        <f>IF($B22="","",IFERROR(LOOKUP(2,1/((('Changes — Earner 2'!$C$6:$C$17="State move")+('Changes — Earner 2'!$C$6:$C$17="State cert change"))*('Changes — Earner 2'!$B$6:$B$17&lt;=$B22)*('Changes — Earner 2'!$B$6:$B$17&lt;&gt;"")),'Changes — Earner 2'!$G$6:$G$17),'Second Earner'!$C$24))</f>
      </c>
      <c r="AU22">
        <f>IF($B22="","",IFERROR(LOOKUP(2,1/(('Changes — Earner 2'!$C$6:$C$17="State move")*('Changes — Earner 2'!$B$6:$B$17&lt;=$B22)*('Changes — Earner 2'!$B$6:$B$17&lt;&gt;"")),'Changes — Earner 2'!$E$6:$E$17),'Second Earner'!$C$22))</f>
      </c>
      <c r="AV22" s="6">
        <f>IF($B22="","",1+COUNTIFS('Changes — Earner 2'!$C$6:$C$17,"Employer change",'Changes — Earner 2'!$B$6:$B$17,"&lt;="&amp;$B22,'Changes — Earner 2'!$B$6:$B$17,"&lt;&gt;"))</f>
      </c>
      <c r="AW22" s="7">
        <f>IF($B22="","",IF($AV22=1,'Second Earner'!$C$49,IF(IFERROR(MATCH(IFERROR(LOOKUP(2,1/(('Changes — Earner 2'!$C$6:$C$17="Employer change")*('Changes — Earner 2'!$B$6:$B$17&lt;=$B22)*('Changes — Earner 2'!$B$6:$B$17&lt;&gt;"")),'Changes — Earner 2'!$B$6:$B$17),""),$B$6:$B$68,1),1)&lt;=1,'Second Earner'!$C$49,INDEX($AB$6:$AB$68,MATCH(IFERROR(LOOKUP(2,1/(('Changes — Earner 2'!$C$6:$C$17="Employer change")*('Changes — Earner 2'!$B$6:$B$17&lt;=$B22)*('Changes — Earner 2'!$B$6:$B$17&lt;&gt;"")),'Changes — Earner 2'!$B$6:$B$17),""),$B$6:$B$68,1)-1))))</f>
      </c>
      <c r="AX22" s="7">
        <f>IF($B22="","",IF($AV22=1,'Second Earner'!$C$49,IFERROR(LOOKUP(2,1/(('Changes — Earner 2'!$C$6:$C$17="Employer change")*('Changes — Earner 2'!$B$6:$B$17&lt;=$B22)*('Changes — Earner 2'!$B$6:$B$17&lt;&gt;"")),'Changes — Earner 2'!$D$6:$D$17),0)))</f>
      </c>
      <c r="AY22" s="7">
        <f>IF($B22="","",($O22-$D22)*'Second Earner'!$C$8)</f>
      </c>
      <c r="AZ22" s="7">
        <f>IF($B22="","",IF($AN22="AL",MAX(0,$AY22-IF($AU22="Married",IF($AY22&lt;=25999,8500,MAX(5000,8500-175*CEILING(($AY22-25999)/500,1))),IF($AU22="Head of household",IF($AY22&lt;=25999,5200,MAX(2500,5200-135*CEILING(($AY22-25999)/500,1))),IF($AY22&lt;=25999,3000,MAX(2500,3000-25*CEILING(($AY22-25999)/500,1)))))-($P22-'How This Works &amp; Sources'!$C$10*$D22)*'Second Earner'!$C$8-IF(OR($AU22="Married",$AU22="Head of household"),3000,1500)-$AT22*IF($AY22&lt;=50000,1000,IF($AY22&lt;=100000,500,300))),IF($AN22="AR",IF(MAX(0,$AY22-2470)&lt;97701,INT(MAX(0,$AY22-2470)/100)*100+50,MAX(0,$AY22-2470)),IF($AN22="DE",MAX(0,$AI22-3250),IF($AN22="HI",MAX(0,$AI22-1144*$AS22-4350),IF($AN22="KS",MAX(0,$AI22-(9160*IF($AU22="Married",2,1)+2320*$AT22+IF($AU22="Head of household",2320,0))),IF($AN22="MD",MAX(0,$AI22-3400-3200*$AS22),IF($AN22="MN",MAX(0,$AY22-5300*$AS22),IF($AN22="MO",MAX(0,$AI22-IF($AU22="Head of household",24150,IF($AU22="Married",IF('Second Earner'!$C$83,16100,32200),16100))),IF($AN22="MT",$AY22,IF($AN22="ND",($C22+$L22)*'Second Earner'!$C$8,IF($AN22="NE",MAX(0,$AY22-2440*$AS22),IF($AN22="NJ",MAX(0,$AY22-1000*$AS22),IF($AN22="NY",MAX(0,$AY22-(IF($AU22="Married",7950,7400)+1000*$AS22)),IF($AN22="OH",MAX(0,$AY22-650*$AS22),IF($AN22="OK",MAX(0,$AY22-1000*$AS22),IF($AN22="RI",MAX(0,$AI22-1000*$AS22),IF($AN22="SC",MAX(0,$AI22-5000*$AS22-IF($AS22=0,0,MIN(0.1*$AI22,7500))),IF($AN22="VA",MAX(0,$AI22-IF($AU22="Married",17500,8750)-930*$AS22-800*$AT22),IF($AN22="VT",MAX(0,$AI22-5400*$AS22),IF($AN22="WI",MAX(0,$AI22-MAX(0,IF($AU22="Married",9461-0.2*MAX(0,$AI22-25727),6702-0.12*MAX(0,$AI22-17780)))-400*$AS22),IF($AN22="WV",MAX(0,$AI22-2000*$AS22),$AI22))))))))))))))))))))))</f>
      </c>
      <c r="BA22" s="7">
        <f>IF($B22="","",IF($BW22&lt;&gt;"",$BW22,IF($BX22&lt;&gt;"",$BX22,IF($BY22&lt;&gt;"",$BY22,0))))</f>
      </c>
      <c r="BB22" s="7">
        <f>IF($B22="","",IF($AN22="AR",-29*$AS22,IF($AN22="DE",-110*$AS22,IF($AN22="MD",$AZ22*'Second Earner'!$C$74,IF($AN22="AZ",'Second Earner'!$C$82*($M22-$D22)*'Second Earner'!$C$8,IF($AN22="CO",0.044*MAX(0,$AY22-IF($AU22="Married",10000,5000)),IF($AN22="IA",MAX(0,0.038*MAX(0,$AY22-IF($AU22="Head of household",19500,IF($AU22="Married",26000,13000)))-40*$AS22),IF($AN22="ID",0.053*MAX(0,$AY22-IF($AU22="Married",32000,16094)),IF($AN22="IL",0.0495*MAX(0,$AY22-(2925*$AS22+1000*$AT22)),IF($AN22="IN",(0.0295+'Second Earner'!$C$76)*MAX(0,$AY22-(1000*$AS22+1500*$AT22+3000*'Second Earner'!$C$86)),IF($AN22="KY",0.035*MAX(0,$AI22-3360),IF($AN22="LA",IF('Second Earner'!$C$84="0",0.0309*$AI22,0.0309*MAX(0,$AI22-IF('Second Earner'!$C$84="2",25750,12875))),IF($AN22="MA",0.05*MIN(MAX(0,$AY22-MIN(($BD21+$Q22+$R22+$S22),2000)-IF($AS22=0,0,IF($AS22=1,4400,1000*$AS22+3400))),1107750)+0.09*MAX(0,MAX(0,$AY22-MIN(($BD21+$Q22+$R22+$S22),2000)-IF($AS22=0,0,IF($AS22=1,4400,1000*$AS22+3400)))-1107750)-IF($AU22="Head of household",120,0)-110*'Second Earner'!$C$75,IF($AN22="MI",0.0425*MAX(0,$AY22-5900*$AS22),IF($AN22="MS",0.04*MAX(0,$AI22-IF($AU22="Head of household",3400,IF($AU22="Married",4600,2300))-'Second Earner'!$C$85-10000),IF($AN22="OR",IF(OR($AU22="Married",AND($AU22="Single",$AS22&gt;=3)),SUMPRODUCT((MAX(0,$AY22-MIN(($P22-'How This Works &amp; Sources'!$C$10*$D22)*'Second Earner'!$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Sources'!$B$211:$J$214,0,4))*(MAX(0,$AY22-MIN(($P22-'How This Works &amp; Sources'!$C$10*$D22)*'Second Earner'!$C$8,IF(OR($AU22="Married",AND($AU22="Single",$AS22&gt;=3)),IF($AY22&lt;250000,8750,IF($AY22&lt;260000,7000,IF($AY22&lt;270000,5250,IF($AY22&lt;280000,3500,IF($AY22&lt;290000,1750,0))))),IF($AY22&lt;125000,8750,IF($AY22&lt;130000,7000,IF($AY22&lt;135000,5250,IF($AY22&lt;140000,3500,IF($AY22&lt;145000,1750,0)))))))-IF(OR($AU22="Married",AND($AU22="Single",$AS22&gt;=3)),5820,2910))-INDEX('How This Works &amp; Sources'!$B$211:$J$214,0,4))*INDEX('How This Works &amp; Sources'!$B$211:$J$214,0,4+2)),SUMPRODUCT((MAX(0,$AY22-MIN(($P22-'How This Works &amp; Sources'!$C$10*$D22)*'Second Earner'!$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Sources'!$B$211:$J$214,0,1))*(MAX(0,$AY22-MIN(($P22-'How This Works &amp; Sources'!$C$10*$D22)*'Second Earner'!$C$8,IF(OR($AU22="Married",AND($AU22="Single",$AS22&gt;=3)),IF($AY22&lt;250000,8750,IF($AY22&lt;260000,7000,IF($AY22&lt;270000,5250,IF($AY22&lt;280000,3500,IF($AY22&lt;290000,1750,0))))),IF($AY22&lt;125000,8750,IF($AY22&lt;130000,7000,IF($AY22&lt;135000,5250,IF($AY22&lt;140000,3500,IF($AY22&lt;145000,1750,0)))))))-IF(OR($AU22="Married",AND($AU22="Single",$AS22&gt;=3)),5820,2910))-INDEX('How This Works &amp; Sources'!$B$211:$J$214,0,1))*INDEX('How This Works &amp; Sources'!$B$211:$J$214,0,1+2)))+263-263*IF(IF($AU22="Married",$AY22&gt;200000,$AY22&gt;100000),0,$AS22),IF($AN22="PA",0.0307*(($O22+$E22+$G22)*'Second Earner'!$C$8),IF($AN22="NY",IF($AU22="Married",IF($AZ22&gt;=2155350,0,IF($AZ22&gt;=1077550,0.48,IF($AZ22&gt;=373200,1.21,IF($AZ22&gt;=323200,0.21,IF($AZ22&gt;=211550,-0.19,IF($AZ22&gt;=157650,-2.8,IF($AZ22&gt;=107650,-0.8,IF($AZ22&gt;=96800,0.05,IF($AZ22&gt;=80650,-0.1,IF($AZ22&gt;=13900,0.4,IF($AZ22&gt;=11700,-0.3,IF($AZ22&gt;=8500,0.5,0)))))))))))),IF($AZ22&gt;=1077550,0,IF($AZ22&gt;=265400,4.29,IF($AZ22&gt;=215400,2.29,IF($AZ22&gt;=157650,2.29,IF($AZ22&gt;=107650,0.29,IF($AZ22&gt;=96800,0.05,IF($AZ22&gt;=80650,-0.1,IF($AZ22&gt;=13900,0.4,IF($AZ22&gt;=11700,-0.3,IF($AZ22&gt;=8500,0.5,0))))))))))),0))))))))))))))))))</f>
      </c>
      <c r="BC22" s="7">
        <f>IF($B22="","",IF($AN22="AL",0.05*$D22,IF($AN22="AR",0.039*$D22,IF($AN22="ID",0.053*$D22,IF($AN22="IN",(0.0295+'Second Earner'!$C$76)*$D22,IF($AN22="KS",0.05*$D22,IF($AN22="MA",0.09*MIN($D22,MAX(0,MAX(0,$AY22-MIN(($BD21+$Q22+$R22+$S22),2000)-IF($AS22=0,0,IF($AS22=1,4400,1000*$AS22+3400)))+$D22-1107750))+0.05*($D22-MIN($D22,MAX(0,MAX(0,$AY22-MIN(($BD21+$Q22+$R22+$S22),2000)-IF($AS22=0,0,IF($AS22=1,4400,1000*$AS22+3400)))+$D22-1107750))),IF($AN22="MD",(0.065+'Second Earner'!$C$74)*$D22,IF($AN22="MI",0.0425*$D22,IF($AN22="MN",0.0625*$D22,IF($AN22="MO",0.047*$D22,IF($AN22="MT",0.05*$D22,IF($AN22="ND",0.015*$D22,IF($AN22="NE",0.035*$D22,IF($AN22="NJ",IF('Second Earner'!$C$77="B",SUMPRODUCT(($D22*'Second Earner'!$C$8&gt;INDEX('How This Works &amp; Sources'!$B$155:$J$162,0,4))*($D22*'Second Earner'!$C$8-INDEX('How This Works &amp; Sources'!$B$155:$J$162,0,4))*INDEX('How This Works &amp; Sources'!$B$155:$J$162,0,4+2)),IF('Second Earner'!$C$77="C",SUMPRODUCT(($D22*'Second Earner'!$C$8&gt;INDEX('How This Works &amp; Sources'!$B$155:$J$162,0,7))*($D22*'Second Earner'!$C$8-INDEX('How This Works &amp; Sources'!$B$155:$J$162,0,7))*INDEX('How This Works &amp; Sources'!$B$155:$J$162,0,7+2)),IF('Second Earner'!$C$77="D",SUMPRODUCT(($D22*'Second Earner'!$C$8&gt;INDEX('How This Works &amp; Sources'!$B$167:$J$179,0,1))*($D22*'Second Earner'!$C$8-INDEX('How This Works &amp; Sources'!$B$167:$J$179,0,1))*INDEX('How This Works &amp; Sources'!$B$167:$J$179,0,1+2)),IF('Second Earner'!$C$77="E",SUMPRODUCT(($D22*'Second Earner'!$C$8&gt;INDEX('How This Works &amp; Sources'!$B$167:$J$179,0,4))*($D22*'Second Earner'!$C$8-INDEX('How This Works &amp; Sources'!$B$167:$J$179,0,4))*INDEX('How This Works &amp; Sources'!$B$167:$J$179,0,4+2)),SUMPRODUCT(($D22*'Second Earner'!$C$8&gt;INDEX('How This Works &amp; Sources'!$B$155:$J$162,0,1))*($D22*'Second Earner'!$C$8-INDEX('How This Works &amp; Sources'!$B$155:$J$162,0,1))*INDEX('How This Works &amp; Sources'!$B$155:$J$162,0,1+2))))))/'Second Earner'!$C$8,IF($AN22="NY",0.117*$D22,IF($AN22="OH",0.0275*$D22,IF($AN22="OK",0.045*$D22,IF($AN22="OR",0.08*$D22,IF($AN22="WI",IF($AY22&lt;12760,0.0354,IF($AY22&lt;25520,0.0465,IF($AY22&lt;280950,0.053,0.0765)))*$D22,0))))))))))))))))))))</f>
      </c>
      <c r="BD22" s="7">
        <f>IF($B22="","",$BD21+$Q22+$R22+$S22)</f>
      </c>
      <c r="BE22" s="6">
        <f>IF($B22="",$BE21,$BE21+$BF22)</f>
      </c>
      <c r="BF22" s="6">
        <f>IF($B22="","",IF(AND(IF(YEAR(IF('Second Earner'!$C$7="Weekly",'Second Earner'!$C$9+7*(($BE21+1)-1),IF('Second Earner'!$C$7="Biweekly",'Second Earner'!$C$9+14*(($BE21+1)-1),IF('Second Earner'!$C$7="Semimonthly",DATE(YEAR('Second Earner'!$C$9),MONTH('Second Earner'!$C$9)+INT((($BE21+1)-1)/2),MIN(DAY('Second Earner'!$C$9),DAY(EOMONTH(DATE(YEAR('Second Earner'!$C$9),MONTH('Second Earner'!$C$9)+INT((($BE21+1)-1)/2),1),0))))+IF(MOD(($BE21+1)-1,2)=1,15,0),EDATE('Second Earner'!$C$9,($BE21+1)-1)))))&lt;&gt;'Second Earner'!$C$10,"",IF('Second Earner'!$C$7="Weekly",'Second Earner'!$C$9+7*(($BE21+1)-1),IF('Second Earner'!$C$7="Biweekly",'Second Earner'!$C$9+14*(($BE21+1)-1),IF('Second Earner'!$C$7="Semimonthly",DATE(YEAR('Second Earner'!$C$9),MONTH('Second Earner'!$C$9)+INT((($BE21+1)-1)/2),MIN(DAY('Second Earner'!$C$9),DAY(EOMONTH(DATE(YEAR('Second Earner'!$C$9),MONTH('Second Earner'!$C$9)+INT((($BE21+1)-1)/2),1),0))))+IF(MOD(($BE21+1)-1,2)=1,15,0),EDATE('Second Earner'!$C$9,($BE21+1)-1)))))&lt;&gt;"",$B22=IF(YEAR(IF('Second Earner'!$C$7="Weekly",'Second Earner'!$C$9+7*(($BE21+1)-1),IF('Second Earner'!$C$7="Biweekly",'Second Earner'!$C$9+14*(($BE21+1)-1),IF('Second Earner'!$C$7="Semimonthly",DATE(YEAR('Second Earner'!$C$9),MONTH('Second Earner'!$C$9)+INT((($BE21+1)-1)/2),MIN(DAY('Second Earner'!$C$9),DAY(EOMONTH(DATE(YEAR('Second Earner'!$C$9),MONTH('Second Earner'!$C$9)+INT((($BE21+1)-1)/2),1),0))))+IF(MOD(($BE21+1)-1,2)=1,15,0),EDATE('Second Earner'!$C$9,($BE21+1)-1)))))&lt;&gt;'Second Earner'!$C$10,"",IF('Second Earner'!$C$7="Weekly",'Second Earner'!$C$9+7*(($BE21+1)-1),IF('Second Earner'!$C$7="Biweekly",'Second Earner'!$C$9+14*(($BE21+1)-1),IF('Second Earner'!$C$7="Semimonthly",DATE(YEAR('Second Earner'!$C$9),MONTH('Second Earner'!$C$9)+INT((($BE21+1)-1)/2),MIN(DAY('Second Earner'!$C$9),DAY(EOMONTH(DATE(YEAR('Second Earner'!$C$9),MONTH('Second Earner'!$C$9)+INT((($BE21+1)-1)/2),1),0))))+IF(MOD(($BE21+1)-1,2)=1,15,0),EDATE('Second Earner'!$C$9,($BE21+1)-1)))))),1,0))</f>
      </c>
      <c r="BG22" s="7">
        <f>IF($B22="","",$BG21+$H22)</f>
      </c>
      <c r="BH22" s="7">
        <f>IF($B22="","",$BH21+$I22)</f>
      </c>
      <c r="BI22" s="7">
        <f>IF($B22="","",$BI21+$G22)</f>
      </c>
      <c r="BJ22" s="7">
        <f>IF($B22="","",IFERROR(LOOKUP(2,1/(((('Changes — Earner 2'!$C$6:$C$17="Deduction start"))*('Changes — Earner 2'!$D$6:$D$17="Health FSA"))*('Changes — Earner 2'!$B$6:$B$17&lt;=$B22)*('Changes — Earner 2'!$B$6:$B$17&lt;&gt;"")),'Changes — Earner 2'!$E$6:$E$17),'Second Earner'!$D$38))</f>
      </c>
      <c r="BK22" s="7">
        <f>IF($B22="","",IFERROR(LOOKUP(2,1/(((('Changes — Earner 2'!$C$6:$C$17="Deduction start"))*('Changes — Earner 2'!$D$6:$D$17="Dependent-care FSA"))*('Changes — Earner 2'!$B$6:$B$17&lt;=$B22)*('Changes — Earner 2'!$B$6:$B$17&lt;&gt;"")),'Changes — Earner 2'!$E$6:$E$17),'Second Earner'!$D$39))</f>
      </c>
      <c r="BL22" s="7">
        <f>IF($B22="","",IFERROR(LOOKUP(2,1/(((('Changes — Earner 2'!$C$6:$C$17="Deduction start")+('Changes — Earner 2'!$C$6:$C$17="Deduction stop"))*('Changes — Earner 2'!$D$6:$D$17="HSA"))*('Changes — Earner 2'!$B$6:$B$17&lt;=$B22)*('Changes — Earner 2'!$B$6:$B$17&lt;&gt;"")),'Changes — Earner 2'!$I$6:$I$17),'Second Earner'!$D$35))</f>
      </c>
      <c r="BM22" s="7">
        <f>IF($B22="","",IFERROR(LOOKUP(2,1/(((('Changes — Earner 2'!$C$6:$C$17="Deduction start")+('Changes — Earner 2'!$C$6:$C$17="Deduction stop"))*('Changes — Earner 2'!$D$6:$D$17="Premiums"))*('Changes — Earner 2'!$B$6:$B$17&lt;=$B22)*('Changes — Earner 2'!$B$6:$B$17&lt;&gt;"")),'Changes — Earner 2'!$I$6:$I$17),'Second Earner'!$D$40+'Second Earner'!$D$41+'Second Earner'!$D$42))</f>
      </c>
      <c r="BN22" s="7">
        <f>IF($B22="","",IFERROR(LOOKUP(2,1/(((('Changes — Earner 2'!$C$6:$C$17="Deduction start")+('Changes — Earner 2'!$C$6:$C$17="Deduction stop"))*('Changes — Earner 2'!$D$6:$D$17="Commuter"))*('Changes — Earner 2'!$B$6:$B$17&lt;=$B22)*('Changes — Earner 2'!$B$6:$B$17&lt;&gt;"")),'Changes — Earner 2'!$I$6:$I$17),'Second Earner'!$D$43))</f>
      </c>
      <c r="BO22" s="7">
        <f>IF($B22="","",IFERROR(LOOKUP(2,1/(((('Changes — Earner 2'!$C$6:$C$17="Deduction start")+('Changes — Earner 2'!$C$6:$C$17="Deduction stop"))*('Changes — Earner 2'!$D$6:$D$17="Other pre-tax"))*('Changes — Earner 2'!$B$6:$B$17&lt;=$B22)*('Changes — Earner 2'!$B$6:$B$17&lt;&gt;"")),'Changes — Earner 2'!$I$6:$I$17),'Second Earner'!$D$44))</f>
      </c>
      <c r="BP22" s="7">
        <f>IF($B22="","",IFERROR(LOOKUP(2,1/(((('Changes — Earner 2'!$C$6:$C$17="Deduction start")+('Changes — Earner 2'!$C$6:$C$17="Deduction stop"))*('Changes — Earner 2'!$D$6:$D$17="Other post-tax"))*('Changes — Earner 2'!$B$6:$B$17&lt;=$B22)*('Changes — Earner 2'!$B$6:$B$17&lt;&gt;"")),'Changes — Earner 2'!$I$6:$I$17),'Second Earner'!$D$45))</f>
      </c>
      <c r="BQ22" s="6">
        <f>IF($B22="","",IFERROR(LOOKUP(2,1/(((('Changes — Earner 2'!$C$6:$C$17="Deduction start")+('Changes — Earner 2'!$C$6:$C$17="Deduction stop"))*('Changes — Earner 2'!$D$6:$D$17="Health FSA"))*('Changes — Earner 2'!$B$6:$B$17&lt;=$B22)*('Changes — Earner 2'!$B$6:$B$17&lt;&gt;"")),'Changes — Earner 2'!$J$6:$J$17),0))</f>
      </c>
      <c r="BR22" s="6">
        <f>IF($B22="","",IFERROR(LOOKUP(2,1/(((('Changes — Earner 2'!$C$6:$C$17="Deduction start")+('Changes — Earner 2'!$C$6:$C$17="Deduction stop"))*('Changes — Earner 2'!$D$6:$D$17="Dependent-care FSA"))*('Changes — Earner 2'!$B$6:$B$17&lt;=$B22)*('Changes — Earner 2'!$B$6:$B$17&lt;&gt;"")),'Changes — Earner 2'!$J$6:$J$17),0))</f>
      </c>
      <c r="BS22" s="6">
        <f>IF($B22="","",IF(SUMPRODUCT(('Changes — Earner 2'!$C$6:$C$17="Deduction start")*('Changes — Earner 2'!$B$6:$B$17&lt;=$B22)*('Changes — Earner 2'!$B$6:$B$17&lt;&gt;"")*('Changes — Earner 2'!$D$6:$D$17="Health FSA"))&gt;0,1,0))</f>
      </c>
      <c r="BT22" s="6">
        <f>IF($B22="","",IF(SUMPRODUCT(('Changes — Earner 2'!$C$6:$C$17="Deduction start")*('Changes — Earner 2'!$B$6:$B$17&lt;=$B22)*('Changes — Earner 2'!$B$6:$B$17&lt;&gt;"")*('Changes — Earner 2'!$D$6:$D$17="Dependent-care FSA"))&gt;0,1,0))</f>
      </c>
      <c r="BU22" s="24">
        <f>IF($B22="","",IF('Second Earner'!$C$13,SUMPRODUCT(($AH22&gt;=INDEX('How This Works &amp; Sources'!$B$29:$J$36,0,IF('Second Earner'!$C$12="MFJ",1,IF('Second Earner'!$C$12="HoH",7,4))))*INDEX('How This Works &amp; Sources'!$B$29:$J$36,0,IF('Second Earner'!$C$12="MFJ",1,IF('Second Earner'!$C$12="HoH",7,4))+2)),SUMPRODUCT(($AH22&gt;=INDEX('How This Works &amp; Sources'!$B$19:$J$26,0,IF('Second Earner'!$C$12="MFJ",1,IF('Second Earner'!$C$12="HoH",7,4))))*INDEX('How This Works &amp; Sources'!$B$19:$J$26,0,IF('Second Earner'!$C$12="MFJ",1,IF('Second Earner'!$C$12="HoH",7,4))+2))))</f>
      </c>
      <c r="BV22" s="24">
        <f>IF($B22="","",IF($BZ22&lt;&gt;"",$BZ22,IF($CA22&lt;&gt;"",$CA22,IF($CB22&lt;&gt;"",$CB22,IF($CC22&lt;&gt;"",$CC22,0)))))</f>
      </c>
      <c r="BW22" s="7">
        <f>IF($B22="","",IF($AN22="AR",SUMPRODUCT(($AZ22&gt;INDEX('How This Works &amp; Sources'!$B$82:$J$86,0,7))*($AZ22-INDEX('How This Works &amp; Sources'!$B$82:$J$86,0,7))*INDEX('How This Works &amp; Sources'!$B$82:$J$86,0,7+2)),IF($AN22="MD",IF(OR($AU22="Married",$AU22="Head of household"),SUMPRODUCT(($AZ22&gt;INDEX('How This Works &amp; Sources'!$B$114:$J$120,0,1))*($AZ22-INDEX('How This Works &amp; Sources'!$B$114:$J$120,0,1))*INDEX('How This Works &amp; Sources'!$B$114:$J$120,0,1+2)),SUMPRODUCT(($AZ22&gt;INDEX('How This Works &amp; Sources'!$B$103:$J$109,0,7))*($AZ22-INDEX('How This Works &amp; Sources'!$B$103:$J$109,0,7))*INDEX('How This Works &amp; Sources'!$B$103:$J$109,0,7+2))),IF($AN22="MT",IF($AU22="Head of household",SUMPRODUCT(($AZ22&gt;INDEX('How This Works &amp; Sources'!$B$137:$J$139,0,1))*($AZ22-INDEX('How This Works &amp; Sources'!$B$137:$J$139,0,1))*INDEX('How This Works &amp; Sources'!$B$137:$J$139,0,1+2)),IF($AU22="Married",SUMPRODUCT(($AZ22&gt;INDEX('How This Works &amp; Sources'!$B$125:$J$132,0,7))*($AZ22-INDEX('How This Works &amp; Sources'!$B$125:$J$132,0,7))*INDEX('How This Works &amp; Sources'!$B$125:$J$132,0,7+2)),SUMPRODUCT(($AZ22&gt;INDEX('How This Works &amp; Sources'!$B$125:$J$132,0,4))*($AZ22-INDEX('How This Works &amp; Sources'!$B$125:$J$132,0,4))*INDEX('How This Works &amp; Sources'!$B$125:$J$132,0,4+2)))),IF($AN22="ND",IF($AU22="Head of household",SUMPRODUCT(($AZ22&gt;INDEX('How This Works &amp; Sources'!$B$144:$J$150,0,1))*($AZ22-INDEX('How This Works &amp; Sources'!$B$144:$J$150,0,1))*INDEX('How This Works &amp; Sources'!$B$144:$J$150,0,1+2)),IF($AU22="Married",SUMPRODUCT(($AZ22&gt;INDEX('How This Works &amp; Sources'!$B$137:$J$139,0,7))*($AZ22-INDEX('How This Works &amp; Sources'!$B$137:$J$139,0,7))*INDEX('How This Works &amp; Sources'!$B$137:$J$139,0,7+2)),SUMPRODUCT(($AZ22&gt;INDEX('How This Works &amp; Sources'!$B$137:$J$139,0,4))*($AZ22-INDEX('How This Works &amp; Sources'!$B$137:$J$139,0,4))*INDEX('How This Works &amp; Sources'!$B$137:$J$139,0,4+2)))),IF($AN22="NJ",IF('Second Earner'!$C$77="B",SUMPRODUCT(($AZ22&gt;INDEX('How This Works &amp; Sources'!$B$155:$J$162,0,4))*($AZ22-INDEX('How This Works &amp; Sources'!$B$155:$J$162,0,4))*INDEX('How This Works &amp; Sources'!$B$155:$J$162,0,4+2)),IF('Second Earner'!$C$77="C",SUMPRODUCT(($AZ22&gt;INDEX('How This Works &amp; Sources'!$B$155:$J$162,0,7))*($AZ22-INDEX('How This Works &amp; Sources'!$B$155:$J$162,0,7))*INDEX('How This Works &amp; Sources'!$B$155:$J$162,0,7+2)),IF('Second Earner'!$C$77="D",SUMPRODUCT(($AZ22&gt;INDEX('How This Works &amp; Sources'!$B$167:$J$179,0,1))*($AZ22-INDEX('How This Works &amp; Sources'!$B$167:$J$179,0,1))*INDEX('How This Works &amp; Sources'!$B$167:$J$179,0,1+2)),IF('Second Earner'!$C$77="E",SUMPRODUCT(($AZ22&gt;INDEX('How This Works &amp; Sources'!$B$167:$J$179,0,4))*($AZ22-INDEX('How This Works &amp; Sources'!$B$167:$J$179,0,4))*INDEX('How This Works &amp; Sources'!$B$167:$J$179,0,4+2)),SUMPRODUCT(($AZ22&gt;INDEX('How This Works &amp; Sources'!$B$155:$J$162,0,1))*($AZ22-INDEX('How This Works &amp; Sources'!$B$155:$J$162,0,1))*INDEX('How This Works &amp; Sources'!$B$155:$J$162,0,1+2)))))),IF($AN22="NY",IF($AU22="Married",IF($AZ22&gt;=2155350,$AZ22*IF($AZ22&gt;25000000,0.117,IF($AZ22&gt;5000000,0.111,0.1045)),SUMPRODUCT(($AZ22&gt;INDEX('How This Works &amp; Sources'!$B$184:$J$198,0,1))*($AZ22-INDEX('How This Works &amp; Sources'!$B$184:$J$198,0,1))*INDEX('How This Works &amp; Sources'!$B$184:$J$198,0,1+2))),IF($AZ22&gt;=1077550,$AZ22*IF($AZ22&gt;25000000,0.117,IF($AZ22&gt;5000000,0.111,0.1045)),SUMPRODUCT(($AZ22&gt;INDEX('How This Works &amp; Sources'!$B$167:$J$179,0,7))*($AZ22-INDEX('How This Works &amp; Sources'!$B$167:$J$179,0,7))*INDEX('How This Works &amp; Sources'!$B$167:$J$179,0,7+2)))),"")))))))</f>
      </c>
      <c r="BX22" s="7">
        <f>IF($B22="","",IF($AN22="AL",IF(OR($AU22="Married",$AU22="Head of household"),SUMPRODUCT(($AZ22&gt;INDEX('How This Works &amp; Sources'!$B$82:$J$86,0,4))*($AZ22-INDEX('How This Works &amp; Sources'!$B$82:$J$86,0,4))*INDEX('How This Works &amp; Sources'!$B$82:$J$86,0,4+2)),SUMPRODUCT(($AZ22&gt;INDEX('How This Works &amp; Sources'!$B$82:$J$86,0,1))*($AZ22-INDEX('How This Works &amp; Sources'!$B$82:$J$86,0,1))*INDEX('How This Works &amp; Sources'!$B$82:$J$86,0,1+2))),IF($AN22="KS",IF($AU22="Married",SUMPRODUCT(($AZ22&gt;INDEX('How This Works &amp; Sources'!$B$103:$J$109,0,4))*($AZ22-INDEX('How This Works &amp; Sources'!$B$103:$J$109,0,4))*INDEX('How This Works &amp; Sources'!$B$103:$J$109,0,4+2)),SUMPRODUCT(($AZ22&gt;INDEX('How This Works &amp; Sources'!$B$103:$J$109,0,1))*($AZ22-INDEX('How This Works &amp; Sources'!$B$103:$J$109,0,1))*INDEX('How This Works &amp; Sources'!$B$103:$J$109,0,1+2))),IF($AN22="MN",IF($AU22="Married",SUMPRODUCT(($AZ22&gt;INDEX('How This Works &amp; Sources'!$B$114:$J$120,0,7))*($AZ22-INDEX('How This Works &amp; Sources'!$B$114:$J$120,0,7))*INDEX('How This Works &amp; Sources'!$B$114:$J$120,0,7+2)),SUMPRODUCT(($AZ22&gt;INDEX('How This Works &amp; Sources'!$B$114:$J$120,0,4))*($AZ22-INDEX('How This Works &amp; Sources'!$B$114:$J$120,0,4))*INDEX('How This Works &amp; Sources'!$B$114:$J$120,0,4+2))),IF($AN22="MO",SUMPRODUCT(($AZ22&gt;INDEX('How This Works &amp; Sources'!$B$125:$J$132,0,1))*($AZ22-INDEX('How This Works &amp; Sources'!$B$125:$J$132,0,1))*INDEX('How This Works &amp; Sources'!$B$125:$J$132,0,1+2)),IF($AN22="NE",MAX(IF($AU22="Married",SUMPRODUCT(($AZ22&gt;INDEX('How This Works &amp; Sources'!$B$144:$J$150,0,7))*($AZ22-INDEX('How This Works &amp; Sources'!$B$144:$J$150,0,7))*INDEX('How This Works &amp; Sources'!$B$144:$J$150,0,7+2)),SUMPRODUCT(($AZ22&gt;INDEX('How This Works &amp; Sources'!$B$144:$J$150,0,4))*($AZ22-INDEX('How This Works &amp; Sources'!$B$144:$J$150,0,4))*INDEX('How This Works &amp; Sources'!$B$144:$J$150,0,4+2))),0.015*$AZ22),IF($AN22="OH",IF($B22&gt;=DATE(2026,8,1),SUMPRODUCT(($AZ22&gt;INDEX('How This Works &amp; Sources'!$B$203:$J$206,0,1))*($AZ22-INDEX('How This Works &amp; Sources'!$B$203:$J$206,0,1))*INDEX('How This Works &amp; Sources'!$B$203:$J$206,0,1+2)),SUMPRODUCT(($AZ22&gt;INDEX('How This Works &amp; Sources'!$B$184:$J$198,0,7))*($AZ22-INDEX('How This Works &amp; Sources'!$B$184:$J$198,0,7))*INDEX('How This Works &amp; Sources'!$B$184:$J$198,0,7+2))),IF($AN22="OK",IF($AU22="Married",SUMPRODUCT(($AZ22&gt;INDEX('How This Works &amp; Sources'!$B$203:$J$206,0,7))*($AZ22-INDEX('How This Works &amp; Sources'!$B$203:$J$206,0,7))*INDEX('How This Works &amp; Sources'!$B$203:$J$206,0,7+2)),SUMPRODUCT(($AZ22&gt;INDEX('How This Works &amp; Sources'!$B$203:$J$206,0,4))*($AZ22-INDEX('How This Works &amp; Sources'!$B$203:$J$206,0,4))*INDEX('How This Works &amp; Sources'!$B$203:$J$206,0,4+2))),IF($AN22="VT",IF($AU22="Married",SUMPRODUCT(($AZ22&gt;INDEX('How This Works &amp; Sources'!$B$228:$J$232,0,1))*($AZ22-INDEX('How This Works &amp; Sources'!$B$228:$J$232,0,1))*INDEX('How This Works &amp; Sources'!$B$228:$J$232,0,1+2)),SUMPRODUCT(($AZ22&gt;INDEX('How This Works &amp; Sources'!$B$219:$J$223,0,7))*($AZ22-INDEX('How This Works &amp; Sources'!$B$219:$J$223,0,7))*INDEX('How This Works &amp; Sources'!$B$219:$J$223,0,7+2))),IF($AN22="WV",IF($AU22="Married",SUMPRODUCT(($AZ22&gt;INDEX('How This Works &amp; Sources'!$B$237:$J$241,0,7))*($AZ22-INDEX('How This Works &amp; Sources'!$B$237:$J$241,0,7))*INDEX('How This Works &amp; Sources'!$B$237:$J$241,0,7+2)),SUMPRODUCT(($AZ22&gt;INDEX('How This Works &amp; Sources'!$B$228:$J$232,0,7))*($AZ22-INDEX('How This Works &amp; Sources'!$B$228:$J$232,0,7))*INDEX('How This Works &amp; Sources'!$B$228:$J$232,0,7+2))),""))))))))))</f>
      </c>
      <c r="BY22" s="7">
        <f>IF($B22="","",IF($AN22="DE",SUMPRODUCT(($AZ22&gt;INDEX('How This Works &amp; Sources'!$B$91:$J$98,0,1))*($AZ22-INDEX('How This Works &amp; Sources'!$B$91:$J$98,0,1))*INDEX('How This Works &amp; Sources'!$B$91:$J$98,0,1+2)),IF($AN22="HI",IF($AU22="Married",SUMPRODUCT(($AZ22&gt;INDEX('How This Works &amp; Sources'!$B$91:$J$98,0,7))*($AZ22-INDEX('How This Works &amp; Sources'!$B$91:$J$98,0,7))*INDEX('How This Works &amp; Sources'!$B$91:$J$98,0,7+2)),SUMPRODUCT(($AZ22&gt;INDEX('How This Works &amp; Sources'!$B$91:$J$98,0,4))*($AZ22-INDEX('How This Works &amp; Sources'!$B$91:$J$98,0,4))*INDEX('How This Works &amp; Sources'!$B$91:$J$98,0,4+2))),IF($AN22="RI",SUMPRODUCT(($AZ22&gt;INDEX('How This Works &amp; Sources'!$B$211:$J$214,0,7))*($AZ22-INDEX('How This Works &amp; Sources'!$B$211:$J$214,0,7))*INDEX('How This Works &amp; Sources'!$B$211:$J$214,0,7+2)),IF($AN22="SC",SUMPRODUCT(($AZ22&gt;INDEX('How This Works &amp; Sources'!$B$219:$J$223,0,1))*($AZ22-INDEX('How This Works &amp; Sources'!$B$219:$J$223,0,1))*INDEX('How This Works &amp; Sources'!$B$219:$J$223,0,1+2)),IF($AN22="VA",SUMPRODUCT(($AZ22&gt;INDEX('How This Works &amp; Sources'!$B$219:$J$223,0,4))*($AZ22-INDEX('How This Works &amp; Sources'!$B$219:$J$223,0,4))*INDEX('How This Works &amp; Sources'!$B$219:$J$223,0,4+2)),IF($AN22="WI",SUMPRODUCT(($AZ22&gt;INDEX('How This Works &amp; Sources'!$B$228:$J$232,0,4))*($AZ22-INDEX('How This Works &amp; Sources'!$B$228:$J$232,0,4))*INDEX('How This Works &amp; Sources'!$B$228:$J$232,0,4+2)),"")))))))</f>
      </c>
      <c r="BZ22" s="24">
        <f>IF($B22="","",IF($AN22="KS",IF($AU22="Married",SUMPRODUCT(($AZ22&gt;=INDEX('How This Works &amp; Sources'!$B$103:$J$109,0,4))*INDEX('How This Works &amp; Sources'!$B$103:$J$109,0,4+2)),SUMPRODUCT(($AZ22&gt;=INDEX('How This Works &amp; Sources'!$B$103:$J$109,0,1))*INDEX('How This Works &amp; Sources'!$B$103:$J$109,0,1+2))),IF($AN22="MT",IF($AU22="Head of household",SUMPRODUCT(($AZ22&gt;=INDEX('How This Works &amp; Sources'!$B$137:$J$139,0,1))*INDEX('How This Works &amp; Sources'!$B$137:$J$139,0,1+2)),IF($AU22="Married",SUMPRODUCT(($AZ22&gt;=INDEX('How This Works &amp; Sources'!$B$125:$J$132,0,7))*INDEX('How This Works &amp; Sources'!$B$125:$J$132,0,7+2)),SUMPRODUCT(($AZ22&gt;=INDEX('How This Works &amp; Sources'!$B$125:$J$132,0,4))*INDEX('How This Works &amp; Sources'!$B$125:$J$132,0,4+2)))),IF($AN22="OR",IF(OR($AU22="Married",AND($AU22="Single",$AS22&gt;=3)),SUMPRODUCT((MAX(0,$AY22-MIN(($P22-'How This Works &amp; Sources'!$C$10*$D22)*'Second Earner'!$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Sources'!$B$211:$J$214,0,4))*INDEX('How This Works &amp; Sources'!$B$211:$J$214,0,4+2)),SUMPRODUCT((MAX(0,$AY22-MIN(($P22-'How This Works &amp; Sources'!$C$10*$D22)*'Second Earner'!$C$8,IF(OR($AU22="Married",AND($AU22="Single",$AS22&gt;=3)),IF($AY22&lt;250000,8750,IF($AY22&lt;260000,7000,IF($AY22&lt;270000,5250,IF($AY22&lt;280000,3500,IF($AY22&lt;290000,1750,0))))),IF($AY22&lt;125000,8750,IF($AY22&lt;130000,7000,IF($AY22&lt;135000,5250,IF($AY22&lt;140000,3500,IF($AY22&lt;145000,1750,0)))))))-IF(OR($AU22="Married",AND($AU22="Single",$AS22&gt;=3)),5820,2910))&gt;=INDEX('How This Works &amp; Sources'!$B$211:$J$214,0,1))*INDEX('How This Works &amp; Sources'!$B$211:$J$214,0,1+2)))*IF(($P22-'How This Works &amp; Sources'!$C$10*$D22)*'Second Earner'!$C$8&gt;=IF(OR($AU22="Married",AND($AU22="Single",$AS22&gt;=3)),IF($AY22&lt;250000,8750,IF($AY22&lt;260000,7000,IF($AY22&lt;270000,5250,IF($AY22&lt;280000,3500,IF($AY22&lt;290000,1750,0))))),IF($AY22&lt;125000,8750,IF($AY22&lt;130000,7000,IF($AY22&lt;135000,5250,IF($AY22&lt;140000,3500,IF($AY22&lt;145000,1750,0)))))),1,1-IF('Second Earner'!$C$13,SUMPRODUCT(($AH22&gt;=INDEX('How This Works &amp; Sources'!$B$29:$J$36,0,IF('Second Earner'!$C$12="MFJ",1,IF('Second Earner'!$C$12="HoH",7,4))))*INDEX('How This Works &amp; Sources'!$B$29:$J$36,0,IF('Second Earner'!$C$12="MFJ",1,IF('Second Earner'!$C$12="HoH",7,4))+2)),SUMPRODUCT(($AH22&gt;=INDEX('How This Works &amp; Sources'!$B$19:$J$26,0,IF('Second Earner'!$C$12="MFJ",1,IF('Second Earner'!$C$12="HoH",7,4))))*INDEX('How This Works &amp; Sources'!$B$19:$J$26,0,IF('Second Earner'!$C$12="MFJ",1,IF('Second Earner'!$C$12="HoH",7,4))+2)))),""))))</f>
      </c>
      <c r="CA22" s="24">
        <f>IF($B22="","",IF($AN22="CA",SUMPRODUCT(($AJ22&gt;=INDEX('How This Works &amp; Sources'!$B$39:$J$48,0,IF($AU22="Married",4,IF($AU22="Head of household",7,1))))*INDEX('How This Works &amp; Sources'!$B$39:$J$48,0,IF($AU22="Married",4,IF($AU22="Head of household",7,1))+2)),IF($AN22="AL",IF(OR($AU22="Married",$AU22="Head of household"),SUMPRODUCT(($AZ22&gt;=INDEX('How This Works &amp; Sources'!$B$82:$J$86,0,4))*INDEX('How This Works &amp; Sources'!$B$82:$J$86,0,4+2)),SUMPRODUCT(($AZ22&gt;=INDEX('How This Works &amp; Sources'!$B$82:$J$86,0,1))*INDEX('How This Works &amp; Sources'!$B$82:$J$86,0,1+2)))*(1-IF('Second Earner'!$C$13,SUMPRODUCT(($AH22&gt;=INDEX('How This Works &amp; Sources'!$B$29:$J$36,0,IF('Second Earner'!$C$12="MFJ",1,IF('Second Earner'!$C$12="HoH",7,4))))*INDEX('How This Works &amp; Sources'!$B$29:$J$36,0,IF('Second Earner'!$C$12="MFJ",1,IF('Second Earner'!$C$12="HoH",7,4))+2)),SUMPRODUCT(($AH22&gt;=INDEX('How This Works &amp; Sources'!$B$19:$J$26,0,IF('Second Earner'!$C$12="MFJ",1,IF('Second Earner'!$C$12="HoH",7,4))))*INDEX('How This Works &amp; Sources'!$B$19:$J$26,0,IF('Second Earner'!$C$12="MFJ",1,IF('Second Earner'!$C$12="HoH",7,4))+2)))),IF($AN22="ND",IF($AU22="Head of household",SUMPRODUCT(($AZ22&gt;=INDEX('How This Works &amp; Sources'!$B$144:$J$150,0,1))*INDEX('How This Works &amp; Sources'!$B$144:$J$150,0,1+2)),IF($AU22="Married",SUMPRODUCT(($AZ22&gt;=INDEX('How This Works &amp; Sources'!$B$137:$J$139,0,7))*INDEX('How This Works &amp; Sources'!$B$137:$J$139,0,7+2)),SUMPRODUCT(($AZ22&gt;=INDEX('How This Works &amp; Sources'!$B$137:$J$139,0,4))*INDEX('How This Works &amp; Sources'!$B$137:$J$139,0,4+2)))),IF($AN22="NJ",IF('Second Earner'!$C$77="B",SUMPRODUCT(($AZ22&gt;=INDEX('How This Works &amp; Sources'!$B$155:$J$162,0,4))*INDEX('How This Works &amp; Sources'!$B$155:$J$162,0,4+2)),IF('Second Earner'!$C$77="C",SUMPRODUCT(($AZ22&gt;=INDEX('How This Works &amp; Sources'!$B$155:$J$162,0,7))*INDEX('How This Works &amp; Sources'!$B$155:$J$162,0,7+2)),IF('Second Earner'!$C$77="D",SUMPRODUCT(($AZ22&gt;=INDEX('How This Works &amp; Sources'!$B$167:$J$179,0,1))*INDEX('How This Works &amp; Sources'!$B$167:$J$179,0,1+2)),IF('Second Earner'!$C$77="E",SUMPRODUCT(($AZ22&gt;=INDEX('How This Works &amp; Sources'!$B$167:$J$179,0,4))*INDEX('How This Works &amp; Sources'!$B$167:$J$179,0,4+2)),SUMPRODUCT(($AZ22&gt;=INDEX('How This Works &amp; Sources'!$B$155:$J$162,0,1))*INDEX('How This Works &amp; Sources'!$B$155:$J$162,0,1+2)))))),IF($AN22="NY",IF($AU22="Married",IF($AZ22&gt;=2155350,IF($AZ22&gt;25000000,0.117,IF($AZ22&gt;5000000,0.111,0.1045)),SUMPRODUCT(($AZ22&gt;=INDEX('How This Works &amp; Sources'!$B$184:$J$198,0,1))*INDEX('How This Works &amp; Sources'!$B$184:$J$198,0,1+2))),IF($AZ22&gt;=1077550,IF($AZ22&gt;25000000,0.117,IF($AZ22&gt;5000000,0.111,0.1045)),SUMPRODUCT(($AZ22&gt;=INDEX('How This Works &amp; Sources'!$B$167:$J$179,0,7))*INDEX('How This Works &amp; Sources'!$B$167:$J$179,0,7+2)))),IF($AN22="LA",0.0309,"")))))))</f>
      </c>
      <c r="CB22" s="24">
        <f>IF($B22="","",IF($AN22="HI",IF($AU22="Married",SUMPRODUCT(($AZ22&gt;=INDEX('How This Works &amp; Sources'!$B$91:$J$98,0,7))*INDEX('How This Works &amp; Sources'!$B$91:$J$98,0,7+2)),SUMPRODUCT(($AZ22&gt;=INDEX('How This Works &amp; Sources'!$B$91:$J$98,0,4))*INDEX('How This Works &amp; Sources'!$B$91:$J$98,0,4+2))),IF($AN22="MD",IF(OR($AU22="Married",$AU22="Head of household"),SUMPRODUCT(($AZ22&gt;=INDEX('How This Works &amp; Sources'!$B$114:$J$120,0,1))*INDEX('How This Works &amp; Sources'!$B$114:$J$120,0,1+2)),SUMPRODUCT(($AZ22&gt;=INDEX('How This Works &amp; Sources'!$B$103:$J$109,0,7))*INDEX('How This Works &amp; Sources'!$B$103:$J$109,0,7+2)))+'Second Earner'!$C$74,IF($AN22="MN",IF($AU22="Married",SUMPRODUCT(($AZ22&gt;=INDEX('How This Works &amp; Sources'!$B$114:$J$120,0,7))*INDEX('How This Works &amp; Sources'!$B$114:$J$120,0,7+2)),SUMPRODUCT(($AZ22&gt;=INDEX('How This Works &amp; Sources'!$B$114:$J$120,0,4))*INDEX('How This Works &amp; Sources'!$B$114:$J$120,0,4+2))),IF($AN22="MO",SUMPRODUCT(($AZ22&gt;=INDEX('How This Works &amp; Sources'!$B$125:$J$132,0,1))*INDEX('How This Works &amp; Sources'!$B$125:$J$132,0,1+2)),IF($AN22="NE",MAX(IF($AU22="Married",SUMPRODUCT(($AZ22&gt;=INDEX('How This Works &amp; Sources'!$B$144:$J$150,0,7))*INDEX('How This Works &amp; Sources'!$B$144:$J$150,0,7+2)),SUMPRODUCT(($AZ22&gt;=INDEX('How This Works &amp; Sources'!$B$144:$J$150,0,4))*INDEX('How This Works &amp; Sources'!$B$144:$J$150,0,4+2))),0.015),IF($AN22="OH",IF($B22&gt;=DATE(2026,8,1),SUMPRODUCT(($AZ22&gt;=INDEX('How This Works &amp; Sources'!$B$203:$J$206,0,1))*INDEX('How This Works &amp; Sources'!$B$203:$J$206,0,1+2)),SUMPRODUCT(($AZ22&gt;=INDEX('How This Works &amp; Sources'!$B$184:$J$198,0,7))*INDEX('How This Works &amp; Sources'!$B$184:$J$198,0,7+2))),IF($AN22="OK",IF($AU22="Married",SUMPRODUCT(($AZ22&gt;=INDEX('How This Works &amp; Sources'!$B$203:$J$206,0,7))*INDEX('How This Works &amp; Sources'!$B$203:$J$206,0,7+2)),SUMPRODUCT(($AZ22&gt;=INDEX('How This Works &amp; Sources'!$B$203:$J$206,0,4))*INDEX('How This Works &amp; Sources'!$B$203:$J$206,0,4+2))),IF($AN22="RI",SUMPRODUCT(($AZ22&gt;=INDEX('How This Works &amp; Sources'!$B$211:$J$214,0,7))*INDEX('How This Works &amp; Sources'!$B$211:$J$214,0,7+2)),IF($AN22="VT",IF($AU22="Married",SUMPRODUCT(($AZ22&gt;=INDEX('How This Works &amp; Sources'!$B$228:$J$232,0,1))*INDEX('How This Works &amp; Sources'!$B$228:$J$232,0,1+2)),SUMPRODUCT(($AZ22&gt;=INDEX('How This Works &amp; Sources'!$B$219:$J$223,0,7))*INDEX('How This Works &amp; Sources'!$B$219:$J$223,0,7+2))),IF($AN22="WV",IF($AU22="Married",SUMPRODUCT(($AZ22&gt;=INDEX('How This Works &amp; Sources'!$B$237:$J$241,0,7))*INDEX('How This Works &amp; Sources'!$B$237:$J$241,0,7+2)),SUMPRODUCT(($AZ22&gt;=INDEX('How This Works &amp; Sources'!$B$228:$J$232,0,7))*INDEX('How This Works &amp; Sources'!$B$228:$J$232,0,7+2))),IF($AN22="AZ",'Second Earner'!$C$82,IF($AN22="ID",IF($AY22&gt;IF($AU22="Married",32000,16094),0.053,0),"")))))))))))))</f>
      </c>
      <c r="CC22" s="24">
        <f>IF($B22="","",IF($AN22="AR",SUMPRODUCT(($AZ22&gt;=INDEX('How This Works &amp; Sources'!$B$82:$J$86,0,7))*INDEX('How This Works &amp; Sources'!$B$82:$J$86,0,7+2)),IF($AN22="DE",SUMPRODUCT(($AZ22&gt;=INDEX('How This Works &amp; Sources'!$B$91:$J$98,0,1))*INDEX('How This Works &amp; Sources'!$B$91:$J$98,0,1+2)),IF($AN22="SC",SUMPRODUCT(($AZ22&gt;=INDEX('How This Works &amp; Sources'!$B$219:$J$223,0,1))*INDEX('How This Works &amp; Sources'!$B$219:$J$223,0,1+2)),IF($AN22="VA",SUMPRODUCT(($AZ22&gt;=INDEX('How This Works &amp; Sources'!$B$219:$J$223,0,4))*INDEX('How This Works &amp; Sources'!$B$219:$J$223,0,4+2)),IF($AN22="WI",SUMPRODUCT(($AZ22&gt;=INDEX('How This Works &amp; Sources'!$B$228:$J$232,0,4))*INDEX('How This Works &amp; Sources'!$B$228:$J$232,0,4+2)),IF($AN22="CO",IF($AY22&gt;IF($AU22="Married",10000,5000),0.044,0),IF($AN22="IA",IF($AY22&gt;IF($AU22="Head of household",19500,IF($AU22="Married",26000,13000)),0.038,0),IF($AN22="IL",IF($AY22&gt;(2925*$AS22+1000*$AT22),0.0495,0),IF($AN22="IN",(0.0295+'Second Earner'!$C$76),IF($AN22="KY",IF($AI22&gt;3360,0.035,0),IF($AN22="MA",IF(MAX(0,$AY22-MIN(($BD21+$Q22+$R22+$S22),2000)-IF($AS22=0,0,IF($AS22=1,4400,1000*$AS22+3400)))&gt;=1107750,0.09,0.05),IF($AN22="MI",IF($AY22&gt;5900*$AS22,0.0425,0),IF($AN22="MS",IF($AI22-IF($AU22="Head of household",3400,IF($AU22="Married",4600,2300))-'Second Earner'!$C$85&gt;10000,0.04,0),IF($AN22="PA",0.0307,"")))))))))))))))</f>
      </c>
      <c r="CD22" s="21">
        <f>IF(YEAR(IF('Second Earner'!$C$7="Weekly",'Second Earner'!$C$9+7*(($BE21+1)-1),IF('Second Earner'!$C$7="Biweekly",'Second Earner'!$C$9+14*(($BE21+1)-1),IF('Second Earner'!$C$7="Semimonthly",DATE(YEAR('Second Earner'!$C$9),MONTH('Second Earner'!$C$9)+INT((($BE21+1)-1)/2),MIN(DAY('Second Earner'!$C$9),DAY(EOMONTH(DATE(YEAR('Second Earner'!$C$9),MONTH('Second Earner'!$C$9)+INT((($BE21+1)-1)/2),1),0))))+IF(MOD(($BE21+1)-1,2)=1,15,0),EDATE('Second Earner'!$C$9,($BE21+1)-1)))))&lt;&gt;'Second Earner'!$C$10,"",IF('Second Earner'!$C$7="Weekly",'Second Earner'!$C$9+7*(($BE21+1)-1),IF('Second Earner'!$C$7="Biweekly",'Second Earner'!$C$9+14*(($BE21+1)-1),IF('Second Earner'!$C$7="Semimonthly",DATE(YEAR('Second Earner'!$C$9),MONTH('Second Earner'!$C$9)+INT((($BE21+1)-1)/2),MIN(DAY('Second Earner'!$C$9),DAY(EOMONTH(DATE(YEAR('Second Earner'!$C$9),MONTH('Second Earner'!$C$9)+INT((($BE21+1)-1)/2),1),0))))+IF(MOD(($BE21+1)-1,2)=1,15,0),EDATE('Second Earner'!$C$9,($BE21+1)-1)))))</f>
      </c>
      <c r="CE22" s="21">
        <f>IF(MIN(IF(AND('Second Earner'!$C$58&gt;MAX($B$6:$B21),'Second Earner'!$C$58&gt;=DATE('Second Earner'!$C$10,1,1),'Second Earner'!$C$58&lt;=DATE('Second Earner'!$C$10,12,31)),'Second Earner'!$C$58,999999),IF(AND('Second Earner'!$C$59&gt;MAX($B$6:$B21),'Second Earner'!$C$59&gt;=DATE('Second Earner'!$C$10,1,1),'Second Earner'!$C$59&lt;=DATE('Second Earner'!$C$10,12,31)),'Second Earner'!$C$59,999999),IF(AND('Second Earner'!$C$60&gt;MAX($B$6:$B21),'Second Earner'!$C$60&gt;=DATE('Second Earner'!$C$10,1,1),'Second Earner'!$C$60&lt;=DATE('Second Earner'!$C$10,12,31)),'Second Earner'!$C$60,999999),IF(AND('Second Earner'!$C$61&gt;MAX($B$6:$B21),'Second Earner'!$C$61&gt;=DATE('Second Earner'!$C$10,1,1),'Second Earner'!$C$61&lt;=DATE('Second Earner'!$C$10,12,31)),'Second Earner'!$C$61,999999),IF(AND('Second Earner'!$C$62&gt;MAX($B$6:$B21),'Second Earner'!$C$62&gt;=DATE('Second Earner'!$C$10,1,1),'Second Earner'!$C$62&lt;=DATE('Second Earner'!$C$10,12,31)),'Second Earner'!$C$62,999999),IF(AND('Second Earner'!$C$63&gt;MAX($B$6:$B21),'Second Earner'!$C$63&gt;=DATE('Second Earner'!$C$10,1,1),'Second Earner'!$C$63&lt;=DATE('Second Earner'!$C$10,12,31)),'Second Earner'!$C$63,999999),IF(AND('Second Earner'!$C$64&gt;MAX($B$6:$B21),'Second Earner'!$C$64&gt;=DATE('Second Earner'!$C$10,1,1),'Second Earner'!$C$64&lt;=DATE('Second Earner'!$C$10,12,31)),'Second Earner'!$C$64,999999),IF(AND('Second Earner'!$C$65&gt;MAX($B$6:$B21),'Second Earner'!$C$65&gt;=DATE('Second Earner'!$C$10,1,1),'Second Earner'!$C$65&lt;=DATE('Second Earner'!$C$10,12,31)),'Second Earner'!$C$65,999999),IF(AND('Second Earner'!$C$66&gt;MAX($B$6:$B21),'Second Earner'!$C$66&gt;=DATE('Second Earner'!$C$10,1,1),'Second Earner'!$C$66&lt;=DATE('Second Earner'!$C$10,12,31)),'Second Earner'!$C$66,999999),IF(AND('Second Earner'!$C$67&gt;MAX($B$6:$B21),'Second Earner'!$C$67&gt;=DATE('Second Earner'!$C$10,1,1),'Second Earner'!$C$67&lt;=DATE('Second Earner'!$C$10,12,31)),'Second Earner'!$C$67,999999))=999999,"",MIN(IF(AND('Second Earner'!$C$58&gt;MAX($B$6:$B21),'Second Earner'!$C$58&gt;=DATE('Second Earner'!$C$10,1,1),'Second Earner'!$C$58&lt;=DATE('Second Earner'!$C$10,12,31)),'Second Earner'!$C$58,999999),IF(AND('Second Earner'!$C$59&gt;MAX($B$6:$B21),'Second Earner'!$C$59&gt;=DATE('Second Earner'!$C$10,1,1),'Second Earner'!$C$59&lt;=DATE('Second Earner'!$C$10,12,31)),'Second Earner'!$C$59,999999),IF(AND('Second Earner'!$C$60&gt;MAX($B$6:$B21),'Second Earner'!$C$60&gt;=DATE('Second Earner'!$C$10,1,1),'Second Earner'!$C$60&lt;=DATE('Second Earner'!$C$10,12,31)),'Second Earner'!$C$60,999999),IF(AND('Second Earner'!$C$61&gt;MAX($B$6:$B21),'Second Earner'!$C$61&gt;=DATE('Second Earner'!$C$10,1,1),'Second Earner'!$C$61&lt;=DATE('Second Earner'!$C$10,12,31)),'Second Earner'!$C$61,999999),IF(AND('Second Earner'!$C$62&gt;MAX($B$6:$B21),'Second Earner'!$C$62&gt;=DATE('Second Earner'!$C$10,1,1),'Second Earner'!$C$62&lt;=DATE('Second Earner'!$C$10,12,31)),'Second Earner'!$C$62,999999),IF(AND('Second Earner'!$C$63&gt;MAX($B$6:$B21),'Second Earner'!$C$63&gt;=DATE('Second Earner'!$C$10,1,1),'Second Earner'!$C$63&lt;=DATE('Second Earner'!$C$10,12,31)),'Second Earner'!$C$63,999999),IF(AND('Second Earner'!$C$64&gt;MAX($B$6:$B21),'Second Earner'!$C$64&gt;=DATE('Second Earner'!$C$10,1,1),'Second Earner'!$C$64&lt;=DATE('Second Earner'!$C$10,12,31)),'Second Earner'!$C$64,999999),IF(AND('Second Earner'!$C$65&gt;MAX($B$6:$B21),'Second Earner'!$C$65&gt;=DATE('Second Earner'!$C$10,1,1),'Second Earner'!$C$65&lt;=DATE('Second Earner'!$C$10,12,31)),'Second Earner'!$C$65,999999),IF(AND('Second Earner'!$C$66&gt;MAX($B$6:$B21),'Second Earner'!$C$66&gt;=DATE('Second Earner'!$C$10,1,1),'Second Earner'!$C$66&lt;=DATE('Second Earner'!$C$10,12,31)),'Second Earner'!$C$66,999999),IF(AND('Second Earner'!$C$67&gt;MAX($B$6:$B21),'Second Earner'!$C$67&gt;=DATE('Second Earner'!$C$10,1,1),'Second Earner'!$C$67&lt;=DATE('Second Earner'!$C$10,12,31)),'Second Earner'!$C$67,999999)))</f>
      </c>
      <c r="CF22">
        <f>IF($B22="","",IF($D22=0,$Y22,""))</f>
      </c>
    </row>
    <row r="23">
      <c r="A23" t="n">
        <v>18</v>
      </c>
      <c r="B23" s="21">
        <f>IF(AND($CD23="",$CE23=""),"",IF($CE23="",$CD23,IF($CD23="",$CE23,MIN($CD23,$CE23))))</f>
      </c>
      <c r="C23" s="7">
        <f>IF($B23="","",IF($BF23=0,0,IF('Second Earner'!$C$4="Annual salary",ROUND($AK23/IF(AND('Second Earner'!$C$88="Actual paydays",MONTH('Second Earner'!$C$9)=1),MAX(1,MAX($BE$6:$BE$68)),'Second Earner'!$C$8),2),$AK23)))</f>
      </c>
      <c r="D23" s="7">
        <f>IF($B23="","",SUMIF('Second Earner'!$C$58:$C$67,$B23,'Second Earner'!$D$58:$D$67))</f>
      </c>
      <c r="E23" s="7">
        <f>IF($B23="","",ROUND(MAX(0,MIN(IF($AL23="Percent",$AM23*($C23+$D23),$AM23),MAX(0,'Second Earner'!$C$34-$AC22))),2))</f>
      </c>
      <c r="F23" s="7">
        <f>IF($B23="","",ROUND(MAX(0,MIN(IF('Second Earner'!$C$32="Percent",'Second Earner'!$D$32*($C23+$D23),'Second Earner'!$D$32),MAX(0,'Second Earner'!$C$34-$AC22-$E23))),2))</f>
      </c>
      <c r="G23" s="7">
        <f>IF($B23="","",IF($BF23=0,0,ROUND(MAX(0,MIN($BL23,'Second Earner'!$C$37-'Second Earner'!$C$54-$BI22)),2)))</f>
      </c>
      <c r="H23" s="7">
        <f>IF($B23="","",IF(OR($BF23=0,$BQ23=1),0,ROUND(MAX(0,MIN(IF($BS23=1,ROUND(MAX(0,MIN($BJ23,'How This Works &amp; Sources'!$C$13)-$BG22)/MAX(1,MAX($BE$6:$BE$68)-($BE22)),2),ROUND(MIN($BJ23,'How This Works &amp; Sources'!$C$13)/'Second Earner'!$C$8,2)),MIN($BJ23,'How This Works &amp; Sources'!$C$13)-$BG22)),2)))</f>
      </c>
      <c r="I23" s="7">
        <f>IF($B23="","",IF(OR($BF23=0,$BR23=1),0,ROUND(MAX(0,MIN(IF($BT23=1,ROUND(MAX(0,MIN($BK23,IF('Second Earner'!$C$12="MFJ",'How This Works &amp; Sources'!$C$14,'How This Works &amp; Sources'!$C$15))-$BH22)/MAX(1,MAX($BE$6:$BE$68)-($BE22)),2),ROUND(MIN($BK23,IF('Second Earner'!$C$12="MFJ",'How This Works &amp; Sources'!$C$14,'How This Works &amp; Sources'!$C$15))/'Second Earner'!$C$8,2)),MIN($BK23,IF('Second Earner'!$C$12="MFJ",'How This Works &amp; Sources'!$C$14,'How This Works &amp; Sources'!$C$15))-$BH22)),2)))</f>
      </c>
      <c r="J23" s="7">
        <f>IF($B23="","",IF($BF23=0,0,$BM23))</f>
      </c>
      <c r="K23" s="7">
        <f>IF($B23="","",IF($BF23=0,0,$BN23+$BO23))</f>
      </c>
      <c r="L23" s="7">
        <f>IF($B23="","",IF($BF23=0,0,'Second Earner'!$D$46))</f>
      </c>
      <c r="M23" s="7">
        <f>IF($B23="","",$C23+$D23+$L23-$E23-$G23-$H23-$I23-$J23-$K23)</f>
      </c>
      <c r="N23" s="7">
        <f>IF($B23="","",$C23+$D23+$L23-$G23-$H23-$I23-$J23-$K23)</f>
      </c>
      <c r="O23" s="7">
        <f>IF($B23="","",$C23+$D23+$L23-$E23-$H23-$I23-$J23-$K23-IF(OR($AN23="CA",$AN23="NJ"),0,$G23))</f>
      </c>
      <c r="P23" s="7">
        <f>IF($B23="","",IF('Second Earner'!$C$18,0,ROUND(MAX(0,IF('Second Earner'!$C$13,SUMPRODUCT(($AH23&gt;INDEX('How This Works &amp; Sources'!$B$29:$J$36,0,IF('Second Earner'!$C$12="MFJ",1,IF('Second Earner'!$C$12="HoH",7,4))))*($AH23-INDEX('How This Works &amp; Sources'!$B$29:$J$36,0,IF('Second Earner'!$C$12="MFJ",1,IF('Second Earner'!$C$12="HoH",7,4))))*INDEX('How This Works &amp; Sources'!$B$29:$J$36,0,IF('Second Earner'!$C$12="MFJ",1,IF('Second Earner'!$C$12="HoH",7,4))+2)),SUMPRODUCT(($AH23&gt;INDEX('How This Works &amp; Sources'!$B$19:$J$26,0,IF('Second Earner'!$C$12="MFJ",1,IF('Second Earner'!$C$12="HoH",7,4))))*($AH23-INDEX('How This Works &amp; Sources'!$B$19:$J$26,0,IF('Second Earner'!$C$12="MFJ",1,IF('Second Earner'!$C$12="HoH",7,4))))*INDEX('How This Works &amp; Sources'!$B$19:$J$26,0,IF('Second Earner'!$C$12="MFJ",1,IF('Second Earner'!$C$12="HoH",7,4))+2)))/'Second Earner'!$C$8-$AO23/'Second Earner'!$C$8)+$AR23+IF('Second Earner'!$C$89="Aggregate",MAX(0,IF('Second Earner'!$C$13,SUMPRODUCT((($AH23+$D23)&gt;INDEX('How This Works &amp; Sources'!$B$29:$J$36,0,IF('Second Earner'!$C$12="MFJ",1,IF('Second Earner'!$C$12="HoH",7,4))))*(($AH23+$D23)-INDEX('How This Works &amp; Sources'!$B$29:$J$36,0,IF('Second Earner'!$C$12="MFJ",1,IF('Second Earner'!$C$12="HoH",7,4))))*INDEX('How This Works &amp; Sources'!$B$29:$J$36,0,IF('Second Earner'!$C$12="MFJ",1,IF('Second Earner'!$C$12="HoH",7,4))+2)),SUMPRODUCT((($AH23+$D23)&gt;INDEX('How This Works &amp; Sources'!$B$19:$J$26,0,IF('Second Earner'!$C$12="MFJ",1,IF('Second Earner'!$C$12="HoH",7,4))))*(($AH23+$D23)-INDEX('How This Works &amp; Sources'!$B$19:$J$26,0,IF('Second Earner'!$C$12="MFJ",1,IF('Second Earner'!$C$12="HoH",7,4))))*INDEX('How This Works &amp; Sources'!$B$19:$J$26,0,IF('Second Earner'!$C$12="MFJ",1,IF('Second Earner'!$C$12="HoH",7,4))+2)))-IF('Second Earner'!$C$13,SUMPRODUCT(($AH23&gt;INDEX('How This Works &amp; Sources'!$B$29:$J$36,0,IF('Second Earner'!$C$12="MFJ",1,IF('Second Earner'!$C$12="HoH",7,4))))*($AH23-INDEX('How This Works &amp; Sources'!$B$29:$J$36,0,IF('Second Earner'!$C$12="MFJ",1,IF('Second Earner'!$C$12="HoH",7,4))))*INDEX('How This Works &amp; Sources'!$B$29:$J$36,0,IF('Second Earner'!$C$12="MFJ",1,IF('Second Earner'!$C$12="HoH",7,4))+2)),SUMPRODUCT(($AH23&gt;INDEX('How This Works &amp; Sources'!$B$19:$J$26,0,IF('Second Earner'!$C$12="MFJ",1,IF('Second Earner'!$C$12="HoH",7,4))))*($AH23-INDEX('How This Works &amp; Sources'!$B$19:$J$26,0,IF('Second Earner'!$C$12="MFJ",1,IF('Second Earner'!$C$12="HoH",7,4))))*INDEX('How This Works &amp; Sources'!$B$19:$J$26,0,IF('Second Earner'!$C$12="MFJ",1,IF('Second Earner'!$C$12="HoH",7,4))+2)))),'How This Works &amp; Sources'!$C$10*$D23),2)))</f>
      </c>
      <c r="Q23" s="7">
        <f>IF($B23="","",ROUND('How This Works &amp; Sources'!$C$4*MIN($N23,MAX(0,'How This Works &amp; Sources'!$C$3-($AX23+$AB22-$AW23))),2))</f>
      </c>
      <c r="R23" s="7">
        <f>IF($B23="","",ROUND('How This Works &amp; Sources'!$C$5*$N23,2))</f>
      </c>
      <c r="S23" s="7">
        <f>IF($B23="","",ROUND('How This Works &amp; Sources'!$C$6*MAX(0,MIN($N23,$AG22+$N23-'How This Works &amp; Sources'!$C$7)),2))</f>
      </c>
      <c r="T23" s="7">
        <f>IF($B23="","",IF('Second Earner'!$C$26,0,IF($AN23="CA",ROUND(IF($AI23&lt;=IF(($AS23+$AT23)&gt;=2,VLOOKUP($AN23,StateTables!$A$6:$AB$56,10,FALSE),VLOOKUP($AN23,StateTables!$A$6:$AB$56,9,FALSE)),0,MAX(0,SUMPRODUCT(($AJ23&gt;INDEX('How This Works &amp; Sources'!$B$39:$J$48,0,IF($AU23="Married",4,IF($AU23="Head of household",7,1))))*($AJ23-INDEX('How This Works &amp; Sources'!$B$39:$J$48,0,IF($AU23="Married",4,IF($AU23="Head of household",7,1))))*INDEX('How This Works &amp; Sources'!$B$39:$J$48,0,IF($AU23="Married",4,IF($AU23="Head of household",7,1))+2))-VLOOKUP($AN23,StateTables!$A$6:$AB$56,11,FALSE)*$AS23)/'Second Earner'!$C$8)+'Second Earner'!$C$25+VLOOKUP($AN23,StateTables!$A$6:$AB$56,13,FALSE)*$D23,2),IF(VLOOKUP($AN23,StateTables!$A$6:$AB$56,4,FALSE)="None",0,IF(ISNUMBER(SEARCH("MANUAL",VLOOKUP($AN23,StateTables!$A$6:$AB$56,5,FALSE))),'Second Earner'!$C$28,ROUND(MAX(0,$BA23+$BB23)/'Second Earner'!$C$8+'Second Earner'!$C$25+$BC23,2))))))</f>
      </c>
      <c r="U23" s="7">
        <f>IF($B23="","",IF(VLOOKUP($AN23,StateTables!$A$6:$AB$56,24,FALSE)="flatq",IF(OR(MONTH($B23)=1,MONTH($B23)=4,MONTH($B23)=7,MONTH($B23)=10),VLOOKUP($AN23,StateTables!$A$6:$AB$56,25,FALSE),0),IF(VLOOKUP($AN23,StateTables!$A$6:$AB$56,24,FALSE)="dbl",MIN(ROUND(0.005*$N23,2),ROUND(0.6*52/'Second Earner'!$C$8,2)),IF(OR(VLOOKUP($AN23,StateTables!$A$6:$AB$56,15,FALSE)="",VLOOKUP($AN23,StateTables!$A$6:$AB$56,15,FALSE)=0),0,ROUND(VLOOKUP($AN23,StateTables!$A$6:$AB$56,15,FALSE)*IF(OR(VLOOKUP($AN23,StateTables!$A$6:$AB$56,16,FALSE)="",VLOOKUP($AN23,StateTables!$A$6:$AB$56,16,FALSE)=0),$N23,MIN($N23,MAX(0,VLOOKUP($AN23,StateTables!$A$6:$AB$56,16,FALSE)-($AX23+$AB22-$AW23)))),2))))+IF(VLOOKUP($AN23,StateTables!$A$6:$AB$56,27,FALSE)="flatq",IF(OR(MONTH($B23)=1,MONTH($B23)=4,MONTH($B23)=7,MONTH($B23)=10),VLOOKUP($AN23,StateTables!$A$6:$AB$56,28,FALSE),0),IF(VLOOKUP($AN23,StateTables!$A$6:$AB$56,27,FALSE)="dbl",MIN(ROUND(0.005*$N23,2),ROUND(0.6*52/'Second Earner'!$C$8,2)),IF(OR(VLOOKUP($AN23,StateTables!$A$6:$AB$56,18,FALSE)="",VLOOKUP($AN23,StateTables!$A$6:$AB$56,18,FALSE)=0),0,ROUND(VLOOKUP($AN23,StateTables!$A$6:$AB$56,18,FALSE)*IF(OR(VLOOKUP($AN23,StateTables!$A$6:$AB$56,19,FALSE)="",VLOOKUP($AN23,StateTables!$A$6:$AB$56,19,FALSE)=0),$N23,MIN($N23,MAX(0,VLOOKUP($AN23,StateTables!$A$6:$AB$56,19,FALSE)-($AX23+$AB22-$AW23)))),2)))))</f>
      </c>
      <c r="V23" s="7">
        <f>IF($B23="","",IF($AN23="NY",IF('Second Earner'!$C$78,ROUND(SUMPRODUCT((MAX(0,($O23-$D23)*'Second Earner'!$C$8-(IF($AU23="Married",5500,5000)+1000*$AS23))&gt;INDEX('How This Works &amp; Sources'!$B$184:$J$198,0,4))*(MAX(0,($O23-$D23)*'Second Earner'!$C$8-(IF($AU23="Married",5500,5000)+1000*$AS23))-INDEX('How This Works &amp; Sources'!$B$184:$J$198,0,4))*INDEX('How This Works &amp; Sources'!$B$184:$J$198,0,4+2))/'Second Earner'!$C$8+0.0425*$D23,2),0)+IF('Second Earner'!$C$79="Resident",ROUND(0.1675*$T23,2),IF('Second Earner'!$C$79="Nonresident",ROUND(0.005*MAX(0,($O23-$D23)-(IF($AU23="Married",7950,7400)+1000*$AS23)/'Second Earner'!$C$8),2),0)),IF($AN23="PA",IF('Second Earner'!$C$80="None",'Second Earner'!$C$27+ROUND('Second Earner'!$C$81*($C23+$D23),2),ROUND(IF('Second Earner'!$C$80="Resident",IF($B23&lt;DATE(2026,7,1),0.0374,0.03735),IF($B23&lt;DATE(2026,7,1),0.0343,0.03425))*($C23+$D23),2)),IF($BF23=0,ROUND('Second Earner'!$C$81*($C23+$D23),2),'Second Earner'!$C$27+ROUND('Second Earner'!$C$81*($C23+$D23),2)))))</f>
      </c>
      <c r="W23" s="7">
        <f>IF($B23="","",IF($BF23=0,0,$BP23))</f>
      </c>
      <c r="X23" s="7">
        <f>IF($B23="","",SUM($E23:$K23)+$P23+$Q23+$R23+$S23+$T23+$U23+$V23+$W23)</f>
      </c>
      <c r="Y23" s="22">
        <f>IF($B23="","",$C23+$D23-$X23)</f>
      </c>
      <c r="Z23" s="7">
        <f>IF($B23="","",$Z22+$C23+$D23)</f>
      </c>
      <c r="AA23" s="7">
        <f>IF($B23="","",$AA22+$Y23)</f>
      </c>
      <c r="AB23" s="7">
        <f>IF($B23="","",$AB22+MIN($N23,MAX(0,'How This Works &amp; Sources'!$C$3-($AX23+$AB22-$AW23))))</f>
      </c>
      <c r="AC23" s="7">
        <f>IF($B23="","",$AC22+$E23+$F23)</f>
      </c>
      <c r="AD23" s="3">
        <f>IF($B23="","",IF(AND($AB22&lt;'How This Works &amp; Sources'!$C$3,$AB23&gt;='How This Works &amp; Sources'!$C$3),"★ Social Security maxed on this check — from the next check your net rises by about $"&amp;TEXT(ROUND('How This Works &amp; Sources'!$C$4*$N23,2),"#,##0.00")&amp;". ","")&amp;IF(AND($AC22&lt;'Second Earner'!$C$34,$AC23&gt;='Second Earner'!$C$34),"★ 401(k) reaches the $"&amp;TEXT('Second Earner'!$C$34,"#,##0")&amp;" cap on this check — deferrals stop and net pay rises. ","")&amp;IF(AND($AG22&lt;'How This Works &amp; Sources'!$C$7,$AG23&gt;='How This Works &amp; Sources'!$C$7),"★ Wages pass $200,000 — the 0.9% Additional Medicare Tax starts here. ","")&amp;IF(AND($BJ23&gt;0,$H23&gt;0,$BG22&lt;MIN($BJ23,'How This Works &amp; Sources'!$C$13),$BG22+$H23&gt;=MIN($BJ23,'How This Works &amp; Sources'!$C$13)),"★ Health FSA election is now fully deferred for the year. ",""))</f>
      </c>
      <c r="AE23" s="41" t="n"/>
      <c r="AF23" s="7">
        <f>IF(OR($B23="",$AE23=""),"",$AE23-$Y23)</f>
      </c>
      <c r="AG23" s="7">
        <f>IF($B23="","",$AG22+$N23)</f>
      </c>
      <c r="AH23" s="7">
        <f>IF($B23="","",MAX(0,($M23-$D23)*'Second Earner'!$C$8+$AP23-$AQ23-IF('Second Earner'!$C$13,0,IF('Second Earner'!$C$12="MFJ",'How This Works &amp; Sources'!$C$8,'How This Works &amp; Sources'!$C$9))))</f>
      </c>
      <c r="AI23" s="7">
        <f>IF($B23="","",$O23*'Second Earner'!$C$8)</f>
      </c>
      <c r="AJ23" s="7">
        <f>IF($B23="","",MAX(0,$AI23-VLOOKUP($AN23,StateTables!$A$6:$AB$56,12,FALSE)*$AT23-IF(($AS23+$AT23)&gt;=2,VLOOKUP($AN23,StateTables!$A$6:$AB$56,8,FALSE),VLOOKUP($AN23,StateTables!$A$6:$AB$56,7,FALSE))))</f>
      </c>
      <c r="AK23" s="7">
        <f>IF($B23="","",IFERROR(LOOKUP(2,1/(('Changes — Earner 2'!$C$6:$C$17="Salary change")*('Changes — Earner 2'!$B$6:$B$17&lt;=$B23)*('Changes — Earner 2'!$B$6:$B$17&lt;&gt;"")),'Changes — Earner 2'!$D$6:$D$17),IF('Second Earner'!$C$4="Annual salary",'Second Earner'!$C$5,'Second Earner'!$C$6)))</f>
      </c>
      <c r="AL23">
        <f>IF($B23="","",IFERROR(LOOKUP(2,1/(('Changes — Earner 2'!$C$6:$C$17="401(k) change")*('Changes — Earner 2'!$B$6:$B$17&lt;=$B23)*('Changes — Earner 2'!$B$6:$B$17&lt;&gt;"")),'Changes — Earner 2'!$D$6:$D$17),'Second Earner'!$C$30))</f>
      </c>
      <c r="AM23" s="7">
        <f>IF($B23="","",IFERROR(LOOKUP(2,1/(('Changes — Earner 2'!$C$6:$C$17="401(k) change")*('Changes — Earner 2'!$B$6:$B$17&lt;=$B23)*('Changes — Earner 2'!$B$6:$B$17&lt;&gt;"")),'Changes — Earner 2'!$E$6:$E$17),'Second Earner'!$D$31))</f>
      </c>
      <c r="AN23">
        <f>IF($B23="","",IFERROR(LOOKUP(2,1/(('Changes — Earner 2'!$C$6:$C$17="State move")*('Changes — Earner 2'!$B$6:$B$17&lt;=$B23)*('Changes — Earner 2'!$B$6:$B$17&lt;&gt;"")),'Changes — Earner 2'!$D$6:$D$17),'Second Earner'!$C$21))</f>
      </c>
      <c r="AO23" s="7">
        <f>IF($B23="","",IFERROR(LOOKUP(2,1/(('Changes — Earner 2'!$C$6:$C$17="W-4 change")*('Changes — Earner 2'!$B$6:$B$17&lt;=$B23)*('Changes — Earner 2'!$B$6:$B$17&lt;&gt;"")),'Changes — Earner 2'!$D$6:$D$17),'Second Earner'!$C$14))</f>
      </c>
      <c r="AP23" s="7">
        <f>IF($B23="","",IFERROR(LOOKUP(2,1/(('Changes — Earner 2'!$C$6:$C$17="W-4 change")*('Changes — Earner 2'!$B$6:$B$17&lt;=$B23)*('Changes — Earner 2'!$B$6:$B$17&lt;&gt;"")),'Changes — Earner 2'!$E$6:$E$17),'Second Earner'!$C$15))</f>
      </c>
      <c r="AQ23" s="7">
        <f>IF($B23="","",IFERROR(LOOKUP(2,1/(('Changes — Earner 2'!$C$6:$C$17="W-4 change")*('Changes — Earner 2'!$B$6:$B$17&lt;=$B23)*('Changes — Earner 2'!$B$6:$B$17&lt;&gt;"")),'Changes — Earner 2'!$F$6:$F$17),'Second Earner'!$C$16))</f>
      </c>
      <c r="AR23" s="7">
        <f>IF($B23="","",IFERROR(LOOKUP(2,1/(('Changes — Earner 2'!$C$6:$C$17="W-4 change")*('Changes — Earner 2'!$B$6:$B$17&lt;=$B23)*('Changes — Earner 2'!$B$6:$B$17&lt;&gt;"")),'Changes — Earner 2'!$G$6:$G$17),'Second Earner'!$C$17))</f>
      </c>
      <c r="AS23" s="6">
        <f>IF($B23="","",IFERROR(LOOKUP(2,1/((('Changes — Earner 2'!$C$6:$C$17="State move")+('Changes — Earner 2'!$C$6:$C$17="State cert change"))*('Changes — Earner 2'!$B$6:$B$17&lt;=$B23)*('Changes — Earner 2'!$B$6:$B$17&lt;&gt;"")),'Changes — Earner 2'!$F$6:$F$17),'Second Earner'!$C$23))</f>
      </c>
      <c r="AT23" s="6">
        <f>IF($B23="","",IFERROR(LOOKUP(2,1/((('Changes — Earner 2'!$C$6:$C$17="State move")+('Changes — Earner 2'!$C$6:$C$17="State cert change"))*('Changes — Earner 2'!$B$6:$B$17&lt;=$B23)*('Changes — Earner 2'!$B$6:$B$17&lt;&gt;"")),'Changes — Earner 2'!$G$6:$G$17),'Second Earner'!$C$24))</f>
      </c>
      <c r="AU23">
        <f>IF($B23="","",IFERROR(LOOKUP(2,1/(('Changes — Earner 2'!$C$6:$C$17="State move")*('Changes — Earner 2'!$B$6:$B$17&lt;=$B23)*('Changes — Earner 2'!$B$6:$B$17&lt;&gt;"")),'Changes — Earner 2'!$E$6:$E$17),'Second Earner'!$C$22))</f>
      </c>
      <c r="AV23" s="6">
        <f>IF($B23="","",1+COUNTIFS('Changes — Earner 2'!$C$6:$C$17,"Employer change",'Changes — Earner 2'!$B$6:$B$17,"&lt;="&amp;$B23,'Changes — Earner 2'!$B$6:$B$17,"&lt;&gt;"))</f>
      </c>
      <c r="AW23" s="7">
        <f>IF($B23="","",IF($AV23=1,'Second Earner'!$C$49,IF(IFERROR(MATCH(IFERROR(LOOKUP(2,1/(('Changes — Earner 2'!$C$6:$C$17="Employer change")*('Changes — Earner 2'!$B$6:$B$17&lt;=$B23)*('Changes — Earner 2'!$B$6:$B$17&lt;&gt;"")),'Changes — Earner 2'!$B$6:$B$17),""),$B$6:$B$68,1),1)&lt;=1,'Second Earner'!$C$49,INDEX($AB$6:$AB$68,MATCH(IFERROR(LOOKUP(2,1/(('Changes — Earner 2'!$C$6:$C$17="Employer change")*('Changes — Earner 2'!$B$6:$B$17&lt;=$B23)*('Changes — Earner 2'!$B$6:$B$17&lt;&gt;"")),'Changes — Earner 2'!$B$6:$B$17),""),$B$6:$B$68,1)-1))))</f>
      </c>
      <c r="AX23" s="7">
        <f>IF($B23="","",IF($AV23=1,'Second Earner'!$C$49,IFERROR(LOOKUP(2,1/(('Changes — Earner 2'!$C$6:$C$17="Employer change")*('Changes — Earner 2'!$B$6:$B$17&lt;=$B23)*('Changes — Earner 2'!$B$6:$B$17&lt;&gt;"")),'Changes — Earner 2'!$D$6:$D$17),0)))</f>
      </c>
      <c r="AY23" s="7">
        <f>IF($B23="","",($O23-$D23)*'Second Earner'!$C$8)</f>
      </c>
      <c r="AZ23" s="7">
        <f>IF($B23="","",IF($AN23="AL",MAX(0,$AY23-IF($AU23="Married",IF($AY23&lt;=25999,8500,MAX(5000,8500-175*CEILING(($AY23-25999)/500,1))),IF($AU23="Head of household",IF($AY23&lt;=25999,5200,MAX(2500,5200-135*CEILING(($AY23-25999)/500,1))),IF($AY23&lt;=25999,3000,MAX(2500,3000-25*CEILING(($AY23-25999)/500,1)))))-($P23-'How This Works &amp; Sources'!$C$10*$D23)*'Second Earner'!$C$8-IF(OR($AU23="Married",$AU23="Head of household"),3000,1500)-$AT23*IF($AY23&lt;=50000,1000,IF($AY23&lt;=100000,500,300))),IF($AN23="AR",IF(MAX(0,$AY23-2470)&lt;97701,INT(MAX(0,$AY23-2470)/100)*100+50,MAX(0,$AY23-2470)),IF($AN23="DE",MAX(0,$AI23-3250),IF($AN23="HI",MAX(0,$AI23-1144*$AS23-4350),IF($AN23="KS",MAX(0,$AI23-(9160*IF($AU23="Married",2,1)+2320*$AT23+IF($AU23="Head of household",2320,0))),IF($AN23="MD",MAX(0,$AI23-3400-3200*$AS23),IF($AN23="MN",MAX(0,$AY23-5300*$AS23),IF($AN23="MO",MAX(0,$AI23-IF($AU23="Head of household",24150,IF($AU23="Married",IF('Second Earner'!$C$83,16100,32200),16100))),IF($AN23="MT",$AY23,IF($AN23="ND",($C23+$L23)*'Second Earner'!$C$8,IF($AN23="NE",MAX(0,$AY23-2440*$AS23),IF($AN23="NJ",MAX(0,$AY23-1000*$AS23),IF($AN23="NY",MAX(0,$AY23-(IF($AU23="Married",7950,7400)+1000*$AS23)),IF($AN23="OH",MAX(0,$AY23-650*$AS23),IF($AN23="OK",MAX(0,$AY23-1000*$AS23),IF($AN23="RI",MAX(0,$AI23-1000*$AS23),IF($AN23="SC",MAX(0,$AI23-5000*$AS23-IF($AS23=0,0,MIN(0.1*$AI23,7500))),IF($AN23="VA",MAX(0,$AI23-IF($AU23="Married",17500,8750)-930*$AS23-800*$AT23),IF($AN23="VT",MAX(0,$AI23-5400*$AS23),IF($AN23="WI",MAX(0,$AI23-MAX(0,IF($AU23="Married",9461-0.2*MAX(0,$AI23-25727),6702-0.12*MAX(0,$AI23-17780)))-400*$AS23),IF($AN23="WV",MAX(0,$AI23-2000*$AS23),$AI23))))))))))))))))))))))</f>
      </c>
      <c r="BA23" s="7">
        <f>IF($B23="","",IF($BW23&lt;&gt;"",$BW23,IF($BX23&lt;&gt;"",$BX23,IF($BY23&lt;&gt;"",$BY23,0))))</f>
      </c>
      <c r="BB23" s="7">
        <f>IF($B23="","",IF($AN23="AR",-29*$AS23,IF($AN23="DE",-110*$AS23,IF($AN23="MD",$AZ23*'Second Earner'!$C$74,IF($AN23="AZ",'Second Earner'!$C$82*($M23-$D23)*'Second Earner'!$C$8,IF($AN23="CO",0.044*MAX(0,$AY23-IF($AU23="Married",10000,5000)),IF($AN23="IA",MAX(0,0.038*MAX(0,$AY23-IF($AU23="Head of household",19500,IF($AU23="Married",26000,13000)))-40*$AS23),IF($AN23="ID",0.053*MAX(0,$AY23-IF($AU23="Married",32000,16094)),IF($AN23="IL",0.0495*MAX(0,$AY23-(2925*$AS23+1000*$AT23)),IF($AN23="IN",(0.0295+'Second Earner'!$C$76)*MAX(0,$AY23-(1000*$AS23+1500*$AT23+3000*'Second Earner'!$C$86)),IF($AN23="KY",0.035*MAX(0,$AI23-3360),IF($AN23="LA",IF('Second Earner'!$C$84="0",0.0309*$AI23,0.0309*MAX(0,$AI23-IF('Second Earner'!$C$84="2",25750,12875))),IF($AN23="MA",0.05*MIN(MAX(0,$AY23-MIN(($BD22+$Q23+$R23+$S23),2000)-IF($AS23=0,0,IF($AS23=1,4400,1000*$AS23+3400))),1107750)+0.09*MAX(0,MAX(0,$AY23-MIN(($BD22+$Q23+$R23+$S23),2000)-IF($AS23=0,0,IF($AS23=1,4400,1000*$AS23+3400)))-1107750)-IF($AU23="Head of household",120,0)-110*'Second Earner'!$C$75,IF($AN23="MI",0.0425*MAX(0,$AY23-5900*$AS23),IF($AN23="MS",0.04*MAX(0,$AI23-IF($AU23="Head of household",3400,IF($AU23="Married",4600,2300))-'Second Earner'!$C$85-10000),IF($AN23="OR",IF(OR($AU23="Married",AND($AU23="Single",$AS23&gt;=3)),SUMPRODUCT((MAX(0,$AY23-MIN(($P23-'How This Works &amp; Sources'!$C$10*$D23)*'Second Earner'!$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Sources'!$B$211:$J$214,0,4))*(MAX(0,$AY23-MIN(($P23-'How This Works &amp; Sources'!$C$10*$D23)*'Second Earner'!$C$8,IF(OR($AU23="Married",AND($AU23="Single",$AS23&gt;=3)),IF($AY23&lt;250000,8750,IF($AY23&lt;260000,7000,IF($AY23&lt;270000,5250,IF($AY23&lt;280000,3500,IF($AY23&lt;290000,1750,0))))),IF($AY23&lt;125000,8750,IF($AY23&lt;130000,7000,IF($AY23&lt;135000,5250,IF($AY23&lt;140000,3500,IF($AY23&lt;145000,1750,0)))))))-IF(OR($AU23="Married",AND($AU23="Single",$AS23&gt;=3)),5820,2910))-INDEX('How This Works &amp; Sources'!$B$211:$J$214,0,4))*INDEX('How This Works &amp; Sources'!$B$211:$J$214,0,4+2)),SUMPRODUCT((MAX(0,$AY23-MIN(($P23-'How This Works &amp; Sources'!$C$10*$D23)*'Second Earner'!$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Sources'!$B$211:$J$214,0,1))*(MAX(0,$AY23-MIN(($P23-'How This Works &amp; Sources'!$C$10*$D23)*'Second Earner'!$C$8,IF(OR($AU23="Married",AND($AU23="Single",$AS23&gt;=3)),IF($AY23&lt;250000,8750,IF($AY23&lt;260000,7000,IF($AY23&lt;270000,5250,IF($AY23&lt;280000,3500,IF($AY23&lt;290000,1750,0))))),IF($AY23&lt;125000,8750,IF($AY23&lt;130000,7000,IF($AY23&lt;135000,5250,IF($AY23&lt;140000,3500,IF($AY23&lt;145000,1750,0)))))))-IF(OR($AU23="Married",AND($AU23="Single",$AS23&gt;=3)),5820,2910))-INDEX('How This Works &amp; Sources'!$B$211:$J$214,0,1))*INDEX('How This Works &amp; Sources'!$B$211:$J$214,0,1+2)))+263-263*IF(IF($AU23="Married",$AY23&gt;200000,$AY23&gt;100000),0,$AS23),IF($AN23="PA",0.0307*(($O23+$E23+$G23)*'Second Earner'!$C$8),IF($AN23="NY",IF($AU23="Married",IF($AZ23&gt;=2155350,0,IF($AZ23&gt;=1077550,0.48,IF($AZ23&gt;=373200,1.21,IF($AZ23&gt;=323200,0.21,IF($AZ23&gt;=211550,-0.19,IF($AZ23&gt;=157650,-2.8,IF($AZ23&gt;=107650,-0.8,IF($AZ23&gt;=96800,0.05,IF($AZ23&gt;=80650,-0.1,IF($AZ23&gt;=13900,0.4,IF($AZ23&gt;=11700,-0.3,IF($AZ23&gt;=8500,0.5,0)))))))))))),IF($AZ23&gt;=1077550,0,IF($AZ23&gt;=265400,4.29,IF($AZ23&gt;=215400,2.29,IF($AZ23&gt;=157650,2.29,IF($AZ23&gt;=107650,0.29,IF($AZ23&gt;=96800,0.05,IF($AZ23&gt;=80650,-0.1,IF($AZ23&gt;=13900,0.4,IF($AZ23&gt;=11700,-0.3,IF($AZ23&gt;=8500,0.5,0))))))))))),0))))))))))))))))))</f>
      </c>
      <c r="BC23" s="7">
        <f>IF($B23="","",IF($AN23="AL",0.05*$D23,IF($AN23="AR",0.039*$D23,IF($AN23="ID",0.053*$D23,IF($AN23="IN",(0.0295+'Second Earner'!$C$76)*$D23,IF($AN23="KS",0.05*$D23,IF($AN23="MA",0.09*MIN($D23,MAX(0,MAX(0,$AY23-MIN(($BD22+$Q23+$R23+$S23),2000)-IF($AS23=0,0,IF($AS23=1,4400,1000*$AS23+3400)))+$D23-1107750))+0.05*($D23-MIN($D23,MAX(0,MAX(0,$AY23-MIN(($BD22+$Q23+$R23+$S23),2000)-IF($AS23=0,0,IF($AS23=1,4400,1000*$AS23+3400)))+$D23-1107750))),IF($AN23="MD",(0.065+'Second Earner'!$C$74)*$D23,IF($AN23="MI",0.0425*$D23,IF($AN23="MN",0.0625*$D23,IF($AN23="MO",0.047*$D23,IF($AN23="MT",0.05*$D23,IF($AN23="ND",0.015*$D23,IF($AN23="NE",0.035*$D23,IF($AN23="NJ",IF('Second Earner'!$C$77="B",SUMPRODUCT(($D23*'Second Earner'!$C$8&gt;INDEX('How This Works &amp; Sources'!$B$155:$J$162,0,4))*($D23*'Second Earner'!$C$8-INDEX('How This Works &amp; Sources'!$B$155:$J$162,0,4))*INDEX('How This Works &amp; Sources'!$B$155:$J$162,0,4+2)),IF('Second Earner'!$C$77="C",SUMPRODUCT(($D23*'Second Earner'!$C$8&gt;INDEX('How This Works &amp; Sources'!$B$155:$J$162,0,7))*($D23*'Second Earner'!$C$8-INDEX('How This Works &amp; Sources'!$B$155:$J$162,0,7))*INDEX('How This Works &amp; Sources'!$B$155:$J$162,0,7+2)),IF('Second Earner'!$C$77="D",SUMPRODUCT(($D23*'Second Earner'!$C$8&gt;INDEX('How This Works &amp; Sources'!$B$167:$J$179,0,1))*($D23*'Second Earner'!$C$8-INDEX('How This Works &amp; Sources'!$B$167:$J$179,0,1))*INDEX('How This Works &amp; Sources'!$B$167:$J$179,0,1+2)),IF('Second Earner'!$C$77="E",SUMPRODUCT(($D23*'Second Earner'!$C$8&gt;INDEX('How This Works &amp; Sources'!$B$167:$J$179,0,4))*($D23*'Second Earner'!$C$8-INDEX('How This Works &amp; Sources'!$B$167:$J$179,0,4))*INDEX('How This Works &amp; Sources'!$B$167:$J$179,0,4+2)),SUMPRODUCT(($D23*'Second Earner'!$C$8&gt;INDEX('How This Works &amp; Sources'!$B$155:$J$162,0,1))*($D23*'Second Earner'!$C$8-INDEX('How This Works &amp; Sources'!$B$155:$J$162,0,1))*INDEX('How This Works &amp; Sources'!$B$155:$J$162,0,1+2))))))/'Second Earner'!$C$8,IF($AN23="NY",0.117*$D23,IF($AN23="OH",0.0275*$D23,IF($AN23="OK",0.045*$D23,IF($AN23="OR",0.08*$D23,IF($AN23="WI",IF($AY23&lt;12760,0.0354,IF($AY23&lt;25520,0.0465,IF($AY23&lt;280950,0.053,0.0765)))*$D23,0))))))))))))))))))))</f>
      </c>
      <c r="BD23" s="7">
        <f>IF($B23="","",$BD22+$Q23+$R23+$S23)</f>
      </c>
      <c r="BE23" s="6">
        <f>IF($B23="",$BE22,$BE22+$BF23)</f>
      </c>
      <c r="BF23" s="6">
        <f>IF($B23="","",IF(AND(IF(YEAR(IF('Second Earner'!$C$7="Weekly",'Second Earner'!$C$9+7*(($BE22+1)-1),IF('Second Earner'!$C$7="Biweekly",'Second Earner'!$C$9+14*(($BE22+1)-1),IF('Second Earner'!$C$7="Semimonthly",DATE(YEAR('Second Earner'!$C$9),MONTH('Second Earner'!$C$9)+INT((($BE22+1)-1)/2),MIN(DAY('Second Earner'!$C$9),DAY(EOMONTH(DATE(YEAR('Second Earner'!$C$9),MONTH('Second Earner'!$C$9)+INT((($BE22+1)-1)/2),1),0))))+IF(MOD(($BE22+1)-1,2)=1,15,0),EDATE('Second Earner'!$C$9,($BE22+1)-1)))))&lt;&gt;'Second Earner'!$C$10,"",IF('Second Earner'!$C$7="Weekly",'Second Earner'!$C$9+7*(($BE22+1)-1),IF('Second Earner'!$C$7="Biweekly",'Second Earner'!$C$9+14*(($BE22+1)-1),IF('Second Earner'!$C$7="Semimonthly",DATE(YEAR('Second Earner'!$C$9),MONTH('Second Earner'!$C$9)+INT((($BE22+1)-1)/2),MIN(DAY('Second Earner'!$C$9),DAY(EOMONTH(DATE(YEAR('Second Earner'!$C$9),MONTH('Second Earner'!$C$9)+INT((($BE22+1)-1)/2),1),0))))+IF(MOD(($BE22+1)-1,2)=1,15,0),EDATE('Second Earner'!$C$9,($BE22+1)-1)))))&lt;&gt;"",$B23=IF(YEAR(IF('Second Earner'!$C$7="Weekly",'Second Earner'!$C$9+7*(($BE22+1)-1),IF('Second Earner'!$C$7="Biweekly",'Second Earner'!$C$9+14*(($BE22+1)-1),IF('Second Earner'!$C$7="Semimonthly",DATE(YEAR('Second Earner'!$C$9),MONTH('Second Earner'!$C$9)+INT((($BE22+1)-1)/2),MIN(DAY('Second Earner'!$C$9),DAY(EOMONTH(DATE(YEAR('Second Earner'!$C$9),MONTH('Second Earner'!$C$9)+INT((($BE22+1)-1)/2),1),0))))+IF(MOD(($BE22+1)-1,2)=1,15,0),EDATE('Second Earner'!$C$9,($BE22+1)-1)))))&lt;&gt;'Second Earner'!$C$10,"",IF('Second Earner'!$C$7="Weekly",'Second Earner'!$C$9+7*(($BE22+1)-1),IF('Second Earner'!$C$7="Biweekly",'Second Earner'!$C$9+14*(($BE22+1)-1),IF('Second Earner'!$C$7="Semimonthly",DATE(YEAR('Second Earner'!$C$9),MONTH('Second Earner'!$C$9)+INT((($BE22+1)-1)/2),MIN(DAY('Second Earner'!$C$9),DAY(EOMONTH(DATE(YEAR('Second Earner'!$C$9),MONTH('Second Earner'!$C$9)+INT((($BE22+1)-1)/2),1),0))))+IF(MOD(($BE22+1)-1,2)=1,15,0),EDATE('Second Earner'!$C$9,($BE22+1)-1)))))),1,0))</f>
      </c>
      <c r="BG23" s="7">
        <f>IF($B23="","",$BG22+$H23)</f>
      </c>
      <c r="BH23" s="7">
        <f>IF($B23="","",$BH22+$I23)</f>
      </c>
      <c r="BI23" s="7">
        <f>IF($B23="","",$BI22+$G23)</f>
      </c>
      <c r="BJ23" s="7">
        <f>IF($B23="","",IFERROR(LOOKUP(2,1/(((('Changes — Earner 2'!$C$6:$C$17="Deduction start"))*('Changes — Earner 2'!$D$6:$D$17="Health FSA"))*('Changes — Earner 2'!$B$6:$B$17&lt;=$B23)*('Changes — Earner 2'!$B$6:$B$17&lt;&gt;"")),'Changes — Earner 2'!$E$6:$E$17),'Second Earner'!$D$38))</f>
      </c>
      <c r="BK23" s="7">
        <f>IF($B23="","",IFERROR(LOOKUP(2,1/(((('Changes — Earner 2'!$C$6:$C$17="Deduction start"))*('Changes — Earner 2'!$D$6:$D$17="Dependent-care FSA"))*('Changes — Earner 2'!$B$6:$B$17&lt;=$B23)*('Changes — Earner 2'!$B$6:$B$17&lt;&gt;"")),'Changes — Earner 2'!$E$6:$E$17),'Second Earner'!$D$39))</f>
      </c>
      <c r="BL23" s="7">
        <f>IF($B23="","",IFERROR(LOOKUP(2,1/(((('Changes — Earner 2'!$C$6:$C$17="Deduction start")+('Changes — Earner 2'!$C$6:$C$17="Deduction stop"))*('Changes — Earner 2'!$D$6:$D$17="HSA"))*('Changes — Earner 2'!$B$6:$B$17&lt;=$B23)*('Changes — Earner 2'!$B$6:$B$17&lt;&gt;"")),'Changes — Earner 2'!$I$6:$I$17),'Second Earner'!$D$35))</f>
      </c>
      <c r="BM23" s="7">
        <f>IF($B23="","",IFERROR(LOOKUP(2,1/(((('Changes — Earner 2'!$C$6:$C$17="Deduction start")+('Changes — Earner 2'!$C$6:$C$17="Deduction stop"))*('Changes — Earner 2'!$D$6:$D$17="Premiums"))*('Changes — Earner 2'!$B$6:$B$17&lt;=$B23)*('Changes — Earner 2'!$B$6:$B$17&lt;&gt;"")),'Changes — Earner 2'!$I$6:$I$17),'Second Earner'!$D$40+'Second Earner'!$D$41+'Second Earner'!$D$42))</f>
      </c>
      <c r="BN23" s="7">
        <f>IF($B23="","",IFERROR(LOOKUP(2,1/(((('Changes — Earner 2'!$C$6:$C$17="Deduction start")+('Changes — Earner 2'!$C$6:$C$17="Deduction stop"))*('Changes — Earner 2'!$D$6:$D$17="Commuter"))*('Changes — Earner 2'!$B$6:$B$17&lt;=$B23)*('Changes — Earner 2'!$B$6:$B$17&lt;&gt;"")),'Changes — Earner 2'!$I$6:$I$17),'Second Earner'!$D$43))</f>
      </c>
      <c r="BO23" s="7">
        <f>IF($B23="","",IFERROR(LOOKUP(2,1/(((('Changes — Earner 2'!$C$6:$C$17="Deduction start")+('Changes — Earner 2'!$C$6:$C$17="Deduction stop"))*('Changes — Earner 2'!$D$6:$D$17="Other pre-tax"))*('Changes — Earner 2'!$B$6:$B$17&lt;=$B23)*('Changes — Earner 2'!$B$6:$B$17&lt;&gt;"")),'Changes — Earner 2'!$I$6:$I$17),'Second Earner'!$D$44))</f>
      </c>
      <c r="BP23" s="7">
        <f>IF($B23="","",IFERROR(LOOKUP(2,1/(((('Changes — Earner 2'!$C$6:$C$17="Deduction start")+('Changes — Earner 2'!$C$6:$C$17="Deduction stop"))*('Changes — Earner 2'!$D$6:$D$17="Other post-tax"))*('Changes — Earner 2'!$B$6:$B$17&lt;=$B23)*('Changes — Earner 2'!$B$6:$B$17&lt;&gt;"")),'Changes — Earner 2'!$I$6:$I$17),'Second Earner'!$D$45))</f>
      </c>
      <c r="BQ23" s="6">
        <f>IF($B23="","",IFERROR(LOOKUP(2,1/(((('Changes — Earner 2'!$C$6:$C$17="Deduction start")+('Changes — Earner 2'!$C$6:$C$17="Deduction stop"))*('Changes — Earner 2'!$D$6:$D$17="Health FSA"))*('Changes — Earner 2'!$B$6:$B$17&lt;=$B23)*('Changes — Earner 2'!$B$6:$B$17&lt;&gt;"")),'Changes — Earner 2'!$J$6:$J$17),0))</f>
      </c>
      <c r="BR23" s="6">
        <f>IF($B23="","",IFERROR(LOOKUP(2,1/(((('Changes — Earner 2'!$C$6:$C$17="Deduction start")+('Changes — Earner 2'!$C$6:$C$17="Deduction stop"))*('Changes — Earner 2'!$D$6:$D$17="Dependent-care FSA"))*('Changes — Earner 2'!$B$6:$B$17&lt;=$B23)*('Changes — Earner 2'!$B$6:$B$17&lt;&gt;"")),'Changes — Earner 2'!$J$6:$J$17),0))</f>
      </c>
      <c r="BS23" s="6">
        <f>IF($B23="","",IF(SUMPRODUCT(('Changes — Earner 2'!$C$6:$C$17="Deduction start")*('Changes — Earner 2'!$B$6:$B$17&lt;=$B23)*('Changes — Earner 2'!$B$6:$B$17&lt;&gt;"")*('Changes — Earner 2'!$D$6:$D$17="Health FSA"))&gt;0,1,0))</f>
      </c>
      <c r="BT23" s="6">
        <f>IF($B23="","",IF(SUMPRODUCT(('Changes — Earner 2'!$C$6:$C$17="Deduction start")*('Changes — Earner 2'!$B$6:$B$17&lt;=$B23)*('Changes — Earner 2'!$B$6:$B$17&lt;&gt;"")*('Changes — Earner 2'!$D$6:$D$17="Dependent-care FSA"))&gt;0,1,0))</f>
      </c>
      <c r="BU23" s="24">
        <f>IF($B23="","",IF('Second Earner'!$C$13,SUMPRODUCT(($AH23&gt;=INDEX('How This Works &amp; Sources'!$B$29:$J$36,0,IF('Second Earner'!$C$12="MFJ",1,IF('Second Earner'!$C$12="HoH",7,4))))*INDEX('How This Works &amp; Sources'!$B$29:$J$36,0,IF('Second Earner'!$C$12="MFJ",1,IF('Second Earner'!$C$12="HoH",7,4))+2)),SUMPRODUCT(($AH23&gt;=INDEX('How This Works &amp; Sources'!$B$19:$J$26,0,IF('Second Earner'!$C$12="MFJ",1,IF('Second Earner'!$C$12="HoH",7,4))))*INDEX('How This Works &amp; Sources'!$B$19:$J$26,0,IF('Second Earner'!$C$12="MFJ",1,IF('Second Earner'!$C$12="HoH",7,4))+2))))</f>
      </c>
      <c r="BV23" s="24">
        <f>IF($B23="","",IF($BZ23&lt;&gt;"",$BZ23,IF($CA23&lt;&gt;"",$CA23,IF($CB23&lt;&gt;"",$CB23,IF($CC23&lt;&gt;"",$CC23,0)))))</f>
      </c>
      <c r="BW23" s="7">
        <f>IF($B23="","",IF($AN23="AR",SUMPRODUCT(($AZ23&gt;INDEX('How This Works &amp; Sources'!$B$82:$J$86,0,7))*($AZ23-INDEX('How This Works &amp; Sources'!$B$82:$J$86,0,7))*INDEX('How This Works &amp; Sources'!$B$82:$J$86,0,7+2)),IF($AN23="MD",IF(OR($AU23="Married",$AU23="Head of household"),SUMPRODUCT(($AZ23&gt;INDEX('How This Works &amp; Sources'!$B$114:$J$120,0,1))*($AZ23-INDEX('How This Works &amp; Sources'!$B$114:$J$120,0,1))*INDEX('How This Works &amp; Sources'!$B$114:$J$120,0,1+2)),SUMPRODUCT(($AZ23&gt;INDEX('How This Works &amp; Sources'!$B$103:$J$109,0,7))*($AZ23-INDEX('How This Works &amp; Sources'!$B$103:$J$109,0,7))*INDEX('How This Works &amp; Sources'!$B$103:$J$109,0,7+2))),IF($AN23="MT",IF($AU23="Head of household",SUMPRODUCT(($AZ23&gt;INDEX('How This Works &amp; Sources'!$B$137:$J$139,0,1))*($AZ23-INDEX('How This Works &amp; Sources'!$B$137:$J$139,0,1))*INDEX('How This Works &amp; Sources'!$B$137:$J$139,0,1+2)),IF($AU23="Married",SUMPRODUCT(($AZ23&gt;INDEX('How This Works &amp; Sources'!$B$125:$J$132,0,7))*($AZ23-INDEX('How This Works &amp; Sources'!$B$125:$J$132,0,7))*INDEX('How This Works &amp; Sources'!$B$125:$J$132,0,7+2)),SUMPRODUCT(($AZ23&gt;INDEX('How This Works &amp; Sources'!$B$125:$J$132,0,4))*($AZ23-INDEX('How This Works &amp; Sources'!$B$125:$J$132,0,4))*INDEX('How This Works &amp; Sources'!$B$125:$J$132,0,4+2)))),IF($AN23="ND",IF($AU23="Head of household",SUMPRODUCT(($AZ23&gt;INDEX('How This Works &amp; Sources'!$B$144:$J$150,0,1))*($AZ23-INDEX('How This Works &amp; Sources'!$B$144:$J$150,0,1))*INDEX('How This Works &amp; Sources'!$B$144:$J$150,0,1+2)),IF($AU23="Married",SUMPRODUCT(($AZ23&gt;INDEX('How This Works &amp; Sources'!$B$137:$J$139,0,7))*($AZ23-INDEX('How This Works &amp; Sources'!$B$137:$J$139,0,7))*INDEX('How This Works &amp; Sources'!$B$137:$J$139,0,7+2)),SUMPRODUCT(($AZ23&gt;INDEX('How This Works &amp; Sources'!$B$137:$J$139,0,4))*($AZ23-INDEX('How This Works &amp; Sources'!$B$137:$J$139,0,4))*INDEX('How This Works &amp; Sources'!$B$137:$J$139,0,4+2)))),IF($AN23="NJ",IF('Second Earner'!$C$77="B",SUMPRODUCT(($AZ23&gt;INDEX('How This Works &amp; Sources'!$B$155:$J$162,0,4))*($AZ23-INDEX('How This Works &amp; Sources'!$B$155:$J$162,0,4))*INDEX('How This Works &amp; Sources'!$B$155:$J$162,0,4+2)),IF('Second Earner'!$C$77="C",SUMPRODUCT(($AZ23&gt;INDEX('How This Works &amp; Sources'!$B$155:$J$162,0,7))*($AZ23-INDEX('How This Works &amp; Sources'!$B$155:$J$162,0,7))*INDEX('How This Works &amp; Sources'!$B$155:$J$162,0,7+2)),IF('Second Earner'!$C$77="D",SUMPRODUCT(($AZ23&gt;INDEX('How This Works &amp; Sources'!$B$167:$J$179,0,1))*($AZ23-INDEX('How This Works &amp; Sources'!$B$167:$J$179,0,1))*INDEX('How This Works &amp; Sources'!$B$167:$J$179,0,1+2)),IF('Second Earner'!$C$77="E",SUMPRODUCT(($AZ23&gt;INDEX('How This Works &amp; Sources'!$B$167:$J$179,0,4))*($AZ23-INDEX('How This Works &amp; Sources'!$B$167:$J$179,0,4))*INDEX('How This Works &amp; Sources'!$B$167:$J$179,0,4+2)),SUMPRODUCT(($AZ23&gt;INDEX('How This Works &amp; Sources'!$B$155:$J$162,0,1))*($AZ23-INDEX('How This Works &amp; Sources'!$B$155:$J$162,0,1))*INDEX('How This Works &amp; Sources'!$B$155:$J$162,0,1+2)))))),IF($AN23="NY",IF($AU23="Married",IF($AZ23&gt;=2155350,$AZ23*IF($AZ23&gt;25000000,0.117,IF($AZ23&gt;5000000,0.111,0.1045)),SUMPRODUCT(($AZ23&gt;INDEX('How This Works &amp; Sources'!$B$184:$J$198,0,1))*($AZ23-INDEX('How This Works &amp; Sources'!$B$184:$J$198,0,1))*INDEX('How This Works &amp; Sources'!$B$184:$J$198,0,1+2))),IF($AZ23&gt;=1077550,$AZ23*IF($AZ23&gt;25000000,0.117,IF($AZ23&gt;5000000,0.111,0.1045)),SUMPRODUCT(($AZ23&gt;INDEX('How This Works &amp; Sources'!$B$167:$J$179,0,7))*($AZ23-INDEX('How This Works &amp; Sources'!$B$167:$J$179,0,7))*INDEX('How This Works &amp; Sources'!$B$167:$J$179,0,7+2)))),"")))))))</f>
      </c>
      <c r="BX23" s="7">
        <f>IF($B23="","",IF($AN23="AL",IF(OR($AU23="Married",$AU23="Head of household"),SUMPRODUCT(($AZ23&gt;INDEX('How This Works &amp; Sources'!$B$82:$J$86,0,4))*($AZ23-INDEX('How This Works &amp; Sources'!$B$82:$J$86,0,4))*INDEX('How This Works &amp; Sources'!$B$82:$J$86,0,4+2)),SUMPRODUCT(($AZ23&gt;INDEX('How This Works &amp; Sources'!$B$82:$J$86,0,1))*($AZ23-INDEX('How This Works &amp; Sources'!$B$82:$J$86,0,1))*INDEX('How This Works &amp; Sources'!$B$82:$J$86,0,1+2))),IF($AN23="KS",IF($AU23="Married",SUMPRODUCT(($AZ23&gt;INDEX('How This Works &amp; Sources'!$B$103:$J$109,0,4))*($AZ23-INDEX('How This Works &amp; Sources'!$B$103:$J$109,0,4))*INDEX('How This Works &amp; Sources'!$B$103:$J$109,0,4+2)),SUMPRODUCT(($AZ23&gt;INDEX('How This Works &amp; Sources'!$B$103:$J$109,0,1))*($AZ23-INDEX('How This Works &amp; Sources'!$B$103:$J$109,0,1))*INDEX('How This Works &amp; Sources'!$B$103:$J$109,0,1+2))),IF($AN23="MN",IF($AU23="Married",SUMPRODUCT(($AZ23&gt;INDEX('How This Works &amp; Sources'!$B$114:$J$120,0,7))*($AZ23-INDEX('How This Works &amp; Sources'!$B$114:$J$120,0,7))*INDEX('How This Works &amp; Sources'!$B$114:$J$120,0,7+2)),SUMPRODUCT(($AZ23&gt;INDEX('How This Works &amp; Sources'!$B$114:$J$120,0,4))*($AZ23-INDEX('How This Works &amp; Sources'!$B$114:$J$120,0,4))*INDEX('How This Works &amp; Sources'!$B$114:$J$120,0,4+2))),IF($AN23="MO",SUMPRODUCT(($AZ23&gt;INDEX('How This Works &amp; Sources'!$B$125:$J$132,0,1))*($AZ23-INDEX('How This Works &amp; Sources'!$B$125:$J$132,0,1))*INDEX('How This Works &amp; Sources'!$B$125:$J$132,0,1+2)),IF($AN23="NE",MAX(IF($AU23="Married",SUMPRODUCT(($AZ23&gt;INDEX('How This Works &amp; Sources'!$B$144:$J$150,0,7))*($AZ23-INDEX('How This Works &amp; Sources'!$B$144:$J$150,0,7))*INDEX('How This Works &amp; Sources'!$B$144:$J$150,0,7+2)),SUMPRODUCT(($AZ23&gt;INDEX('How This Works &amp; Sources'!$B$144:$J$150,0,4))*($AZ23-INDEX('How This Works &amp; Sources'!$B$144:$J$150,0,4))*INDEX('How This Works &amp; Sources'!$B$144:$J$150,0,4+2))),0.015*$AZ23),IF($AN23="OH",IF($B23&gt;=DATE(2026,8,1),SUMPRODUCT(($AZ23&gt;INDEX('How This Works &amp; Sources'!$B$203:$J$206,0,1))*($AZ23-INDEX('How This Works &amp; Sources'!$B$203:$J$206,0,1))*INDEX('How This Works &amp; Sources'!$B$203:$J$206,0,1+2)),SUMPRODUCT(($AZ23&gt;INDEX('How This Works &amp; Sources'!$B$184:$J$198,0,7))*($AZ23-INDEX('How This Works &amp; Sources'!$B$184:$J$198,0,7))*INDEX('How This Works &amp; Sources'!$B$184:$J$198,0,7+2))),IF($AN23="OK",IF($AU23="Married",SUMPRODUCT(($AZ23&gt;INDEX('How This Works &amp; Sources'!$B$203:$J$206,0,7))*($AZ23-INDEX('How This Works &amp; Sources'!$B$203:$J$206,0,7))*INDEX('How This Works &amp; Sources'!$B$203:$J$206,0,7+2)),SUMPRODUCT(($AZ23&gt;INDEX('How This Works &amp; Sources'!$B$203:$J$206,0,4))*($AZ23-INDEX('How This Works &amp; Sources'!$B$203:$J$206,0,4))*INDEX('How This Works &amp; Sources'!$B$203:$J$206,0,4+2))),IF($AN23="VT",IF($AU23="Married",SUMPRODUCT(($AZ23&gt;INDEX('How This Works &amp; Sources'!$B$228:$J$232,0,1))*($AZ23-INDEX('How This Works &amp; Sources'!$B$228:$J$232,0,1))*INDEX('How This Works &amp; Sources'!$B$228:$J$232,0,1+2)),SUMPRODUCT(($AZ23&gt;INDEX('How This Works &amp; Sources'!$B$219:$J$223,0,7))*($AZ23-INDEX('How This Works &amp; Sources'!$B$219:$J$223,0,7))*INDEX('How This Works &amp; Sources'!$B$219:$J$223,0,7+2))),IF($AN23="WV",IF($AU23="Married",SUMPRODUCT(($AZ23&gt;INDEX('How This Works &amp; Sources'!$B$237:$J$241,0,7))*($AZ23-INDEX('How This Works &amp; Sources'!$B$237:$J$241,0,7))*INDEX('How This Works &amp; Sources'!$B$237:$J$241,0,7+2)),SUMPRODUCT(($AZ23&gt;INDEX('How This Works &amp; Sources'!$B$228:$J$232,0,7))*($AZ23-INDEX('How This Works &amp; Sources'!$B$228:$J$232,0,7))*INDEX('How This Works &amp; Sources'!$B$228:$J$232,0,7+2))),""))))))))))</f>
      </c>
      <c r="BY23" s="7">
        <f>IF($B23="","",IF($AN23="DE",SUMPRODUCT(($AZ23&gt;INDEX('How This Works &amp; Sources'!$B$91:$J$98,0,1))*($AZ23-INDEX('How This Works &amp; Sources'!$B$91:$J$98,0,1))*INDEX('How This Works &amp; Sources'!$B$91:$J$98,0,1+2)),IF($AN23="HI",IF($AU23="Married",SUMPRODUCT(($AZ23&gt;INDEX('How This Works &amp; Sources'!$B$91:$J$98,0,7))*($AZ23-INDEX('How This Works &amp; Sources'!$B$91:$J$98,0,7))*INDEX('How This Works &amp; Sources'!$B$91:$J$98,0,7+2)),SUMPRODUCT(($AZ23&gt;INDEX('How This Works &amp; Sources'!$B$91:$J$98,0,4))*($AZ23-INDEX('How This Works &amp; Sources'!$B$91:$J$98,0,4))*INDEX('How This Works &amp; Sources'!$B$91:$J$98,0,4+2))),IF($AN23="RI",SUMPRODUCT(($AZ23&gt;INDEX('How This Works &amp; Sources'!$B$211:$J$214,0,7))*($AZ23-INDEX('How This Works &amp; Sources'!$B$211:$J$214,0,7))*INDEX('How This Works &amp; Sources'!$B$211:$J$214,0,7+2)),IF($AN23="SC",SUMPRODUCT(($AZ23&gt;INDEX('How This Works &amp; Sources'!$B$219:$J$223,0,1))*($AZ23-INDEX('How This Works &amp; Sources'!$B$219:$J$223,0,1))*INDEX('How This Works &amp; Sources'!$B$219:$J$223,0,1+2)),IF($AN23="VA",SUMPRODUCT(($AZ23&gt;INDEX('How This Works &amp; Sources'!$B$219:$J$223,0,4))*($AZ23-INDEX('How This Works &amp; Sources'!$B$219:$J$223,0,4))*INDEX('How This Works &amp; Sources'!$B$219:$J$223,0,4+2)),IF($AN23="WI",SUMPRODUCT(($AZ23&gt;INDEX('How This Works &amp; Sources'!$B$228:$J$232,0,4))*($AZ23-INDEX('How This Works &amp; Sources'!$B$228:$J$232,0,4))*INDEX('How This Works &amp; Sources'!$B$228:$J$232,0,4+2)),"")))))))</f>
      </c>
      <c r="BZ23" s="24">
        <f>IF($B23="","",IF($AN23="KS",IF($AU23="Married",SUMPRODUCT(($AZ23&gt;=INDEX('How This Works &amp; Sources'!$B$103:$J$109,0,4))*INDEX('How This Works &amp; Sources'!$B$103:$J$109,0,4+2)),SUMPRODUCT(($AZ23&gt;=INDEX('How This Works &amp; Sources'!$B$103:$J$109,0,1))*INDEX('How This Works &amp; Sources'!$B$103:$J$109,0,1+2))),IF($AN23="MT",IF($AU23="Head of household",SUMPRODUCT(($AZ23&gt;=INDEX('How This Works &amp; Sources'!$B$137:$J$139,0,1))*INDEX('How This Works &amp; Sources'!$B$137:$J$139,0,1+2)),IF($AU23="Married",SUMPRODUCT(($AZ23&gt;=INDEX('How This Works &amp; Sources'!$B$125:$J$132,0,7))*INDEX('How This Works &amp; Sources'!$B$125:$J$132,0,7+2)),SUMPRODUCT(($AZ23&gt;=INDEX('How This Works &amp; Sources'!$B$125:$J$132,0,4))*INDEX('How This Works &amp; Sources'!$B$125:$J$132,0,4+2)))),IF($AN23="OR",IF(OR($AU23="Married",AND($AU23="Single",$AS23&gt;=3)),SUMPRODUCT((MAX(0,$AY23-MIN(($P23-'How This Works &amp; Sources'!$C$10*$D23)*'Second Earner'!$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Sources'!$B$211:$J$214,0,4))*INDEX('How This Works &amp; Sources'!$B$211:$J$214,0,4+2)),SUMPRODUCT((MAX(0,$AY23-MIN(($P23-'How This Works &amp; Sources'!$C$10*$D23)*'Second Earner'!$C$8,IF(OR($AU23="Married",AND($AU23="Single",$AS23&gt;=3)),IF($AY23&lt;250000,8750,IF($AY23&lt;260000,7000,IF($AY23&lt;270000,5250,IF($AY23&lt;280000,3500,IF($AY23&lt;290000,1750,0))))),IF($AY23&lt;125000,8750,IF($AY23&lt;130000,7000,IF($AY23&lt;135000,5250,IF($AY23&lt;140000,3500,IF($AY23&lt;145000,1750,0)))))))-IF(OR($AU23="Married",AND($AU23="Single",$AS23&gt;=3)),5820,2910))&gt;=INDEX('How This Works &amp; Sources'!$B$211:$J$214,0,1))*INDEX('How This Works &amp; Sources'!$B$211:$J$214,0,1+2)))*IF(($P23-'How This Works &amp; Sources'!$C$10*$D23)*'Second Earner'!$C$8&gt;=IF(OR($AU23="Married",AND($AU23="Single",$AS23&gt;=3)),IF($AY23&lt;250000,8750,IF($AY23&lt;260000,7000,IF($AY23&lt;270000,5250,IF($AY23&lt;280000,3500,IF($AY23&lt;290000,1750,0))))),IF($AY23&lt;125000,8750,IF($AY23&lt;130000,7000,IF($AY23&lt;135000,5250,IF($AY23&lt;140000,3500,IF($AY23&lt;145000,1750,0)))))),1,1-IF('Second Earner'!$C$13,SUMPRODUCT(($AH23&gt;=INDEX('How This Works &amp; Sources'!$B$29:$J$36,0,IF('Second Earner'!$C$12="MFJ",1,IF('Second Earner'!$C$12="HoH",7,4))))*INDEX('How This Works &amp; Sources'!$B$29:$J$36,0,IF('Second Earner'!$C$12="MFJ",1,IF('Second Earner'!$C$12="HoH",7,4))+2)),SUMPRODUCT(($AH23&gt;=INDEX('How This Works &amp; Sources'!$B$19:$J$26,0,IF('Second Earner'!$C$12="MFJ",1,IF('Second Earner'!$C$12="HoH",7,4))))*INDEX('How This Works &amp; Sources'!$B$19:$J$26,0,IF('Second Earner'!$C$12="MFJ",1,IF('Second Earner'!$C$12="HoH",7,4))+2)))),""))))</f>
      </c>
      <c r="CA23" s="24">
        <f>IF($B23="","",IF($AN23="CA",SUMPRODUCT(($AJ23&gt;=INDEX('How This Works &amp; Sources'!$B$39:$J$48,0,IF($AU23="Married",4,IF($AU23="Head of household",7,1))))*INDEX('How This Works &amp; Sources'!$B$39:$J$48,0,IF($AU23="Married",4,IF($AU23="Head of household",7,1))+2)),IF($AN23="AL",IF(OR($AU23="Married",$AU23="Head of household"),SUMPRODUCT(($AZ23&gt;=INDEX('How This Works &amp; Sources'!$B$82:$J$86,0,4))*INDEX('How This Works &amp; Sources'!$B$82:$J$86,0,4+2)),SUMPRODUCT(($AZ23&gt;=INDEX('How This Works &amp; Sources'!$B$82:$J$86,0,1))*INDEX('How This Works &amp; Sources'!$B$82:$J$86,0,1+2)))*(1-IF('Second Earner'!$C$13,SUMPRODUCT(($AH23&gt;=INDEX('How This Works &amp; Sources'!$B$29:$J$36,0,IF('Second Earner'!$C$12="MFJ",1,IF('Second Earner'!$C$12="HoH",7,4))))*INDEX('How This Works &amp; Sources'!$B$29:$J$36,0,IF('Second Earner'!$C$12="MFJ",1,IF('Second Earner'!$C$12="HoH",7,4))+2)),SUMPRODUCT(($AH23&gt;=INDEX('How This Works &amp; Sources'!$B$19:$J$26,0,IF('Second Earner'!$C$12="MFJ",1,IF('Second Earner'!$C$12="HoH",7,4))))*INDEX('How This Works &amp; Sources'!$B$19:$J$26,0,IF('Second Earner'!$C$12="MFJ",1,IF('Second Earner'!$C$12="HoH",7,4))+2)))),IF($AN23="ND",IF($AU23="Head of household",SUMPRODUCT(($AZ23&gt;=INDEX('How This Works &amp; Sources'!$B$144:$J$150,0,1))*INDEX('How This Works &amp; Sources'!$B$144:$J$150,0,1+2)),IF($AU23="Married",SUMPRODUCT(($AZ23&gt;=INDEX('How This Works &amp; Sources'!$B$137:$J$139,0,7))*INDEX('How This Works &amp; Sources'!$B$137:$J$139,0,7+2)),SUMPRODUCT(($AZ23&gt;=INDEX('How This Works &amp; Sources'!$B$137:$J$139,0,4))*INDEX('How This Works &amp; Sources'!$B$137:$J$139,0,4+2)))),IF($AN23="NJ",IF('Second Earner'!$C$77="B",SUMPRODUCT(($AZ23&gt;=INDEX('How This Works &amp; Sources'!$B$155:$J$162,0,4))*INDEX('How This Works &amp; Sources'!$B$155:$J$162,0,4+2)),IF('Second Earner'!$C$77="C",SUMPRODUCT(($AZ23&gt;=INDEX('How This Works &amp; Sources'!$B$155:$J$162,0,7))*INDEX('How This Works &amp; Sources'!$B$155:$J$162,0,7+2)),IF('Second Earner'!$C$77="D",SUMPRODUCT(($AZ23&gt;=INDEX('How This Works &amp; Sources'!$B$167:$J$179,0,1))*INDEX('How This Works &amp; Sources'!$B$167:$J$179,0,1+2)),IF('Second Earner'!$C$77="E",SUMPRODUCT(($AZ23&gt;=INDEX('How This Works &amp; Sources'!$B$167:$J$179,0,4))*INDEX('How This Works &amp; Sources'!$B$167:$J$179,0,4+2)),SUMPRODUCT(($AZ23&gt;=INDEX('How This Works &amp; Sources'!$B$155:$J$162,0,1))*INDEX('How This Works &amp; Sources'!$B$155:$J$162,0,1+2)))))),IF($AN23="NY",IF($AU23="Married",IF($AZ23&gt;=2155350,IF($AZ23&gt;25000000,0.117,IF($AZ23&gt;5000000,0.111,0.1045)),SUMPRODUCT(($AZ23&gt;=INDEX('How This Works &amp; Sources'!$B$184:$J$198,0,1))*INDEX('How This Works &amp; Sources'!$B$184:$J$198,0,1+2))),IF($AZ23&gt;=1077550,IF($AZ23&gt;25000000,0.117,IF($AZ23&gt;5000000,0.111,0.1045)),SUMPRODUCT(($AZ23&gt;=INDEX('How This Works &amp; Sources'!$B$167:$J$179,0,7))*INDEX('How This Works &amp; Sources'!$B$167:$J$179,0,7+2)))),IF($AN23="LA",0.0309,"")))))))</f>
      </c>
      <c r="CB23" s="24">
        <f>IF($B23="","",IF($AN23="HI",IF($AU23="Married",SUMPRODUCT(($AZ23&gt;=INDEX('How This Works &amp; Sources'!$B$91:$J$98,0,7))*INDEX('How This Works &amp; Sources'!$B$91:$J$98,0,7+2)),SUMPRODUCT(($AZ23&gt;=INDEX('How This Works &amp; Sources'!$B$91:$J$98,0,4))*INDEX('How This Works &amp; Sources'!$B$91:$J$98,0,4+2))),IF($AN23="MD",IF(OR($AU23="Married",$AU23="Head of household"),SUMPRODUCT(($AZ23&gt;=INDEX('How This Works &amp; Sources'!$B$114:$J$120,0,1))*INDEX('How This Works &amp; Sources'!$B$114:$J$120,0,1+2)),SUMPRODUCT(($AZ23&gt;=INDEX('How This Works &amp; Sources'!$B$103:$J$109,0,7))*INDEX('How This Works &amp; Sources'!$B$103:$J$109,0,7+2)))+'Second Earner'!$C$74,IF($AN23="MN",IF($AU23="Married",SUMPRODUCT(($AZ23&gt;=INDEX('How This Works &amp; Sources'!$B$114:$J$120,0,7))*INDEX('How This Works &amp; Sources'!$B$114:$J$120,0,7+2)),SUMPRODUCT(($AZ23&gt;=INDEX('How This Works &amp; Sources'!$B$114:$J$120,0,4))*INDEX('How This Works &amp; Sources'!$B$114:$J$120,0,4+2))),IF($AN23="MO",SUMPRODUCT(($AZ23&gt;=INDEX('How This Works &amp; Sources'!$B$125:$J$132,0,1))*INDEX('How This Works &amp; Sources'!$B$125:$J$132,0,1+2)),IF($AN23="NE",MAX(IF($AU23="Married",SUMPRODUCT(($AZ23&gt;=INDEX('How This Works &amp; Sources'!$B$144:$J$150,0,7))*INDEX('How This Works &amp; Sources'!$B$144:$J$150,0,7+2)),SUMPRODUCT(($AZ23&gt;=INDEX('How This Works &amp; Sources'!$B$144:$J$150,0,4))*INDEX('How This Works &amp; Sources'!$B$144:$J$150,0,4+2))),0.015),IF($AN23="OH",IF($B23&gt;=DATE(2026,8,1),SUMPRODUCT(($AZ23&gt;=INDEX('How This Works &amp; Sources'!$B$203:$J$206,0,1))*INDEX('How This Works &amp; Sources'!$B$203:$J$206,0,1+2)),SUMPRODUCT(($AZ23&gt;=INDEX('How This Works &amp; Sources'!$B$184:$J$198,0,7))*INDEX('How This Works &amp; Sources'!$B$184:$J$198,0,7+2))),IF($AN23="OK",IF($AU23="Married",SUMPRODUCT(($AZ23&gt;=INDEX('How This Works &amp; Sources'!$B$203:$J$206,0,7))*INDEX('How This Works &amp; Sources'!$B$203:$J$206,0,7+2)),SUMPRODUCT(($AZ23&gt;=INDEX('How This Works &amp; Sources'!$B$203:$J$206,0,4))*INDEX('How This Works &amp; Sources'!$B$203:$J$206,0,4+2))),IF($AN23="RI",SUMPRODUCT(($AZ23&gt;=INDEX('How This Works &amp; Sources'!$B$211:$J$214,0,7))*INDEX('How This Works &amp; Sources'!$B$211:$J$214,0,7+2)),IF($AN23="VT",IF($AU23="Married",SUMPRODUCT(($AZ23&gt;=INDEX('How This Works &amp; Sources'!$B$228:$J$232,0,1))*INDEX('How This Works &amp; Sources'!$B$228:$J$232,0,1+2)),SUMPRODUCT(($AZ23&gt;=INDEX('How This Works &amp; Sources'!$B$219:$J$223,0,7))*INDEX('How This Works &amp; Sources'!$B$219:$J$223,0,7+2))),IF($AN23="WV",IF($AU23="Married",SUMPRODUCT(($AZ23&gt;=INDEX('How This Works &amp; Sources'!$B$237:$J$241,0,7))*INDEX('How This Works &amp; Sources'!$B$237:$J$241,0,7+2)),SUMPRODUCT(($AZ23&gt;=INDEX('How This Works &amp; Sources'!$B$228:$J$232,0,7))*INDEX('How This Works &amp; Sources'!$B$228:$J$232,0,7+2))),IF($AN23="AZ",'Second Earner'!$C$82,IF($AN23="ID",IF($AY23&gt;IF($AU23="Married",32000,16094),0.053,0),"")))))))))))))</f>
      </c>
      <c r="CC23" s="24">
        <f>IF($B23="","",IF($AN23="AR",SUMPRODUCT(($AZ23&gt;=INDEX('How This Works &amp; Sources'!$B$82:$J$86,0,7))*INDEX('How This Works &amp; Sources'!$B$82:$J$86,0,7+2)),IF($AN23="DE",SUMPRODUCT(($AZ23&gt;=INDEX('How This Works &amp; Sources'!$B$91:$J$98,0,1))*INDEX('How This Works &amp; Sources'!$B$91:$J$98,0,1+2)),IF($AN23="SC",SUMPRODUCT(($AZ23&gt;=INDEX('How This Works &amp; Sources'!$B$219:$J$223,0,1))*INDEX('How This Works &amp; Sources'!$B$219:$J$223,0,1+2)),IF($AN23="VA",SUMPRODUCT(($AZ23&gt;=INDEX('How This Works &amp; Sources'!$B$219:$J$223,0,4))*INDEX('How This Works &amp; Sources'!$B$219:$J$223,0,4+2)),IF($AN23="WI",SUMPRODUCT(($AZ23&gt;=INDEX('How This Works &amp; Sources'!$B$228:$J$232,0,4))*INDEX('How This Works &amp; Sources'!$B$228:$J$232,0,4+2)),IF($AN23="CO",IF($AY23&gt;IF($AU23="Married",10000,5000),0.044,0),IF($AN23="IA",IF($AY23&gt;IF($AU23="Head of household",19500,IF($AU23="Married",26000,13000)),0.038,0),IF($AN23="IL",IF($AY23&gt;(2925*$AS23+1000*$AT23),0.0495,0),IF($AN23="IN",(0.0295+'Second Earner'!$C$76),IF($AN23="KY",IF($AI23&gt;3360,0.035,0),IF($AN23="MA",IF(MAX(0,$AY23-MIN(($BD22+$Q23+$R23+$S23),2000)-IF($AS23=0,0,IF($AS23=1,4400,1000*$AS23+3400)))&gt;=1107750,0.09,0.05),IF($AN23="MI",IF($AY23&gt;5900*$AS23,0.0425,0),IF($AN23="MS",IF($AI23-IF($AU23="Head of household",3400,IF($AU23="Married",4600,2300))-'Second Earner'!$C$85&gt;10000,0.04,0),IF($AN23="PA",0.0307,"")))))))))))))))</f>
      </c>
      <c r="CD23" s="21">
        <f>IF(YEAR(IF('Second Earner'!$C$7="Weekly",'Second Earner'!$C$9+7*(($BE22+1)-1),IF('Second Earner'!$C$7="Biweekly",'Second Earner'!$C$9+14*(($BE22+1)-1),IF('Second Earner'!$C$7="Semimonthly",DATE(YEAR('Second Earner'!$C$9),MONTH('Second Earner'!$C$9)+INT((($BE22+1)-1)/2),MIN(DAY('Second Earner'!$C$9),DAY(EOMONTH(DATE(YEAR('Second Earner'!$C$9),MONTH('Second Earner'!$C$9)+INT((($BE22+1)-1)/2),1),0))))+IF(MOD(($BE22+1)-1,2)=1,15,0),EDATE('Second Earner'!$C$9,($BE22+1)-1)))))&lt;&gt;'Second Earner'!$C$10,"",IF('Second Earner'!$C$7="Weekly",'Second Earner'!$C$9+7*(($BE22+1)-1),IF('Second Earner'!$C$7="Biweekly",'Second Earner'!$C$9+14*(($BE22+1)-1),IF('Second Earner'!$C$7="Semimonthly",DATE(YEAR('Second Earner'!$C$9),MONTH('Second Earner'!$C$9)+INT((($BE22+1)-1)/2),MIN(DAY('Second Earner'!$C$9),DAY(EOMONTH(DATE(YEAR('Second Earner'!$C$9),MONTH('Second Earner'!$C$9)+INT((($BE22+1)-1)/2),1),0))))+IF(MOD(($BE22+1)-1,2)=1,15,0),EDATE('Second Earner'!$C$9,($BE22+1)-1)))))</f>
      </c>
      <c r="CE23" s="21">
        <f>IF(MIN(IF(AND('Second Earner'!$C$58&gt;MAX($B$6:$B22),'Second Earner'!$C$58&gt;=DATE('Second Earner'!$C$10,1,1),'Second Earner'!$C$58&lt;=DATE('Second Earner'!$C$10,12,31)),'Second Earner'!$C$58,999999),IF(AND('Second Earner'!$C$59&gt;MAX($B$6:$B22),'Second Earner'!$C$59&gt;=DATE('Second Earner'!$C$10,1,1),'Second Earner'!$C$59&lt;=DATE('Second Earner'!$C$10,12,31)),'Second Earner'!$C$59,999999),IF(AND('Second Earner'!$C$60&gt;MAX($B$6:$B22),'Second Earner'!$C$60&gt;=DATE('Second Earner'!$C$10,1,1),'Second Earner'!$C$60&lt;=DATE('Second Earner'!$C$10,12,31)),'Second Earner'!$C$60,999999),IF(AND('Second Earner'!$C$61&gt;MAX($B$6:$B22),'Second Earner'!$C$61&gt;=DATE('Second Earner'!$C$10,1,1),'Second Earner'!$C$61&lt;=DATE('Second Earner'!$C$10,12,31)),'Second Earner'!$C$61,999999),IF(AND('Second Earner'!$C$62&gt;MAX($B$6:$B22),'Second Earner'!$C$62&gt;=DATE('Second Earner'!$C$10,1,1),'Second Earner'!$C$62&lt;=DATE('Second Earner'!$C$10,12,31)),'Second Earner'!$C$62,999999),IF(AND('Second Earner'!$C$63&gt;MAX($B$6:$B22),'Second Earner'!$C$63&gt;=DATE('Second Earner'!$C$10,1,1),'Second Earner'!$C$63&lt;=DATE('Second Earner'!$C$10,12,31)),'Second Earner'!$C$63,999999),IF(AND('Second Earner'!$C$64&gt;MAX($B$6:$B22),'Second Earner'!$C$64&gt;=DATE('Second Earner'!$C$10,1,1),'Second Earner'!$C$64&lt;=DATE('Second Earner'!$C$10,12,31)),'Second Earner'!$C$64,999999),IF(AND('Second Earner'!$C$65&gt;MAX($B$6:$B22),'Second Earner'!$C$65&gt;=DATE('Second Earner'!$C$10,1,1),'Second Earner'!$C$65&lt;=DATE('Second Earner'!$C$10,12,31)),'Second Earner'!$C$65,999999),IF(AND('Second Earner'!$C$66&gt;MAX($B$6:$B22),'Second Earner'!$C$66&gt;=DATE('Second Earner'!$C$10,1,1),'Second Earner'!$C$66&lt;=DATE('Second Earner'!$C$10,12,31)),'Second Earner'!$C$66,999999),IF(AND('Second Earner'!$C$67&gt;MAX($B$6:$B22),'Second Earner'!$C$67&gt;=DATE('Second Earner'!$C$10,1,1),'Second Earner'!$C$67&lt;=DATE('Second Earner'!$C$10,12,31)),'Second Earner'!$C$67,999999))=999999,"",MIN(IF(AND('Second Earner'!$C$58&gt;MAX($B$6:$B22),'Second Earner'!$C$58&gt;=DATE('Second Earner'!$C$10,1,1),'Second Earner'!$C$58&lt;=DATE('Second Earner'!$C$10,12,31)),'Second Earner'!$C$58,999999),IF(AND('Second Earner'!$C$59&gt;MAX($B$6:$B22),'Second Earner'!$C$59&gt;=DATE('Second Earner'!$C$10,1,1),'Second Earner'!$C$59&lt;=DATE('Second Earner'!$C$10,12,31)),'Second Earner'!$C$59,999999),IF(AND('Second Earner'!$C$60&gt;MAX($B$6:$B22),'Second Earner'!$C$60&gt;=DATE('Second Earner'!$C$10,1,1),'Second Earner'!$C$60&lt;=DATE('Second Earner'!$C$10,12,31)),'Second Earner'!$C$60,999999),IF(AND('Second Earner'!$C$61&gt;MAX($B$6:$B22),'Second Earner'!$C$61&gt;=DATE('Second Earner'!$C$10,1,1),'Second Earner'!$C$61&lt;=DATE('Second Earner'!$C$10,12,31)),'Second Earner'!$C$61,999999),IF(AND('Second Earner'!$C$62&gt;MAX($B$6:$B22),'Second Earner'!$C$62&gt;=DATE('Second Earner'!$C$10,1,1),'Second Earner'!$C$62&lt;=DATE('Second Earner'!$C$10,12,31)),'Second Earner'!$C$62,999999),IF(AND('Second Earner'!$C$63&gt;MAX($B$6:$B22),'Second Earner'!$C$63&gt;=DATE('Second Earner'!$C$10,1,1),'Second Earner'!$C$63&lt;=DATE('Second Earner'!$C$10,12,31)),'Second Earner'!$C$63,999999),IF(AND('Second Earner'!$C$64&gt;MAX($B$6:$B22),'Second Earner'!$C$64&gt;=DATE('Second Earner'!$C$10,1,1),'Second Earner'!$C$64&lt;=DATE('Second Earner'!$C$10,12,31)),'Second Earner'!$C$64,999999),IF(AND('Second Earner'!$C$65&gt;MAX($B$6:$B22),'Second Earner'!$C$65&gt;=DATE('Second Earner'!$C$10,1,1),'Second Earner'!$C$65&lt;=DATE('Second Earner'!$C$10,12,31)),'Second Earner'!$C$65,999999),IF(AND('Second Earner'!$C$66&gt;MAX($B$6:$B22),'Second Earner'!$C$66&gt;=DATE('Second Earner'!$C$10,1,1),'Second Earner'!$C$66&lt;=DATE('Second Earner'!$C$10,12,31)),'Second Earner'!$C$66,999999),IF(AND('Second Earner'!$C$67&gt;MAX($B$6:$B22),'Second Earner'!$C$67&gt;=DATE('Second Earner'!$C$10,1,1),'Second Earner'!$C$67&lt;=DATE('Second Earner'!$C$10,12,31)),'Second Earner'!$C$67,999999)))</f>
      </c>
      <c r="CF23">
        <f>IF($B23="","",IF($D23=0,$Y23,""))</f>
      </c>
    </row>
    <row r="24">
      <c r="A24" t="n">
        <v>19</v>
      </c>
      <c r="B24" s="21">
        <f>IF(AND($CD24="",$CE24=""),"",IF($CE24="",$CD24,IF($CD24="",$CE24,MIN($CD24,$CE24))))</f>
      </c>
      <c r="C24" s="7">
        <f>IF($B24="","",IF($BF24=0,0,IF('Second Earner'!$C$4="Annual salary",ROUND($AK24/IF(AND('Second Earner'!$C$88="Actual paydays",MONTH('Second Earner'!$C$9)=1),MAX(1,MAX($BE$6:$BE$68)),'Second Earner'!$C$8),2),$AK24)))</f>
      </c>
      <c r="D24" s="7">
        <f>IF($B24="","",SUMIF('Second Earner'!$C$58:$C$67,$B24,'Second Earner'!$D$58:$D$67))</f>
      </c>
      <c r="E24" s="7">
        <f>IF($B24="","",ROUND(MAX(0,MIN(IF($AL24="Percent",$AM24*($C24+$D24),$AM24),MAX(0,'Second Earner'!$C$34-$AC23))),2))</f>
      </c>
      <c r="F24" s="7">
        <f>IF($B24="","",ROUND(MAX(0,MIN(IF('Second Earner'!$C$32="Percent",'Second Earner'!$D$32*($C24+$D24),'Second Earner'!$D$32),MAX(0,'Second Earner'!$C$34-$AC23-$E24))),2))</f>
      </c>
      <c r="G24" s="7">
        <f>IF($B24="","",IF($BF24=0,0,ROUND(MAX(0,MIN($BL24,'Second Earner'!$C$37-'Second Earner'!$C$54-$BI23)),2)))</f>
      </c>
      <c r="H24" s="7">
        <f>IF($B24="","",IF(OR($BF24=0,$BQ24=1),0,ROUND(MAX(0,MIN(IF($BS24=1,ROUND(MAX(0,MIN($BJ24,'How This Works &amp; Sources'!$C$13)-$BG23)/MAX(1,MAX($BE$6:$BE$68)-($BE23)),2),ROUND(MIN($BJ24,'How This Works &amp; Sources'!$C$13)/'Second Earner'!$C$8,2)),MIN($BJ24,'How This Works &amp; Sources'!$C$13)-$BG23)),2)))</f>
      </c>
      <c r="I24" s="7">
        <f>IF($B24="","",IF(OR($BF24=0,$BR24=1),0,ROUND(MAX(0,MIN(IF($BT24=1,ROUND(MAX(0,MIN($BK24,IF('Second Earner'!$C$12="MFJ",'How This Works &amp; Sources'!$C$14,'How This Works &amp; Sources'!$C$15))-$BH23)/MAX(1,MAX($BE$6:$BE$68)-($BE23)),2),ROUND(MIN($BK24,IF('Second Earner'!$C$12="MFJ",'How This Works &amp; Sources'!$C$14,'How This Works &amp; Sources'!$C$15))/'Second Earner'!$C$8,2)),MIN($BK24,IF('Second Earner'!$C$12="MFJ",'How This Works &amp; Sources'!$C$14,'How This Works &amp; Sources'!$C$15))-$BH23)),2)))</f>
      </c>
      <c r="J24" s="7">
        <f>IF($B24="","",IF($BF24=0,0,$BM24))</f>
      </c>
      <c r="K24" s="7">
        <f>IF($B24="","",IF($BF24=0,0,$BN24+$BO24))</f>
      </c>
      <c r="L24" s="7">
        <f>IF($B24="","",IF($BF24=0,0,'Second Earner'!$D$46))</f>
      </c>
      <c r="M24" s="7">
        <f>IF($B24="","",$C24+$D24+$L24-$E24-$G24-$H24-$I24-$J24-$K24)</f>
      </c>
      <c r="N24" s="7">
        <f>IF($B24="","",$C24+$D24+$L24-$G24-$H24-$I24-$J24-$K24)</f>
      </c>
      <c r="O24" s="7">
        <f>IF($B24="","",$C24+$D24+$L24-$E24-$H24-$I24-$J24-$K24-IF(OR($AN24="CA",$AN24="NJ"),0,$G24))</f>
      </c>
      <c r="P24" s="7">
        <f>IF($B24="","",IF('Second Earner'!$C$18,0,ROUND(MAX(0,IF('Second Earner'!$C$13,SUMPRODUCT(($AH24&gt;INDEX('How This Works &amp; Sources'!$B$29:$J$36,0,IF('Second Earner'!$C$12="MFJ",1,IF('Second Earner'!$C$12="HoH",7,4))))*($AH24-INDEX('How This Works &amp; Sources'!$B$29:$J$36,0,IF('Second Earner'!$C$12="MFJ",1,IF('Second Earner'!$C$12="HoH",7,4))))*INDEX('How This Works &amp; Sources'!$B$29:$J$36,0,IF('Second Earner'!$C$12="MFJ",1,IF('Second Earner'!$C$12="HoH",7,4))+2)),SUMPRODUCT(($AH24&gt;INDEX('How This Works &amp; Sources'!$B$19:$J$26,0,IF('Second Earner'!$C$12="MFJ",1,IF('Second Earner'!$C$12="HoH",7,4))))*($AH24-INDEX('How This Works &amp; Sources'!$B$19:$J$26,0,IF('Second Earner'!$C$12="MFJ",1,IF('Second Earner'!$C$12="HoH",7,4))))*INDEX('How This Works &amp; Sources'!$B$19:$J$26,0,IF('Second Earner'!$C$12="MFJ",1,IF('Second Earner'!$C$12="HoH",7,4))+2)))/'Second Earner'!$C$8-$AO24/'Second Earner'!$C$8)+$AR24+IF('Second Earner'!$C$89="Aggregate",MAX(0,IF('Second Earner'!$C$13,SUMPRODUCT((($AH24+$D24)&gt;INDEX('How This Works &amp; Sources'!$B$29:$J$36,0,IF('Second Earner'!$C$12="MFJ",1,IF('Second Earner'!$C$12="HoH",7,4))))*(($AH24+$D24)-INDEX('How This Works &amp; Sources'!$B$29:$J$36,0,IF('Second Earner'!$C$12="MFJ",1,IF('Second Earner'!$C$12="HoH",7,4))))*INDEX('How This Works &amp; Sources'!$B$29:$J$36,0,IF('Second Earner'!$C$12="MFJ",1,IF('Second Earner'!$C$12="HoH",7,4))+2)),SUMPRODUCT((($AH24+$D24)&gt;INDEX('How This Works &amp; Sources'!$B$19:$J$26,0,IF('Second Earner'!$C$12="MFJ",1,IF('Second Earner'!$C$12="HoH",7,4))))*(($AH24+$D24)-INDEX('How This Works &amp; Sources'!$B$19:$J$26,0,IF('Second Earner'!$C$12="MFJ",1,IF('Second Earner'!$C$12="HoH",7,4))))*INDEX('How This Works &amp; Sources'!$B$19:$J$26,0,IF('Second Earner'!$C$12="MFJ",1,IF('Second Earner'!$C$12="HoH",7,4))+2)))-IF('Second Earner'!$C$13,SUMPRODUCT(($AH24&gt;INDEX('How This Works &amp; Sources'!$B$29:$J$36,0,IF('Second Earner'!$C$12="MFJ",1,IF('Second Earner'!$C$12="HoH",7,4))))*($AH24-INDEX('How This Works &amp; Sources'!$B$29:$J$36,0,IF('Second Earner'!$C$12="MFJ",1,IF('Second Earner'!$C$12="HoH",7,4))))*INDEX('How This Works &amp; Sources'!$B$29:$J$36,0,IF('Second Earner'!$C$12="MFJ",1,IF('Second Earner'!$C$12="HoH",7,4))+2)),SUMPRODUCT(($AH24&gt;INDEX('How This Works &amp; Sources'!$B$19:$J$26,0,IF('Second Earner'!$C$12="MFJ",1,IF('Second Earner'!$C$12="HoH",7,4))))*($AH24-INDEX('How This Works &amp; Sources'!$B$19:$J$26,0,IF('Second Earner'!$C$12="MFJ",1,IF('Second Earner'!$C$12="HoH",7,4))))*INDEX('How This Works &amp; Sources'!$B$19:$J$26,0,IF('Second Earner'!$C$12="MFJ",1,IF('Second Earner'!$C$12="HoH",7,4))+2)))),'How This Works &amp; Sources'!$C$10*$D24),2)))</f>
      </c>
      <c r="Q24" s="7">
        <f>IF($B24="","",ROUND('How This Works &amp; Sources'!$C$4*MIN($N24,MAX(0,'How This Works &amp; Sources'!$C$3-($AX24+$AB23-$AW24))),2))</f>
      </c>
      <c r="R24" s="7">
        <f>IF($B24="","",ROUND('How This Works &amp; Sources'!$C$5*$N24,2))</f>
      </c>
      <c r="S24" s="7">
        <f>IF($B24="","",ROUND('How This Works &amp; Sources'!$C$6*MAX(0,MIN($N24,$AG23+$N24-'How This Works &amp; Sources'!$C$7)),2))</f>
      </c>
      <c r="T24" s="7">
        <f>IF($B24="","",IF('Second Earner'!$C$26,0,IF($AN24="CA",ROUND(IF($AI24&lt;=IF(($AS24+$AT24)&gt;=2,VLOOKUP($AN24,StateTables!$A$6:$AB$56,10,FALSE),VLOOKUP($AN24,StateTables!$A$6:$AB$56,9,FALSE)),0,MAX(0,SUMPRODUCT(($AJ24&gt;INDEX('How This Works &amp; Sources'!$B$39:$J$48,0,IF($AU24="Married",4,IF($AU24="Head of household",7,1))))*($AJ24-INDEX('How This Works &amp; Sources'!$B$39:$J$48,0,IF($AU24="Married",4,IF($AU24="Head of household",7,1))))*INDEX('How This Works &amp; Sources'!$B$39:$J$48,0,IF($AU24="Married",4,IF($AU24="Head of household",7,1))+2))-VLOOKUP($AN24,StateTables!$A$6:$AB$56,11,FALSE)*$AS24)/'Second Earner'!$C$8)+'Second Earner'!$C$25+VLOOKUP($AN24,StateTables!$A$6:$AB$56,13,FALSE)*$D24,2),IF(VLOOKUP($AN24,StateTables!$A$6:$AB$56,4,FALSE)="None",0,IF(ISNUMBER(SEARCH("MANUAL",VLOOKUP($AN24,StateTables!$A$6:$AB$56,5,FALSE))),'Second Earner'!$C$28,ROUND(MAX(0,$BA24+$BB24)/'Second Earner'!$C$8+'Second Earner'!$C$25+$BC24,2))))))</f>
      </c>
      <c r="U24" s="7">
        <f>IF($B24="","",IF(VLOOKUP($AN24,StateTables!$A$6:$AB$56,24,FALSE)="flatq",IF(OR(MONTH($B24)=1,MONTH($B24)=4,MONTH($B24)=7,MONTH($B24)=10),VLOOKUP($AN24,StateTables!$A$6:$AB$56,25,FALSE),0),IF(VLOOKUP($AN24,StateTables!$A$6:$AB$56,24,FALSE)="dbl",MIN(ROUND(0.005*$N24,2),ROUND(0.6*52/'Second Earner'!$C$8,2)),IF(OR(VLOOKUP($AN24,StateTables!$A$6:$AB$56,15,FALSE)="",VLOOKUP($AN24,StateTables!$A$6:$AB$56,15,FALSE)=0),0,ROUND(VLOOKUP($AN24,StateTables!$A$6:$AB$56,15,FALSE)*IF(OR(VLOOKUP($AN24,StateTables!$A$6:$AB$56,16,FALSE)="",VLOOKUP($AN24,StateTables!$A$6:$AB$56,16,FALSE)=0),$N24,MIN($N24,MAX(0,VLOOKUP($AN24,StateTables!$A$6:$AB$56,16,FALSE)-($AX24+$AB23-$AW24)))),2))))+IF(VLOOKUP($AN24,StateTables!$A$6:$AB$56,27,FALSE)="flatq",IF(OR(MONTH($B24)=1,MONTH($B24)=4,MONTH($B24)=7,MONTH($B24)=10),VLOOKUP($AN24,StateTables!$A$6:$AB$56,28,FALSE),0),IF(VLOOKUP($AN24,StateTables!$A$6:$AB$56,27,FALSE)="dbl",MIN(ROUND(0.005*$N24,2),ROUND(0.6*52/'Second Earner'!$C$8,2)),IF(OR(VLOOKUP($AN24,StateTables!$A$6:$AB$56,18,FALSE)="",VLOOKUP($AN24,StateTables!$A$6:$AB$56,18,FALSE)=0),0,ROUND(VLOOKUP($AN24,StateTables!$A$6:$AB$56,18,FALSE)*IF(OR(VLOOKUP($AN24,StateTables!$A$6:$AB$56,19,FALSE)="",VLOOKUP($AN24,StateTables!$A$6:$AB$56,19,FALSE)=0),$N24,MIN($N24,MAX(0,VLOOKUP($AN24,StateTables!$A$6:$AB$56,19,FALSE)-($AX24+$AB23-$AW24)))),2)))))</f>
      </c>
      <c r="V24" s="7">
        <f>IF($B24="","",IF($AN24="NY",IF('Second Earner'!$C$78,ROUND(SUMPRODUCT((MAX(0,($O24-$D24)*'Second Earner'!$C$8-(IF($AU24="Married",5500,5000)+1000*$AS24))&gt;INDEX('How This Works &amp; Sources'!$B$184:$J$198,0,4))*(MAX(0,($O24-$D24)*'Second Earner'!$C$8-(IF($AU24="Married",5500,5000)+1000*$AS24))-INDEX('How This Works &amp; Sources'!$B$184:$J$198,0,4))*INDEX('How This Works &amp; Sources'!$B$184:$J$198,0,4+2))/'Second Earner'!$C$8+0.0425*$D24,2),0)+IF('Second Earner'!$C$79="Resident",ROUND(0.1675*$T24,2),IF('Second Earner'!$C$79="Nonresident",ROUND(0.005*MAX(0,($O24-$D24)-(IF($AU24="Married",7950,7400)+1000*$AS24)/'Second Earner'!$C$8),2),0)),IF($AN24="PA",IF('Second Earner'!$C$80="None",'Second Earner'!$C$27+ROUND('Second Earner'!$C$81*($C24+$D24),2),ROUND(IF('Second Earner'!$C$80="Resident",IF($B24&lt;DATE(2026,7,1),0.0374,0.03735),IF($B24&lt;DATE(2026,7,1),0.0343,0.03425))*($C24+$D24),2)),IF($BF24=0,ROUND('Second Earner'!$C$81*($C24+$D24),2),'Second Earner'!$C$27+ROUND('Second Earner'!$C$81*($C24+$D24),2)))))</f>
      </c>
      <c r="W24" s="7">
        <f>IF($B24="","",IF($BF24=0,0,$BP24))</f>
      </c>
      <c r="X24" s="7">
        <f>IF($B24="","",SUM($E24:$K24)+$P24+$Q24+$R24+$S24+$T24+$U24+$V24+$W24)</f>
      </c>
      <c r="Y24" s="22">
        <f>IF($B24="","",$C24+$D24-$X24)</f>
      </c>
      <c r="Z24" s="7">
        <f>IF($B24="","",$Z23+$C24+$D24)</f>
      </c>
      <c r="AA24" s="7">
        <f>IF($B24="","",$AA23+$Y24)</f>
      </c>
      <c r="AB24" s="7">
        <f>IF($B24="","",$AB23+MIN($N24,MAX(0,'How This Works &amp; Sources'!$C$3-($AX24+$AB23-$AW24))))</f>
      </c>
      <c r="AC24" s="7">
        <f>IF($B24="","",$AC23+$E24+$F24)</f>
      </c>
      <c r="AD24" s="3">
        <f>IF($B24="","",IF(AND($AB23&lt;'How This Works &amp; Sources'!$C$3,$AB24&gt;='How This Works &amp; Sources'!$C$3),"★ Social Security maxed on this check — from the next check your net rises by about $"&amp;TEXT(ROUND('How This Works &amp; Sources'!$C$4*$N24,2),"#,##0.00")&amp;". ","")&amp;IF(AND($AC23&lt;'Second Earner'!$C$34,$AC24&gt;='Second Earner'!$C$34),"★ 401(k) reaches the $"&amp;TEXT('Second Earner'!$C$34,"#,##0")&amp;" cap on this check — deferrals stop and net pay rises. ","")&amp;IF(AND($AG23&lt;'How This Works &amp; Sources'!$C$7,$AG24&gt;='How This Works &amp; Sources'!$C$7),"★ Wages pass $200,000 — the 0.9% Additional Medicare Tax starts here. ","")&amp;IF(AND($BJ24&gt;0,$H24&gt;0,$BG23&lt;MIN($BJ24,'How This Works &amp; Sources'!$C$13),$BG23+$H24&gt;=MIN($BJ24,'How This Works &amp; Sources'!$C$13)),"★ Health FSA election is now fully deferred for the year. ",""))</f>
      </c>
      <c r="AE24" s="41" t="n"/>
      <c r="AF24" s="7">
        <f>IF(OR($B24="",$AE24=""),"",$AE24-$Y24)</f>
      </c>
      <c r="AG24" s="7">
        <f>IF($B24="","",$AG23+$N24)</f>
      </c>
      <c r="AH24" s="7">
        <f>IF($B24="","",MAX(0,($M24-$D24)*'Second Earner'!$C$8+$AP24-$AQ24-IF('Second Earner'!$C$13,0,IF('Second Earner'!$C$12="MFJ",'How This Works &amp; Sources'!$C$8,'How This Works &amp; Sources'!$C$9))))</f>
      </c>
      <c r="AI24" s="7">
        <f>IF($B24="","",$O24*'Second Earner'!$C$8)</f>
      </c>
      <c r="AJ24" s="7">
        <f>IF($B24="","",MAX(0,$AI24-VLOOKUP($AN24,StateTables!$A$6:$AB$56,12,FALSE)*$AT24-IF(($AS24+$AT24)&gt;=2,VLOOKUP($AN24,StateTables!$A$6:$AB$56,8,FALSE),VLOOKUP($AN24,StateTables!$A$6:$AB$56,7,FALSE))))</f>
      </c>
      <c r="AK24" s="7">
        <f>IF($B24="","",IFERROR(LOOKUP(2,1/(('Changes — Earner 2'!$C$6:$C$17="Salary change")*('Changes — Earner 2'!$B$6:$B$17&lt;=$B24)*('Changes — Earner 2'!$B$6:$B$17&lt;&gt;"")),'Changes — Earner 2'!$D$6:$D$17),IF('Second Earner'!$C$4="Annual salary",'Second Earner'!$C$5,'Second Earner'!$C$6)))</f>
      </c>
      <c r="AL24">
        <f>IF($B24="","",IFERROR(LOOKUP(2,1/(('Changes — Earner 2'!$C$6:$C$17="401(k) change")*('Changes — Earner 2'!$B$6:$B$17&lt;=$B24)*('Changes — Earner 2'!$B$6:$B$17&lt;&gt;"")),'Changes — Earner 2'!$D$6:$D$17),'Second Earner'!$C$30))</f>
      </c>
      <c r="AM24" s="7">
        <f>IF($B24="","",IFERROR(LOOKUP(2,1/(('Changes — Earner 2'!$C$6:$C$17="401(k) change")*('Changes — Earner 2'!$B$6:$B$17&lt;=$B24)*('Changes — Earner 2'!$B$6:$B$17&lt;&gt;"")),'Changes — Earner 2'!$E$6:$E$17),'Second Earner'!$D$31))</f>
      </c>
      <c r="AN24">
        <f>IF($B24="","",IFERROR(LOOKUP(2,1/(('Changes — Earner 2'!$C$6:$C$17="State move")*('Changes — Earner 2'!$B$6:$B$17&lt;=$B24)*('Changes — Earner 2'!$B$6:$B$17&lt;&gt;"")),'Changes — Earner 2'!$D$6:$D$17),'Second Earner'!$C$21))</f>
      </c>
      <c r="AO24" s="7">
        <f>IF($B24="","",IFERROR(LOOKUP(2,1/(('Changes — Earner 2'!$C$6:$C$17="W-4 change")*('Changes — Earner 2'!$B$6:$B$17&lt;=$B24)*('Changes — Earner 2'!$B$6:$B$17&lt;&gt;"")),'Changes — Earner 2'!$D$6:$D$17),'Second Earner'!$C$14))</f>
      </c>
      <c r="AP24" s="7">
        <f>IF($B24="","",IFERROR(LOOKUP(2,1/(('Changes — Earner 2'!$C$6:$C$17="W-4 change")*('Changes — Earner 2'!$B$6:$B$17&lt;=$B24)*('Changes — Earner 2'!$B$6:$B$17&lt;&gt;"")),'Changes — Earner 2'!$E$6:$E$17),'Second Earner'!$C$15))</f>
      </c>
      <c r="AQ24" s="7">
        <f>IF($B24="","",IFERROR(LOOKUP(2,1/(('Changes — Earner 2'!$C$6:$C$17="W-4 change")*('Changes — Earner 2'!$B$6:$B$17&lt;=$B24)*('Changes — Earner 2'!$B$6:$B$17&lt;&gt;"")),'Changes — Earner 2'!$F$6:$F$17),'Second Earner'!$C$16))</f>
      </c>
      <c r="AR24" s="7">
        <f>IF($B24="","",IFERROR(LOOKUP(2,1/(('Changes — Earner 2'!$C$6:$C$17="W-4 change")*('Changes — Earner 2'!$B$6:$B$17&lt;=$B24)*('Changes — Earner 2'!$B$6:$B$17&lt;&gt;"")),'Changes — Earner 2'!$G$6:$G$17),'Second Earner'!$C$17))</f>
      </c>
      <c r="AS24" s="6">
        <f>IF($B24="","",IFERROR(LOOKUP(2,1/((('Changes — Earner 2'!$C$6:$C$17="State move")+('Changes — Earner 2'!$C$6:$C$17="State cert change"))*('Changes — Earner 2'!$B$6:$B$17&lt;=$B24)*('Changes — Earner 2'!$B$6:$B$17&lt;&gt;"")),'Changes — Earner 2'!$F$6:$F$17),'Second Earner'!$C$23))</f>
      </c>
      <c r="AT24" s="6">
        <f>IF($B24="","",IFERROR(LOOKUP(2,1/((('Changes — Earner 2'!$C$6:$C$17="State move")+('Changes — Earner 2'!$C$6:$C$17="State cert change"))*('Changes — Earner 2'!$B$6:$B$17&lt;=$B24)*('Changes — Earner 2'!$B$6:$B$17&lt;&gt;"")),'Changes — Earner 2'!$G$6:$G$17),'Second Earner'!$C$24))</f>
      </c>
      <c r="AU24">
        <f>IF($B24="","",IFERROR(LOOKUP(2,1/(('Changes — Earner 2'!$C$6:$C$17="State move")*('Changes — Earner 2'!$B$6:$B$17&lt;=$B24)*('Changes — Earner 2'!$B$6:$B$17&lt;&gt;"")),'Changes — Earner 2'!$E$6:$E$17),'Second Earner'!$C$22))</f>
      </c>
      <c r="AV24" s="6">
        <f>IF($B24="","",1+COUNTIFS('Changes — Earner 2'!$C$6:$C$17,"Employer change",'Changes — Earner 2'!$B$6:$B$17,"&lt;="&amp;$B24,'Changes — Earner 2'!$B$6:$B$17,"&lt;&gt;"))</f>
      </c>
      <c r="AW24" s="7">
        <f>IF($B24="","",IF($AV24=1,'Second Earner'!$C$49,IF(IFERROR(MATCH(IFERROR(LOOKUP(2,1/(('Changes — Earner 2'!$C$6:$C$17="Employer change")*('Changes — Earner 2'!$B$6:$B$17&lt;=$B24)*('Changes — Earner 2'!$B$6:$B$17&lt;&gt;"")),'Changes — Earner 2'!$B$6:$B$17),""),$B$6:$B$68,1),1)&lt;=1,'Second Earner'!$C$49,INDEX($AB$6:$AB$68,MATCH(IFERROR(LOOKUP(2,1/(('Changes — Earner 2'!$C$6:$C$17="Employer change")*('Changes — Earner 2'!$B$6:$B$17&lt;=$B24)*('Changes — Earner 2'!$B$6:$B$17&lt;&gt;"")),'Changes — Earner 2'!$B$6:$B$17),""),$B$6:$B$68,1)-1))))</f>
      </c>
      <c r="AX24" s="7">
        <f>IF($B24="","",IF($AV24=1,'Second Earner'!$C$49,IFERROR(LOOKUP(2,1/(('Changes — Earner 2'!$C$6:$C$17="Employer change")*('Changes — Earner 2'!$B$6:$B$17&lt;=$B24)*('Changes — Earner 2'!$B$6:$B$17&lt;&gt;"")),'Changes — Earner 2'!$D$6:$D$17),0)))</f>
      </c>
      <c r="AY24" s="7">
        <f>IF($B24="","",($O24-$D24)*'Second Earner'!$C$8)</f>
      </c>
      <c r="AZ24" s="7">
        <f>IF($B24="","",IF($AN24="AL",MAX(0,$AY24-IF($AU24="Married",IF($AY24&lt;=25999,8500,MAX(5000,8500-175*CEILING(($AY24-25999)/500,1))),IF($AU24="Head of household",IF($AY24&lt;=25999,5200,MAX(2500,5200-135*CEILING(($AY24-25999)/500,1))),IF($AY24&lt;=25999,3000,MAX(2500,3000-25*CEILING(($AY24-25999)/500,1)))))-($P24-'How This Works &amp; Sources'!$C$10*$D24)*'Second Earner'!$C$8-IF(OR($AU24="Married",$AU24="Head of household"),3000,1500)-$AT24*IF($AY24&lt;=50000,1000,IF($AY24&lt;=100000,500,300))),IF($AN24="AR",IF(MAX(0,$AY24-2470)&lt;97701,INT(MAX(0,$AY24-2470)/100)*100+50,MAX(0,$AY24-2470)),IF($AN24="DE",MAX(0,$AI24-3250),IF($AN24="HI",MAX(0,$AI24-1144*$AS24-4350),IF($AN24="KS",MAX(0,$AI24-(9160*IF($AU24="Married",2,1)+2320*$AT24+IF($AU24="Head of household",2320,0))),IF($AN24="MD",MAX(0,$AI24-3400-3200*$AS24),IF($AN24="MN",MAX(0,$AY24-5300*$AS24),IF($AN24="MO",MAX(0,$AI24-IF($AU24="Head of household",24150,IF($AU24="Married",IF('Second Earner'!$C$83,16100,32200),16100))),IF($AN24="MT",$AY24,IF($AN24="ND",($C24+$L24)*'Second Earner'!$C$8,IF($AN24="NE",MAX(0,$AY24-2440*$AS24),IF($AN24="NJ",MAX(0,$AY24-1000*$AS24),IF($AN24="NY",MAX(0,$AY24-(IF($AU24="Married",7950,7400)+1000*$AS24)),IF($AN24="OH",MAX(0,$AY24-650*$AS24),IF($AN24="OK",MAX(0,$AY24-1000*$AS24),IF($AN24="RI",MAX(0,$AI24-1000*$AS24),IF($AN24="SC",MAX(0,$AI24-5000*$AS24-IF($AS24=0,0,MIN(0.1*$AI24,7500))),IF($AN24="VA",MAX(0,$AI24-IF($AU24="Married",17500,8750)-930*$AS24-800*$AT24),IF($AN24="VT",MAX(0,$AI24-5400*$AS24),IF($AN24="WI",MAX(0,$AI24-MAX(0,IF($AU24="Married",9461-0.2*MAX(0,$AI24-25727),6702-0.12*MAX(0,$AI24-17780)))-400*$AS24),IF($AN24="WV",MAX(0,$AI24-2000*$AS24),$AI24))))))))))))))))))))))</f>
      </c>
      <c r="BA24" s="7">
        <f>IF($B24="","",IF($BW24&lt;&gt;"",$BW24,IF($BX24&lt;&gt;"",$BX24,IF($BY24&lt;&gt;"",$BY24,0))))</f>
      </c>
      <c r="BB24" s="7">
        <f>IF($B24="","",IF($AN24="AR",-29*$AS24,IF($AN24="DE",-110*$AS24,IF($AN24="MD",$AZ24*'Second Earner'!$C$74,IF($AN24="AZ",'Second Earner'!$C$82*($M24-$D24)*'Second Earner'!$C$8,IF($AN24="CO",0.044*MAX(0,$AY24-IF($AU24="Married",10000,5000)),IF($AN24="IA",MAX(0,0.038*MAX(0,$AY24-IF($AU24="Head of household",19500,IF($AU24="Married",26000,13000)))-40*$AS24),IF($AN24="ID",0.053*MAX(0,$AY24-IF($AU24="Married",32000,16094)),IF($AN24="IL",0.0495*MAX(0,$AY24-(2925*$AS24+1000*$AT24)),IF($AN24="IN",(0.0295+'Second Earner'!$C$76)*MAX(0,$AY24-(1000*$AS24+1500*$AT24+3000*'Second Earner'!$C$86)),IF($AN24="KY",0.035*MAX(0,$AI24-3360),IF($AN24="LA",IF('Second Earner'!$C$84="0",0.0309*$AI24,0.0309*MAX(0,$AI24-IF('Second Earner'!$C$84="2",25750,12875))),IF($AN24="MA",0.05*MIN(MAX(0,$AY24-MIN(($BD23+$Q24+$R24+$S24),2000)-IF($AS24=0,0,IF($AS24=1,4400,1000*$AS24+3400))),1107750)+0.09*MAX(0,MAX(0,$AY24-MIN(($BD23+$Q24+$R24+$S24),2000)-IF($AS24=0,0,IF($AS24=1,4400,1000*$AS24+3400)))-1107750)-IF($AU24="Head of household",120,0)-110*'Second Earner'!$C$75,IF($AN24="MI",0.0425*MAX(0,$AY24-5900*$AS24),IF($AN24="MS",0.04*MAX(0,$AI24-IF($AU24="Head of household",3400,IF($AU24="Married",4600,2300))-'Second Earner'!$C$85-10000),IF($AN24="OR",IF(OR($AU24="Married",AND($AU24="Single",$AS24&gt;=3)),SUMPRODUCT((MAX(0,$AY24-MIN(($P24-'How This Works &amp; Sources'!$C$10*$D24)*'Second Earner'!$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Sources'!$B$211:$J$214,0,4))*(MAX(0,$AY24-MIN(($P24-'How This Works &amp; Sources'!$C$10*$D24)*'Second Earner'!$C$8,IF(OR($AU24="Married",AND($AU24="Single",$AS24&gt;=3)),IF($AY24&lt;250000,8750,IF($AY24&lt;260000,7000,IF($AY24&lt;270000,5250,IF($AY24&lt;280000,3500,IF($AY24&lt;290000,1750,0))))),IF($AY24&lt;125000,8750,IF($AY24&lt;130000,7000,IF($AY24&lt;135000,5250,IF($AY24&lt;140000,3500,IF($AY24&lt;145000,1750,0)))))))-IF(OR($AU24="Married",AND($AU24="Single",$AS24&gt;=3)),5820,2910))-INDEX('How This Works &amp; Sources'!$B$211:$J$214,0,4))*INDEX('How This Works &amp; Sources'!$B$211:$J$214,0,4+2)),SUMPRODUCT((MAX(0,$AY24-MIN(($P24-'How This Works &amp; Sources'!$C$10*$D24)*'Second Earner'!$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Sources'!$B$211:$J$214,0,1))*(MAX(0,$AY24-MIN(($P24-'How This Works &amp; Sources'!$C$10*$D24)*'Second Earner'!$C$8,IF(OR($AU24="Married",AND($AU24="Single",$AS24&gt;=3)),IF($AY24&lt;250000,8750,IF($AY24&lt;260000,7000,IF($AY24&lt;270000,5250,IF($AY24&lt;280000,3500,IF($AY24&lt;290000,1750,0))))),IF($AY24&lt;125000,8750,IF($AY24&lt;130000,7000,IF($AY24&lt;135000,5250,IF($AY24&lt;140000,3500,IF($AY24&lt;145000,1750,0)))))))-IF(OR($AU24="Married",AND($AU24="Single",$AS24&gt;=3)),5820,2910))-INDEX('How This Works &amp; Sources'!$B$211:$J$214,0,1))*INDEX('How This Works &amp; Sources'!$B$211:$J$214,0,1+2)))+263-263*IF(IF($AU24="Married",$AY24&gt;200000,$AY24&gt;100000),0,$AS24),IF($AN24="PA",0.0307*(($O24+$E24+$G24)*'Second Earner'!$C$8),IF($AN24="NY",IF($AU24="Married",IF($AZ24&gt;=2155350,0,IF($AZ24&gt;=1077550,0.48,IF($AZ24&gt;=373200,1.21,IF($AZ24&gt;=323200,0.21,IF($AZ24&gt;=211550,-0.19,IF($AZ24&gt;=157650,-2.8,IF($AZ24&gt;=107650,-0.8,IF($AZ24&gt;=96800,0.05,IF($AZ24&gt;=80650,-0.1,IF($AZ24&gt;=13900,0.4,IF($AZ24&gt;=11700,-0.3,IF($AZ24&gt;=8500,0.5,0)))))))))))),IF($AZ24&gt;=1077550,0,IF($AZ24&gt;=265400,4.29,IF($AZ24&gt;=215400,2.29,IF($AZ24&gt;=157650,2.29,IF($AZ24&gt;=107650,0.29,IF($AZ24&gt;=96800,0.05,IF($AZ24&gt;=80650,-0.1,IF($AZ24&gt;=13900,0.4,IF($AZ24&gt;=11700,-0.3,IF($AZ24&gt;=8500,0.5,0))))))))))),0))))))))))))))))))</f>
      </c>
      <c r="BC24" s="7">
        <f>IF($B24="","",IF($AN24="AL",0.05*$D24,IF($AN24="AR",0.039*$D24,IF($AN24="ID",0.053*$D24,IF($AN24="IN",(0.0295+'Second Earner'!$C$76)*$D24,IF($AN24="KS",0.05*$D24,IF($AN24="MA",0.09*MIN($D24,MAX(0,MAX(0,$AY24-MIN(($BD23+$Q24+$R24+$S24),2000)-IF($AS24=0,0,IF($AS24=1,4400,1000*$AS24+3400)))+$D24-1107750))+0.05*($D24-MIN($D24,MAX(0,MAX(0,$AY24-MIN(($BD23+$Q24+$R24+$S24),2000)-IF($AS24=0,0,IF($AS24=1,4400,1000*$AS24+3400)))+$D24-1107750))),IF($AN24="MD",(0.065+'Second Earner'!$C$74)*$D24,IF($AN24="MI",0.0425*$D24,IF($AN24="MN",0.0625*$D24,IF($AN24="MO",0.047*$D24,IF($AN24="MT",0.05*$D24,IF($AN24="ND",0.015*$D24,IF($AN24="NE",0.035*$D24,IF($AN24="NJ",IF('Second Earner'!$C$77="B",SUMPRODUCT(($D24*'Second Earner'!$C$8&gt;INDEX('How This Works &amp; Sources'!$B$155:$J$162,0,4))*($D24*'Second Earner'!$C$8-INDEX('How This Works &amp; Sources'!$B$155:$J$162,0,4))*INDEX('How This Works &amp; Sources'!$B$155:$J$162,0,4+2)),IF('Second Earner'!$C$77="C",SUMPRODUCT(($D24*'Second Earner'!$C$8&gt;INDEX('How This Works &amp; Sources'!$B$155:$J$162,0,7))*($D24*'Second Earner'!$C$8-INDEX('How This Works &amp; Sources'!$B$155:$J$162,0,7))*INDEX('How This Works &amp; Sources'!$B$155:$J$162,0,7+2)),IF('Second Earner'!$C$77="D",SUMPRODUCT(($D24*'Second Earner'!$C$8&gt;INDEX('How This Works &amp; Sources'!$B$167:$J$179,0,1))*($D24*'Second Earner'!$C$8-INDEX('How This Works &amp; Sources'!$B$167:$J$179,0,1))*INDEX('How This Works &amp; Sources'!$B$167:$J$179,0,1+2)),IF('Second Earner'!$C$77="E",SUMPRODUCT(($D24*'Second Earner'!$C$8&gt;INDEX('How This Works &amp; Sources'!$B$167:$J$179,0,4))*($D24*'Second Earner'!$C$8-INDEX('How This Works &amp; Sources'!$B$167:$J$179,0,4))*INDEX('How This Works &amp; Sources'!$B$167:$J$179,0,4+2)),SUMPRODUCT(($D24*'Second Earner'!$C$8&gt;INDEX('How This Works &amp; Sources'!$B$155:$J$162,0,1))*($D24*'Second Earner'!$C$8-INDEX('How This Works &amp; Sources'!$B$155:$J$162,0,1))*INDEX('How This Works &amp; Sources'!$B$155:$J$162,0,1+2))))))/'Second Earner'!$C$8,IF($AN24="NY",0.117*$D24,IF($AN24="OH",0.0275*$D24,IF($AN24="OK",0.045*$D24,IF($AN24="OR",0.08*$D24,IF($AN24="WI",IF($AY24&lt;12760,0.0354,IF($AY24&lt;25520,0.0465,IF($AY24&lt;280950,0.053,0.0765)))*$D24,0))))))))))))))))))))</f>
      </c>
      <c r="BD24" s="7">
        <f>IF($B24="","",$BD23+$Q24+$R24+$S24)</f>
      </c>
      <c r="BE24" s="6">
        <f>IF($B24="",$BE23,$BE23+$BF24)</f>
      </c>
      <c r="BF24" s="6">
        <f>IF($B24="","",IF(AND(IF(YEAR(IF('Second Earner'!$C$7="Weekly",'Second Earner'!$C$9+7*(($BE23+1)-1),IF('Second Earner'!$C$7="Biweekly",'Second Earner'!$C$9+14*(($BE23+1)-1),IF('Second Earner'!$C$7="Semimonthly",DATE(YEAR('Second Earner'!$C$9),MONTH('Second Earner'!$C$9)+INT((($BE23+1)-1)/2),MIN(DAY('Second Earner'!$C$9),DAY(EOMONTH(DATE(YEAR('Second Earner'!$C$9),MONTH('Second Earner'!$C$9)+INT((($BE23+1)-1)/2),1),0))))+IF(MOD(($BE23+1)-1,2)=1,15,0),EDATE('Second Earner'!$C$9,($BE23+1)-1)))))&lt;&gt;'Second Earner'!$C$10,"",IF('Second Earner'!$C$7="Weekly",'Second Earner'!$C$9+7*(($BE23+1)-1),IF('Second Earner'!$C$7="Biweekly",'Second Earner'!$C$9+14*(($BE23+1)-1),IF('Second Earner'!$C$7="Semimonthly",DATE(YEAR('Second Earner'!$C$9),MONTH('Second Earner'!$C$9)+INT((($BE23+1)-1)/2),MIN(DAY('Second Earner'!$C$9),DAY(EOMONTH(DATE(YEAR('Second Earner'!$C$9),MONTH('Second Earner'!$C$9)+INT((($BE23+1)-1)/2),1),0))))+IF(MOD(($BE23+1)-1,2)=1,15,0),EDATE('Second Earner'!$C$9,($BE23+1)-1)))))&lt;&gt;"",$B24=IF(YEAR(IF('Second Earner'!$C$7="Weekly",'Second Earner'!$C$9+7*(($BE23+1)-1),IF('Second Earner'!$C$7="Biweekly",'Second Earner'!$C$9+14*(($BE23+1)-1),IF('Second Earner'!$C$7="Semimonthly",DATE(YEAR('Second Earner'!$C$9),MONTH('Second Earner'!$C$9)+INT((($BE23+1)-1)/2),MIN(DAY('Second Earner'!$C$9),DAY(EOMONTH(DATE(YEAR('Second Earner'!$C$9),MONTH('Second Earner'!$C$9)+INT((($BE23+1)-1)/2),1),0))))+IF(MOD(($BE23+1)-1,2)=1,15,0),EDATE('Second Earner'!$C$9,($BE23+1)-1)))))&lt;&gt;'Second Earner'!$C$10,"",IF('Second Earner'!$C$7="Weekly",'Second Earner'!$C$9+7*(($BE23+1)-1),IF('Second Earner'!$C$7="Biweekly",'Second Earner'!$C$9+14*(($BE23+1)-1),IF('Second Earner'!$C$7="Semimonthly",DATE(YEAR('Second Earner'!$C$9),MONTH('Second Earner'!$C$9)+INT((($BE23+1)-1)/2),MIN(DAY('Second Earner'!$C$9),DAY(EOMONTH(DATE(YEAR('Second Earner'!$C$9),MONTH('Second Earner'!$C$9)+INT((($BE23+1)-1)/2),1),0))))+IF(MOD(($BE23+1)-1,2)=1,15,0),EDATE('Second Earner'!$C$9,($BE23+1)-1)))))),1,0))</f>
      </c>
      <c r="BG24" s="7">
        <f>IF($B24="","",$BG23+$H24)</f>
      </c>
      <c r="BH24" s="7">
        <f>IF($B24="","",$BH23+$I24)</f>
      </c>
      <c r="BI24" s="7">
        <f>IF($B24="","",$BI23+$G24)</f>
      </c>
      <c r="BJ24" s="7">
        <f>IF($B24="","",IFERROR(LOOKUP(2,1/(((('Changes — Earner 2'!$C$6:$C$17="Deduction start"))*('Changes — Earner 2'!$D$6:$D$17="Health FSA"))*('Changes — Earner 2'!$B$6:$B$17&lt;=$B24)*('Changes — Earner 2'!$B$6:$B$17&lt;&gt;"")),'Changes — Earner 2'!$E$6:$E$17),'Second Earner'!$D$38))</f>
      </c>
      <c r="BK24" s="7">
        <f>IF($B24="","",IFERROR(LOOKUP(2,1/(((('Changes — Earner 2'!$C$6:$C$17="Deduction start"))*('Changes — Earner 2'!$D$6:$D$17="Dependent-care FSA"))*('Changes — Earner 2'!$B$6:$B$17&lt;=$B24)*('Changes — Earner 2'!$B$6:$B$17&lt;&gt;"")),'Changes — Earner 2'!$E$6:$E$17),'Second Earner'!$D$39))</f>
      </c>
      <c r="BL24" s="7">
        <f>IF($B24="","",IFERROR(LOOKUP(2,1/(((('Changes — Earner 2'!$C$6:$C$17="Deduction start")+('Changes — Earner 2'!$C$6:$C$17="Deduction stop"))*('Changes — Earner 2'!$D$6:$D$17="HSA"))*('Changes — Earner 2'!$B$6:$B$17&lt;=$B24)*('Changes — Earner 2'!$B$6:$B$17&lt;&gt;"")),'Changes — Earner 2'!$I$6:$I$17),'Second Earner'!$D$35))</f>
      </c>
      <c r="BM24" s="7">
        <f>IF($B24="","",IFERROR(LOOKUP(2,1/(((('Changes — Earner 2'!$C$6:$C$17="Deduction start")+('Changes — Earner 2'!$C$6:$C$17="Deduction stop"))*('Changes — Earner 2'!$D$6:$D$17="Premiums"))*('Changes — Earner 2'!$B$6:$B$17&lt;=$B24)*('Changes — Earner 2'!$B$6:$B$17&lt;&gt;"")),'Changes — Earner 2'!$I$6:$I$17),'Second Earner'!$D$40+'Second Earner'!$D$41+'Second Earner'!$D$42))</f>
      </c>
      <c r="BN24" s="7">
        <f>IF($B24="","",IFERROR(LOOKUP(2,1/(((('Changes — Earner 2'!$C$6:$C$17="Deduction start")+('Changes — Earner 2'!$C$6:$C$17="Deduction stop"))*('Changes — Earner 2'!$D$6:$D$17="Commuter"))*('Changes — Earner 2'!$B$6:$B$17&lt;=$B24)*('Changes — Earner 2'!$B$6:$B$17&lt;&gt;"")),'Changes — Earner 2'!$I$6:$I$17),'Second Earner'!$D$43))</f>
      </c>
      <c r="BO24" s="7">
        <f>IF($B24="","",IFERROR(LOOKUP(2,1/(((('Changes — Earner 2'!$C$6:$C$17="Deduction start")+('Changes — Earner 2'!$C$6:$C$17="Deduction stop"))*('Changes — Earner 2'!$D$6:$D$17="Other pre-tax"))*('Changes — Earner 2'!$B$6:$B$17&lt;=$B24)*('Changes — Earner 2'!$B$6:$B$17&lt;&gt;"")),'Changes — Earner 2'!$I$6:$I$17),'Second Earner'!$D$44))</f>
      </c>
      <c r="BP24" s="7">
        <f>IF($B24="","",IFERROR(LOOKUP(2,1/(((('Changes — Earner 2'!$C$6:$C$17="Deduction start")+('Changes — Earner 2'!$C$6:$C$17="Deduction stop"))*('Changes — Earner 2'!$D$6:$D$17="Other post-tax"))*('Changes — Earner 2'!$B$6:$B$17&lt;=$B24)*('Changes — Earner 2'!$B$6:$B$17&lt;&gt;"")),'Changes — Earner 2'!$I$6:$I$17),'Second Earner'!$D$45))</f>
      </c>
      <c r="BQ24" s="6">
        <f>IF($B24="","",IFERROR(LOOKUP(2,1/(((('Changes — Earner 2'!$C$6:$C$17="Deduction start")+('Changes — Earner 2'!$C$6:$C$17="Deduction stop"))*('Changes — Earner 2'!$D$6:$D$17="Health FSA"))*('Changes — Earner 2'!$B$6:$B$17&lt;=$B24)*('Changes — Earner 2'!$B$6:$B$17&lt;&gt;"")),'Changes — Earner 2'!$J$6:$J$17),0))</f>
      </c>
      <c r="BR24" s="6">
        <f>IF($B24="","",IFERROR(LOOKUP(2,1/(((('Changes — Earner 2'!$C$6:$C$17="Deduction start")+('Changes — Earner 2'!$C$6:$C$17="Deduction stop"))*('Changes — Earner 2'!$D$6:$D$17="Dependent-care FSA"))*('Changes — Earner 2'!$B$6:$B$17&lt;=$B24)*('Changes — Earner 2'!$B$6:$B$17&lt;&gt;"")),'Changes — Earner 2'!$J$6:$J$17),0))</f>
      </c>
      <c r="BS24" s="6">
        <f>IF($B24="","",IF(SUMPRODUCT(('Changes — Earner 2'!$C$6:$C$17="Deduction start")*('Changes — Earner 2'!$B$6:$B$17&lt;=$B24)*('Changes — Earner 2'!$B$6:$B$17&lt;&gt;"")*('Changes — Earner 2'!$D$6:$D$17="Health FSA"))&gt;0,1,0))</f>
      </c>
      <c r="BT24" s="6">
        <f>IF($B24="","",IF(SUMPRODUCT(('Changes — Earner 2'!$C$6:$C$17="Deduction start")*('Changes — Earner 2'!$B$6:$B$17&lt;=$B24)*('Changes — Earner 2'!$B$6:$B$17&lt;&gt;"")*('Changes — Earner 2'!$D$6:$D$17="Dependent-care FSA"))&gt;0,1,0))</f>
      </c>
      <c r="BU24" s="24">
        <f>IF($B24="","",IF('Second Earner'!$C$13,SUMPRODUCT(($AH24&gt;=INDEX('How This Works &amp; Sources'!$B$29:$J$36,0,IF('Second Earner'!$C$12="MFJ",1,IF('Second Earner'!$C$12="HoH",7,4))))*INDEX('How This Works &amp; Sources'!$B$29:$J$36,0,IF('Second Earner'!$C$12="MFJ",1,IF('Second Earner'!$C$12="HoH",7,4))+2)),SUMPRODUCT(($AH24&gt;=INDEX('How This Works &amp; Sources'!$B$19:$J$26,0,IF('Second Earner'!$C$12="MFJ",1,IF('Second Earner'!$C$12="HoH",7,4))))*INDEX('How This Works &amp; Sources'!$B$19:$J$26,0,IF('Second Earner'!$C$12="MFJ",1,IF('Second Earner'!$C$12="HoH",7,4))+2))))</f>
      </c>
      <c r="BV24" s="24">
        <f>IF($B24="","",IF($BZ24&lt;&gt;"",$BZ24,IF($CA24&lt;&gt;"",$CA24,IF($CB24&lt;&gt;"",$CB24,IF($CC24&lt;&gt;"",$CC24,0)))))</f>
      </c>
      <c r="BW24" s="7">
        <f>IF($B24="","",IF($AN24="AR",SUMPRODUCT(($AZ24&gt;INDEX('How This Works &amp; Sources'!$B$82:$J$86,0,7))*($AZ24-INDEX('How This Works &amp; Sources'!$B$82:$J$86,0,7))*INDEX('How This Works &amp; Sources'!$B$82:$J$86,0,7+2)),IF($AN24="MD",IF(OR($AU24="Married",$AU24="Head of household"),SUMPRODUCT(($AZ24&gt;INDEX('How This Works &amp; Sources'!$B$114:$J$120,0,1))*($AZ24-INDEX('How This Works &amp; Sources'!$B$114:$J$120,0,1))*INDEX('How This Works &amp; Sources'!$B$114:$J$120,0,1+2)),SUMPRODUCT(($AZ24&gt;INDEX('How This Works &amp; Sources'!$B$103:$J$109,0,7))*($AZ24-INDEX('How This Works &amp; Sources'!$B$103:$J$109,0,7))*INDEX('How This Works &amp; Sources'!$B$103:$J$109,0,7+2))),IF($AN24="MT",IF($AU24="Head of household",SUMPRODUCT(($AZ24&gt;INDEX('How This Works &amp; Sources'!$B$137:$J$139,0,1))*($AZ24-INDEX('How This Works &amp; Sources'!$B$137:$J$139,0,1))*INDEX('How This Works &amp; Sources'!$B$137:$J$139,0,1+2)),IF($AU24="Married",SUMPRODUCT(($AZ24&gt;INDEX('How This Works &amp; Sources'!$B$125:$J$132,0,7))*($AZ24-INDEX('How This Works &amp; Sources'!$B$125:$J$132,0,7))*INDEX('How This Works &amp; Sources'!$B$125:$J$132,0,7+2)),SUMPRODUCT(($AZ24&gt;INDEX('How This Works &amp; Sources'!$B$125:$J$132,0,4))*($AZ24-INDEX('How This Works &amp; Sources'!$B$125:$J$132,0,4))*INDEX('How This Works &amp; Sources'!$B$125:$J$132,0,4+2)))),IF($AN24="ND",IF($AU24="Head of household",SUMPRODUCT(($AZ24&gt;INDEX('How This Works &amp; Sources'!$B$144:$J$150,0,1))*($AZ24-INDEX('How This Works &amp; Sources'!$B$144:$J$150,0,1))*INDEX('How This Works &amp; Sources'!$B$144:$J$150,0,1+2)),IF($AU24="Married",SUMPRODUCT(($AZ24&gt;INDEX('How This Works &amp; Sources'!$B$137:$J$139,0,7))*($AZ24-INDEX('How This Works &amp; Sources'!$B$137:$J$139,0,7))*INDEX('How This Works &amp; Sources'!$B$137:$J$139,0,7+2)),SUMPRODUCT(($AZ24&gt;INDEX('How This Works &amp; Sources'!$B$137:$J$139,0,4))*($AZ24-INDEX('How This Works &amp; Sources'!$B$137:$J$139,0,4))*INDEX('How This Works &amp; Sources'!$B$137:$J$139,0,4+2)))),IF($AN24="NJ",IF('Second Earner'!$C$77="B",SUMPRODUCT(($AZ24&gt;INDEX('How This Works &amp; Sources'!$B$155:$J$162,0,4))*($AZ24-INDEX('How This Works &amp; Sources'!$B$155:$J$162,0,4))*INDEX('How This Works &amp; Sources'!$B$155:$J$162,0,4+2)),IF('Second Earner'!$C$77="C",SUMPRODUCT(($AZ24&gt;INDEX('How This Works &amp; Sources'!$B$155:$J$162,0,7))*($AZ24-INDEX('How This Works &amp; Sources'!$B$155:$J$162,0,7))*INDEX('How This Works &amp; Sources'!$B$155:$J$162,0,7+2)),IF('Second Earner'!$C$77="D",SUMPRODUCT(($AZ24&gt;INDEX('How This Works &amp; Sources'!$B$167:$J$179,0,1))*($AZ24-INDEX('How This Works &amp; Sources'!$B$167:$J$179,0,1))*INDEX('How This Works &amp; Sources'!$B$167:$J$179,0,1+2)),IF('Second Earner'!$C$77="E",SUMPRODUCT(($AZ24&gt;INDEX('How This Works &amp; Sources'!$B$167:$J$179,0,4))*($AZ24-INDEX('How This Works &amp; Sources'!$B$167:$J$179,0,4))*INDEX('How This Works &amp; Sources'!$B$167:$J$179,0,4+2)),SUMPRODUCT(($AZ24&gt;INDEX('How This Works &amp; Sources'!$B$155:$J$162,0,1))*($AZ24-INDEX('How This Works &amp; Sources'!$B$155:$J$162,0,1))*INDEX('How This Works &amp; Sources'!$B$155:$J$162,0,1+2)))))),IF($AN24="NY",IF($AU24="Married",IF($AZ24&gt;=2155350,$AZ24*IF($AZ24&gt;25000000,0.117,IF($AZ24&gt;5000000,0.111,0.1045)),SUMPRODUCT(($AZ24&gt;INDEX('How This Works &amp; Sources'!$B$184:$J$198,0,1))*($AZ24-INDEX('How This Works &amp; Sources'!$B$184:$J$198,0,1))*INDEX('How This Works &amp; Sources'!$B$184:$J$198,0,1+2))),IF($AZ24&gt;=1077550,$AZ24*IF($AZ24&gt;25000000,0.117,IF($AZ24&gt;5000000,0.111,0.1045)),SUMPRODUCT(($AZ24&gt;INDEX('How This Works &amp; Sources'!$B$167:$J$179,0,7))*($AZ24-INDEX('How This Works &amp; Sources'!$B$167:$J$179,0,7))*INDEX('How This Works &amp; Sources'!$B$167:$J$179,0,7+2)))),"")))))))</f>
      </c>
      <c r="BX24" s="7">
        <f>IF($B24="","",IF($AN24="AL",IF(OR($AU24="Married",$AU24="Head of household"),SUMPRODUCT(($AZ24&gt;INDEX('How This Works &amp; Sources'!$B$82:$J$86,0,4))*($AZ24-INDEX('How This Works &amp; Sources'!$B$82:$J$86,0,4))*INDEX('How This Works &amp; Sources'!$B$82:$J$86,0,4+2)),SUMPRODUCT(($AZ24&gt;INDEX('How This Works &amp; Sources'!$B$82:$J$86,0,1))*($AZ24-INDEX('How This Works &amp; Sources'!$B$82:$J$86,0,1))*INDEX('How This Works &amp; Sources'!$B$82:$J$86,0,1+2))),IF($AN24="KS",IF($AU24="Married",SUMPRODUCT(($AZ24&gt;INDEX('How This Works &amp; Sources'!$B$103:$J$109,0,4))*($AZ24-INDEX('How This Works &amp; Sources'!$B$103:$J$109,0,4))*INDEX('How This Works &amp; Sources'!$B$103:$J$109,0,4+2)),SUMPRODUCT(($AZ24&gt;INDEX('How This Works &amp; Sources'!$B$103:$J$109,0,1))*($AZ24-INDEX('How This Works &amp; Sources'!$B$103:$J$109,0,1))*INDEX('How This Works &amp; Sources'!$B$103:$J$109,0,1+2))),IF($AN24="MN",IF($AU24="Married",SUMPRODUCT(($AZ24&gt;INDEX('How This Works &amp; Sources'!$B$114:$J$120,0,7))*($AZ24-INDEX('How This Works &amp; Sources'!$B$114:$J$120,0,7))*INDEX('How This Works &amp; Sources'!$B$114:$J$120,0,7+2)),SUMPRODUCT(($AZ24&gt;INDEX('How This Works &amp; Sources'!$B$114:$J$120,0,4))*($AZ24-INDEX('How This Works &amp; Sources'!$B$114:$J$120,0,4))*INDEX('How This Works &amp; Sources'!$B$114:$J$120,0,4+2))),IF($AN24="MO",SUMPRODUCT(($AZ24&gt;INDEX('How This Works &amp; Sources'!$B$125:$J$132,0,1))*($AZ24-INDEX('How This Works &amp; Sources'!$B$125:$J$132,0,1))*INDEX('How This Works &amp; Sources'!$B$125:$J$132,0,1+2)),IF($AN24="NE",MAX(IF($AU24="Married",SUMPRODUCT(($AZ24&gt;INDEX('How This Works &amp; Sources'!$B$144:$J$150,0,7))*($AZ24-INDEX('How This Works &amp; Sources'!$B$144:$J$150,0,7))*INDEX('How This Works &amp; Sources'!$B$144:$J$150,0,7+2)),SUMPRODUCT(($AZ24&gt;INDEX('How This Works &amp; Sources'!$B$144:$J$150,0,4))*($AZ24-INDEX('How This Works &amp; Sources'!$B$144:$J$150,0,4))*INDEX('How This Works &amp; Sources'!$B$144:$J$150,0,4+2))),0.015*$AZ24),IF($AN24="OH",IF($B24&gt;=DATE(2026,8,1),SUMPRODUCT(($AZ24&gt;INDEX('How This Works &amp; Sources'!$B$203:$J$206,0,1))*($AZ24-INDEX('How This Works &amp; Sources'!$B$203:$J$206,0,1))*INDEX('How This Works &amp; Sources'!$B$203:$J$206,0,1+2)),SUMPRODUCT(($AZ24&gt;INDEX('How This Works &amp; Sources'!$B$184:$J$198,0,7))*($AZ24-INDEX('How This Works &amp; Sources'!$B$184:$J$198,0,7))*INDEX('How This Works &amp; Sources'!$B$184:$J$198,0,7+2))),IF($AN24="OK",IF($AU24="Married",SUMPRODUCT(($AZ24&gt;INDEX('How This Works &amp; Sources'!$B$203:$J$206,0,7))*($AZ24-INDEX('How This Works &amp; Sources'!$B$203:$J$206,0,7))*INDEX('How This Works &amp; Sources'!$B$203:$J$206,0,7+2)),SUMPRODUCT(($AZ24&gt;INDEX('How This Works &amp; Sources'!$B$203:$J$206,0,4))*($AZ24-INDEX('How This Works &amp; Sources'!$B$203:$J$206,0,4))*INDEX('How This Works &amp; Sources'!$B$203:$J$206,0,4+2))),IF($AN24="VT",IF($AU24="Married",SUMPRODUCT(($AZ24&gt;INDEX('How This Works &amp; Sources'!$B$228:$J$232,0,1))*($AZ24-INDEX('How This Works &amp; Sources'!$B$228:$J$232,0,1))*INDEX('How This Works &amp; Sources'!$B$228:$J$232,0,1+2)),SUMPRODUCT(($AZ24&gt;INDEX('How This Works &amp; Sources'!$B$219:$J$223,0,7))*($AZ24-INDEX('How This Works &amp; Sources'!$B$219:$J$223,0,7))*INDEX('How This Works &amp; Sources'!$B$219:$J$223,0,7+2))),IF($AN24="WV",IF($AU24="Married",SUMPRODUCT(($AZ24&gt;INDEX('How This Works &amp; Sources'!$B$237:$J$241,0,7))*($AZ24-INDEX('How This Works &amp; Sources'!$B$237:$J$241,0,7))*INDEX('How This Works &amp; Sources'!$B$237:$J$241,0,7+2)),SUMPRODUCT(($AZ24&gt;INDEX('How This Works &amp; Sources'!$B$228:$J$232,0,7))*($AZ24-INDEX('How This Works &amp; Sources'!$B$228:$J$232,0,7))*INDEX('How This Works &amp; Sources'!$B$228:$J$232,0,7+2))),""))))))))))</f>
      </c>
      <c r="BY24" s="7">
        <f>IF($B24="","",IF($AN24="DE",SUMPRODUCT(($AZ24&gt;INDEX('How This Works &amp; Sources'!$B$91:$J$98,0,1))*($AZ24-INDEX('How This Works &amp; Sources'!$B$91:$J$98,0,1))*INDEX('How This Works &amp; Sources'!$B$91:$J$98,0,1+2)),IF($AN24="HI",IF($AU24="Married",SUMPRODUCT(($AZ24&gt;INDEX('How This Works &amp; Sources'!$B$91:$J$98,0,7))*($AZ24-INDEX('How This Works &amp; Sources'!$B$91:$J$98,0,7))*INDEX('How This Works &amp; Sources'!$B$91:$J$98,0,7+2)),SUMPRODUCT(($AZ24&gt;INDEX('How This Works &amp; Sources'!$B$91:$J$98,0,4))*($AZ24-INDEX('How This Works &amp; Sources'!$B$91:$J$98,0,4))*INDEX('How This Works &amp; Sources'!$B$91:$J$98,0,4+2))),IF($AN24="RI",SUMPRODUCT(($AZ24&gt;INDEX('How This Works &amp; Sources'!$B$211:$J$214,0,7))*($AZ24-INDEX('How This Works &amp; Sources'!$B$211:$J$214,0,7))*INDEX('How This Works &amp; Sources'!$B$211:$J$214,0,7+2)),IF($AN24="SC",SUMPRODUCT(($AZ24&gt;INDEX('How This Works &amp; Sources'!$B$219:$J$223,0,1))*($AZ24-INDEX('How This Works &amp; Sources'!$B$219:$J$223,0,1))*INDEX('How This Works &amp; Sources'!$B$219:$J$223,0,1+2)),IF($AN24="VA",SUMPRODUCT(($AZ24&gt;INDEX('How This Works &amp; Sources'!$B$219:$J$223,0,4))*($AZ24-INDEX('How This Works &amp; Sources'!$B$219:$J$223,0,4))*INDEX('How This Works &amp; Sources'!$B$219:$J$223,0,4+2)),IF($AN24="WI",SUMPRODUCT(($AZ24&gt;INDEX('How This Works &amp; Sources'!$B$228:$J$232,0,4))*($AZ24-INDEX('How This Works &amp; Sources'!$B$228:$J$232,0,4))*INDEX('How This Works &amp; Sources'!$B$228:$J$232,0,4+2)),"")))))))</f>
      </c>
      <c r="BZ24" s="24">
        <f>IF($B24="","",IF($AN24="KS",IF($AU24="Married",SUMPRODUCT(($AZ24&gt;=INDEX('How This Works &amp; Sources'!$B$103:$J$109,0,4))*INDEX('How This Works &amp; Sources'!$B$103:$J$109,0,4+2)),SUMPRODUCT(($AZ24&gt;=INDEX('How This Works &amp; Sources'!$B$103:$J$109,0,1))*INDEX('How This Works &amp; Sources'!$B$103:$J$109,0,1+2))),IF($AN24="MT",IF($AU24="Head of household",SUMPRODUCT(($AZ24&gt;=INDEX('How This Works &amp; Sources'!$B$137:$J$139,0,1))*INDEX('How This Works &amp; Sources'!$B$137:$J$139,0,1+2)),IF($AU24="Married",SUMPRODUCT(($AZ24&gt;=INDEX('How This Works &amp; Sources'!$B$125:$J$132,0,7))*INDEX('How This Works &amp; Sources'!$B$125:$J$132,0,7+2)),SUMPRODUCT(($AZ24&gt;=INDEX('How This Works &amp; Sources'!$B$125:$J$132,0,4))*INDEX('How This Works &amp; Sources'!$B$125:$J$132,0,4+2)))),IF($AN24="OR",IF(OR($AU24="Married",AND($AU24="Single",$AS24&gt;=3)),SUMPRODUCT((MAX(0,$AY24-MIN(($P24-'How This Works &amp; Sources'!$C$10*$D24)*'Second Earner'!$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Sources'!$B$211:$J$214,0,4))*INDEX('How This Works &amp; Sources'!$B$211:$J$214,0,4+2)),SUMPRODUCT((MAX(0,$AY24-MIN(($P24-'How This Works &amp; Sources'!$C$10*$D24)*'Second Earner'!$C$8,IF(OR($AU24="Married",AND($AU24="Single",$AS24&gt;=3)),IF($AY24&lt;250000,8750,IF($AY24&lt;260000,7000,IF($AY24&lt;270000,5250,IF($AY24&lt;280000,3500,IF($AY24&lt;290000,1750,0))))),IF($AY24&lt;125000,8750,IF($AY24&lt;130000,7000,IF($AY24&lt;135000,5250,IF($AY24&lt;140000,3500,IF($AY24&lt;145000,1750,0)))))))-IF(OR($AU24="Married",AND($AU24="Single",$AS24&gt;=3)),5820,2910))&gt;=INDEX('How This Works &amp; Sources'!$B$211:$J$214,0,1))*INDEX('How This Works &amp; Sources'!$B$211:$J$214,0,1+2)))*IF(($P24-'How This Works &amp; Sources'!$C$10*$D24)*'Second Earner'!$C$8&gt;=IF(OR($AU24="Married",AND($AU24="Single",$AS24&gt;=3)),IF($AY24&lt;250000,8750,IF($AY24&lt;260000,7000,IF($AY24&lt;270000,5250,IF($AY24&lt;280000,3500,IF($AY24&lt;290000,1750,0))))),IF($AY24&lt;125000,8750,IF($AY24&lt;130000,7000,IF($AY24&lt;135000,5250,IF($AY24&lt;140000,3500,IF($AY24&lt;145000,1750,0)))))),1,1-IF('Second Earner'!$C$13,SUMPRODUCT(($AH24&gt;=INDEX('How This Works &amp; Sources'!$B$29:$J$36,0,IF('Second Earner'!$C$12="MFJ",1,IF('Second Earner'!$C$12="HoH",7,4))))*INDEX('How This Works &amp; Sources'!$B$29:$J$36,0,IF('Second Earner'!$C$12="MFJ",1,IF('Second Earner'!$C$12="HoH",7,4))+2)),SUMPRODUCT(($AH24&gt;=INDEX('How This Works &amp; Sources'!$B$19:$J$26,0,IF('Second Earner'!$C$12="MFJ",1,IF('Second Earner'!$C$12="HoH",7,4))))*INDEX('How This Works &amp; Sources'!$B$19:$J$26,0,IF('Second Earner'!$C$12="MFJ",1,IF('Second Earner'!$C$12="HoH",7,4))+2)))),""))))</f>
      </c>
      <c r="CA24" s="24">
        <f>IF($B24="","",IF($AN24="CA",SUMPRODUCT(($AJ24&gt;=INDEX('How This Works &amp; Sources'!$B$39:$J$48,0,IF($AU24="Married",4,IF($AU24="Head of household",7,1))))*INDEX('How This Works &amp; Sources'!$B$39:$J$48,0,IF($AU24="Married",4,IF($AU24="Head of household",7,1))+2)),IF($AN24="AL",IF(OR($AU24="Married",$AU24="Head of household"),SUMPRODUCT(($AZ24&gt;=INDEX('How This Works &amp; Sources'!$B$82:$J$86,0,4))*INDEX('How This Works &amp; Sources'!$B$82:$J$86,0,4+2)),SUMPRODUCT(($AZ24&gt;=INDEX('How This Works &amp; Sources'!$B$82:$J$86,0,1))*INDEX('How This Works &amp; Sources'!$B$82:$J$86,0,1+2)))*(1-IF('Second Earner'!$C$13,SUMPRODUCT(($AH24&gt;=INDEX('How This Works &amp; Sources'!$B$29:$J$36,0,IF('Second Earner'!$C$12="MFJ",1,IF('Second Earner'!$C$12="HoH",7,4))))*INDEX('How This Works &amp; Sources'!$B$29:$J$36,0,IF('Second Earner'!$C$12="MFJ",1,IF('Second Earner'!$C$12="HoH",7,4))+2)),SUMPRODUCT(($AH24&gt;=INDEX('How This Works &amp; Sources'!$B$19:$J$26,0,IF('Second Earner'!$C$12="MFJ",1,IF('Second Earner'!$C$12="HoH",7,4))))*INDEX('How This Works &amp; Sources'!$B$19:$J$26,0,IF('Second Earner'!$C$12="MFJ",1,IF('Second Earner'!$C$12="HoH",7,4))+2)))),IF($AN24="ND",IF($AU24="Head of household",SUMPRODUCT(($AZ24&gt;=INDEX('How This Works &amp; Sources'!$B$144:$J$150,0,1))*INDEX('How This Works &amp; Sources'!$B$144:$J$150,0,1+2)),IF($AU24="Married",SUMPRODUCT(($AZ24&gt;=INDEX('How This Works &amp; Sources'!$B$137:$J$139,0,7))*INDEX('How This Works &amp; Sources'!$B$137:$J$139,0,7+2)),SUMPRODUCT(($AZ24&gt;=INDEX('How This Works &amp; Sources'!$B$137:$J$139,0,4))*INDEX('How This Works &amp; Sources'!$B$137:$J$139,0,4+2)))),IF($AN24="NJ",IF('Second Earner'!$C$77="B",SUMPRODUCT(($AZ24&gt;=INDEX('How This Works &amp; Sources'!$B$155:$J$162,0,4))*INDEX('How This Works &amp; Sources'!$B$155:$J$162,0,4+2)),IF('Second Earner'!$C$77="C",SUMPRODUCT(($AZ24&gt;=INDEX('How This Works &amp; Sources'!$B$155:$J$162,0,7))*INDEX('How This Works &amp; Sources'!$B$155:$J$162,0,7+2)),IF('Second Earner'!$C$77="D",SUMPRODUCT(($AZ24&gt;=INDEX('How This Works &amp; Sources'!$B$167:$J$179,0,1))*INDEX('How This Works &amp; Sources'!$B$167:$J$179,0,1+2)),IF('Second Earner'!$C$77="E",SUMPRODUCT(($AZ24&gt;=INDEX('How This Works &amp; Sources'!$B$167:$J$179,0,4))*INDEX('How This Works &amp; Sources'!$B$167:$J$179,0,4+2)),SUMPRODUCT(($AZ24&gt;=INDEX('How This Works &amp; Sources'!$B$155:$J$162,0,1))*INDEX('How This Works &amp; Sources'!$B$155:$J$162,0,1+2)))))),IF($AN24="NY",IF($AU24="Married",IF($AZ24&gt;=2155350,IF($AZ24&gt;25000000,0.117,IF($AZ24&gt;5000000,0.111,0.1045)),SUMPRODUCT(($AZ24&gt;=INDEX('How This Works &amp; Sources'!$B$184:$J$198,0,1))*INDEX('How This Works &amp; Sources'!$B$184:$J$198,0,1+2))),IF($AZ24&gt;=1077550,IF($AZ24&gt;25000000,0.117,IF($AZ24&gt;5000000,0.111,0.1045)),SUMPRODUCT(($AZ24&gt;=INDEX('How This Works &amp; Sources'!$B$167:$J$179,0,7))*INDEX('How This Works &amp; Sources'!$B$167:$J$179,0,7+2)))),IF($AN24="LA",0.0309,"")))))))</f>
      </c>
      <c r="CB24" s="24">
        <f>IF($B24="","",IF($AN24="HI",IF($AU24="Married",SUMPRODUCT(($AZ24&gt;=INDEX('How This Works &amp; Sources'!$B$91:$J$98,0,7))*INDEX('How This Works &amp; Sources'!$B$91:$J$98,0,7+2)),SUMPRODUCT(($AZ24&gt;=INDEX('How This Works &amp; Sources'!$B$91:$J$98,0,4))*INDEX('How This Works &amp; Sources'!$B$91:$J$98,0,4+2))),IF($AN24="MD",IF(OR($AU24="Married",$AU24="Head of household"),SUMPRODUCT(($AZ24&gt;=INDEX('How This Works &amp; Sources'!$B$114:$J$120,0,1))*INDEX('How This Works &amp; Sources'!$B$114:$J$120,0,1+2)),SUMPRODUCT(($AZ24&gt;=INDEX('How This Works &amp; Sources'!$B$103:$J$109,0,7))*INDEX('How This Works &amp; Sources'!$B$103:$J$109,0,7+2)))+'Second Earner'!$C$74,IF($AN24="MN",IF($AU24="Married",SUMPRODUCT(($AZ24&gt;=INDEX('How This Works &amp; Sources'!$B$114:$J$120,0,7))*INDEX('How This Works &amp; Sources'!$B$114:$J$120,0,7+2)),SUMPRODUCT(($AZ24&gt;=INDEX('How This Works &amp; Sources'!$B$114:$J$120,0,4))*INDEX('How This Works &amp; Sources'!$B$114:$J$120,0,4+2))),IF($AN24="MO",SUMPRODUCT(($AZ24&gt;=INDEX('How This Works &amp; Sources'!$B$125:$J$132,0,1))*INDEX('How This Works &amp; Sources'!$B$125:$J$132,0,1+2)),IF($AN24="NE",MAX(IF($AU24="Married",SUMPRODUCT(($AZ24&gt;=INDEX('How This Works &amp; Sources'!$B$144:$J$150,0,7))*INDEX('How This Works &amp; Sources'!$B$144:$J$150,0,7+2)),SUMPRODUCT(($AZ24&gt;=INDEX('How This Works &amp; Sources'!$B$144:$J$150,0,4))*INDEX('How This Works &amp; Sources'!$B$144:$J$150,0,4+2))),0.015),IF($AN24="OH",IF($B24&gt;=DATE(2026,8,1),SUMPRODUCT(($AZ24&gt;=INDEX('How This Works &amp; Sources'!$B$203:$J$206,0,1))*INDEX('How This Works &amp; Sources'!$B$203:$J$206,0,1+2)),SUMPRODUCT(($AZ24&gt;=INDEX('How This Works &amp; Sources'!$B$184:$J$198,0,7))*INDEX('How This Works &amp; Sources'!$B$184:$J$198,0,7+2))),IF($AN24="OK",IF($AU24="Married",SUMPRODUCT(($AZ24&gt;=INDEX('How This Works &amp; Sources'!$B$203:$J$206,0,7))*INDEX('How This Works &amp; Sources'!$B$203:$J$206,0,7+2)),SUMPRODUCT(($AZ24&gt;=INDEX('How This Works &amp; Sources'!$B$203:$J$206,0,4))*INDEX('How This Works &amp; Sources'!$B$203:$J$206,0,4+2))),IF($AN24="RI",SUMPRODUCT(($AZ24&gt;=INDEX('How This Works &amp; Sources'!$B$211:$J$214,0,7))*INDEX('How This Works &amp; Sources'!$B$211:$J$214,0,7+2)),IF($AN24="VT",IF($AU24="Married",SUMPRODUCT(($AZ24&gt;=INDEX('How This Works &amp; Sources'!$B$228:$J$232,0,1))*INDEX('How This Works &amp; Sources'!$B$228:$J$232,0,1+2)),SUMPRODUCT(($AZ24&gt;=INDEX('How This Works &amp; Sources'!$B$219:$J$223,0,7))*INDEX('How This Works &amp; Sources'!$B$219:$J$223,0,7+2))),IF($AN24="WV",IF($AU24="Married",SUMPRODUCT(($AZ24&gt;=INDEX('How This Works &amp; Sources'!$B$237:$J$241,0,7))*INDEX('How This Works &amp; Sources'!$B$237:$J$241,0,7+2)),SUMPRODUCT(($AZ24&gt;=INDEX('How This Works &amp; Sources'!$B$228:$J$232,0,7))*INDEX('How This Works &amp; Sources'!$B$228:$J$232,0,7+2))),IF($AN24="AZ",'Second Earner'!$C$82,IF($AN24="ID",IF($AY24&gt;IF($AU24="Married",32000,16094),0.053,0),"")))))))))))))</f>
      </c>
      <c r="CC24" s="24">
        <f>IF($B24="","",IF($AN24="AR",SUMPRODUCT(($AZ24&gt;=INDEX('How This Works &amp; Sources'!$B$82:$J$86,0,7))*INDEX('How This Works &amp; Sources'!$B$82:$J$86,0,7+2)),IF($AN24="DE",SUMPRODUCT(($AZ24&gt;=INDEX('How This Works &amp; Sources'!$B$91:$J$98,0,1))*INDEX('How This Works &amp; Sources'!$B$91:$J$98,0,1+2)),IF($AN24="SC",SUMPRODUCT(($AZ24&gt;=INDEX('How This Works &amp; Sources'!$B$219:$J$223,0,1))*INDEX('How This Works &amp; Sources'!$B$219:$J$223,0,1+2)),IF($AN24="VA",SUMPRODUCT(($AZ24&gt;=INDEX('How This Works &amp; Sources'!$B$219:$J$223,0,4))*INDEX('How This Works &amp; Sources'!$B$219:$J$223,0,4+2)),IF($AN24="WI",SUMPRODUCT(($AZ24&gt;=INDEX('How This Works &amp; Sources'!$B$228:$J$232,0,4))*INDEX('How This Works &amp; Sources'!$B$228:$J$232,0,4+2)),IF($AN24="CO",IF($AY24&gt;IF($AU24="Married",10000,5000),0.044,0),IF($AN24="IA",IF($AY24&gt;IF($AU24="Head of household",19500,IF($AU24="Married",26000,13000)),0.038,0),IF($AN24="IL",IF($AY24&gt;(2925*$AS24+1000*$AT24),0.0495,0),IF($AN24="IN",(0.0295+'Second Earner'!$C$76),IF($AN24="KY",IF($AI24&gt;3360,0.035,0),IF($AN24="MA",IF(MAX(0,$AY24-MIN(($BD23+$Q24+$R24+$S24),2000)-IF($AS24=0,0,IF($AS24=1,4400,1000*$AS24+3400)))&gt;=1107750,0.09,0.05),IF($AN24="MI",IF($AY24&gt;5900*$AS24,0.0425,0),IF($AN24="MS",IF($AI24-IF($AU24="Head of household",3400,IF($AU24="Married",4600,2300))-'Second Earner'!$C$85&gt;10000,0.04,0),IF($AN24="PA",0.0307,"")))))))))))))))</f>
      </c>
      <c r="CD24" s="21">
        <f>IF(YEAR(IF('Second Earner'!$C$7="Weekly",'Second Earner'!$C$9+7*(($BE23+1)-1),IF('Second Earner'!$C$7="Biweekly",'Second Earner'!$C$9+14*(($BE23+1)-1),IF('Second Earner'!$C$7="Semimonthly",DATE(YEAR('Second Earner'!$C$9),MONTH('Second Earner'!$C$9)+INT((($BE23+1)-1)/2),MIN(DAY('Second Earner'!$C$9),DAY(EOMONTH(DATE(YEAR('Second Earner'!$C$9),MONTH('Second Earner'!$C$9)+INT((($BE23+1)-1)/2),1),0))))+IF(MOD(($BE23+1)-1,2)=1,15,0),EDATE('Second Earner'!$C$9,($BE23+1)-1)))))&lt;&gt;'Second Earner'!$C$10,"",IF('Second Earner'!$C$7="Weekly",'Second Earner'!$C$9+7*(($BE23+1)-1),IF('Second Earner'!$C$7="Biweekly",'Second Earner'!$C$9+14*(($BE23+1)-1),IF('Second Earner'!$C$7="Semimonthly",DATE(YEAR('Second Earner'!$C$9),MONTH('Second Earner'!$C$9)+INT((($BE23+1)-1)/2),MIN(DAY('Second Earner'!$C$9),DAY(EOMONTH(DATE(YEAR('Second Earner'!$C$9),MONTH('Second Earner'!$C$9)+INT((($BE23+1)-1)/2),1),0))))+IF(MOD(($BE23+1)-1,2)=1,15,0),EDATE('Second Earner'!$C$9,($BE23+1)-1)))))</f>
      </c>
      <c r="CE24" s="21">
        <f>IF(MIN(IF(AND('Second Earner'!$C$58&gt;MAX($B$6:$B23),'Second Earner'!$C$58&gt;=DATE('Second Earner'!$C$10,1,1),'Second Earner'!$C$58&lt;=DATE('Second Earner'!$C$10,12,31)),'Second Earner'!$C$58,999999),IF(AND('Second Earner'!$C$59&gt;MAX($B$6:$B23),'Second Earner'!$C$59&gt;=DATE('Second Earner'!$C$10,1,1),'Second Earner'!$C$59&lt;=DATE('Second Earner'!$C$10,12,31)),'Second Earner'!$C$59,999999),IF(AND('Second Earner'!$C$60&gt;MAX($B$6:$B23),'Second Earner'!$C$60&gt;=DATE('Second Earner'!$C$10,1,1),'Second Earner'!$C$60&lt;=DATE('Second Earner'!$C$10,12,31)),'Second Earner'!$C$60,999999),IF(AND('Second Earner'!$C$61&gt;MAX($B$6:$B23),'Second Earner'!$C$61&gt;=DATE('Second Earner'!$C$10,1,1),'Second Earner'!$C$61&lt;=DATE('Second Earner'!$C$10,12,31)),'Second Earner'!$C$61,999999),IF(AND('Second Earner'!$C$62&gt;MAX($B$6:$B23),'Second Earner'!$C$62&gt;=DATE('Second Earner'!$C$10,1,1),'Second Earner'!$C$62&lt;=DATE('Second Earner'!$C$10,12,31)),'Second Earner'!$C$62,999999),IF(AND('Second Earner'!$C$63&gt;MAX($B$6:$B23),'Second Earner'!$C$63&gt;=DATE('Second Earner'!$C$10,1,1),'Second Earner'!$C$63&lt;=DATE('Second Earner'!$C$10,12,31)),'Second Earner'!$C$63,999999),IF(AND('Second Earner'!$C$64&gt;MAX($B$6:$B23),'Second Earner'!$C$64&gt;=DATE('Second Earner'!$C$10,1,1),'Second Earner'!$C$64&lt;=DATE('Second Earner'!$C$10,12,31)),'Second Earner'!$C$64,999999),IF(AND('Second Earner'!$C$65&gt;MAX($B$6:$B23),'Second Earner'!$C$65&gt;=DATE('Second Earner'!$C$10,1,1),'Second Earner'!$C$65&lt;=DATE('Second Earner'!$C$10,12,31)),'Second Earner'!$C$65,999999),IF(AND('Second Earner'!$C$66&gt;MAX($B$6:$B23),'Second Earner'!$C$66&gt;=DATE('Second Earner'!$C$10,1,1),'Second Earner'!$C$66&lt;=DATE('Second Earner'!$C$10,12,31)),'Second Earner'!$C$66,999999),IF(AND('Second Earner'!$C$67&gt;MAX($B$6:$B23),'Second Earner'!$C$67&gt;=DATE('Second Earner'!$C$10,1,1),'Second Earner'!$C$67&lt;=DATE('Second Earner'!$C$10,12,31)),'Second Earner'!$C$67,999999))=999999,"",MIN(IF(AND('Second Earner'!$C$58&gt;MAX($B$6:$B23),'Second Earner'!$C$58&gt;=DATE('Second Earner'!$C$10,1,1),'Second Earner'!$C$58&lt;=DATE('Second Earner'!$C$10,12,31)),'Second Earner'!$C$58,999999),IF(AND('Second Earner'!$C$59&gt;MAX($B$6:$B23),'Second Earner'!$C$59&gt;=DATE('Second Earner'!$C$10,1,1),'Second Earner'!$C$59&lt;=DATE('Second Earner'!$C$10,12,31)),'Second Earner'!$C$59,999999),IF(AND('Second Earner'!$C$60&gt;MAX($B$6:$B23),'Second Earner'!$C$60&gt;=DATE('Second Earner'!$C$10,1,1),'Second Earner'!$C$60&lt;=DATE('Second Earner'!$C$10,12,31)),'Second Earner'!$C$60,999999),IF(AND('Second Earner'!$C$61&gt;MAX($B$6:$B23),'Second Earner'!$C$61&gt;=DATE('Second Earner'!$C$10,1,1),'Second Earner'!$C$61&lt;=DATE('Second Earner'!$C$10,12,31)),'Second Earner'!$C$61,999999),IF(AND('Second Earner'!$C$62&gt;MAX($B$6:$B23),'Second Earner'!$C$62&gt;=DATE('Second Earner'!$C$10,1,1),'Second Earner'!$C$62&lt;=DATE('Second Earner'!$C$10,12,31)),'Second Earner'!$C$62,999999),IF(AND('Second Earner'!$C$63&gt;MAX($B$6:$B23),'Second Earner'!$C$63&gt;=DATE('Second Earner'!$C$10,1,1),'Second Earner'!$C$63&lt;=DATE('Second Earner'!$C$10,12,31)),'Second Earner'!$C$63,999999),IF(AND('Second Earner'!$C$64&gt;MAX($B$6:$B23),'Second Earner'!$C$64&gt;=DATE('Second Earner'!$C$10,1,1),'Second Earner'!$C$64&lt;=DATE('Second Earner'!$C$10,12,31)),'Second Earner'!$C$64,999999),IF(AND('Second Earner'!$C$65&gt;MAX($B$6:$B23),'Second Earner'!$C$65&gt;=DATE('Second Earner'!$C$10,1,1),'Second Earner'!$C$65&lt;=DATE('Second Earner'!$C$10,12,31)),'Second Earner'!$C$65,999999),IF(AND('Second Earner'!$C$66&gt;MAX($B$6:$B23),'Second Earner'!$C$66&gt;=DATE('Second Earner'!$C$10,1,1),'Second Earner'!$C$66&lt;=DATE('Second Earner'!$C$10,12,31)),'Second Earner'!$C$66,999999),IF(AND('Second Earner'!$C$67&gt;MAX($B$6:$B23),'Second Earner'!$C$67&gt;=DATE('Second Earner'!$C$10,1,1),'Second Earner'!$C$67&lt;=DATE('Second Earner'!$C$10,12,31)),'Second Earner'!$C$67,999999)))</f>
      </c>
      <c r="CF24">
        <f>IF($B24="","",IF($D24=0,$Y24,""))</f>
      </c>
    </row>
    <row r="25">
      <c r="A25" t="n">
        <v>20</v>
      </c>
      <c r="B25" s="21">
        <f>IF(AND($CD25="",$CE25=""),"",IF($CE25="",$CD25,IF($CD25="",$CE25,MIN($CD25,$CE25))))</f>
      </c>
      <c r="C25" s="7">
        <f>IF($B25="","",IF($BF25=0,0,IF('Second Earner'!$C$4="Annual salary",ROUND($AK25/IF(AND('Second Earner'!$C$88="Actual paydays",MONTH('Second Earner'!$C$9)=1),MAX(1,MAX($BE$6:$BE$68)),'Second Earner'!$C$8),2),$AK25)))</f>
      </c>
      <c r="D25" s="7">
        <f>IF($B25="","",SUMIF('Second Earner'!$C$58:$C$67,$B25,'Second Earner'!$D$58:$D$67))</f>
      </c>
      <c r="E25" s="7">
        <f>IF($B25="","",ROUND(MAX(0,MIN(IF($AL25="Percent",$AM25*($C25+$D25),$AM25),MAX(0,'Second Earner'!$C$34-$AC24))),2))</f>
      </c>
      <c r="F25" s="7">
        <f>IF($B25="","",ROUND(MAX(0,MIN(IF('Second Earner'!$C$32="Percent",'Second Earner'!$D$32*($C25+$D25),'Second Earner'!$D$32),MAX(0,'Second Earner'!$C$34-$AC24-$E25))),2))</f>
      </c>
      <c r="G25" s="7">
        <f>IF($B25="","",IF($BF25=0,0,ROUND(MAX(0,MIN($BL25,'Second Earner'!$C$37-'Second Earner'!$C$54-$BI24)),2)))</f>
      </c>
      <c r="H25" s="7">
        <f>IF($B25="","",IF(OR($BF25=0,$BQ25=1),0,ROUND(MAX(0,MIN(IF($BS25=1,ROUND(MAX(0,MIN($BJ25,'How This Works &amp; Sources'!$C$13)-$BG24)/MAX(1,MAX($BE$6:$BE$68)-($BE24)),2),ROUND(MIN($BJ25,'How This Works &amp; Sources'!$C$13)/'Second Earner'!$C$8,2)),MIN($BJ25,'How This Works &amp; Sources'!$C$13)-$BG24)),2)))</f>
      </c>
      <c r="I25" s="7">
        <f>IF($B25="","",IF(OR($BF25=0,$BR25=1),0,ROUND(MAX(0,MIN(IF($BT25=1,ROUND(MAX(0,MIN($BK25,IF('Second Earner'!$C$12="MFJ",'How This Works &amp; Sources'!$C$14,'How This Works &amp; Sources'!$C$15))-$BH24)/MAX(1,MAX($BE$6:$BE$68)-($BE24)),2),ROUND(MIN($BK25,IF('Second Earner'!$C$12="MFJ",'How This Works &amp; Sources'!$C$14,'How This Works &amp; Sources'!$C$15))/'Second Earner'!$C$8,2)),MIN($BK25,IF('Second Earner'!$C$12="MFJ",'How This Works &amp; Sources'!$C$14,'How This Works &amp; Sources'!$C$15))-$BH24)),2)))</f>
      </c>
      <c r="J25" s="7">
        <f>IF($B25="","",IF($BF25=0,0,$BM25))</f>
      </c>
      <c r="K25" s="7">
        <f>IF($B25="","",IF($BF25=0,0,$BN25+$BO25))</f>
      </c>
      <c r="L25" s="7">
        <f>IF($B25="","",IF($BF25=0,0,'Second Earner'!$D$46))</f>
      </c>
      <c r="M25" s="7">
        <f>IF($B25="","",$C25+$D25+$L25-$E25-$G25-$H25-$I25-$J25-$K25)</f>
      </c>
      <c r="N25" s="7">
        <f>IF($B25="","",$C25+$D25+$L25-$G25-$H25-$I25-$J25-$K25)</f>
      </c>
      <c r="O25" s="7">
        <f>IF($B25="","",$C25+$D25+$L25-$E25-$H25-$I25-$J25-$K25-IF(OR($AN25="CA",$AN25="NJ"),0,$G25))</f>
      </c>
      <c r="P25" s="7">
        <f>IF($B25="","",IF('Second Earner'!$C$18,0,ROUND(MAX(0,IF('Second Earner'!$C$13,SUMPRODUCT(($AH25&gt;INDEX('How This Works &amp; Sources'!$B$29:$J$36,0,IF('Second Earner'!$C$12="MFJ",1,IF('Second Earner'!$C$12="HoH",7,4))))*($AH25-INDEX('How This Works &amp; Sources'!$B$29:$J$36,0,IF('Second Earner'!$C$12="MFJ",1,IF('Second Earner'!$C$12="HoH",7,4))))*INDEX('How This Works &amp; Sources'!$B$29:$J$36,0,IF('Second Earner'!$C$12="MFJ",1,IF('Second Earner'!$C$12="HoH",7,4))+2)),SUMPRODUCT(($AH25&gt;INDEX('How This Works &amp; Sources'!$B$19:$J$26,0,IF('Second Earner'!$C$12="MFJ",1,IF('Second Earner'!$C$12="HoH",7,4))))*($AH25-INDEX('How This Works &amp; Sources'!$B$19:$J$26,0,IF('Second Earner'!$C$12="MFJ",1,IF('Second Earner'!$C$12="HoH",7,4))))*INDEX('How This Works &amp; Sources'!$B$19:$J$26,0,IF('Second Earner'!$C$12="MFJ",1,IF('Second Earner'!$C$12="HoH",7,4))+2)))/'Second Earner'!$C$8-$AO25/'Second Earner'!$C$8)+$AR25+IF('Second Earner'!$C$89="Aggregate",MAX(0,IF('Second Earner'!$C$13,SUMPRODUCT((($AH25+$D25)&gt;INDEX('How This Works &amp; Sources'!$B$29:$J$36,0,IF('Second Earner'!$C$12="MFJ",1,IF('Second Earner'!$C$12="HoH",7,4))))*(($AH25+$D25)-INDEX('How This Works &amp; Sources'!$B$29:$J$36,0,IF('Second Earner'!$C$12="MFJ",1,IF('Second Earner'!$C$12="HoH",7,4))))*INDEX('How This Works &amp; Sources'!$B$29:$J$36,0,IF('Second Earner'!$C$12="MFJ",1,IF('Second Earner'!$C$12="HoH",7,4))+2)),SUMPRODUCT((($AH25+$D25)&gt;INDEX('How This Works &amp; Sources'!$B$19:$J$26,0,IF('Second Earner'!$C$12="MFJ",1,IF('Second Earner'!$C$12="HoH",7,4))))*(($AH25+$D25)-INDEX('How This Works &amp; Sources'!$B$19:$J$26,0,IF('Second Earner'!$C$12="MFJ",1,IF('Second Earner'!$C$12="HoH",7,4))))*INDEX('How This Works &amp; Sources'!$B$19:$J$26,0,IF('Second Earner'!$C$12="MFJ",1,IF('Second Earner'!$C$12="HoH",7,4))+2)))-IF('Second Earner'!$C$13,SUMPRODUCT(($AH25&gt;INDEX('How This Works &amp; Sources'!$B$29:$J$36,0,IF('Second Earner'!$C$12="MFJ",1,IF('Second Earner'!$C$12="HoH",7,4))))*($AH25-INDEX('How This Works &amp; Sources'!$B$29:$J$36,0,IF('Second Earner'!$C$12="MFJ",1,IF('Second Earner'!$C$12="HoH",7,4))))*INDEX('How This Works &amp; Sources'!$B$29:$J$36,0,IF('Second Earner'!$C$12="MFJ",1,IF('Second Earner'!$C$12="HoH",7,4))+2)),SUMPRODUCT(($AH25&gt;INDEX('How This Works &amp; Sources'!$B$19:$J$26,0,IF('Second Earner'!$C$12="MFJ",1,IF('Second Earner'!$C$12="HoH",7,4))))*($AH25-INDEX('How This Works &amp; Sources'!$B$19:$J$26,0,IF('Second Earner'!$C$12="MFJ",1,IF('Second Earner'!$C$12="HoH",7,4))))*INDEX('How This Works &amp; Sources'!$B$19:$J$26,0,IF('Second Earner'!$C$12="MFJ",1,IF('Second Earner'!$C$12="HoH",7,4))+2)))),'How This Works &amp; Sources'!$C$10*$D25),2)))</f>
      </c>
      <c r="Q25" s="7">
        <f>IF($B25="","",ROUND('How This Works &amp; Sources'!$C$4*MIN($N25,MAX(0,'How This Works &amp; Sources'!$C$3-($AX25+$AB24-$AW25))),2))</f>
      </c>
      <c r="R25" s="7">
        <f>IF($B25="","",ROUND('How This Works &amp; Sources'!$C$5*$N25,2))</f>
      </c>
      <c r="S25" s="7">
        <f>IF($B25="","",ROUND('How This Works &amp; Sources'!$C$6*MAX(0,MIN($N25,$AG24+$N25-'How This Works &amp; Sources'!$C$7)),2))</f>
      </c>
      <c r="T25" s="7">
        <f>IF($B25="","",IF('Second Earner'!$C$26,0,IF($AN25="CA",ROUND(IF($AI25&lt;=IF(($AS25+$AT25)&gt;=2,VLOOKUP($AN25,StateTables!$A$6:$AB$56,10,FALSE),VLOOKUP($AN25,StateTables!$A$6:$AB$56,9,FALSE)),0,MAX(0,SUMPRODUCT(($AJ25&gt;INDEX('How This Works &amp; Sources'!$B$39:$J$48,0,IF($AU25="Married",4,IF($AU25="Head of household",7,1))))*($AJ25-INDEX('How This Works &amp; Sources'!$B$39:$J$48,0,IF($AU25="Married",4,IF($AU25="Head of household",7,1))))*INDEX('How This Works &amp; Sources'!$B$39:$J$48,0,IF($AU25="Married",4,IF($AU25="Head of household",7,1))+2))-VLOOKUP($AN25,StateTables!$A$6:$AB$56,11,FALSE)*$AS25)/'Second Earner'!$C$8)+'Second Earner'!$C$25+VLOOKUP($AN25,StateTables!$A$6:$AB$56,13,FALSE)*$D25,2),IF(VLOOKUP($AN25,StateTables!$A$6:$AB$56,4,FALSE)="None",0,IF(ISNUMBER(SEARCH("MANUAL",VLOOKUP($AN25,StateTables!$A$6:$AB$56,5,FALSE))),'Second Earner'!$C$28,ROUND(MAX(0,$BA25+$BB25)/'Second Earner'!$C$8+'Second Earner'!$C$25+$BC25,2))))))</f>
      </c>
      <c r="U25" s="7">
        <f>IF($B25="","",IF(VLOOKUP($AN25,StateTables!$A$6:$AB$56,24,FALSE)="flatq",IF(OR(MONTH($B25)=1,MONTH($B25)=4,MONTH($B25)=7,MONTH($B25)=10),VLOOKUP($AN25,StateTables!$A$6:$AB$56,25,FALSE),0),IF(VLOOKUP($AN25,StateTables!$A$6:$AB$56,24,FALSE)="dbl",MIN(ROUND(0.005*$N25,2),ROUND(0.6*52/'Second Earner'!$C$8,2)),IF(OR(VLOOKUP($AN25,StateTables!$A$6:$AB$56,15,FALSE)="",VLOOKUP($AN25,StateTables!$A$6:$AB$56,15,FALSE)=0),0,ROUND(VLOOKUP($AN25,StateTables!$A$6:$AB$56,15,FALSE)*IF(OR(VLOOKUP($AN25,StateTables!$A$6:$AB$56,16,FALSE)="",VLOOKUP($AN25,StateTables!$A$6:$AB$56,16,FALSE)=0),$N25,MIN($N25,MAX(0,VLOOKUP($AN25,StateTables!$A$6:$AB$56,16,FALSE)-($AX25+$AB24-$AW25)))),2))))+IF(VLOOKUP($AN25,StateTables!$A$6:$AB$56,27,FALSE)="flatq",IF(OR(MONTH($B25)=1,MONTH($B25)=4,MONTH($B25)=7,MONTH($B25)=10),VLOOKUP($AN25,StateTables!$A$6:$AB$56,28,FALSE),0),IF(VLOOKUP($AN25,StateTables!$A$6:$AB$56,27,FALSE)="dbl",MIN(ROUND(0.005*$N25,2),ROUND(0.6*52/'Second Earner'!$C$8,2)),IF(OR(VLOOKUP($AN25,StateTables!$A$6:$AB$56,18,FALSE)="",VLOOKUP($AN25,StateTables!$A$6:$AB$56,18,FALSE)=0),0,ROUND(VLOOKUP($AN25,StateTables!$A$6:$AB$56,18,FALSE)*IF(OR(VLOOKUP($AN25,StateTables!$A$6:$AB$56,19,FALSE)="",VLOOKUP($AN25,StateTables!$A$6:$AB$56,19,FALSE)=0),$N25,MIN($N25,MAX(0,VLOOKUP($AN25,StateTables!$A$6:$AB$56,19,FALSE)-($AX25+$AB24-$AW25)))),2)))))</f>
      </c>
      <c r="V25" s="7">
        <f>IF($B25="","",IF($AN25="NY",IF('Second Earner'!$C$78,ROUND(SUMPRODUCT((MAX(0,($O25-$D25)*'Second Earner'!$C$8-(IF($AU25="Married",5500,5000)+1000*$AS25))&gt;INDEX('How This Works &amp; Sources'!$B$184:$J$198,0,4))*(MAX(0,($O25-$D25)*'Second Earner'!$C$8-(IF($AU25="Married",5500,5000)+1000*$AS25))-INDEX('How This Works &amp; Sources'!$B$184:$J$198,0,4))*INDEX('How This Works &amp; Sources'!$B$184:$J$198,0,4+2))/'Second Earner'!$C$8+0.0425*$D25,2),0)+IF('Second Earner'!$C$79="Resident",ROUND(0.1675*$T25,2),IF('Second Earner'!$C$79="Nonresident",ROUND(0.005*MAX(0,($O25-$D25)-(IF($AU25="Married",7950,7400)+1000*$AS25)/'Second Earner'!$C$8),2),0)),IF($AN25="PA",IF('Second Earner'!$C$80="None",'Second Earner'!$C$27+ROUND('Second Earner'!$C$81*($C25+$D25),2),ROUND(IF('Second Earner'!$C$80="Resident",IF($B25&lt;DATE(2026,7,1),0.0374,0.03735),IF($B25&lt;DATE(2026,7,1),0.0343,0.03425))*($C25+$D25),2)),IF($BF25=0,ROUND('Second Earner'!$C$81*($C25+$D25),2),'Second Earner'!$C$27+ROUND('Second Earner'!$C$81*($C25+$D25),2)))))</f>
      </c>
      <c r="W25" s="7">
        <f>IF($B25="","",IF($BF25=0,0,$BP25))</f>
      </c>
      <c r="X25" s="7">
        <f>IF($B25="","",SUM($E25:$K25)+$P25+$Q25+$R25+$S25+$T25+$U25+$V25+$W25)</f>
      </c>
      <c r="Y25" s="22">
        <f>IF($B25="","",$C25+$D25-$X25)</f>
      </c>
      <c r="Z25" s="7">
        <f>IF($B25="","",$Z24+$C25+$D25)</f>
      </c>
      <c r="AA25" s="7">
        <f>IF($B25="","",$AA24+$Y25)</f>
      </c>
      <c r="AB25" s="7">
        <f>IF($B25="","",$AB24+MIN($N25,MAX(0,'How This Works &amp; Sources'!$C$3-($AX25+$AB24-$AW25))))</f>
      </c>
      <c r="AC25" s="7">
        <f>IF($B25="","",$AC24+$E25+$F25)</f>
      </c>
      <c r="AD25" s="3">
        <f>IF($B25="","",IF(AND($AB24&lt;'How This Works &amp; Sources'!$C$3,$AB25&gt;='How This Works &amp; Sources'!$C$3),"★ Social Security maxed on this check — from the next check your net rises by about $"&amp;TEXT(ROUND('How This Works &amp; Sources'!$C$4*$N25,2),"#,##0.00")&amp;". ","")&amp;IF(AND($AC24&lt;'Second Earner'!$C$34,$AC25&gt;='Second Earner'!$C$34),"★ 401(k) reaches the $"&amp;TEXT('Second Earner'!$C$34,"#,##0")&amp;" cap on this check — deferrals stop and net pay rises. ","")&amp;IF(AND($AG24&lt;'How This Works &amp; Sources'!$C$7,$AG25&gt;='How This Works &amp; Sources'!$C$7),"★ Wages pass $200,000 — the 0.9% Additional Medicare Tax starts here. ","")&amp;IF(AND($BJ25&gt;0,$H25&gt;0,$BG24&lt;MIN($BJ25,'How This Works &amp; Sources'!$C$13),$BG24+$H25&gt;=MIN($BJ25,'How This Works &amp; Sources'!$C$13)),"★ Health FSA election is now fully deferred for the year. ",""))</f>
      </c>
      <c r="AE25" s="41" t="n"/>
      <c r="AF25" s="7">
        <f>IF(OR($B25="",$AE25=""),"",$AE25-$Y25)</f>
      </c>
      <c r="AG25" s="7">
        <f>IF($B25="","",$AG24+$N25)</f>
      </c>
      <c r="AH25" s="7">
        <f>IF($B25="","",MAX(0,($M25-$D25)*'Second Earner'!$C$8+$AP25-$AQ25-IF('Second Earner'!$C$13,0,IF('Second Earner'!$C$12="MFJ",'How This Works &amp; Sources'!$C$8,'How This Works &amp; Sources'!$C$9))))</f>
      </c>
      <c r="AI25" s="7">
        <f>IF($B25="","",$O25*'Second Earner'!$C$8)</f>
      </c>
      <c r="AJ25" s="7">
        <f>IF($B25="","",MAX(0,$AI25-VLOOKUP($AN25,StateTables!$A$6:$AB$56,12,FALSE)*$AT25-IF(($AS25+$AT25)&gt;=2,VLOOKUP($AN25,StateTables!$A$6:$AB$56,8,FALSE),VLOOKUP($AN25,StateTables!$A$6:$AB$56,7,FALSE))))</f>
      </c>
      <c r="AK25" s="7">
        <f>IF($B25="","",IFERROR(LOOKUP(2,1/(('Changes — Earner 2'!$C$6:$C$17="Salary change")*('Changes — Earner 2'!$B$6:$B$17&lt;=$B25)*('Changes — Earner 2'!$B$6:$B$17&lt;&gt;"")),'Changes — Earner 2'!$D$6:$D$17),IF('Second Earner'!$C$4="Annual salary",'Second Earner'!$C$5,'Second Earner'!$C$6)))</f>
      </c>
      <c r="AL25">
        <f>IF($B25="","",IFERROR(LOOKUP(2,1/(('Changes — Earner 2'!$C$6:$C$17="401(k) change")*('Changes — Earner 2'!$B$6:$B$17&lt;=$B25)*('Changes — Earner 2'!$B$6:$B$17&lt;&gt;"")),'Changes — Earner 2'!$D$6:$D$17),'Second Earner'!$C$30))</f>
      </c>
      <c r="AM25" s="7">
        <f>IF($B25="","",IFERROR(LOOKUP(2,1/(('Changes — Earner 2'!$C$6:$C$17="401(k) change")*('Changes — Earner 2'!$B$6:$B$17&lt;=$B25)*('Changes — Earner 2'!$B$6:$B$17&lt;&gt;"")),'Changes — Earner 2'!$E$6:$E$17),'Second Earner'!$D$31))</f>
      </c>
      <c r="AN25">
        <f>IF($B25="","",IFERROR(LOOKUP(2,1/(('Changes — Earner 2'!$C$6:$C$17="State move")*('Changes — Earner 2'!$B$6:$B$17&lt;=$B25)*('Changes — Earner 2'!$B$6:$B$17&lt;&gt;"")),'Changes — Earner 2'!$D$6:$D$17),'Second Earner'!$C$21))</f>
      </c>
      <c r="AO25" s="7">
        <f>IF($B25="","",IFERROR(LOOKUP(2,1/(('Changes — Earner 2'!$C$6:$C$17="W-4 change")*('Changes — Earner 2'!$B$6:$B$17&lt;=$B25)*('Changes — Earner 2'!$B$6:$B$17&lt;&gt;"")),'Changes — Earner 2'!$D$6:$D$17),'Second Earner'!$C$14))</f>
      </c>
      <c r="AP25" s="7">
        <f>IF($B25="","",IFERROR(LOOKUP(2,1/(('Changes — Earner 2'!$C$6:$C$17="W-4 change")*('Changes — Earner 2'!$B$6:$B$17&lt;=$B25)*('Changes — Earner 2'!$B$6:$B$17&lt;&gt;"")),'Changes — Earner 2'!$E$6:$E$17),'Second Earner'!$C$15))</f>
      </c>
      <c r="AQ25" s="7">
        <f>IF($B25="","",IFERROR(LOOKUP(2,1/(('Changes — Earner 2'!$C$6:$C$17="W-4 change")*('Changes — Earner 2'!$B$6:$B$17&lt;=$B25)*('Changes — Earner 2'!$B$6:$B$17&lt;&gt;"")),'Changes — Earner 2'!$F$6:$F$17),'Second Earner'!$C$16))</f>
      </c>
      <c r="AR25" s="7">
        <f>IF($B25="","",IFERROR(LOOKUP(2,1/(('Changes — Earner 2'!$C$6:$C$17="W-4 change")*('Changes — Earner 2'!$B$6:$B$17&lt;=$B25)*('Changes — Earner 2'!$B$6:$B$17&lt;&gt;"")),'Changes — Earner 2'!$G$6:$G$17),'Second Earner'!$C$17))</f>
      </c>
      <c r="AS25" s="6">
        <f>IF($B25="","",IFERROR(LOOKUP(2,1/((('Changes — Earner 2'!$C$6:$C$17="State move")+('Changes — Earner 2'!$C$6:$C$17="State cert change"))*('Changes — Earner 2'!$B$6:$B$17&lt;=$B25)*('Changes — Earner 2'!$B$6:$B$17&lt;&gt;"")),'Changes — Earner 2'!$F$6:$F$17),'Second Earner'!$C$23))</f>
      </c>
      <c r="AT25" s="6">
        <f>IF($B25="","",IFERROR(LOOKUP(2,1/((('Changes — Earner 2'!$C$6:$C$17="State move")+('Changes — Earner 2'!$C$6:$C$17="State cert change"))*('Changes — Earner 2'!$B$6:$B$17&lt;=$B25)*('Changes — Earner 2'!$B$6:$B$17&lt;&gt;"")),'Changes — Earner 2'!$G$6:$G$17),'Second Earner'!$C$24))</f>
      </c>
      <c r="AU25">
        <f>IF($B25="","",IFERROR(LOOKUP(2,1/(('Changes — Earner 2'!$C$6:$C$17="State move")*('Changes — Earner 2'!$B$6:$B$17&lt;=$B25)*('Changes — Earner 2'!$B$6:$B$17&lt;&gt;"")),'Changes — Earner 2'!$E$6:$E$17),'Second Earner'!$C$22))</f>
      </c>
      <c r="AV25" s="6">
        <f>IF($B25="","",1+COUNTIFS('Changes — Earner 2'!$C$6:$C$17,"Employer change",'Changes — Earner 2'!$B$6:$B$17,"&lt;="&amp;$B25,'Changes — Earner 2'!$B$6:$B$17,"&lt;&gt;"))</f>
      </c>
      <c r="AW25" s="7">
        <f>IF($B25="","",IF($AV25=1,'Second Earner'!$C$49,IF(IFERROR(MATCH(IFERROR(LOOKUP(2,1/(('Changes — Earner 2'!$C$6:$C$17="Employer change")*('Changes — Earner 2'!$B$6:$B$17&lt;=$B25)*('Changes — Earner 2'!$B$6:$B$17&lt;&gt;"")),'Changes — Earner 2'!$B$6:$B$17),""),$B$6:$B$68,1),1)&lt;=1,'Second Earner'!$C$49,INDEX($AB$6:$AB$68,MATCH(IFERROR(LOOKUP(2,1/(('Changes — Earner 2'!$C$6:$C$17="Employer change")*('Changes — Earner 2'!$B$6:$B$17&lt;=$B25)*('Changes — Earner 2'!$B$6:$B$17&lt;&gt;"")),'Changes — Earner 2'!$B$6:$B$17),""),$B$6:$B$68,1)-1))))</f>
      </c>
      <c r="AX25" s="7">
        <f>IF($B25="","",IF($AV25=1,'Second Earner'!$C$49,IFERROR(LOOKUP(2,1/(('Changes — Earner 2'!$C$6:$C$17="Employer change")*('Changes — Earner 2'!$B$6:$B$17&lt;=$B25)*('Changes — Earner 2'!$B$6:$B$17&lt;&gt;"")),'Changes — Earner 2'!$D$6:$D$17),0)))</f>
      </c>
      <c r="AY25" s="7">
        <f>IF($B25="","",($O25-$D25)*'Second Earner'!$C$8)</f>
      </c>
      <c r="AZ25" s="7">
        <f>IF($B25="","",IF($AN25="AL",MAX(0,$AY25-IF($AU25="Married",IF($AY25&lt;=25999,8500,MAX(5000,8500-175*CEILING(($AY25-25999)/500,1))),IF($AU25="Head of household",IF($AY25&lt;=25999,5200,MAX(2500,5200-135*CEILING(($AY25-25999)/500,1))),IF($AY25&lt;=25999,3000,MAX(2500,3000-25*CEILING(($AY25-25999)/500,1)))))-($P25-'How This Works &amp; Sources'!$C$10*$D25)*'Second Earner'!$C$8-IF(OR($AU25="Married",$AU25="Head of household"),3000,1500)-$AT25*IF($AY25&lt;=50000,1000,IF($AY25&lt;=100000,500,300))),IF($AN25="AR",IF(MAX(0,$AY25-2470)&lt;97701,INT(MAX(0,$AY25-2470)/100)*100+50,MAX(0,$AY25-2470)),IF($AN25="DE",MAX(0,$AI25-3250),IF($AN25="HI",MAX(0,$AI25-1144*$AS25-4350),IF($AN25="KS",MAX(0,$AI25-(9160*IF($AU25="Married",2,1)+2320*$AT25+IF($AU25="Head of household",2320,0))),IF($AN25="MD",MAX(0,$AI25-3400-3200*$AS25),IF($AN25="MN",MAX(0,$AY25-5300*$AS25),IF($AN25="MO",MAX(0,$AI25-IF($AU25="Head of household",24150,IF($AU25="Married",IF('Second Earner'!$C$83,16100,32200),16100))),IF($AN25="MT",$AY25,IF($AN25="ND",($C25+$L25)*'Second Earner'!$C$8,IF($AN25="NE",MAX(0,$AY25-2440*$AS25),IF($AN25="NJ",MAX(0,$AY25-1000*$AS25),IF($AN25="NY",MAX(0,$AY25-(IF($AU25="Married",7950,7400)+1000*$AS25)),IF($AN25="OH",MAX(0,$AY25-650*$AS25),IF($AN25="OK",MAX(0,$AY25-1000*$AS25),IF($AN25="RI",MAX(0,$AI25-1000*$AS25),IF($AN25="SC",MAX(0,$AI25-5000*$AS25-IF($AS25=0,0,MIN(0.1*$AI25,7500))),IF($AN25="VA",MAX(0,$AI25-IF($AU25="Married",17500,8750)-930*$AS25-800*$AT25),IF($AN25="VT",MAX(0,$AI25-5400*$AS25),IF($AN25="WI",MAX(0,$AI25-MAX(0,IF($AU25="Married",9461-0.2*MAX(0,$AI25-25727),6702-0.12*MAX(0,$AI25-17780)))-400*$AS25),IF($AN25="WV",MAX(0,$AI25-2000*$AS25),$AI25))))))))))))))))))))))</f>
      </c>
      <c r="BA25" s="7">
        <f>IF($B25="","",IF($BW25&lt;&gt;"",$BW25,IF($BX25&lt;&gt;"",$BX25,IF($BY25&lt;&gt;"",$BY25,0))))</f>
      </c>
      <c r="BB25" s="7">
        <f>IF($B25="","",IF($AN25="AR",-29*$AS25,IF($AN25="DE",-110*$AS25,IF($AN25="MD",$AZ25*'Second Earner'!$C$74,IF($AN25="AZ",'Second Earner'!$C$82*($M25-$D25)*'Second Earner'!$C$8,IF($AN25="CO",0.044*MAX(0,$AY25-IF($AU25="Married",10000,5000)),IF($AN25="IA",MAX(0,0.038*MAX(0,$AY25-IF($AU25="Head of household",19500,IF($AU25="Married",26000,13000)))-40*$AS25),IF($AN25="ID",0.053*MAX(0,$AY25-IF($AU25="Married",32000,16094)),IF($AN25="IL",0.0495*MAX(0,$AY25-(2925*$AS25+1000*$AT25)),IF($AN25="IN",(0.0295+'Second Earner'!$C$76)*MAX(0,$AY25-(1000*$AS25+1500*$AT25+3000*'Second Earner'!$C$86)),IF($AN25="KY",0.035*MAX(0,$AI25-3360),IF($AN25="LA",IF('Second Earner'!$C$84="0",0.0309*$AI25,0.0309*MAX(0,$AI25-IF('Second Earner'!$C$84="2",25750,12875))),IF($AN25="MA",0.05*MIN(MAX(0,$AY25-MIN(($BD24+$Q25+$R25+$S25),2000)-IF($AS25=0,0,IF($AS25=1,4400,1000*$AS25+3400))),1107750)+0.09*MAX(0,MAX(0,$AY25-MIN(($BD24+$Q25+$R25+$S25),2000)-IF($AS25=0,0,IF($AS25=1,4400,1000*$AS25+3400)))-1107750)-IF($AU25="Head of household",120,0)-110*'Second Earner'!$C$75,IF($AN25="MI",0.0425*MAX(0,$AY25-5900*$AS25),IF($AN25="MS",0.04*MAX(0,$AI25-IF($AU25="Head of household",3400,IF($AU25="Married",4600,2300))-'Second Earner'!$C$85-10000),IF($AN25="OR",IF(OR($AU25="Married",AND($AU25="Single",$AS25&gt;=3)),SUMPRODUCT((MAX(0,$AY25-MIN(($P25-'How This Works &amp; Sources'!$C$10*$D25)*'Second Earner'!$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Sources'!$B$211:$J$214,0,4))*(MAX(0,$AY25-MIN(($P25-'How This Works &amp; Sources'!$C$10*$D25)*'Second Earner'!$C$8,IF(OR($AU25="Married",AND($AU25="Single",$AS25&gt;=3)),IF($AY25&lt;250000,8750,IF($AY25&lt;260000,7000,IF($AY25&lt;270000,5250,IF($AY25&lt;280000,3500,IF($AY25&lt;290000,1750,0))))),IF($AY25&lt;125000,8750,IF($AY25&lt;130000,7000,IF($AY25&lt;135000,5250,IF($AY25&lt;140000,3500,IF($AY25&lt;145000,1750,0)))))))-IF(OR($AU25="Married",AND($AU25="Single",$AS25&gt;=3)),5820,2910))-INDEX('How This Works &amp; Sources'!$B$211:$J$214,0,4))*INDEX('How This Works &amp; Sources'!$B$211:$J$214,0,4+2)),SUMPRODUCT((MAX(0,$AY25-MIN(($P25-'How This Works &amp; Sources'!$C$10*$D25)*'Second Earner'!$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Sources'!$B$211:$J$214,0,1))*(MAX(0,$AY25-MIN(($P25-'How This Works &amp; Sources'!$C$10*$D25)*'Second Earner'!$C$8,IF(OR($AU25="Married",AND($AU25="Single",$AS25&gt;=3)),IF($AY25&lt;250000,8750,IF($AY25&lt;260000,7000,IF($AY25&lt;270000,5250,IF($AY25&lt;280000,3500,IF($AY25&lt;290000,1750,0))))),IF($AY25&lt;125000,8750,IF($AY25&lt;130000,7000,IF($AY25&lt;135000,5250,IF($AY25&lt;140000,3500,IF($AY25&lt;145000,1750,0)))))))-IF(OR($AU25="Married",AND($AU25="Single",$AS25&gt;=3)),5820,2910))-INDEX('How This Works &amp; Sources'!$B$211:$J$214,0,1))*INDEX('How This Works &amp; Sources'!$B$211:$J$214,0,1+2)))+263-263*IF(IF($AU25="Married",$AY25&gt;200000,$AY25&gt;100000),0,$AS25),IF($AN25="PA",0.0307*(($O25+$E25+$G25)*'Second Earner'!$C$8),IF($AN25="NY",IF($AU25="Married",IF($AZ25&gt;=2155350,0,IF($AZ25&gt;=1077550,0.48,IF($AZ25&gt;=373200,1.21,IF($AZ25&gt;=323200,0.21,IF($AZ25&gt;=211550,-0.19,IF($AZ25&gt;=157650,-2.8,IF($AZ25&gt;=107650,-0.8,IF($AZ25&gt;=96800,0.05,IF($AZ25&gt;=80650,-0.1,IF($AZ25&gt;=13900,0.4,IF($AZ25&gt;=11700,-0.3,IF($AZ25&gt;=8500,0.5,0)))))))))))),IF($AZ25&gt;=1077550,0,IF($AZ25&gt;=265400,4.29,IF($AZ25&gt;=215400,2.29,IF($AZ25&gt;=157650,2.29,IF($AZ25&gt;=107650,0.29,IF($AZ25&gt;=96800,0.05,IF($AZ25&gt;=80650,-0.1,IF($AZ25&gt;=13900,0.4,IF($AZ25&gt;=11700,-0.3,IF($AZ25&gt;=8500,0.5,0))))))))))),0))))))))))))))))))</f>
      </c>
      <c r="BC25" s="7">
        <f>IF($B25="","",IF($AN25="AL",0.05*$D25,IF($AN25="AR",0.039*$D25,IF($AN25="ID",0.053*$D25,IF($AN25="IN",(0.0295+'Second Earner'!$C$76)*$D25,IF($AN25="KS",0.05*$D25,IF($AN25="MA",0.09*MIN($D25,MAX(0,MAX(0,$AY25-MIN(($BD24+$Q25+$R25+$S25),2000)-IF($AS25=0,0,IF($AS25=1,4400,1000*$AS25+3400)))+$D25-1107750))+0.05*($D25-MIN($D25,MAX(0,MAX(0,$AY25-MIN(($BD24+$Q25+$R25+$S25),2000)-IF($AS25=0,0,IF($AS25=1,4400,1000*$AS25+3400)))+$D25-1107750))),IF($AN25="MD",(0.065+'Second Earner'!$C$74)*$D25,IF($AN25="MI",0.0425*$D25,IF($AN25="MN",0.0625*$D25,IF($AN25="MO",0.047*$D25,IF($AN25="MT",0.05*$D25,IF($AN25="ND",0.015*$D25,IF($AN25="NE",0.035*$D25,IF($AN25="NJ",IF('Second Earner'!$C$77="B",SUMPRODUCT(($D25*'Second Earner'!$C$8&gt;INDEX('How This Works &amp; Sources'!$B$155:$J$162,0,4))*($D25*'Second Earner'!$C$8-INDEX('How This Works &amp; Sources'!$B$155:$J$162,0,4))*INDEX('How This Works &amp; Sources'!$B$155:$J$162,0,4+2)),IF('Second Earner'!$C$77="C",SUMPRODUCT(($D25*'Second Earner'!$C$8&gt;INDEX('How This Works &amp; Sources'!$B$155:$J$162,0,7))*($D25*'Second Earner'!$C$8-INDEX('How This Works &amp; Sources'!$B$155:$J$162,0,7))*INDEX('How This Works &amp; Sources'!$B$155:$J$162,0,7+2)),IF('Second Earner'!$C$77="D",SUMPRODUCT(($D25*'Second Earner'!$C$8&gt;INDEX('How This Works &amp; Sources'!$B$167:$J$179,0,1))*($D25*'Second Earner'!$C$8-INDEX('How This Works &amp; Sources'!$B$167:$J$179,0,1))*INDEX('How This Works &amp; Sources'!$B$167:$J$179,0,1+2)),IF('Second Earner'!$C$77="E",SUMPRODUCT(($D25*'Second Earner'!$C$8&gt;INDEX('How This Works &amp; Sources'!$B$167:$J$179,0,4))*($D25*'Second Earner'!$C$8-INDEX('How This Works &amp; Sources'!$B$167:$J$179,0,4))*INDEX('How This Works &amp; Sources'!$B$167:$J$179,0,4+2)),SUMPRODUCT(($D25*'Second Earner'!$C$8&gt;INDEX('How This Works &amp; Sources'!$B$155:$J$162,0,1))*($D25*'Second Earner'!$C$8-INDEX('How This Works &amp; Sources'!$B$155:$J$162,0,1))*INDEX('How This Works &amp; Sources'!$B$155:$J$162,0,1+2))))))/'Second Earner'!$C$8,IF($AN25="NY",0.117*$D25,IF($AN25="OH",0.0275*$D25,IF($AN25="OK",0.045*$D25,IF($AN25="OR",0.08*$D25,IF($AN25="WI",IF($AY25&lt;12760,0.0354,IF($AY25&lt;25520,0.0465,IF($AY25&lt;280950,0.053,0.0765)))*$D25,0))))))))))))))))))))</f>
      </c>
      <c r="BD25" s="7">
        <f>IF($B25="","",$BD24+$Q25+$R25+$S25)</f>
      </c>
      <c r="BE25" s="6">
        <f>IF($B25="",$BE24,$BE24+$BF25)</f>
      </c>
      <c r="BF25" s="6">
        <f>IF($B25="","",IF(AND(IF(YEAR(IF('Second Earner'!$C$7="Weekly",'Second Earner'!$C$9+7*(($BE24+1)-1),IF('Second Earner'!$C$7="Biweekly",'Second Earner'!$C$9+14*(($BE24+1)-1),IF('Second Earner'!$C$7="Semimonthly",DATE(YEAR('Second Earner'!$C$9),MONTH('Second Earner'!$C$9)+INT((($BE24+1)-1)/2),MIN(DAY('Second Earner'!$C$9),DAY(EOMONTH(DATE(YEAR('Second Earner'!$C$9),MONTH('Second Earner'!$C$9)+INT((($BE24+1)-1)/2),1),0))))+IF(MOD(($BE24+1)-1,2)=1,15,0),EDATE('Second Earner'!$C$9,($BE24+1)-1)))))&lt;&gt;'Second Earner'!$C$10,"",IF('Second Earner'!$C$7="Weekly",'Second Earner'!$C$9+7*(($BE24+1)-1),IF('Second Earner'!$C$7="Biweekly",'Second Earner'!$C$9+14*(($BE24+1)-1),IF('Second Earner'!$C$7="Semimonthly",DATE(YEAR('Second Earner'!$C$9),MONTH('Second Earner'!$C$9)+INT((($BE24+1)-1)/2),MIN(DAY('Second Earner'!$C$9),DAY(EOMONTH(DATE(YEAR('Second Earner'!$C$9),MONTH('Second Earner'!$C$9)+INT((($BE24+1)-1)/2),1),0))))+IF(MOD(($BE24+1)-1,2)=1,15,0),EDATE('Second Earner'!$C$9,($BE24+1)-1)))))&lt;&gt;"",$B25=IF(YEAR(IF('Second Earner'!$C$7="Weekly",'Second Earner'!$C$9+7*(($BE24+1)-1),IF('Second Earner'!$C$7="Biweekly",'Second Earner'!$C$9+14*(($BE24+1)-1),IF('Second Earner'!$C$7="Semimonthly",DATE(YEAR('Second Earner'!$C$9),MONTH('Second Earner'!$C$9)+INT((($BE24+1)-1)/2),MIN(DAY('Second Earner'!$C$9),DAY(EOMONTH(DATE(YEAR('Second Earner'!$C$9),MONTH('Second Earner'!$C$9)+INT((($BE24+1)-1)/2),1),0))))+IF(MOD(($BE24+1)-1,2)=1,15,0),EDATE('Second Earner'!$C$9,($BE24+1)-1)))))&lt;&gt;'Second Earner'!$C$10,"",IF('Second Earner'!$C$7="Weekly",'Second Earner'!$C$9+7*(($BE24+1)-1),IF('Second Earner'!$C$7="Biweekly",'Second Earner'!$C$9+14*(($BE24+1)-1),IF('Second Earner'!$C$7="Semimonthly",DATE(YEAR('Second Earner'!$C$9),MONTH('Second Earner'!$C$9)+INT((($BE24+1)-1)/2),MIN(DAY('Second Earner'!$C$9),DAY(EOMONTH(DATE(YEAR('Second Earner'!$C$9),MONTH('Second Earner'!$C$9)+INT((($BE24+1)-1)/2),1),0))))+IF(MOD(($BE24+1)-1,2)=1,15,0),EDATE('Second Earner'!$C$9,($BE24+1)-1)))))),1,0))</f>
      </c>
      <c r="BG25" s="7">
        <f>IF($B25="","",$BG24+$H25)</f>
      </c>
      <c r="BH25" s="7">
        <f>IF($B25="","",$BH24+$I25)</f>
      </c>
      <c r="BI25" s="7">
        <f>IF($B25="","",$BI24+$G25)</f>
      </c>
      <c r="BJ25" s="7">
        <f>IF($B25="","",IFERROR(LOOKUP(2,1/(((('Changes — Earner 2'!$C$6:$C$17="Deduction start"))*('Changes — Earner 2'!$D$6:$D$17="Health FSA"))*('Changes — Earner 2'!$B$6:$B$17&lt;=$B25)*('Changes — Earner 2'!$B$6:$B$17&lt;&gt;"")),'Changes — Earner 2'!$E$6:$E$17),'Second Earner'!$D$38))</f>
      </c>
      <c r="BK25" s="7">
        <f>IF($B25="","",IFERROR(LOOKUP(2,1/(((('Changes — Earner 2'!$C$6:$C$17="Deduction start"))*('Changes — Earner 2'!$D$6:$D$17="Dependent-care FSA"))*('Changes — Earner 2'!$B$6:$B$17&lt;=$B25)*('Changes — Earner 2'!$B$6:$B$17&lt;&gt;"")),'Changes — Earner 2'!$E$6:$E$17),'Second Earner'!$D$39))</f>
      </c>
      <c r="BL25" s="7">
        <f>IF($B25="","",IFERROR(LOOKUP(2,1/(((('Changes — Earner 2'!$C$6:$C$17="Deduction start")+('Changes — Earner 2'!$C$6:$C$17="Deduction stop"))*('Changes — Earner 2'!$D$6:$D$17="HSA"))*('Changes — Earner 2'!$B$6:$B$17&lt;=$B25)*('Changes — Earner 2'!$B$6:$B$17&lt;&gt;"")),'Changes — Earner 2'!$I$6:$I$17),'Second Earner'!$D$35))</f>
      </c>
      <c r="BM25" s="7">
        <f>IF($B25="","",IFERROR(LOOKUP(2,1/(((('Changes — Earner 2'!$C$6:$C$17="Deduction start")+('Changes — Earner 2'!$C$6:$C$17="Deduction stop"))*('Changes — Earner 2'!$D$6:$D$17="Premiums"))*('Changes — Earner 2'!$B$6:$B$17&lt;=$B25)*('Changes — Earner 2'!$B$6:$B$17&lt;&gt;"")),'Changes — Earner 2'!$I$6:$I$17),'Second Earner'!$D$40+'Second Earner'!$D$41+'Second Earner'!$D$42))</f>
      </c>
      <c r="BN25" s="7">
        <f>IF($B25="","",IFERROR(LOOKUP(2,1/(((('Changes — Earner 2'!$C$6:$C$17="Deduction start")+('Changes — Earner 2'!$C$6:$C$17="Deduction stop"))*('Changes — Earner 2'!$D$6:$D$17="Commuter"))*('Changes — Earner 2'!$B$6:$B$17&lt;=$B25)*('Changes — Earner 2'!$B$6:$B$17&lt;&gt;"")),'Changes — Earner 2'!$I$6:$I$17),'Second Earner'!$D$43))</f>
      </c>
      <c r="BO25" s="7">
        <f>IF($B25="","",IFERROR(LOOKUP(2,1/(((('Changes — Earner 2'!$C$6:$C$17="Deduction start")+('Changes — Earner 2'!$C$6:$C$17="Deduction stop"))*('Changes — Earner 2'!$D$6:$D$17="Other pre-tax"))*('Changes — Earner 2'!$B$6:$B$17&lt;=$B25)*('Changes — Earner 2'!$B$6:$B$17&lt;&gt;"")),'Changes — Earner 2'!$I$6:$I$17),'Second Earner'!$D$44))</f>
      </c>
      <c r="BP25" s="7">
        <f>IF($B25="","",IFERROR(LOOKUP(2,1/(((('Changes — Earner 2'!$C$6:$C$17="Deduction start")+('Changes — Earner 2'!$C$6:$C$17="Deduction stop"))*('Changes — Earner 2'!$D$6:$D$17="Other post-tax"))*('Changes — Earner 2'!$B$6:$B$17&lt;=$B25)*('Changes — Earner 2'!$B$6:$B$17&lt;&gt;"")),'Changes — Earner 2'!$I$6:$I$17),'Second Earner'!$D$45))</f>
      </c>
      <c r="BQ25" s="6">
        <f>IF($B25="","",IFERROR(LOOKUP(2,1/(((('Changes — Earner 2'!$C$6:$C$17="Deduction start")+('Changes — Earner 2'!$C$6:$C$17="Deduction stop"))*('Changes — Earner 2'!$D$6:$D$17="Health FSA"))*('Changes — Earner 2'!$B$6:$B$17&lt;=$B25)*('Changes — Earner 2'!$B$6:$B$17&lt;&gt;"")),'Changes — Earner 2'!$J$6:$J$17),0))</f>
      </c>
      <c r="BR25" s="6">
        <f>IF($B25="","",IFERROR(LOOKUP(2,1/(((('Changes — Earner 2'!$C$6:$C$17="Deduction start")+('Changes — Earner 2'!$C$6:$C$17="Deduction stop"))*('Changes — Earner 2'!$D$6:$D$17="Dependent-care FSA"))*('Changes — Earner 2'!$B$6:$B$17&lt;=$B25)*('Changes — Earner 2'!$B$6:$B$17&lt;&gt;"")),'Changes — Earner 2'!$J$6:$J$17),0))</f>
      </c>
      <c r="BS25" s="6">
        <f>IF($B25="","",IF(SUMPRODUCT(('Changes — Earner 2'!$C$6:$C$17="Deduction start")*('Changes — Earner 2'!$B$6:$B$17&lt;=$B25)*('Changes — Earner 2'!$B$6:$B$17&lt;&gt;"")*('Changes — Earner 2'!$D$6:$D$17="Health FSA"))&gt;0,1,0))</f>
      </c>
      <c r="BT25" s="6">
        <f>IF($B25="","",IF(SUMPRODUCT(('Changes — Earner 2'!$C$6:$C$17="Deduction start")*('Changes — Earner 2'!$B$6:$B$17&lt;=$B25)*('Changes — Earner 2'!$B$6:$B$17&lt;&gt;"")*('Changes — Earner 2'!$D$6:$D$17="Dependent-care FSA"))&gt;0,1,0))</f>
      </c>
      <c r="BU25" s="24">
        <f>IF($B25="","",IF('Second Earner'!$C$13,SUMPRODUCT(($AH25&gt;=INDEX('How This Works &amp; Sources'!$B$29:$J$36,0,IF('Second Earner'!$C$12="MFJ",1,IF('Second Earner'!$C$12="HoH",7,4))))*INDEX('How This Works &amp; Sources'!$B$29:$J$36,0,IF('Second Earner'!$C$12="MFJ",1,IF('Second Earner'!$C$12="HoH",7,4))+2)),SUMPRODUCT(($AH25&gt;=INDEX('How This Works &amp; Sources'!$B$19:$J$26,0,IF('Second Earner'!$C$12="MFJ",1,IF('Second Earner'!$C$12="HoH",7,4))))*INDEX('How This Works &amp; Sources'!$B$19:$J$26,0,IF('Second Earner'!$C$12="MFJ",1,IF('Second Earner'!$C$12="HoH",7,4))+2))))</f>
      </c>
      <c r="BV25" s="24">
        <f>IF($B25="","",IF($BZ25&lt;&gt;"",$BZ25,IF($CA25&lt;&gt;"",$CA25,IF($CB25&lt;&gt;"",$CB25,IF($CC25&lt;&gt;"",$CC25,0)))))</f>
      </c>
      <c r="BW25" s="7">
        <f>IF($B25="","",IF($AN25="AR",SUMPRODUCT(($AZ25&gt;INDEX('How This Works &amp; Sources'!$B$82:$J$86,0,7))*($AZ25-INDEX('How This Works &amp; Sources'!$B$82:$J$86,0,7))*INDEX('How This Works &amp; Sources'!$B$82:$J$86,0,7+2)),IF($AN25="MD",IF(OR($AU25="Married",$AU25="Head of household"),SUMPRODUCT(($AZ25&gt;INDEX('How This Works &amp; Sources'!$B$114:$J$120,0,1))*($AZ25-INDEX('How This Works &amp; Sources'!$B$114:$J$120,0,1))*INDEX('How This Works &amp; Sources'!$B$114:$J$120,0,1+2)),SUMPRODUCT(($AZ25&gt;INDEX('How This Works &amp; Sources'!$B$103:$J$109,0,7))*($AZ25-INDEX('How This Works &amp; Sources'!$B$103:$J$109,0,7))*INDEX('How This Works &amp; Sources'!$B$103:$J$109,0,7+2))),IF($AN25="MT",IF($AU25="Head of household",SUMPRODUCT(($AZ25&gt;INDEX('How This Works &amp; Sources'!$B$137:$J$139,0,1))*($AZ25-INDEX('How This Works &amp; Sources'!$B$137:$J$139,0,1))*INDEX('How This Works &amp; Sources'!$B$137:$J$139,0,1+2)),IF($AU25="Married",SUMPRODUCT(($AZ25&gt;INDEX('How This Works &amp; Sources'!$B$125:$J$132,0,7))*($AZ25-INDEX('How This Works &amp; Sources'!$B$125:$J$132,0,7))*INDEX('How This Works &amp; Sources'!$B$125:$J$132,0,7+2)),SUMPRODUCT(($AZ25&gt;INDEX('How This Works &amp; Sources'!$B$125:$J$132,0,4))*($AZ25-INDEX('How This Works &amp; Sources'!$B$125:$J$132,0,4))*INDEX('How This Works &amp; Sources'!$B$125:$J$132,0,4+2)))),IF($AN25="ND",IF($AU25="Head of household",SUMPRODUCT(($AZ25&gt;INDEX('How This Works &amp; Sources'!$B$144:$J$150,0,1))*($AZ25-INDEX('How This Works &amp; Sources'!$B$144:$J$150,0,1))*INDEX('How This Works &amp; Sources'!$B$144:$J$150,0,1+2)),IF($AU25="Married",SUMPRODUCT(($AZ25&gt;INDEX('How This Works &amp; Sources'!$B$137:$J$139,0,7))*($AZ25-INDEX('How This Works &amp; Sources'!$B$137:$J$139,0,7))*INDEX('How This Works &amp; Sources'!$B$137:$J$139,0,7+2)),SUMPRODUCT(($AZ25&gt;INDEX('How This Works &amp; Sources'!$B$137:$J$139,0,4))*($AZ25-INDEX('How This Works &amp; Sources'!$B$137:$J$139,0,4))*INDEX('How This Works &amp; Sources'!$B$137:$J$139,0,4+2)))),IF($AN25="NJ",IF('Second Earner'!$C$77="B",SUMPRODUCT(($AZ25&gt;INDEX('How This Works &amp; Sources'!$B$155:$J$162,0,4))*($AZ25-INDEX('How This Works &amp; Sources'!$B$155:$J$162,0,4))*INDEX('How This Works &amp; Sources'!$B$155:$J$162,0,4+2)),IF('Second Earner'!$C$77="C",SUMPRODUCT(($AZ25&gt;INDEX('How This Works &amp; Sources'!$B$155:$J$162,0,7))*($AZ25-INDEX('How This Works &amp; Sources'!$B$155:$J$162,0,7))*INDEX('How This Works &amp; Sources'!$B$155:$J$162,0,7+2)),IF('Second Earner'!$C$77="D",SUMPRODUCT(($AZ25&gt;INDEX('How This Works &amp; Sources'!$B$167:$J$179,0,1))*($AZ25-INDEX('How This Works &amp; Sources'!$B$167:$J$179,0,1))*INDEX('How This Works &amp; Sources'!$B$167:$J$179,0,1+2)),IF('Second Earner'!$C$77="E",SUMPRODUCT(($AZ25&gt;INDEX('How This Works &amp; Sources'!$B$167:$J$179,0,4))*($AZ25-INDEX('How This Works &amp; Sources'!$B$167:$J$179,0,4))*INDEX('How This Works &amp; Sources'!$B$167:$J$179,0,4+2)),SUMPRODUCT(($AZ25&gt;INDEX('How This Works &amp; Sources'!$B$155:$J$162,0,1))*($AZ25-INDEX('How This Works &amp; Sources'!$B$155:$J$162,0,1))*INDEX('How This Works &amp; Sources'!$B$155:$J$162,0,1+2)))))),IF($AN25="NY",IF($AU25="Married",IF($AZ25&gt;=2155350,$AZ25*IF($AZ25&gt;25000000,0.117,IF($AZ25&gt;5000000,0.111,0.1045)),SUMPRODUCT(($AZ25&gt;INDEX('How This Works &amp; Sources'!$B$184:$J$198,0,1))*($AZ25-INDEX('How This Works &amp; Sources'!$B$184:$J$198,0,1))*INDEX('How This Works &amp; Sources'!$B$184:$J$198,0,1+2))),IF($AZ25&gt;=1077550,$AZ25*IF($AZ25&gt;25000000,0.117,IF($AZ25&gt;5000000,0.111,0.1045)),SUMPRODUCT(($AZ25&gt;INDEX('How This Works &amp; Sources'!$B$167:$J$179,0,7))*($AZ25-INDEX('How This Works &amp; Sources'!$B$167:$J$179,0,7))*INDEX('How This Works &amp; Sources'!$B$167:$J$179,0,7+2)))),"")))))))</f>
      </c>
      <c r="BX25" s="7">
        <f>IF($B25="","",IF($AN25="AL",IF(OR($AU25="Married",$AU25="Head of household"),SUMPRODUCT(($AZ25&gt;INDEX('How This Works &amp; Sources'!$B$82:$J$86,0,4))*($AZ25-INDEX('How This Works &amp; Sources'!$B$82:$J$86,0,4))*INDEX('How This Works &amp; Sources'!$B$82:$J$86,0,4+2)),SUMPRODUCT(($AZ25&gt;INDEX('How This Works &amp; Sources'!$B$82:$J$86,0,1))*($AZ25-INDEX('How This Works &amp; Sources'!$B$82:$J$86,0,1))*INDEX('How This Works &amp; Sources'!$B$82:$J$86,0,1+2))),IF($AN25="KS",IF($AU25="Married",SUMPRODUCT(($AZ25&gt;INDEX('How This Works &amp; Sources'!$B$103:$J$109,0,4))*($AZ25-INDEX('How This Works &amp; Sources'!$B$103:$J$109,0,4))*INDEX('How This Works &amp; Sources'!$B$103:$J$109,0,4+2)),SUMPRODUCT(($AZ25&gt;INDEX('How This Works &amp; Sources'!$B$103:$J$109,0,1))*($AZ25-INDEX('How This Works &amp; Sources'!$B$103:$J$109,0,1))*INDEX('How This Works &amp; Sources'!$B$103:$J$109,0,1+2))),IF($AN25="MN",IF($AU25="Married",SUMPRODUCT(($AZ25&gt;INDEX('How This Works &amp; Sources'!$B$114:$J$120,0,7))*($AZ25-INDEX('How This Works &amp; Sources'!$B$114:$J$120,0,7))*INDEX('How This Works &amp; Sources'!$B$114:$J$120,0,7+2)),SUMPRODUCT(($AZ25&gt;INDEX('How This Works &amp; Sources'!$B$114:$J$120,0,4))*($AZ25-INDEX('How This Works &amp; Sources'!$B$114:$J$120,0,4))*INDEX('How This Works &amp; Sources'!$B$114:$J$120,0,4+2))),IF($AN25="MO",SUMPRODUCT(($AZ25&gt;INDEX('How This Works &amp; Sources'!$B$125:$J$132,0,1))*($AZ25-INDEX('How This Works &amp; Sources'!$B$125:$J$132,0,1))*INDEX('How This Works &amp; Sources'!$B$125:$J$132,0,1+2)),IF($AN25="NE",MAX(IF($AU25="Married",SUMPRODUCT(($AZ25&gt;INDEX('How This Works &amp; Sources'!$B$144:$J$150,0,7))*($AZ25-INDEX('How This Works &amp; Sources'!$B$144:$J$150,0,7))*INDEX('How This Works &amp; Sources'!$B$144:$J$150,0,7+2)),SUMPRODUCT(($AZ25&gt;INDEX('How This Works &amp; Sources'!$B$144:$J$150,0,4))*($AZ25-INDEX('How This Works &amp; Sources'!$B$144:$J$150,0,4))*INDEX('How This Works &amp; Sources'!$B$144:$J$150,0,4+2))),0.015*$AZ25),IF($AN25="OH",IF($B25&gt;=DATE(2026,8,1),SUMPRODUCT(($AZ25&gt;INDEX('How This Works &amp; Sources'!$B$203:$J$206,0,1))*($AZ25-INDEX('How This Works &amp; Sources'!$B$203:$J$206,0,1))*INDEX('How This Works &amp; Sources'!$B$203:$J$206,0,1+2)),SUMPRODUCT(($AZ25&gt;INDEX('How This Works &amp; Sources'!$B$184:$J$198,0,7))*($AZ25-INDEX('How This Works &amp; Sources'!$B$184:$J$198,0,7))*INDEX('How This Works &amp; Sources'!$B$184:$J$198,0,7+2))),IF($AN25="OK",IF($AU25="Married",SUMPRODUCT(($AZ25&gt;INDEX('How This Works &amp; Sources'!$B$203:$J$206,0,7))*($AZ25-INDEX('How This Works &amp; Sources'!$B$203:$J$206,0,7))*INDEX('How This Works &amp; Sources'!$B$203:$J$206,0,7+2)),SUMPRODUCT(($AZ25&gt;INDEX('How This Works &amp; Sources'!$B$203:$J$206,0,4))*($AZ25-INDEX('How This Works &amp; Sources'!$B$203:$J$206,0,4))*INDEX('How This Works &amp; Sources'!$B$203:$J$206,0,4+2))),IF($AN25="VT",IF($AU25="Married",SUMPRODUCT(($AZ25&gt;INDEX('How This Works &amp; Sources'!$B$228:$J$232,0,1))*($AZ25-INDEX('How This Works &amp; Sources'!$B$228:$J$232,0,1))*INDEX('How This Works &amp; Sources'!$B$228:$J$232,0,1+2)),SUMPRODUCT(($AZ25&gt;INDEX('How This Works &amp; Sources'!$B$219:$J$223,0,7))*($AZ25-INDEX('How This Works &amp; Sources'!$B$219:$J$223,0,7))*INDEX('How This Works &amp; Sources'!$B$219:$J$223,0,7+2))),IF($AN25="WV",IF($AU25="Married",SUMPRODUCT(($AZ25&gt;INDEX('How This Works &amp; Sources'!$B$237:$J$241,0,7))*($AZ25-INDEX('How This Works &amp; Sources'!$B$237:$J$241,0,7))*INDEX('How This Works &amp; Sources'!$B$237:$J$241,0,7+2)),SUMPRODUCT(($AZ25&gt;INDEX('How This Works &amp; Sources'!$B$228:$J$232,0,7))*($AZ25-INDEX('How This Works &amp; Sources'!$B$228:$J$232,0,7))*INDEX('How This Works &amp; Sources'!$B$228:$J$232,0,7+2))),""))))))))))</f>
      </c>
      <c r="BY25" s="7">
        <f>IF($B25="","",IF($AN25="DE",SUMPRODUCT(($AZ25&gt;INDEX('How This Works &amp; Sources'!$B$91:$J$98,0,1))*($AZ25-INDEX('How This Works &amp; Sources'!$B$91:$J$98,0,1))*INDEX('How This Works &amp; Sources'!$B$91:$J$98,0,1+2)),IF($AN25="HI",IF($AU25="Married",SUMPRODUCT(($AZ25&gt;INDEX('How This Works &amp; Sources'!$B$91:$J$98,0,7))*($AZ25-INDEX('How This Works &amp; Sources'!$B$91:$J$98,0,7))*INDEX('How This Works &amp; Sources'!$B$91:$J$98,0,7+2)),SUMPRODUCT(($AZ25&gt;INDEX('How This Works &amp; Sources'!$B$91:$J$98,0,4))*($AZ25-INDEX('How This Works &amp; Sources'!$B$91:$J$98,0,4))*INDEX('How This Works &amp; Sources'!$B$91:$J$98,0,4+2))),IF($AN25="RI",SUMPRODUCT(($AZ25&gt;INDEX('How This Works &amp; Sources'!$B$211:$J$214,0,7))*($AZ25-INDEX('How This Works &amp; Sources'!$B$211:$J$214,0,7))*INDEX('How This Works &amp; Sources'!$B$211:$J$214,0,7+2)),IF($AN25="SC",SUMPRODUCT(($AZ25&gt;INDEX('How This Works &amp; Sources'!$B$219:$J$223,0,1))*($AZ25-INDEX('How This Works &amp; Sources'!$B$219:$J$223,0,1))*INDEX('How This Works &amp; Sources'!$B$219:$J$223,0,1+2)),IF($AN25="VA",SUMPRODUCT(($AZ25&gt;INDEX('How This Works &amp; Sources'!$B$219:$J$223,0,4))*($AZ25-INDEX('How This Works &amp; Sources'!$B$219:$J$223,0,4))*INDEX('How This Works &amp; Sources'!$B$219:$J$223,0,4+2)),IF($AN25="WI",SUMPRODUCT(($AZ25&gt;INDEX('How This Works &amp; Sources'!$B$228:$J$232,0,4))*($AZ25-INDEX('How This Works &amp; Sources'!$B$228:$J$232,0,4))*INDEX('How This Works &amp; Sources'!$B$228:$J$232,0,4+2)),"")))))))</f>
      </c>
      <c r="BZ25" s="24">
        <f>IF($B25="","",IF($AN25="KS",IF($AU25="Married",SUMPRODUCT(($AZ25&gt;=INDEX('How This Works &amp; Sources'!$B$103:$J$109,0,4))*INDEX('How This Works &amp; Sources'!$B$103:$J$109,0,4+2)),SUMPRODUCT(($AZ25&gt;=INDEX('How This Works &amp; Sources'!$B$103:$J$109,0,1))*INDEX('How This Works &amp; Sources'!$B$103:$J$109,0,1+2))),IF($AN25="MT",IF($AU25="Head of household",SUMPRODUCT(($AZ25&gt;=INDEX('How This Works &amp; Sources'!$B$137:$J$139,0,1))*INDEX('How This Works &amp; Sources'!$B$137:$J$139,0,1+2)),IF($AU25="Married",SUMPRODUCT(($AZ25&gt;=INDEX('How This Works &amp; Sources'!$B$125:$J$132,0,7))*INDEX('How This Works &amp; Sources'!$B$125:$J$132,0,7+2)),SUMPRODUCT(($AZ25&gt;=INDEX('How This Works &amp; Sources'!$B$125:$J$132,0,4))*INDEX('How This Works &amp; Sources'!$B$125:$J$132,0,4+2)))),IF($AN25="OR",IF(OR($AU25="Married",AND($AU25="Single",$AS25&gt;=3)),SUMPRODUCT((MAX(0,$AY25-MIN(($P25-'How This Works &amp; Sources'!$C$10*$D25)*'Second Earner'!$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Sources'!$B$211:$J$214,0,4))*INDEX('How This Works &amp; Sources'!$B$211:$J$214,0,4+2)),SUMPRODUCT((MAX(0,$AY25-MIN(($P25-'How This Works &amp; Sources'!$C$10*$D25)*'Second Earner'!$C$8,IF(OR($AU25="Married",AND($AU25="Single",$AS25&gt;=3)),IF($AY25&lt;250000,8750,IF($AY25&lt;260000,7000,IF($AY25&lt;270000,5250,IF($AY25&lt;280000,3500,IF($AY25&lt;290000,1750,0))))),IF($AY25&lt;125000,8750,IF($AY25&lt;130000,7000,IF($AY25&lt;135000,5250,IF($AY25&lt;140000,3500,IF($AY25&lt;145000,1750,0)))))))-IF(OR($AU25="Married",AND($AU25="Single",$AS25&gt;=3)),5820,2910))&gt;=INDEX('How This Works &amp; Sources'!$B$211:$J$214,0,1))*INDEX('How This Works &amp; Sources'!$B$211:$J$214,0,1+2)))*IF(($P25-'How This Works &amp; Sources'!$C$10*$D25)*'Second Earner'!$C$8&gt;=IF(OR($AU25="Married",AND($AU25="Single",$AS25&gt;=3)),IF($AY25&lt;250000,8750,IF($AY25&lt;260000,7000,IF($AY25&lt;270000,5250,IF($AY25&lt;280000,3500,IF($AY25&lt;290000,1750,0))))),IF($AY25&lt;125000,8750,IF($AY25&lt;130000,7000,IF($AY25&lt;135000,5250,IF($AY25&lt;140000,3500,IF($AY25&lt;145000,1750,0)))))),1,1-IF('Second Earner'!$C$13,SUMPRODUCT(($AH25&gt;=INDEX('How This Works &amp; Sources'!$B$29:$J$36,0,IF('Second Earner'!$C$12="MFJ",1,IF('Second Earner'!$C$12="HoH",7,4))))*INDEX('How This Works &amp; Sources'!$B$29:$J$36,0,IF('Second Earner'!$C$12="MFJ",1,IF('Second Earner'!$C$12="HoH",7,4))+2)),SUMPRODUCT(($AH25&gt;=INDEX('How This Works &amp; Sources'!$B$19:$J$26,0,IF('Second Earner'!$C$12="MFJ",1,IF('Second Earner'!$C$12="HoH",7,4))))*INDEX('How This Works &amp; Sources'!$B$19:$J$26,0,IF('Second Earner'!$C$12="MFJ",1,IF('Second Earner'!$C$12="HoH",7,4))+2)))),""))))</f>
      </c>
      <c r="CA25" s="24">
        <f>IF($B25="","",IF($AN25="CA",SUMPRODUCT(($AJ25&gt;=INDEX('How This Works &amp; Sources'!$B$39:$J$48,0,IF($AU25="Married",4,IF($AU25="Head of household",7,1))))*INDEX('How This Works &amp; Sources'!$B$39:$J$48,0,IF($AU25="Married",4,IF($AU25="Head of household",7,1))+2)),IF($AN25="AL",IF(OR($AU25="Married",$AU25="Head of household"),SUMPRODUCT(($AZ25&gt;=INDEX('How This Works &amp; Sources'!$B$82:$J$86,0,4))*INDEX('How This Works &amp; Sources'!$B$82:$J$86,0,4+2)),SUMPRODUCT(($AZ25&gt;=INDEX('How This Works &amp; Sources'!$B$82:$J$86,0,1))*INDEX('How This Works &amp; Sources'!$B$82:$J$86,0,1+2)))*(1-IF('Second Earner'!$C$13,SUMPRODUCT(($AH25&gt;=INDEX('How This Works &amp; Sources'!$B$29:$J$36,0,IF('Second Earner'!$C$12="MFJ",1,IF('Second Earner'!$C$12="HoH",7,4))))*INDEX('How This Works &amp; Sources'!$B$29:$J$36,0,IF('Second Earner'!$C$12="MFJ",1,IF('Second Earner'!$C$12="HoH",7,4))+2)),SUMPRODUCT(($AH25&gt;=INDEX('How This Works &amp; Sources'!$B$19:$J$26,0,IF('Second Earner'!$C$12="MFJ",1,IF('Second Earner'!$C$12="HoH",7,4))))*INDEX('How This Works &amp; Sources'!$B$19:$J$26,0,IF('Second Earner'!$C$12="MFJ",1,IF('Second Earner'!$C$12="HoH",7,4))+2)))),IF($AN25="ND",IF($AU25="Head of household",SUMPRODUCT(($AZ25&gt;=INDEX('How This Works &amp; Sources'!$B$144:$J$150,0,1))*INDEX('How This Works &amp; Sources'!$B$144:$J$150,0,1+2)),IF($AU25="Married",SUMPRODUCT(($AZ25&gt;=INDEX('How This Works &amp; Sources'!$B$137:$J$139,0,7))*INDEX('How This Works &amp; Sources'!$B$137:$J$139,0,7+2)),SUMPRODUCT(($AZ25&gt;=INDEX('How This Works &amp; Sources'!$B$137:$J$139,0,4))*INDEX('How This Works &amp; Sources'!$B$137:$J$139,0,4+2)))),IF($AN25="NJ",IF('Second Earner'!$C$77="B",SUMPRODUCT(($AZ25&gt;=INDEX('How This Works &amp; Sources'!$B$155:$J$162,0,4))*INDEX('How This Works &amp; Sources'!$B$155:$J$162,0,4+2)),IF('Second Earner'!$C$77="C",SUMPRODUCT(($AZ25&gt;=INDEX('How This Works &amp; Sources'!$B$155:$J$162,0,7))*INDEX('How This Works &amp; Sources'!$B$155:$J$162,0,7+2)),IF('Second Earner'!$C$77="D",SUMPRODUCT(($AZ25&gt;=INDEX('How This Works &amp; Sources'!$B$167:$J$179,0,1))*INDEX('How This Works &amp; Sources'!$B$167:$J$179,0,1+2)),IF('Second Earner'!$C$77="E",SUMPRODUCT(($AZ25&gt;=INDEX('How This Works &amp; Sources'!$B$167:$J$179,0,4))*INDEX('How This Works &amp; Sources'!$B$167:$J$179,0,4+2)),SUMPRODUCT(($AZ25&gt;=INDEX('How This Works &amp; Sources'!$B$155:$J$162,0,1))*INDEX('How This Works &amp; Sources'!$B$155:$J$162,0,1+2)))))),IF($AN25="NY",IF($AU25="Married",IF($AZ25&gt;=2155350,IF($AZ25&gt;25000000,0.117,IF($AZ25&gt;5000000,0.111,0.1045)),SUMPRODUCT(($AZ25&gt;=INDEX('How This Works &amp; Sources'!$B$184:$J$198,0,1))*INDEX('How This Works &amp; Sources'!$B$184:$J$198,0,1+2))),IF($AZ25&gt;=1077550,IF($AZ25&gt;25000000,0.117,IF($AZ25&gt;5000000,0.111,0.1045)),SUMPRODUCT(($AZ25&gt;=INDEX('How This Works &amp; Sources'!$B$167:$J$179,0,7))*INDEX('How This Works &amp; Sources'!$B$167:$J$179,0,7+2)))),IF($AN25="LA",0.0309,"")))))))</f>
      </c>
      <c r="CB25" s="24">
        <f>IF($B25="","",IF($AN25="HI",IF($AU25="Married",SUMPRODUCT(($AZ25&gt;=INDEX('How This Works &amp; Sources'!$B$91:$J$98,0,7))*INDEX('How This Works &amp; Sources'!$B$91:$J$98,0,7+2)),SUMPRODUCT(($AZ25&gt;=INDEX('How This Works &amp; Sources'!$B$91:$J$98,0,4))*INDEX('How This Works &amp; Sources'!$B$91:$J$98,0,4+2))),IF($AN25="MD",IF(OR($AU25="Married",$AU25="Head of household"),SUMPRODUCT(($AZ25&gt;=INDEX('How This Works &amp; Sources'!$B$114:$J$120,0,1))*INDEX('How This Works &amp; Sources'!$B$114:$J$120,0,1+2)),SUMPRODUCT(($AZ25&gt;=INDEX('How This Works &amp; Sources'!$B$103:$J$109,0,7))*INDEX('How This Works &amp; Sources'!$B$103:$J$109,0,7+2)))+'Second Earner'!$C$74,IF($AN25="MN",IF($AU25="Married",SUMPRODUCT(($AZ25&gt;=INDEX('How This Works &amp; Sources'!$B$114:$J$120,0,7))*INDEX('How This Works &amp; Sources'!$B$114:$J$120,0,7+2)),SUMPRODUCT(($AZ25&gt;=INDEX('How This Works &amp; Sources'!$B$114:$J$120,0,4))*INDEX('How This Works &amp; Sources'!$B$114:$J$120,0,4+2))),IF($AN25="MO",SUMPRODUCT(($AZ25&gt;=INDEX('How This Works &amp; Sources'!$B$125:$J$132,0,1))*INDEX('How This Works &amp; Sources'!$B$125:$J$132,0,1+2)),IF($AN25="NE",MAX(IF($AU25="Married",SUMPRODUCT(($AZ25&gt;=INDEX('How This Works &amp; Sources'!$B$144:$J$150,0,7))*INDEX('How This Works &amp; Sources'!$B$144:$J$150,0,7+2)),SUMPRODUCT(($AZ25&gt;=INDEX('How This Works &amp; Sources'!$B$144:$J$150,0,4))*INDEX('How This Works &amp; Sources'!$B$144:$J$150,0,4+2))),0.015),IF($AN25="OH",IF($B25&gt;=DATE(2026,8,1),SUMPRODUCT(($AZ25&gt;=INDEX('How This Works &amp; Sources'!$B$203:$J$206,0,1))*INDEX('How This Works &amp; Sources'!$B$203:$J$206,0,1+2)),SUMPRODUCT(($AZ25&gt;=INDEX('How This Works &amp; Sources'!$B$184:$J$198,0,7))*INDEX('How This Works &amp; Sources'!$B$184:$J$198,0,7+2))),IF($AN25="OK",IF($AU25="Married",SUMPRODUCT(($AZ25&gt;=INDEX('How This Works &amp; Sources'!$B$203:$J$206,0,7))*INDEX('How This Works &amp; Sources'!$B$203:$J$206,0,7+2)),SUMPRODUCT(($AZ25&gt;=INDEX('How This Works &amp; Sources'!$B$203:$J$206,0,4))*INDEX('How This Works &amp; Sources'!$B$203:$J$206,0,4+2))),IF($AN25="RI",SUMPRODUCT(($AZ25&gt;=INDEX('How This Works &amp; Sources'!$B$211:$J$214,0,7))*INDEX('How This Works &amp; Sources'!$B$211:$J$214,0,7+2)),IF($AN25="VT",IF($AU25="Married",SUMPRODUCT(($AZ25&gt;=INDEX('How This Works &amp; Sources'!$B$228:$J$232,0,1))*INDEX('How This Works &amp; Sources'!$B$228:$J$232,0,1+2)),SUMPRODUCT(($AZ25&gt;=INDEX('How This Works &amp; Sources'!$B$219:$J$223,0,7))*INDEX('How This Works &amp; Sources'!$B$219:$J$223,0,7+2))),IF($AN25="WV",IF($AU25="Married",SUMPRODUCT(($AZ25&gt;=INDEX('How This Works &amp; Sources'!$B$237:$J$241,0,7))*INDEX('How This Works &amp; Sources'!$B$237:$J$241,0,7+2)),SUMPRODUCT(($AZ25&gt;=INDEX('How This Works &amp; Sources'!$B$228:$J$232,0,7))*INDEX('How This Works &amp; Sources'!$B$228:$J$232,0,7+2))),IF($AN25="AZ",'Second Earner'!$C$82,IF($AN25="ID",IF($AY25&gt;IF($AU25="Married",32000,16094),0.053,0),"")))))))))))))</f>
      </c>
      <c r="CC25" s="24">
        <f>IF($B25="","",IF($AN25="AR",SUMPRODUCT(($AZ25&gt;=INDEX('How This Works &amp; Sources'!$B$82:$J$86,0,7))*INDEX('How This Works &amp; Sources'!$B$82:$J$86,0,7+2)),IF($AN25="DE",SUMPRODUCT(($AZ25&gt;=INDEX('How This Works &amp; Sources'!$B$91:$J$98,0,1))*INDEX('How This Works &amp; Sources'!$B$91:$J$98,0,1+2)),IF($AN25="SC",SUMPRODUCT(($AZ25&gt;=INDEX('How This Works &amp; Sources'!$B$219:$J$223,0,1))*INDEX('How This Works &amp; Sources'!$B$219:$J$223,0,1+2)),IF($AN25="VA",SUMPRODUCT(($AZ25&gt;=INDEX('How This Works &amp; Sources'!$B$219:$J$223,0,4))*INDEX('How This Works &amp; Sources'!$B$219:$J$223,0,4+2)),IF($AN25="WI",SUMPRODUCT(($AZ25&gt;=INDEX('How This Works &amp; Sources'!$B$228:$J$232,0,4))*INDEX('How This Works &amp; Sources'!$B$228:$J$232,0,4+2)),IF($AN25="CO",IF($AY25&gt;IF($AU25="Married",10000,5000),0.044,0),IF($AN25="IA",IF($AY25&gt;IF($AU25="Head of household",19500,IF($AU25="Married",26000,13000)),0.038,0),IF($AN25="IL",IF($AY25&gt;(2925*$AS25+1000*$AT25),0.0495,0),IF($AN25="IN",(0.0295+'Second Earner'!$C$76),IF($AN25="KY",IF($AI25&gt;3360,0.035,0),IF($AN25="MA",IF(MAX(0,$AY25-MIN(($BD24+$Q25+$R25+$S25),2000)-IF($AS25=0,0,IF($AS25=1,4400,1000*$AS25+3400)))&gt;=1107750,0.09,0.05),IF($AN25="MI",IF($AY25&gt;5900*$AS25,0.0425,0),IF($AN25="MS",IF($AI25-IF($AU25="Head of household",3400,IF($AU25="Married",4600,2300))-'Second Earner'!$C$85&gt;10000,0.04,0),IF($AN25="PA",0.0307,"")))))))))))))))</f>
      </c>
      <c r="CD25" s="21">
        <f>IF(YEAR(IF('Second Earner'!$C$7="Weekly",'Second Earner'!$C$9+7*(($BE24+1)-1),IF('Second Earner'!$C$7="Biweekly",'Second Earner'!$C$9+14*(($BE24+1)-1),IF('Second Earner'!$C$7="Semimonthly",DATE(YEAR('Second Earner'!$C$9),MONTH('Second Earner'!$C$9)+INT((($BE24+1)-1)/2),MIN(DAY('Second Earner'!$C$9),DAY(EOMONTH(DATE(YEAR('Second Earner'!$C$9),MONTH('Second Earner'!$C$9)+INT((($BE24+1)-1)/2),1),0))))+IF(MOD(($BE24+1)-1,2)=1,15,0),EDATE('Second Earner'!$C$9,($BE24+1)-1)))))&lt;&gt;'Second Earner'!$C$10,"",IF('Second Earner'!$C$7="Weekly",'Second Earner'!$C$9+7*(($BE24+1)-1),IF('Second Earner'!$C$7="Biweekly",'Second Earner'!$C$9+14*(($BE24+1)-1),IF('Second Earner'!$C$7="Semimonthly",DATE(YEAR('Second Earner'!$C$9),MONTH('Second Earner'!$C$9)+INT((($BE24+1)-1)/2),MIN(DAY('Second Earner'!$C$9),DAY(EOMONTH(DATE(YEAR('Second Earner'!$C$9),MONTH('Second Earner'!$C$9)+INT((($BE24+1)-1)/2),1),0))))+IF(MOD(($BE24+1)-1,2)=1,15,0),EDATE('Second Earner'!$C$9,($BE24+1)-1)))))</f>
      </c>
      <c r="CE25" s="21">
        <f>IF(MIN(IF(AND('Second Earner'!$C$58&gt;MAX($B$6:$B24),'Second Earner'!$C$58&gt;=DATE('Second Earner'!$C$10,1,1),'Second Earner'!$C$58&lt;=DATE('Second Earner'!$C$10,12,31)),'Second Earner'!$C$58,999999),IF(AND('Second Earner'!$C$59&gt;MAX($B$6:$B24),'Second Earner'!$C$59&gt;=DATE('Second Earner'!$C$10,1,1),'Second Earner'!$C$59&lt;=DATE('Second Earner'!$C$10,12,31)),'Second Earner'!$C$59,999999),IF(AND('Second Earner'!$C$60&gt;MAX($B$6:$B24),'Second Earner'!$C$60&gt;=DATE('Second Earner'!$C$10,1,1),'Second Earner'!$C$60&lt;=DATE('Second Earner'!$C$10,12,31)),'Second Earner'!$C$60,999999),IF(AND('Second Earner'!$C$61&gt;MAX($B$6:$B24),'Second Earner'!$C$61&gt;=DATE('Second Earner'!$C$10,1,1),'Second Earner'!$C$61&lt;=DATE('Second Earner'!$C$10,12,31)),'Second Earner'!$C$61,999999),IF(AND('Second Earner'!$C$62&gt;MAX($B$6:$B24),'Second Earner'!$C$62&gt;=DATE('Second Earner'!$C$10,1,1),'Second Earner'!$C$62&lt;=DATE('Second Earner'!$C$10,12,31)),'Second Earner'!$C$62,999999),IF(AND('Second Earner'!$C$63&gt;MAX($B$6:$B24),'Second Earner'!$C$63&gt;=DATE('Second Earner'!$C$10,1,1),'Second Earner'!$C$63&lt;=DATE('Second Earner'!$C$10,12,31)),'Second Earner'!$C$63,999999),IF(AND('Second Earner'!$C$64&gt;MAX($B$6:$B24),'Second Earner'!$C$64&gt;=DATE('Second Earner'!$C$10,1,1),'Second Earner'!$C$64&lt;=DATE('Second Earner'!$C$10,12,31)),'Second Earner'!$C$64,999999),IF(AND('Second Earner'!$C$65&gt;MAX($B$6:$B24),'Second Earner'!$C$65&gt;=DATE('Second Earner'!$C$10,1,1),'Second Earner'!$C$65&lt;=DATE('Second Earner'!$C$10,12,31)),'Second Earner'!$C$65,999999),IF(AND('Second Earner'!$C$66&gt;MAX($B$6:$B24),'Second Earner'!$C$66&gt;=DATE('Second Earner'!$C$10,1,1),'Second Earner'!$C$66&lt;=DATE('Second Earner'!$C$10,12,31)),'Second Earner'!$C$66,999999),IF(AND('Second Earner'!$C$67&gt;MAX($B$6:$B24),'Second Earner'!$C$67&gt;=DATE('Second Earner'!$C$10,1,1),'Second Earner'!$C$67&lt;=DATE('Second Earner'!$C$10,12,31)),'Second Earner'!$C$67,999999))=999999,"",MIN(IF(AND('Second Earner'!$C$58&gt;MAX($B$6:$B24),'Second Earner'!$C$58&gt;=DATE('Second Earner'!$C$10,1,1),'Second Earner'!$C$58&lt;=DATE('Second Earner'!$C$10,12,31)),'Second Earner'!$C$58,999999),IF(AND('Second Earner'!$C$59&gt;MAX($B$6:$B24),'Second Earner'!$C$59&gt;=DATE('Second Earner'!$C$10,1,1),'Second Earner'!$C$59&lt;=DATE('Second Earner'!$C$10,12,31)),'Second Earner'!$C$59,999999),IF(AND('Second Earner'!$C$60&gt;MAX($B$6:$B24),'Second Earner'!$C$60&gt;=DATE('Second Earner'!$C$10,1,1),'Second Earner'!$C$60&lt;=DATE('Second Earner'!$C$10,12,31)),'Second Earner'!$C$60,999999),IF(AND('Second Earner'!$C$61&gt;MAX($B$6:$B24),'Second Earner'!$C$61&gt;=DATE('Second Earner'!$C$10,1,1),'Second Earner'!$C$61&lt;=DATE('Second Earner'!$C$10,12,31)),'Second Earner'!$C$61,999999),IF(AND('Second Earner'!$C$62&gt;MAX($B$6:$B24),'Second Earner'!$C$62&gt;=DATE('Second Earner'!$C$10,1,1),'Second Earner'!$C$62&lt;=DATE('Second Earner'!$C$10,12,31)),'Second Earner'!$C$62,999999),IF(AND('Second Earner'!$C$63&gt;MAX($B$6:$B24),'Second Earner'!$C$63&gt;=DATE('Second Earner'!$C$10,1,1),'Second Earner'!$C$63&lt;=DATE('Second Earner'!$C$10,12,31)),'Second Earner'!$C$63,999999),IF(AND('Second Earner'!$C$64&gt;MAX($B$6:$B24),'Second Earner'!$C$64&gt;=DATE('Second Earner'!$C$10,1,1),'Second Earner'!$C$64&lt;=DATE('Second Earner'!$C$10,12,31)),'Second Earner'!$C$64,999999),IF(AND('Second Earner'!$C$65&gt;MAX($B$6:$B24),'Second Earner'!$C$65&gt;=DATE('Second Earner'!$C$10,1,1),'Second Earner'!$C$65&lt;=DATE('Second Earner'!$C$10,12,31)),'Second Earner'!$C$65,999999),IF(AND('Second Earner'!$C$66&gt;MAX($B$6:$B24),'Second Earner'!$C$66&gt;=DATE('Second Earner'!$C$10,1,1),'Second Earner'!$C$66&lt;=DATE('Second Earner'!$C$10,12,31)),'Second Earner'!$C$66,999999),IF(AND('Second Earner'!$C$67&gt;MAX($B$6:$B24),'Second Earner'!$C$67&gt;=DATE('Second Earner'!$C$10,1,1),'Second Earner'!$C$67&lt;=DATE('Second Earner'!$C$10,12,31)),'Second Earner'!$C$67,999999)))</f>
      </c>
      <c r="CF25">
        <f>IF($B25="","",IF($D25=0,$Y25,""))</f>
      </c>
    </row>
    <row r="26">
      <c r="A26" t="n">
        <v>21</v>
      </c>
      <c r="B26" s="21">
        <f>IF(AND($CD26="",$CE26=""),"",IF($CE26="",$CD26,IF($CD26="",$CE26,MIN($CD26,$CE26))))</f>
      </c>
      <c r="C26" s="7">
        <f>IF($B26="","",IF($BF26=0,0,IF('Second Earner'!$C$4="Annual salary",ROUND($AK26/IF(AND('Second Earner'!$C$88="Actual paydays",MONTH('Second Earner'!$C$9)=1),MAX(1,MAX($BE$6:$BE$68)),'Second Earner'!$C$8),2),$AK26)))</f>
      </c>
      <c r="D26" s="7">
        <f>IF($B26="","",SUMIF('Second Earner'!$C$58:$C$67,$B26,'Second Earner'!$D$58:$D$67))</f>
      </c>
      <c r="E26" s="7">
        <f>IF($B26="","",ROUND(MAX(0,MIN(IF($AL26="Percent",$AM26*($C26+$D26),$AM26),MAX(0,'Second Earner'!$C$34-$AC25))),2))</f>
      </c>
      <c r="F26" s="7">
        <f>IF($B26="","",ROUND(MAX(0,MIN(IF('Second Earner'!$C$32="Percent",'Second Earner'!$D$32*($C26+$D26),'Second Earner'!$D$32),MAX(0,'Second Earner'!$C$34-$AC25-$E26))),2))</f>
      </c>
      <c r="G26" s="7">
        <f>IF($B26="","",IF($BF26=0,0,ROUND(MAX(0,MIN($BL26,'Second Earner'!$C$37-'Second Earner'!$C$54-$BI25)),2)))</f>
      </c>
      <c r="H26" s="7">
        <f>IF($B26="","",IF(OR($BF26=0,$BQ26=1),0,ROUND(MAX(0,MIN(IF($BS26=1,ROUND(MAX(0,MIN($BJ26,'How This Works &amp; Sources'!$C$13)-$BG25)/MAX(1,MAX($BE$6:$BE$68)-($BE25)),2),ROUND(MIN($BJ26,'How This Works &amp; Sources'!$C$13)/'Second Earner'!$C$8,2)),MIN($BJ26,'How This Works &amp; Sources'!$C$13)-$BG25)),2)))</f>
      </c>
      <c r="I26" s="7">
        <f>IF($B26="","",IF(OR($BF26=0,$BR26=1),0,ROUND(MAX(0,MIN(IF($BT26=1,ROUND(MAX(0,MIN($BK26,IF('Second Earner'!$C$12="MFJ",'How This Works &amp; Sources'!$C$14,'How This Works &amp; Sources'!$C$15))-$BH25)/MAX(1,MAX($BE$6:$BE$68)-($BE25)),2),ROUND(MIN($BK26,IF('Second Earner'!$C$12="MFJ",'How This Works &amp; Sources'!$C$14,'How This Works &amp; Sources'!$C$15))/'Second Earner'!$C$8,2)),MIN($BK26,IF('Second Earner'!$C$12="MFJ",'How This Works &amp; Sources'!$C$14,'How This Works &amp; Sources'!$C$15))-$BH25)),2)))</f>
      </c>
      <c r="J26" s="7">
        <f>IF($B26="","",IF($BF26=0,0,$BM26))</f>
      </c>
      <c r="K26" s="7">
        <f>IF($B26="","",IF($BF26=0,0,$BN26+$BO26))</f>
      </c>
      <c r="L26" s="7">
        <f>IF($B26="","",IF($BF26=0,0,'Second Earner'!$D$46))</f>
      </c>
      <c r="M26" s="7">
        <f>IF($B26="","",$C26+$D26+$L26-$E26-$G26-$H26-$I26-$J26-$K26)</f>
      </c>
      <c r="N26" s="7">
        <f>IF($B26="","",$C26+$D26+$L26-$G26-$H26-$I26-$J26-$K26)</f>
      </c>
      <c r="O26" s="7">
        <f>IF($B26="","",$C26+$D26+$L26-$E26-$H26-$I26-$J26-$K26-IF(OR($AN26="CA",$AN26="NJ"),0,$G26))</f>
      </c>
      <c r="P26" s="7">
        <f>IF($B26="","",IF('Second Earner'!$C$18,0,ROUND(MAX(0,IF('Second Earner'!$C$13,SUMPRODUCT(($AH26&gt;INDEX('How This Works &amp; Sources'!$B$29:$J$36,0,IF('Second Earner'!$C$12="MFJ",1,IF('Second Earner'!$C$12="HoH",7,4))))*($AH26-INDEX('How This Works &amp; Sources'!$B$29:$J$36,0,IF('Second Earner'!$C$12="MFJ",1,IF('Second Earner'!$C$12="HoH",7,4))))*INDEX('How This Works &amp; Sources'!$B$29:$J$36,0,IF('Second Earner'!$C$12="MFJ",1,IF('Second Earner'!$C$12="HoH",7,4))+2)),SUMPRODUCT(($AH26&gt;INDEX('How This Works &amp; Sources'!$B$19:$J$26,0,IF('Second Earner'!$C$12="MFJ",1,IF('Second Earner'!$C$12="HoH",7,4))))*($AH26-INDEX('How This Works &amp; Sources'!$B$19:$J$26,0,IF('Second Earner'!$C$12="MFJ",1,IF('Second Earner'!$C$12="HoH",7,4))))*INDEX('How This Works &amp; Sources'!$B$19:$J$26,0,IF('Second Earner'!$C$12="MFJ",1,IF('Second Earner'!$C$12="HoH",7,4))+2)))/'Second Earner'!$C$8-$AO26/'Second Earner'!$C$8)+$AR26+IF('Second Earner'!$C$89="Aggregate",MAX(0,IF('Second Earner'!$C$13,SUMPRODUCT((($AH26+$D26)&gt;INDEX('How This Works &amp; Sources'!$B$29:$J$36,0,IF('Second Earner'!$C$12="MFJ",1,IF('Second Earner'!$C$12="HoH",7,4))))*(($AH26+$D26)-INDEX('How This Works &amp; Sources'!$B$29:$J$36,0,IF('Second Earner'!$C$12="MFJ",1,IF('Second Earner'!$C$12="HoH",7,4))))*INDEX('How This Works &amp; Sources'!$B$29:$J$36,0,IF('Second Earner'!$C$12="MFJ",1,IF('Second Earner'!$C$12="HoH",7,4))+2)),SUMPRODUCT((($AH26+$D26)&gt;INDEX('How This Works &amp; Sources'!$B$19:$J$26,0,IF('Second Earner'!$C$12="MFJ",1,IF('Second Earner'!$C$12="HoH",7,4))))*(($AH26+$D26)-INDEX('How This Works &amp; Sources'!$B$19:$J$26,0,IF('Second Earner'!$C$12="MFJ",1,IF('Second Earner'!$C$12="HoH",7,4))))*INDEX('How This Works &amp; Sources'!$B$19:$J$26,0,IF('Second Earner'!$C$12="MFJ",1,IF('Second Earner'!$C$12="HoH",7,4))+2)))-IF('Second Earner'!$C$13,SUMPRODUCT(($AH26&gt;INDEX('How This Works &amp; Sources'!$B$29:$J$36,0,IF('Second Earner'!$C$12="MFJ",1,IF('Second Earner'!$C$12="HoH",7,4))))*($AH26-INDEX('How This Works &amp; Sources'!$B$29:$J$36,0,IF('Second Earner'!$C$12="MFJ",1,IF('Second Earner'!$C$12="HoH",7,4))))*INDEX('How This Works &amp; Sources'!$B$29:$J$36,0,IF('Second Earner'!$C$12="MFJ",1,IF('Second Earner'!$C$12="HoH",7,4))+2)),SUMPRODUCT(($AH26&gt;INDEX('How This Works &amp; Sources'!$B$19:$J$26,0,IF('Second Earner'!$C$12="MFJ",1,IF('Second Earner'!$C$12="HoH",7,4))))*($AH26-INDEX('How This Works &amp; Sources'!$B$19:$J$26,0,IF('Second Earner'!$C$12="MFJ",1,IF('Second Earner'!$C$12="HoH",7,4))))*INDEX('How This Works &amp; Sources'!$B$19:$J$26,0,IF('Second Earner'!$C$12="MFJ",1,IF('Second Earner'!$C$12="HoH",7,4))+2)))),'How This Works &amp; Sources'!$C$10*$D26),2)))</f>
      </c>
      <c r="Q26" s="7">
        <f>IF($B26="","",ROUND('How This Works &amp; Sources'!$C$4*MIN($N26,MAX(0,'How This Works &amp; Sources'!$C$3-($AX26+$AB25-$AW26))),2))</f>
      </c>
      <c r="R26" s="7">
        <f>IF($B26="","",ROUND('How This Works &amp; Sources'!$C$5*$N26,2))</f>
      </c>
      <c r="S26" s="7">
        <f>IF($B26="","",ROUND('How This Works &amp; Sources'!$C$6*MAX(0,MIN($N26,$AG25+$N26-'How This Works &amp; Sources'!$C$7)),2))</f>
      </c>
      <c r="T26" s="7">
        <f>IF($B26="","",IF('Second Earner'!$C$26,0,IF($AN26="CA",ROUND(IF($AI26&lt;=IF(($AS26+$AT26)&gt;=2,VLOOKUP($AN26,StateTables!$A$6:$AB$56,10,FALSE),VLOOKUP($AN26,StateTables!$A$6:$AB$56,9,FALSE)),0,MAX(0,SUMPRODUCT(($AJ26&gt;INDEX('How This Works &amp; Sources'!$B$39:$J$48,0,IF($AU26="Married",4,IF($AU26="Head of household",7,1))))*($AJ26-INDEX('How This Works &amp; Sources'!$B$39:$J$48,0,IF($AU26="Married",4,IF($AU26="Head of household",7,1))))*INDEX('How This Works &amp; Sources'!$B$39:$J$48,0,IF($AU26="Married",4,IF($AU26="Head of household",7,1))+2))-VLOOKUP($AN26,StateTables!$A$6:$AB$56,11,FALSE)*$AS26)/'Second Earner'!$C$8)+'Second Earner'!$C$25+VLOOKUP($AN26,StateTables!$A$6:$AB$56,13,FALSE)*$D26,2),IF(VLOOKUP($AN26,StateTables!$A$6:$AB$56,4,FALSE)="None",0,IF(ISNUMBER(SEARCH("MANUAL",VLOOKUP($AN26,StateTables!$A$6:$AB$56,5,FALSE))),'Second Earner'!$C$28,ROUND(MAX(0,$BA26+$BB26)/'Second Earner'!$C$8+'Second Earner'!$C$25+$BC26,2))))))</f>
      </c>
      <c r="U26" s="7">
        <f>IF($B26="","",IF(VLOOKUP($AN26,StateTables!$A$6:$AB$56,24,FALSE)="flatq",IF(OR(MONTH($B26)=1,MONTH($B26)=4,MONTH($B26)=7,MONTH($B26)=10),VLOOKUP($AN26,StateTables!$A$6:$AB$56,25,FALSE),0),IF(VLOOKUP($AN26,StateTables!$A$6:$AB$56,24,FALSE)="dbl",MIN(ROUND(0.005*$N26,2),ROUND(0.6*52/'Second Earner'!$C$8,2)),IF(OR(VLOOKUP($AN26,StateTables!$A$6:$AB$56,15,FALSE)="",VLOOKUP($AN26,StateTables!$A$6:$AB$56,15,FALSE)=0),0,ROUND(VLOOKUP($AN26,StateTables!$A$6:$AB$56,15,FALSE)*IF(OR(VLOOKUP($AN26,StateTables!$A$6:$AB$56,16,FALSE)="",VLOOKUP($AN26,StateTables!$A$6:$AB$56,16,FALSE)=0),$N26,MIN($N26,MAX(0,VLOOKUP($AN26,StateTables!$A$6:$AB$56,16,FALSE)-($AX26+$AB25-$AW26)))),2))))+IF(VLOOKUP($AN26,StateTables!$A$6:$AB$56,27,FALSE)="flatq",IF(OR(MONTH($B26)=1,MONTH($B26)=4,MONTH($B26)=7,MONTH($B26)=10),VLOOKUP($AN26,StateTables!$A$6:$AB$56,28,FALSE),0),IF(VLOOKUP($AN26,StateTables!$A$6:$AB$56,27,FALSE)="dbl",MIN(ROUND(0.005*$N26,2),ROUND(0.6*52/'Second Earner'!$C$8,2)),IF(OR(VLOOKUP($AN26,StateTables!$A$6:$AB$56,18,FALSE)="",VLOOKUP($AN26,StateTables!$A$6:$AB$56,18,FALSE)=0),0,ROUND(VLOOKUP($AN26,StateTables!$A$6:$AB$56,18,FALSE)*IF(OR(VLOOKUP($AN26,StateTables!$A$6:$AB$56,19,FALSE)="",VLOOKUP($AN26,StateTables!$A$6:$AB$56,19,FALSE)=0),$N26,MIN($N26,MAX(0,VLOOKUP($AN26,StateTables!$A$6:$AB$56,19,FALSE)-($AX26+$AB25-$AW26)))),2)))))</f>
      </c>
      <c r="V26" s="7">
        <f>IF($B26="","",IF($AN26="NY",IF('Second Earner'!$C$78,ROUND(SUMPRODUCT((MAX(0,($O26-$D26)*'Second Earner'!$C$8-(IF($AU26="Married",5500,5000)+1000*$AS26))&gt;INDEX('How This Works &amp; Sources'!$B$184:$J$198,0,4))*(MAX(0,($O26-$D26)*'Second Earner'!$C$8-(IF($AU26="Married",5500,5000)+1000*$AS26))-INDEX('How This Works &amp; Sources'!$B$184:$J$198,0,4))*INDEX('How This Works &amp; Sources'!$B$184:$J$198,0,4+2))/'Second Earner'!$C$8+0.0425*$D26,2),0)+IF('Second Earner'!$C$79="Resident",ROUND(0.1675*$T26,2),IF('Second Earner'!$C$79="Nonresident",ROUND(0.005*MAX(0,($O26-$D26)-(IF($AU26="Married",7950,7400)+1000*$AS26)/'Second Earner'!$C$8),2),0)),IF($AN26="PA",IF('Second Earner'!$C$80="None",'Second Earner'!$C$27+ROUND('Second Earner'!$C$81*($C26+$D26),2),ROUND(IF('Second Earner'!$C$80="Resident",IF($B26&lt;DATE(2026,7,1),0.0374,0.03735),IF($B26&lt;DATE(2026,7,1),0.0343,0.03425))*($C26+$D26),2)),IF($BF26=0,ROUND('Second Earner'!$C$81*($C26+$D26),2),'Second Earner'!$C$27+ROUND('Second Earner'!$C$81*($C26+$D26),2)))))</f>
      </c>
      <c r="W26" s="7">
        <f>IF($B26="","",IF($BF26=0,0,$BP26))</f>
      </c>
      <c r="X26" s="7">
        <f>IF($B26="","",SUM($E26:$K26)+$P26+$Q26+$R26+$S26+$T26+$U26+$V26+$W26)</f>
      </c>
      <c r="Y26" s="22">
        <f>IF($B26="","",$C26+$D26-$X26)</f>
      </c>
      <c r="Z26" s="7">
        <f>IF($B26="","",$Z25+$C26+$D26)</f>
      </c>
      <c r="AA26" s="7">
        <f>IF($B26="","",$AA25+$Y26)</f>
      </c>
      <c r="AB26" s="7">
        <f>IF($B26="","",$AB25+MIN($N26,MAX(0,'How This Works &amp; Sources'!$C$3-($AX26+$AB25-$AW26))))</f>
      </c>
      <c r="AC26" s="7">
        <f>IF($B26="","",$AC25+$E26+$F26)</f>
      </c>
      <c r="AD26" s="3">
        <f>IF($B26="","",IF(AND($AB25&lt;'How This Works &amp; Sources'!$C$3,$AB26&gt;='How This Works &amp; Sources'!$C$3),"★ Social Security maxed on this check — from the next check your net rises by about $"&amp;TEXT(ROUND('How This Works &amp; Sources'!$C$4*$N26,2),"#,##0.00")&amp;". ","")&amp;IF(AND($AC25&lt;'Second Earner'!$C$34,$AC26&gt;='Second Earner'!$C$34),"★ 401(k) reaches the $"&amp;TEXT('Second Earner'!$C$34,"#,##0")&amp;" cap on this check — deferrals stop and net pay rises. ","")&amp;IF(AND($AG25&lt;'How This Works &amp; Sources'!$C$7,$AG26&gt;='How This Works &amp; Sources'!$C$7),"★ Wages pass $200,000 — the 0.9% Additional Medicare Tax starts here. ","")&amp;IF(AND($BJ26&gt;0,$H26&gt;0,$BG25&lt;MIN($BJ26,'How This Works &amp; Sources'!$C$13),$BG25+$H26&gt;=MIN($BJ26,'How This Works &amp; Sources'!$C$13)),"★ Health FSA election is now fully deferred for the year. ",""))</f>
      </c>
      <c r="AE26" s="41" t="n"/>
      <c r="AF26" s="7">
        <f>IF(OR($B26="",$AE26=""),"",$AE26-$Y26)</f>
      </c>
      <c r="AG26" s="7">
        <f>IF($B26="","",$AG25+$N26)</f>
      </c>
      <c r="AH26" s="7">
        <f>IF($B26="","",MAX(0,($M26-$D26)*'Second Earner'!$C$8+$AP26-$AQ26-IF('Second Earner'!$C$13,0,IF('Second Earner'!$C$12="MFJ",'How This Works &amp; Sources'!$C$8,'How This Works &amp; Sources'!$C$9))))</f>
      </c>
      <c r="AI26" s="7">
        <f>IF($B26="","",$O26*'Second Earner'!$C$8)</f>
      </c>
      <c r="AJ26" s="7">
        <f>IF($B26="","",MAX(0,$AI26-VLOOKUP($AN26,StateTables!$A$6:$AB$56,12,FALSE)*$AT26-IF(($AS26+$AT26)&gt;=2,VLOOKUP($AN26,StateTables!$A$6:$AB$56,8,FALSE),VLOOKUP($AN26,StateTables!$A$6:$AB$56,7,FALSE))))</f>
      </c>
      <c r="AK26" s="7">
        <f>IF($B26="","",IFERROR(LOOKUP(2,1/(('Changes — Earner 2'!$C$6:$C$17="Salary change")*('Changes — Earner 2'!$B$6:$B$17&lt;=$B26)*('Changes — Earner 2'!$B$6:$B$17&lt;&gt;"")),'Changes — Earner 2'!$D$6:$D$17),IF('Second Earner'!$C$4="Annual salary",'Second Earner'!$C$5,'Second Earner'!$C$6)))</f>
      </c>
      <c r="AL26">
        <f>IF($B26="","",IFERROR(LOOKUP(2,1/(('Changes — Earner 2'!$C$6:$C$17="401(k) change")*('Changes — Earner 2'!$B$6:$B$17&lt;=$B26)*('Changes — Earner 2'!$B$6:$B$17&lt;&gt;"")),'Changes — Earner 2'!$D$6:$D$17),'Second Earner'!$C$30))</f>
      </c>
      <c r="AM26" s="7">
        <f>IF($B26="","",IFERROR(LOOKUP(2,1/(('Changes — Earner 2'!$C$6:$C$17="401(k) change")*('Changes — Earner 2'!$B$6:$B$17&lt;=$B26)*('Changes — Earner 2'!$B$6:$B$17&lt;&gt;"")),'Changes — Earner 2'!$E$6:$E$17),'Second Earner'!$D$31))</f>
      </c>
      <c r="AN26">
        <f>IF($B26="","",IFERROR(LOOKUP(2,1/(('Changes — Earner 2'!$C$6:$C$17="State move")*('Changes — Earner 2'!$B$6:$B$17&lt;=$B26)*('Changes — Earner 2'!$B$6:$B$17&lt;&gt;"")),'Changes — Earner 2'!$D$6:$D$17),'Second Earner'!$C$21))</f>
      </c>
      <c r="AO26" s="7">
        <f>IF($B26="","",IFERROR(LOOKUP(2,1/(('Changes — Earner 2'!$C$6:$C$17="W-4 change")*('Changes — Earner 2'!$B$6:$B$17&lt;=$B26)*('Changes — Earner 2'!$B$6:$B$17&lt;&gt;"")),'Changes — Earner 2'!$D$6:$D$17),'Second Earner'!$C$14))</f>
      </c>
      <c r="AP26" s="7">
        <f>IF($B26="","",IFERROR(LOOKUP(2,1/(('Changes — Earner 2'!$C$6:$C$17="W-4 change")*('Changes — Earner 2'!$B$6:$B$17&lt;=$B26)*('Changes — Earner 2'!$B$6:$B$17&lt;&gt;"")),'Changes — Earner 2'!$E$6:$E$17),'Second Earner'!$C$15))</f>
      </c>
      <c r="AQ26" s="7">
        <f>IF($B26="","",IFERROR(LOOKUP(2,1/(('Changes — Earner 2'!$C$6:$C$17="W-4 change")*('Changes — Earner 2'!$B$6:$B$17&lt;=$B26)*('Changes — Earner 2'!$B$6:$B$17&lt;&gt;"")),'Changes — Earner 2'!$F$6:$F$17),'Second Earner'!$C$16))</f>
      </c>
      <c r="AR26" s="7">
        <f>IF($B26="","",IFERROR(LOOKUP(2,1/(('Changes — Earner 2'!$C$6:$C$17="W-4 change")*('Changes — Earner 2'!$B$6:$B$17&lt;=$B26)*('Changes — Earner 2'!$B$6:$B$17&lt;&gt;"")),'Changes — Earner 2'!$G$6:$G$17),'Second Earner'!$C$17))</f>
      </c>
      <c r="AS26" s="6">
        <f>IF($B26="","",IFERROR(LOOKUP(2,1/((('Changes — Earner 2'!$C$6:$C$17="State move")+('Changes — Earner 2'!$C$6:$C$17="State cert change"))*('Changes — Earner 2'!$B$6:$B$17&lt;=$B26)*('Changes — Earner 2'!$B$6:$B$17&lt;&gt;"")),'Changes — Earner 2'!$F$6:$F$17),'Second Earner'!$C$23))</f>
      </c>
      <c r="AT26" s="6">
        <f>IF($B26="","",IFERROR(LOOKUP(2,1/((('Changes — Earner 2'!$C$6:$C$17="State move")+('Changes — Earner 2'!$C$6:$C$17="State cert change"))*('Changes — Earner 2'!$B$6:$B$17&lt;=$B26)*('Changes — Earner 2'!$B$6:$B$17&lt;&gt;"")),'Changes — Earner 2'!$G$6:$G$17),'Second Earner'!$C$24))</f>
      </c>
      <c r="AU26">
        <f>IF($B26="","",IFERROR(LOOKUP(2,1/(('Changes — Earner 2'!$C$6:$C$17="State move")*('Changes — Earner 2'!$B$6:$B$17&lt;=$B26)*('Changes — Earner 2'!$B$6:$B$17&lt;&gt;"")),'Changes — Earner 2'!$E$6:$E$17),'Second Earner'!$C$22))</f>
      </c>
      <c r="AV26" s="6">
        <f>IF($B26="","",1+COUNTIFS('Changes — Earner 2'!$C$6:$C$17,"Employer change",'Changes — Earner 2'!$B$6:$B$17,"&lt;="&amp;$B26,'Changes — Earner 2'!$B$6:$B$17,"&lt;&gt;"))</f>
      </c>
      <c r="AW26" s="7">
        <f>IF($B26="","",IF($AV26=1,'Second Earner'!$C$49,IF(IFERROR(MATCH(IFERROR(LOOKUP(2,1/(('Changes — Earner 2'!$C$6:$C$17="Employer change")*('Changes — Earner 2'!$B$6:$B$17&lt;=$B26)*('Changes — Earner 2'!$B$6:$B$17&lt;&gt;"")),'Changes — Earner 2'!$B$6:$B$17),""),$B$6:$B$68,1),1)&lt;=1,'Second Earner'!$C$49,INDEX($AB$6:$AB$68,MATCH(IFERROR(LOOKUP(2,1/(('Changes — Earner 2'!$C$6:$C$17="Employer change")*('Changes — Earner 2'!$B$6:$B$17&lt;=$B26)*('Changes — Earner 2'!$B$6:$B$17&lt;&gt;"")),'Changes — Earner 2'!$B$6:$B$17),""),$B$6:$B$68,1)-1))))</f>
      </c>
      <c r="AX26" s="7">
        <f>IF($B26="","",IF($AV26=1,'Second Earner'!$C$49,IFERROR(LOOKUP(2,1/(('Changes — Earner 2'!$C$6:$C$17="Employer change")*('Changes — Earner 2'!$B$6:$B$17&lt;=$B26)*('Changes — Earner 2'!$B$6:$B$17&lt;&gt;"")),'Changes — Earner 2'!$D$6:$D$17),0)))</f>
      </c>
      <c r="AY26" s="7">
        <f>IF($B26="","",($O26-$D26)*'Second Earner'!$C$8)</f>
      </c>
      <c r="AZ26" s="7">
        <f>IF($B26="","",IF($AN26="AL",MAX(0,$AY26-IF($AU26="Married",IF($AY26&lt;=25999,8500,MAX(5000,8500-175*CEILING(($AY26-25999)/500,1))),IF($AU26="Head of household",IF($AY26&lt;=25999,5200,MAX(2500,5200-135*CEILING(($AY26-25999)/500,1))),IF($AY26&lt;=25999,3000,MAX(2500,3000-25*CEILING(($AY26-25999)/500,1)))))-($P26-'How This Works &amp; Sources'!$C$10*$D26)*'Second Earner'!$C$8-IF(OR($AU26="Married",$AU26="Head of household"),3000,1500)-$AT26*IF($AY26&lt;=50000,1000,IF($AY26&lt;=100000,500,300))),IF($AN26="AR",IF(MAX(0,$AY26-2470)&lt;97701,INT(MAX(0,$AY26-2470)/100)*100+50,MAX(0,$AY26-2470)),IF($AN26="DE",MAX(0,$AI26-3250),IF($AN26="HI",MAX(0,$AI26-1144*$AS26-4350),IF($AN26="KS",MAX(0,$AI26-(9160*IF($AU26="Married",2,1)+2320*$AT26+IF($AU26="Head of household",2320,0))),IF($AN26="MD",MAX(0,$AI26-3400-3200*$AS26),IF($AN26="MN",MAX(0,$AY26-5300*$AS26),IF($AN26="MO",MAX(0,$AI26-IF($AU26="Head of household",24150,IF($AU26="Married",IF('Second Earner'!$C$83,16100,32200),16100))),IF($AN26="MT",$AY26,IF($AN26="ND",($C26+$L26)*'Second Earner'!$C$8,IF($AN26="NE",MAX(0,$AY26-2440*$AS26),IF($AN26="NJ",MAX(0,$AY26-1000*$AS26),IF($AN26="NY",MAX(0,$AY26-(IF($AU26="Married",7950,7400)+1000*$AS26)),IF($AN26="OH",MAX(0,$AY26-650*$AS26),IF($AN26="OK",MAX(0,$AY26-1000*$AS26),IF($AN26="RI",MAX(0,$AI26-1000*$AS26),IF($AN26="SC",MAX(0,$AI26-5000*$AS26-IF($AS26=0,0,MIN(0.1*$AI26,7500))),IF($AN26="VA",MAX(0,$AI26-IF($AU26="Married",17500,8750)-930*$AS26-800*$AT26),IF($AN26="VT",MAX(0,$AI26-5400*$AS26),IF($AN26="WI",MAX(0,$AI26-MAX(0,IF($AU26="Married",9461-0.2*MAX(0,$AI26-25727),6702-0.12*MAX(0,$AI26-17780)))-400*$AS26),IF($AN26="WV",MAX(0,$AI26-2000*$AS26),$AI26))))))))))))))))))))))</f>
      </c>
      <c r="BA26" s="7">
        <f>IF($B26="","",IF($BW26&lt;&gt;"",$BW26,IF($BX26&lt;&gt;"",$BX26,IF($BY26&lt;&gt;"",$BY26,0))))</f>
      </c>
      <c r="BB26" s="7">
        <f>IF($B26="","",IF($AN26="AR",-29*$AS26,IF($AN26="DE",-110*$AS26,IF($AN26="MD",$AZ26*'Second Earner'!$C$74,IF($AN26="AZ",'Second Earner'!$C$82*($M26-$D26)*'Second Earner'!$C$8,IF($AN26="CO",0.044*MAX(0,$AY26-IF($AU26="Married",10000,5000)),IF($AN26="IA",MAX(0,0.038*MAX(0,$AY26-IF($AU26="Head of household",19500,IF($AU26="Married",26000,13000)))-40*$AS26),IF($AN26="ID",0.053*MAX(0,$AY26-IF($AU26="Married",32000,16094)),IF($AN26="IL",0.0495*MAX(0,$AY26-(2925*$AS26+1000*$AT26)),IF($AN26="IN",(0.0295+'Second Earner'!$C$76)*MAX(0,$AY26-(1000*$AS26+1500*$AT26+3000*'Second Earner'!$C$86)),IF($AN26="KY",0.035*MAX(0,$AI26-3360),IF($AN26="LA",IF('Second Earner'!$C$84="0",0.0309*$AI26,0.0309*MAX(0,$AI26-IF('Second Earner'!$C$84="2",25750,12875))),IF($AN26="MA",0.05*MIN(MAX(0,$AY26-MIN(($BD25+$Q26+$R26+$S26),2000)-IF($AS26=0,0,IF($AS26=1,4400,1000*$AS26+3400))),1107750)+0.09*MAX(0,MAX(0,$AY26-MIN(($BD25+$Q26+$R26+$S26),2000)-IF($AS26=0,0,IF($AS26=1,4400,1000*$AS26+3400)))-1107750)-IF($AU26="Head of household",120,0)-110*'Second Earner'!$C$75,IF($AN26="MI",0.0425*MAX(0,$AY26-5900*$AS26),IF($AN26="MS",0.04*MAX(0,$AI26-IF($AU26="Head of household",3400,IF($AU26="Married",4600,2300))-'Second Earner'!$C$85-10000),IF($AN26="OR",IF(OR($AU26="Married",AND($AU26="Single",$AS26&gt;=3)),SUMPRODUCT((MAX(0,$AY26-MIN(($P26-'How This Works &amp; Sources'!$C$10*$D26)*'Second Earner'!$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Sources'!$B$211:$J$214,0,4))*(MAX(0,$AY26-MIN(($P26-'How This Works &amp; Sources'!$C$10*$D26)*'Second Earner'!$C$8,IF(OR($AU26="Married",AND($AU26="Single",$AS26&gt;=3)),IF($AY26&lt;250000,8750,IF($AY26&lt;260000,7000,IF($AY26&lt;270000,5250,IF($AY26&lt;280000,3500,IF($AY26&lt;290000,1750,0))))),IF($AY26&lt;125000,8750,IF($AY26&lt;130000,7000,IF($AY26&lt;135000,5250,IF($AY26&lt;140000,3500,IF($AY26&lt;145000,1750,0)))))))-IF(OR($AU26="Married",AND($AU26="Single",$AS26&gt;=3)),5820,2910))-INDEX('How This Works &amp; Sources'!$B$211:$J$214,0,4))*INDEX('How This Works &amp; Sources'!$B$211:$J$214,0,4+2)),SUMPRODUCT((MAX(0,$AY26-MIN(($P26-'How This Works &amp; Sources'!$C$10*$D26)*'Second Earner'!$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Sources'!$B$211:$J$214,0,1))*(MAX(0,$AY26-MIN(($P26-'How This Works &amp; Sources'!$C$10*$D26)*'Second Earner'!$C$8,IF(OR($AU26="Married",AND($AU26="Single",$AS26&gt;=3)),IF($AY26&lt;250000,8750,IF($AY26&lt;260000,7000,IF($AY26&lt;270000,5250,IF($AY26&lt;280000,3500,IF($AY26&lt;290000,1750,0))))),IF($AY26&lt;125000,8750,IF($AY26&lt;130000,7000,IF($AY26&lt;135000,5250,IF($AY26&lt;140000,3500,IF($AY26&lt;145000,1750,0)))))))-IF(OR($AU26="Married",AND($AU26="Single",$AS26&gt;=3)),5820,2910))-INDEX('How This Works &amp; Sources'!$B$211:$J$214,0,1))*INDEX('How This Works &amp; Sources'!$B$211:$J$214,0,1+2)))+263-263*IF(IF($AU26="Married",$AY26&gt;200000,$AY26&gt;100000),0,$AS26),IF($AN26="PA",0.0307*(($O26+$E26+$G26)*'Second Earner'!$C$8),IF($AN26="NY",IF($AU26="Married",IF($AZ26&gt;=2155350,0,IF($AZ26&gt;=1077550,0.48,IF($AZ26&gt;=373200,1.21,IF($AZ26&gt;=323200,0.21,IF($AZ26&gt;=211550,-0.19,IF($AZ26&gt;=157650,-2.8,IF($AZ26&gt;=107650,-0.8,IF($AZ26&gt;=96800,0.05,IF($AZ26&gt;=80650,-0.1,IF($AZ26&gt;=13900,0.4,IF($AZ26&gt;=11700,-0.3,IF($AZ26&gt;=8500,0.5,0)))))))))))),IF($AZ26&gt;=1077550,0,IF($AZ26&gt;=265400,4.29,IF($AZ26&gt;=215400,2.29,IF($AZ26&gt;=157650,2.29,IF($AZ26&gt;=107650,0.29,IF($AZ26&gt;=96800,0.05,IF($AZ26&gt;=80650,-0.1,IF($AZ26&gt;=13900,0.4,IF($AZ26&gt;=11700,-0.3,IF($AZ26&gt;=8500,0.5,0))))))))))),0))))))))))))))))))</f>
      </c>
      <c r="BC26" s="7">
        <f>IF($B26="","",IF($AN26="AL",0.05*$D26,IF($AN26="AR",0.039*$D26,IF($AN26="ID",0.053*$D26,IF($AN26="IN",(0.0295+'Second Earner'!$C$76)*$D26,IF($AN26="KS",0.05*$D26,IF($AN26="MA",0.09*MIN($D26,MAX(0,MAX(0,$AY26-MIN(($BD25+$Q26+$R26+$S26),2000)-IF($AS26=0,0,IF($AS26=1,4400,1000*$AS26+3400)))+$D26-1107750))+0.05*($D26-MIN($D26,MAX(0,MAX(0,$AY26-MIN(($BD25+$Q26+$R26+$S26),2000)-IF($AS26=0,0,IF($AS26=1,4400,1000*$AS26+3400)))+$D26-1107750))),IF($AN26="MD",(0.065+'Second Earner'!$C$74)*$D26,IF($AN26="MI",0.0425*$D26,IF($AN26="MN",0.0625*$D26,IF($AN26="MO",0.047*$D26,IF($AN26="MT",0.05*$D26,IF($AN26="ND",0.015*$D26,IF($AN26="NE",0.035*$D26,IF($AN26="NJ",IF('Second Earner'!$C$77="B",SUMPRODUCT(($D26*'Second Earner'!$C$8&gt;INDEX('How This Works &amp; Sources'!$B$155:$J$162,0,4))*($D26*'Second Earner'!$C$8-INDEX('How This Works &amp; Sources'!$B$155:$J$162,0,4))*INDEX('How This Works &amp; Sources'!$B$155:$J$162,0,4+2)),IF('Second Earner'!$C$77="C",SUMPRODUCT(($D26*'Second Earner'!$C$8&gt;INDEX('How This Works &amp; Sources'!$B$155:$J$162,0,7))*($D26*'Second Earner'!$C$8-INDEX('How This Works &amp; Sources'!$B$155:$J$162,0,7))*INDEX('How This Works &amp; Sources'!$B$155:$J$162,0,7+2)),IF('Second Earner'!$C$77="D",SUMPRODUCT(($D26*'Second Earner'!$C$8&gt;INDEX('How This Works &amp; Sources'!$B$167:$J$179,0,1))*($D26*'Second Earner'!$C$8-INDEX('How This Works &amp; Sources'!$B$167:$J$179,0,1))*INDEX('How This Works &amp; Sources'!$B$167:$J$179,0,1+2)),IF('Second Earner'!$C$77="E",SUMPRODUCT(($D26*'Second Earner'!$C$8&gt;INDEX('How This Works &amp; Sources'!$B$167:$J$179,0,4))*($D26*'Second Earner'!$C$8-INDEX('How This Works &amp; Sources'!$B$167:$J$179,0,4))*INDEX('How This Works &amp; Sources'!$B$167:$J$179,0,4+2)),SUMPRODUCT(($D26*'Second Earner'!$C$8&gt;INDEX('How This Works &amp; Sources'!$B$155:$J$162,0,1))*($D26*'Second Earner'!$C$8-INDEX('How This Works &amp; Sources'!$B$155:$J$162,0,1))*INDEX('How This Works &amp; Sources'!$B$155:$J$162,0,1+2))))))/'Second Earner'!$C$8,IF($AN26="NY",0.117*$D26,IF($AN26="OH",0.0275*$D26,IF($AN26="OK",0.045*$D26,IF($AN26="OR",0.08*$D26,IF($AN26="WI",IF($AY26&lt;12760,0.0354,IF($AY26&lt;25520,0.0465,IF($AY26&lt;280950,0.053,0.0765)))*$D26,0))))))))))))))))))))</f>
      </c>
      <c r="BD26" s="7">
        <f>IF($B26="","",$BD25+$Q26+$R26+$S26)</f>
      </c>
      <c r="BE26" s="6">
        <f>IF($B26="",$BE25,$BE25+$BF26)</f>
      </c>
      <c r="BF26" s="6">
        <f>IF($B26="","",IF(AND(IF(YEAR(IF('Second Earner'!$C$7="Weekly",'Second Earner'!$C$9+7*(($BE25+1)-1),IF('Second Earner'!$C$7="Biweekly",'Second Earner'!$C$9+14*(($BE25+1)-1),IF('Second Earner'!$C$7="Semimonthly",DATE(YEAR('Second Earner'!$C$9),MONTH('Second Earner'!$C$9)+INT((($BE25+1)-1)/2),MIN(DAY('Second Earner'!$C$9),DAY(EOMONTH(DATE(YEAR('Second Earner'!$C$9),MONTH('Second Earner'!$C$9)+INT((($BE25+1)-1)/2),1),0))))+IF(MOD(($BE25+1)-1,2)=1,15,0),EDATE('Second Earner'!$C$9,($BE25+1)-1)))))&lt;&gt;'Second Earner'!$C$10,"",IF('Second Earner'!$C$7="Weekly",'Second Earner'!$C$9+7*(($BE25+1)-1),IF('Second Earner'!$C$7="Biweekly",'Second Earner'!$C$9+14*(($BE25+1)-1),IF('Second Earner'!$C$7="Semimonthly",DATE(YEAR('Second Earner'!$C$9),MONTH('Second Earner'!$C$9)+INT((($BE25+1)-1)/2),MIN(DAY('Second Earner'!$C$9),DAY(EOMONTH(DATE(YEAR('Second Earner'!$C$9),MONTH('Second Earner'!$C$9)+INT((($BE25+1)-1)/2),1),0))))+IF(MOD(($BE25+1)-1,2)=1,15,0),EDATE('Second Earner'!$C$9,($BE25+1)-1)))))&lt;&gt;"",$B26=IF(YEAR(IF('Second Earner'!$C$7="Weekly",'Second Earner'!$C$9+7*(($BE25+1)-1),IF('Second Earner'!$C$7="Biweekly",'Second Earner'!$C$9+14*(($BE25+1)-1),IF('Second Earner'!$C$7="Semimonthly",DATE(YEAR('Second Earner'!$C$9),MONTH('Second Earner'!$C$9)+INT((($BE25+1)-1)/2),MIN(DAY('Second Earner'!$C$9),DAY(EOMONTH(DATE(YEAR('Second Earner'!$C$9),MONTH('Second Earner'!$C$9)+INT((($BE25+1)-1)/2),1),0))))+IF(MOD(($BE25+1)-1,2)=1,15,0),EDATE('Second Earner'!$C$9,($BE25+1)-1)))))&lt;&gt;'Second Earner'!$C$10,"",IF('Second Earner'!$C$7="Weekly",'Second Earner'!$C$9+7*(($BE25+1)-1),IF('Second Earner'!$C$7="Biweekly",'Second Earner'!$C$9+14*(($BE25+1)-1),IF('Second Earner'!$C$7="Semimonthly",DATE(YEAR('Second Earner'!$C$9),MONTH('Second Earner'!$C$9)+INT((($BE25+1)-1)/2),MIN(DAY('Second Earner'!$C$9),DAY(EOMONTH(DATE(YEAR('Second Earner'!$C$9),MONTH('Second Earner'!$C$9)+INT((($BE25+1)-1)/2),1),0))))+IF(MOD(($BE25+1)-1,2)=1,15,0),EDATE('Second Earner'!$C$9,($BE25+1)-1)))))),1,0))</f>
      </c>
      <c r="BG26" s="7">
        <f>IF($B26="","",$BG25+$H26)</f>
      </c>
      <c r="BH26" s="7">
        <f>IF($B26="","",$BH25+$I26)</f>
      </c>
      <c r="BI26" s="7">
        <f>IF($B26="","",$BI25+$G26)</f>
      </c>
      <c r="BJ26" s="7">
        <f>IF($B26="","",IFERROR(LOOKUP(2,1/(((('Changes — Earner 2'!$C$6:$C$17="Deduction start"))*('Changes — Earner 2'!$D$6:$D$17="Health FSA"))*('Changes — Earner 2'!$B$6:$B$17&lt;=$B26)*('Changes — Earner 2'!$B$6:$B$17&lt;&gt;"")),'Changes — Earner 2'!$E$6:$E$17),'Second Earner'!$D$38))</f>
      </c>
      <c r="BK26" s="7">
        <f>IF($B26="","",IFERROR(LOOKUP(2,1/(((('Changes — Earner 2'!$C$6:$C$17="Deduction start"))*('Changes — Earner 2'!$D$6:$D$17="Dependent-care FSA"))*('Changes — Earner 2'!$B$6:$B$17&lt;=$B26)*('Changes — Earner 2'!$B$6:$B$17&lt;&gt;"")),'Changes — Earner 2'!$E$6:$E$17),'Second Earner'!$D$39))</f>
      </c>
      <c r="BL26" s="7">
        <f>IF($B26="","",IFERROR(LOOKUP(2,1/(((('Changes — Earner 2'!$C$6:$C$17="Deduction start")+('Changes — Earner 2'!$C$6:$C$17="Deduction stop"))*('Changes — Earner 2'!$D$6:$D$17="HSA"))*('Changes — Earner 2'!$B$6:$B$17&lt;=$B26)*('Changes — Earner 2'!$B$6:$B$17&lt;&gt;"")),'Changes — Earner 2'!$I$6:$I$17),'Second Earner'!$D$35))</f>
      </c>
      <c r="BM26" s="7">
        <f>IF($B26="","",IFERROR(LOOKUP(2,1/(((('Changes — Earner 2'!$C$6:$C$17="Deduction start")+('Changes — Earner 2'!$C$6:$C$17="Deduction stop"))*('Changes — Earner 2'!$D$6:$D$17="Premiums"))*('Changes — Earner 2'!$B$6:$B$17&lt;=$B26)*('Changes — Earner 2'!$B$6:$B$17&lt;&gt;"")),'Changes — Earner 2'!$I$6:$I$17),'Second Earner'!$D$40+'Second Earner'!$D$41+'Second Earner'!$D$42))</f>
      </c>
      <c r="BN26" s="7">
        <f>IF($B26="","",IFERROR(LOOKUP(2,1/(((('Changes — Earner 2'!$C$6:$C$17="Deduction start")+('Changes — Earner 2'!$C$6:$C$17="Deduction stop"))*('Changes — Earner 2'!$D$6:$D$17="Commuter"))*('Changes — Earner 2'!$B$6:$B$17&lt;=$B26)*('Changes — Earner 2'!$B$6:$B$17&lt;&gt;"")),'Changes — Earner 2'!$I$6:$I$17),'Second Earner'!$D$43))</f>
      </c>
      <c r="BO26" s="7">
        <f>IF($B26="","",IFERROR(LOOKUP(2,1/(((('Changes — Earner 2'!$C$6:$C$17="Deduction start")+('Changes — Earner 2'!$C$6:$C$17="Deduction stop"))*('Changes — Earner 2'!$D$6:$D$17="Other pre-tax"))*('Changes — Earner 2'!$B$6:$B$17&lt;=$B26)*('Changes — Earner 2'!$B$6:$B$17&lt;&gt;"")),'Changes — Earner 2'!$I$6:$I$17),'Second Earner'!$D$44))</f>
      </c>
      <c r="BP26" s="7">
        <f>IF($B26="","",IFERROR(LOOKUP(2,1/(((('Changes — Earner 2'!$C$6:$C$17="Deduction start")+('Changes — Earner 2'!$C$6:$C$17="Deduction stop"))*('Changes — Earner 2'!$D$6:$D$17="Other post-tax"))*('Changes — Earner 2'!$B$6:$B$17&lt;=$B26)*('Changes — Earner 2'!$B$6:$B$17&lt;&gt;"")),'Changes — Earner 2'!$I$6:$I$17),'Second Earner'!$D$45))</f>
      </c>
      <c r="BQ26" s="6">
        <f>IF($B26="","",IFERROR(LOOKUP(2,1/(((('Changes — Earner 2'!$C$6:$C$17="Deduction start")+('Changes — Earner 2'!$C$6:$C$17="Deduction stop"))*('Changes — Earner 2'!$D$6:$D$17="Health FSA"))*('Changes — Earner 2'!$B$6:$B$17&lt;=$B26)*('Changes — Earner 2'!$B$6:$B$17&lt;&gt;"")),'Changes — Earner 2'!$J$6:$J$17),0))</f>
      </c>
      <c r="BR26" s="6">
        <f>IF($B26="","",IFERROR(LOOKUP(2,1/(((('Changes — Earner 2'!$C$6:$C$17="Deduction start")+('Changes — Earner 2'!$C$6:$C$17="Deduction stop"))*('Changes — Earner 2'!$D$6:$D$17="Dependent-care FSA"))*('Changes — Earner 2'!$B$6:$B$17&lt;=$B26)*('Changes — Earner 2'!$B$6:$B$17&lt;&gt;"")),'Changes — Earner 2'!$J$6:$J$17),0))</f>
      </c>
      <c r="BS26" s="6">
        <f>IF($B26="","",IF(SUMPRODUCT(('Changes — Earner 2'!$C$6:$C$17="Deduction start")*('Changes — Earner 2'!$B$6:$B$17&lt;=$B26)*('Changes — Earner 2'!$B$6:$B$17&lt;&gt;"")*('Changes — Earner 2'!$D$6:$D$17="Health FSA"))&gt;0,1,0))</f>
      </c>
      <c r="BT26" s="6">
        <f>IF($B26="","",IF(SUMPRODUCT(('Changes — Earner 2'!$C$6:$C$17="Deduction start")*('Changes — Earner 2'!$B$6:$B$17&lt;=$B26)*('Changes — Earner 2'!$B$6:$B$17&lt;&gt;"")*('Changes — Earner 2'!$D$6:$D$17="Dependent-care FSA"))&gt;0,1,0))</f>
      </c>
      <c r="BU26" s="24">
        <f>IF($B26="","",IF('Second Earner'!$C$13,SUMPRODUCT(($AH26&gt;=INDEX('How This Works &amp; Sources'!$B$29:$J$36,0,IF('Second Earner'!$C$12="MFJ",1,IF('Second Earner'!$C$12="HoH",7,4))))*INDEX('How This Works &amp; Sources'!$B$29:$J$36,0,IF('Second Earner'!$C$12="MFJ",1,IF('Second Earner'!$C$12="HoH",7,4))+2)),SUMPRODUCT(($AH26&gt;=INDEX('How This Works &amp; Sources'!$B$19:$J$26,0,IF('Second Earner'!$C$12="MFJ",1,IF('Second Earner'!$C$12="HoH",7,4))))*INDEX('How This Works &amp; Sources'!$B$19:$J$26,0,IF('Second Earner'!$C$12="MFJ",1,IF('Second Earner'!$C$12="HoH",7,4))+2))))</f>
      </c>
      <c r="BV26" s="24">
        <f>IF($B26="","",IF($BZ26&lt;&gt;"",$BZ26,IF($CA26&lt;&gt;"",$CA26,IF($CB26&lt;&gt;"",$CB26,IF($CC26&lt;&gt;"",$CC26,0)))))</f>
      </c>
      <c r="BW26" s="7">
        <f>IF($B26="","",IF($AN26="AR",SUMPRODUCT(($AZ26&gt;INDEX('How This Works &amp; Sources'!$B$82:$J$86,0,7))*($AZ26-INDEX('How This Works &amp; Sources'!$B$82:$J$86,0,7))*INDEX('How This Works &amp; Sources'!$B$82:$J$86,0,7+2)),IF($AN26="MD",IF(OR($AU26="Married",$AU26="Head of household"),SUMPRODUCT(($AZ26&gt;INDEX('How This Works &amp; Sources'!$B$114:$J$120,0,1))*($AZ26-INDEX('How This Works &amp; Sources'!$B$114:$J$120,0,1))*INDEX('How This Works &amp; Sources'!$B$114:$J$120,0,1+2)),SUMPRODUCT(($AZ26&gt;INDEX('How This Works &amp; Sources'!$B$103:$J$109,0,7))*($AZ26-INDEX('How This Works &amp; Sources'!$B$103:$J$109,0,7))*INDEX('How This Works &amp; Sources'!$B$103:$J$109,0,7+2))),IF($AN26="MT",IF($AU26="Head of household",SUMPRODUCT(($AZ26&gt;INDEX('How This Works &amp; Sources'!$B$137:$J$139,0,1))*($AZ26-INDEX('How This Works &amp; Sources'!$B$137:$J$139,0,1))*INDEX('How This Works &amp; Sources'!$B$137:$J$139,0,1+2)),IF($AU26="Married",SUMPRODUCT(($AZ26&gt;INDEX('How This Works &amp; Sources'!$B$125:$J$132,0,7))*($AZ26-INDEX('How This Works &amp; Sources'!$B$125:$J$132,0,7))*INDEX('How This Works &amp; Sources'!$B$125:$J$132,0,7+2)),SUMPRODUCT(($AZ26&gt;INDEX('How This Works &amp; Sources'!$B$125:$J$132,0,4))*($AZ26-INDEX('How This Works &amp; Sources'!$B$125:$J$132,0,4))*INDEX('How This Works &amp; Sources'!$B$125:$J$132,0,4+2)))),IF($AN26="ND",IF($AU26="Head of household",SUMPRODUCT(($AZ26&gt;INDEX('How This Works &amp; Sources'!$B$144:$J$150,0,1))*($AZ26-INDEX('How This Works &amp; Sources'!$B$144:$J$150,0,1))*INDEX('How This Works &amp; Sources'!$B$144:$J$150,0,1+2)),IF($AU26="Married",SUMPRODUCT(($AZ26&gt;INDEX('How This Works &amp; Sources'!$B$137:$J$139,0,7))*($AZ26-INDEX('How This Works &amp; Sources'!$B$137:$J$139,0,7))*INDEX('How This Works &amp; Sources'!$B$137:$J$139,0,7+2)),SUMPRODUCT(($AZ26&gt;INDEX('How This Works &amp; Sources'!$B$137:$J$139,0,4))*($AZ26-INDEX('How This Works &amp; Sources'!$B$137:$J$139,0,4))*INDEX('How This Works &amp; Sources'!$B$137:$J$139,0,4+2)))),IF($AN26="NJ",IF('Second Earner'!$C$77="B",SUMPRODUCT(($AZ26&gt;INDEX('How This Works &amp; Sources'!$B$155:$J$162,0,4))*($AZ26-INDEX('How This Works &amp; Sources'!$B$155:$J$162,0,4))*INDEX('How This Works &amp; Sources'!$B$155:$J$162,0,4+2)),IF('Second Earner'!$C$77="C",SUMPRODUCT(($AZ26&gt;INDEX('How This Works &amp; Sources'!$B$155:$J$162,0,7))*($AZ26-INDEX('How This Works &amp; Sources'!$B$155:$J$162,0,7))*INDEX('How This Works &amp; Sources'!$B$155:$J$162,0,7+2)),IF('Second Earner'!$C$77="D",SUMPRODUCT(($AZ26&gt;INDEX('How This Works &amp; Sources'!$B$167:$J$179,0,1))*($AZ26-INDEX('How This Works &amp; Sources'!$B$167:$J$179,0,1))*INDEX('How This Works &amp; Sources'!$B$167:$J$179,0,1+2)),IF('Second Earner'!$C$77="E",SUMPRODUCT(($AZ26&gt;INDEX('How This Works &amp; Sources'!$B$167:$J$179,0,4))*($AZ26-INDEX('How This Works &amp; Sources'!$B$167:$J$179,0,4))*INDEX('How This Works &amp; Sources'!$B$167:$J$179,0,4+2)),SUMPRODUCT(($AZ26&gt;INDEX('How This Works &amp; Sources'!$B$155:$J$162,0,1))*($AZ26-INDEX('How This Works &amp; Sources'!$B$155:$J$162,0,1))*INDEX('How This Works &amp; Sources'!$B$155:$J$162,0,1+2)))))),IF($AN26="NY",IF($AU26="Married",IF($AZ26&gt;=2155350,$AZ26*IF($AZ26&gt;25000000,0.117,IF($AZ26&gt;5000000,0.111,0.1045)),SUMPRODUCT(($AZ26&gt;INDEX('How This Works &amp; Sources'!$B$184:$J$198,0,1))*($AZ26-INDEX('How This Works &amp; Sources'!$B$184:$J$198,0,1))*INDEX('How This Works &amp; Sources'!$B$184:$J$198,0,1+2))),IF($AZ26&gt;=1077550,$AZ26*IF($AZ26&gt;25000000,0.117,IF($AZ26&gt;5000000,0.111,0.1045)),SUMPRODUCT(($AZ26&gt;INDEX('How This Works &amp; Sources'!$B$167:$J$179,0,7))*($AZ26-INDEX('How This Works &amp; Sources'!$B$167:$J$179,0,7))*INDEX('How This Works &amp; Sources'!$B$167:$J$179,0,7+2)))),"")))))))</f>
      </c>
      <c r="BX26" s="7">
        <f>IF($B26="","",IF($AN26="AL",IF(OR($AU26="Married",$AU26="Head of household"),SUMPRODUCT(($AZ26&gt;INDEX('How This Works &amp; Sources'!$B$82:$J$86,0,4))*($AZ26-INDEX('How This Works &amp; Sources'!$B$82:$J$86,0,4))*INDEX('How This Works &amp; Sources'!$B$82:$J$86,0,4+2)),SUMPRODUCT(($AZ26&gt;INDEX('How This Works &amp; Sources'!$B$82:$J$86,0,1))*($AZ26-INDEX('How This Works &amp; Sources'!$B$82:$J$86,0,1))*INDEX('How This Works &amp; Sources'!$B$82:$J$86,0,1+2))),IF($AN26="KS",IF($AU26="Married",SUMPRODUCT(($AZ26&gt;INDEX('How This Works &amp; Sources'!$B$103:$J$109,0,4))*($AZ26-INDEX('How This Works &amp; Sources'!$B$103:$J$109,0,4))*INDEX('How This Works &amp; Sources'!$B$103:$J$109,0,4+2)),SUMPRODUCT(($AZ26&gt;INDEX('How This Works &amp; Sources'!$B$103:$J$109,0,1))*($AZ26-INDEX('How This Works &amp; Sources'!$B$103:$J$109,0,1))*INDEX('How This Works &amp; Sources'!$B$103:$J$109,0,1+2))),IF($AN26="MN",IF($AU26="Married",SUMPRODUCT(($AZ26&gt;INDEX('How This Works &amp; Sources'!$B$114:$J$120,0,7))*($AZ26-INDEX('How This Works &amp; Sources'!$B$114:$J$120,0,7))*INDEX('How This Works &amp; Sources'!$B$114:$J$120,0,7+2)),SUMPRODUCT(($AZ26&gt;INDEX('How This Works &amp; Sources'!$B$114:$J$120,0,4))*($AZ26-INDEX('How This Works &amp; Sources'!$B$114:$J$120,0,4))*INDEX('How This Works &amp; Sources'!$B$114:$J$120,0,4+2))),IF($AN26="MO",SUMPRODUCT(($AZ26&gt;INDEX('How This Works &amp; Sources'!$B$125:$J$132,0,1))*($AZ26-INDEX('How This Works &amp; Sources'!$B$125:$J$132,0,1))*INDEX('How This Works &amp; Sources'!$B$125:$J$132,0,1+2)),IF($AN26="NE",MAX(IF($AU26="Married",SUMPRODUCT(($AZ26&gt;INDEX('How This Works &amp; Sources'!$B$144:$J$150,0,7))*($AZ26-INDEX('How This Works &amp; Sources'!$B$144:$J$150,0,7))*INDEX('How This Works &amp; Sources'!$B$144:$J$150,0,7+2)),SUMPRODUCT(($AZ26&gt;INDEX('How This Works &amp; Sources'!$B$144:$J$150,0,4))*($AZ26-INDEX('How This Works &amp; Sources'!$B$144:$J$150,0,4))*INDEX('How This Works &amp; Sources'!$B$144:$J$150,0,4+2))),0.015*$AZ26),IF($AN26="OH",IF($B26&gt;=DATE(2026,8,1),SUMPRODUCT(($AZ26&gt;INDEX('How This Works &amp; Sources'!$B$203:$J$206,0,1))*($AZ26-INDEX('How This Works &amp; Sources'!$B$203:$J$206,0,1))*INDEX('How This Works &amp; Sources'!$B$203:$J$206,0,1+2)),SUMPRODUCT(($AZ26&gt;INDEX('How This Works &amp; Sources'!$B$184:$J$198,0,7))*($AZ26-INDEX('How This Works &amp; Sources'!$B$184:$J$198,0,7))*INDEX('How This Works &amp; Sources'!$B$184:$J$198,0,7+2))),IF($AN26="OK",IF($AU26="Married",SUMPRODUCT(($AZ26&gt;INDEX('How This Works &amp; Sources'!$B$203:$J$206,0,7))*($AZ26-INDEX('How This Works &amp; Sources'!$B$203:$J$206,0,7))*INDEX('How This Works &amp; Sources'!$B$203:$J$206,0,7+2)),SUMPRODUCT(($AZ26&gt;INDEX('How This Works &amp; Sources'!$B$203:$J$206,0,4))*($AZ26-INDEX('How This Works &amp; Sources'!$B$203:$J$206,0,4))*INDEX('How This Works &amp; Sources'!$B$203:$J$206,0,4+2))),IF($AN26="VT",IF($AU26="Married",SUMPRODUCT(($AZ26&gt;INDEX('How This Works &amp; Sources'!$B$228:$J$232,0,1))*($AZ26-INDEX('How This Works &amp; Sources'!$B$228:$J$232,0,1))*INDEX('How This Works &amp; Sources'!$B$228:$J$232,0,1+2)),SUMPRODUCT(($AZ26&gt;INDEX('How This Works &amp; Sources'!$B$219:$J$223,0,7))*($AZ26-INDEX('How This Works &amp; Sources'!$B$219:$J$223,0,7))*INDEX('How This Works &amp; Sources'!$B$219:$J$223,0,7+2))),IF($AN26="WV",IF($AU26="Married",SUMPRODUCT(($AZ26&gt;INDEX('How This Works &amp; Sources'!$B$237:$J$241,0,7))*($AZ26-INDEX('How This Works &amp; Sources'!$B$237:$J$241,0,7))*INDEX('How This Works &amp; Sources'!$B$237:$J$241,0,7+2)),SUMPRODUCT(($AZ26&gt;INDEX('How This Works &amp; Sources'!$B$228:$J$232,0,7))*($AZ26-INDEX('How This Works &amp; Sources'!$B$228:$J$232,0,7))*INDEX('How This Works &amp; Sources'!$B$228:$J$232,0,7+2))),""))))))))))</f>
      </c>
      <c r="BY26" s="7">
        <f>IF($B26="","",IF($AN26="DE",SUMPRODUCT(($AZ26&gt;INDEX('How This Works &amp; Sources'!$B$91:$J$98,0,1))*($AZ26-INDEX('How This Works &amp; Sources'!$B$91:$J$98,0,1))*INDEX('How This Works &amp; Sources'!$B$91:$J$98,0,1+2)),IF($AN26="HI",IF($AU26="Married",SUMPRODUCT(($AZ26&gt;INDEX('How This Works &amp; Sources'!$B$91:$J$98,0,7))*($AZ26-INDEX('How This Works &amp; Sources'!$B$91:$J$98,0,7))*INDEX('How This Works &amp; Sources'!$B$91:$J$98,0,7+2)),SUMPRODUCT(($AZ26&gt;INDEX('How This Works &amp; Sources'!$B$91:$J$98,0,4))*($AZ26-INDEX('How This Works &amp; Sources'!$B$91:$J$98,0,4))*INDEX('How This Works &amp; Sources'!$B$91:$J$98,0,4+2))),IF($AN26="RI",SUMPRODUCT(($AZ26&gt;INDEX('How This Works &amp; Sources'!$B$211:$J$214,0,7))*($AZ26-INDEX('How This Works &amp; Sources'!$B$211:$J$214,0,7))*INDEX('How This Works &amp; Sources'!$B$211:$J$214,0,7+2)),IF($AN26="SC",SUMPRODUCT(($AZ26&gt;INDEX('How This Works &amp; Sources'!$B$219:$J$223,0,1))*($AZ26-INDEX('How This Works &amp; Sources'!$B$219:$J$223,0,1))*INDEX('How This Works &amp; Sources'!$B$219:$J$223,0,1+2)),IF($AN26="VA",SUMPRODUCT(($AZ26&gt;INDEX('How This Works &amp; Sources'!$B$219:$J$223,0,4))*($AZ26-INDEX('How This Works &amp; Sources'!$B$219:$J$223,0,4))*INDEX('How This Works &amp; Sources'!$B$219:$J$223,0,4+2)),IF($AN26="WI",SUMPRODUCT(($AZ26&gt;INDEX('How This Works &amp; Sources'!$B$228:$J$232,0,4))*($AZ26-INDEX('How This Works &amp; Sources'!$B$228:$J$232,0,4))*INDEX('How This Works &amp; Sources'!$B$228:$J$232,0,4+2)),"")))))))</f>
      </c>
      <c r="BZ26" s="24">
        <f>IF($B26="","",IF($AN26="KS",IF($AU26="Married",SUMPRODUCT(($AZ26&gt;=INDEX('How This Works &amp; Sources'!$B$103:$J$109,0,4))*INDEX('How This Works &amp; Sources'!$B$103:$J$109,0,4+2)),SUMPRODUCT(($AZ26&gt;=INDEX('How This Works &amp; Sources'!$B$103:$J$109,0,1))*INDEX('How This Works &amp; Sources'!$B$103:$J$109,0,1+2))),IF($AN26="MT",IF($AU26="Head of household",SUMPRODUCT(($AZ26&gt;=INDEX('How This Works &amp; Sources'!$B$137:$J$139,0,1))*INDEX('How This Works &amp; Sources'!$B$137:$J$139,0,1+2)),IF($AU26="Married",SUMPRODUCT(($AZ26&gt;=INDEX('How This Works &amp; Sources'!$B$125:$J$132,0,7))*INDEX('How This Works &amp; Sources'!$B$125:$J$132,0,7+2)),SUMPRODUCT(($AZ26&gt;=INDEX('How This Works &amp; Sources'!$B$125:$J$132,0,4))*INDEX('How This Works &amp; Sources'!$B$125:$J$132,0,4+2)))),IF($AN26="OR",IF(OR($AU26="Married",AND($AU26="Single",$AS26&gt;=3)),SUMPRODUCT((MAX(0,$AY26-MIN(($P26-'How This Works &amp; Sources'!$C$10*$D26)*'Second Earner'!$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Sources'!$B$211:$J$214,0,4))*INDEX('How This Works &amp; Sources'!$B$211:$J$214,0,4+2)),SUMPRODUCT((MAX(0,$AY26-MIN(($P26-'How This Works &amp; Sources'!$C$10*$D26)*'Second Earner'!$C$8,IF(OR($AU26="Married",AND($AU26="Single",$AS26&gt;=3)),IF($AY26&lt;250000,8750,IF($AY26&lt;260000,7000,IF($AY26&lt;270000,5250,IF($AY26&lt;280000,3500,IF($AY26&lt;290000,1750,0))))),IF($AY26&lt;125000,8750,IF($AY26&lt;130000,7000,IF($AY26&lt;135000,5250,IF($AY26&lt;140000,3500,IF($AY26&lt;145000,1750,0)))))))-IF(OR($AU26="Married",AND($AU26="Single",$AS26&gt;=3)),5820,2910))&gt;=INDEX('How This Works &amp; Sources'!$B$211:$J$214,0,1))*INDEX('How This Works &amp; Sources'!$B$211:$J$214,0,1+2)))*IF(($P26-'How This Works &amp; Sources'!$C$10*$D26)*'Second Earner'!$C$8&gt;=IF(OR($AU26="Married",AND($AU26="Single",$AS26&gt;=3)),IF($AY26&lt;250000,8750,IF($AY26&lt;260000,7000,IF($AY26&lt;270000,5250,IF($AY26&lt;280000,3500,IF($AY26&lt;290000,1750,0))))),IF($AY26&lt;125000,8750,IF($AY26&lt;130000,7000,IF($AY26&lt;135000,5250,IF($AY26&lt;140000,3500,IF($AY26&lt;145000,1750,0)))))),1,1-IF('Second Earner'!$C$13,SUMPRODUCT(($AH26&gt;=INDEX('How This Works &amp; Sources'!$B$29:$J$36,0,IF('Second Earner'!$C$12="MFJ",1,IF('Second Earner'!$C$12="HoH",7,4))))*INDEX('How This Works &amp; Sources'!$B$29:$J$36,0,IF('Second Earner'!$C$12="MFJ",1,IF('Second Earner'!$C$12="HoH",7,4))+2)),SUMPRODUCT(($AH26&gt;=INDEX('How This Works &amp; Sources'!$B$19:$J$26,0,IF('Second Earner'!$C$12="MFJ",1,IF('Second Earner'!$C$12="HoH",7,4))))*INDEX('How This Works &amp; Sources'!$B$19:$J$26,0,IF('Second Earner'!$C$12="MFJ",1,IF('Second Earner'!$C$12="HoH",7,4))+2)))),""))))</f>
      </c>
      <c r="CA26" s="24">
        <f>IF($B26="","",IF($AN26="CA",SUMPRODUCT(($AJ26&gt;=INDEX('How This Works &amp; Sources'!$B$39:$J$48,0,IF($AU26="Married",4,IF($AU26="Head of household",7,1))))*INDEX('How This Works &amp; Sources'!$B$39:$J$48,0,IF($AU26="Married",4,IF($AU26="Head of household",7,1))+2)),IF($AN26="AL",IF(OR($AU26="Married",$AU26="Head of household"),SUMPRODUCT(($AZ26&gt;=INDEX('How This Works &amp; Sources'!$B$82:$J$86,0,4))*INDEX('How This Works &amp; Sources'!$B$82:$J$86,0,4+2)),SUMPRODUCT(($AZ26&gt;=INDEX('How This Works &amp; Sources'!$B$82:$J$86,0,1))*INDEX('How This Works &amp; Sources'!$B$82:$J$86,0,1+2)))*(1-IF('Second Earner'!$C$13,SUMPRODUCT(($AH26&gt;=INDEX('How This Works &amp; Sources'!$B$29:$J$36,0,IF('Second Earner'!$C$12="MFJ",1,IF('Second Earner'!$C$12="HoH",7,4))))*INDEX('How This Works &amp; Sources'!$B$29:$J$36,0,IF('Second Earner'!$C$12="MFJ",1,IF('Second Earner'!$C$12="HoH",7,4))+2)),SUMPRODUCT(($AH26&gt;=INDEX('How This Works &amp; Sources'!$B$19:$J$26,0,IF('Second Earner'!$C$12="MFJ",1,IF('Second Earner'!$C$12="HoH",7,4))))*INDEX('How This Works &amp; Sources'!$B$19:$J$26,0,IF('Second Earner'!$C$12="MFJ",1,IF('Second Earner'!$C$12="HoH",7,4))+2)))),IF($AN26="ND",IF($AU26="Head of household",SUMPRODUCT(($AZ26&gt;=INDEX('How This Works &amp; Sources'!$B$144:$J$150,0,1))*INDEX('How This Works &amp; Sources'!$B$144:$J$150,0,1+2)),IF($AU26="Married",SUMPRODUCT(($AZ26&gt;=INDEX('How This Works &amp; Sources'!$B$137:$J$139,0,7))*INDEX('How This Works &amp; Sources'!$B$137:$J$139,0,7+2)),SUMPRODUCT(($AZ26&gt;=INDEX('How This Works &amp; Sources'!$B$137:$J$139,0,4))*INDEX('How This Works &amp; Sources'!$B$137:$J$139,0,4+2)))),IF($AN26="NJ",IF('Second Earner'!$C$77="B",SUMPRODUCT(($AZ26&gt;=INDEX('How This Works &amp; Sources'!$B$155:$J$162,0,4))*INDEX('How This Works &amp; Sources'!$B$155:$J$162,0,4+2)),IF('Second Earner'!$C$77="C",SUMPRODUCT(($AZ26&gt;=INDEX('How This Works &amp; Sources'!$B$155:$J$162,0,7))*INDEX('How This Works &amp; Sources'!$B$155:$J$162,0,7+2)),IF('Second Earner'!$C$77="D",SUMPRODUCT(($AZ26&gt;=INDEX('How This Works &amp; Sources'!$B$167:$J$179,0,1))*INDEX('How This Works &amp; Sources'!$B$167:$J$179,0,1+2)),IF('Second Earner'!$C$77="E",SUMPRODUCT(($AZ26&gt;=INDEX('How This Works &amp; Sources'!$B$167:$J$179,0,4))*INDEX('How This Works &amp; Sources'!$B$167:$J$179,0,4+2)),SUMPRODUCT(($AZ26&gt;=INDEX('How This Works &amp; Sources'!$B$155:$J$162,0,1))*INDEX('How This Works &amp; Sources'!$B$155:$J$162,0,1+2)))))),IF($AN26="NY",IF($AU26="Married",IF($AZ26&gt;=2155350,IF($AZ26&gt;25000000,0.117,IF($AZ26&gt;5000000,0.111,0.1045)),SUMPRODUCT(($AZ26&gt;=INDEX('How This Works &amp; Sources'!$B$184:$J$198,0,1))*INDEX('How This Works &amp; Sources'!$B$184:$J$198,0,1+2))),IF($AZ26&gt;=1077550,IF($AZ26&gt;25000000,0.117,IF($AZ26&gt;5000000,0.111,0.1045)),SUMPRODUCT(($AZ26&gt;=INDEX('How This Works &amp; Sources'!$B$167:$J$179,0,7))*INDEX('How This Works &amp; Sources'!$B$167:$J$179,0,7+2)))),IF($AN26="LA",0.0309,"")))))))</f>
      </c>
      <c r="CB26" s="24">
        <f>IF($B26="","",IF($AN26="HI",IF($AU26="Married",SUMPRODUCT(($AZ26&gt;=INDEX('How This Works &amp; Sources'!$B$91:$J$98,0,7))*INDEX('How This Works &amp; Sources'!$B$91:$J$98,0,7+2)),SUMPRODUCT(($AZ26&gt;=INDEX('How This Works &amp; Sources'!$B$91:$J$98,0,4))*INDEX('How This Works &amp; Sources'!$B$91:$J$98,0,4+2))),IF($AN26="MD",IF(OR($AU26="Married",$AU26="Head of household"),SUMPRODUCT(($AZ26&gt;=INDEX('How This Works &amp; Sources'!$B$114:$J$120,0,1))*INDEX('How This Works &amp; Sources'!$B$114:$J$120,0,1+2)),SUMPRODUCT(($AZ26&gt;=INDEX('How This Works &amp; Sources'!$B$103:$J$109,0,7))*INDEX('How This Works &amp; Sources'!$B$103:$J$109,0,7+2)))+'Second Earner'!$C$74,IF($AN26="MN",IF($AU26="Married",SUMPRODUCT(($AZ26&gt;=INDEX('How This Works &amp; Sources'!$B$114:$J$120,0,7))*INDEX('How This Works &amp; Sources'!$B$114:$J$120,0,7+2)),SUMPRODUCT(($AZ26&gt;=INDEX('How This Works &amp; Sources'!$B$114:$J$120,0,4))*INDEX('How This Works &amp; Sources'!$B$114:$J$120,0,4+2))),IF($AN26="MO",SUMPRODUCT(($AZ26&gt;=INDEX('How This Works &amp; Sources'!$B$125:$J$132,0,1))*INDEX('How This Works &amp; Sources'!$B$125:$J$132,0,1+2)),IF($AN26="NE",MAX(IF($AU26="Married",SUMPRODUCT(($AZ26&gt;=INDEX('How This Works &amp; Sources'!$B$144:$J$150,0,7))*INDEX('How This Works &amp; Sources'!$B$144:$J$150,0,7+2)),SUMPRODUCT(($AZ26&gt;=INDEX('How This Works &amp; Sources'!$B$144:$J$150,0,4))*INDEX('How This Works &amp; Sources'!$B$144:$J$150,0,4+2))),0.015),IF($AN26="OH",IF($B26&gt;=DATE(2026,8,1),SUMPRODUCT(($AZ26&gt;=INDEX('How This Works &amp; Sources'!$B$203:$J$206,0,1))*INDEX('How This Works &amp; Sources'!$B$203:$J$206,0,1+2)),SUMPRODUCT(($AZ26&gt;=INDEX('How This Works &amp; Sources'!$B$184:$J$198,0,7))*INDEX('How This Works &amp; Sources'!$B$184:$J$198,0,7+2))),IF($AN26="OK",IF($AU26="Married",SUMPRODUCT(($AZ26&gt;=INDEX('How This Works &amp; Sources'!$B$203:$J$206,0,7))*INDEX('How This Works &amp; Sources'!$B$203:$J$206,0,7+2)),SUMPRODUCT(($AZ26&gt;=INDEX('How This Works &amp; Sources'!$B$203:$J$206,0,4))*INDEX('How This Works &amp; Sources'!$B$203:$J$206,0,4+2))),IF($AN26="RI",SUMPRODUCT(($AZ26&gt;=INDEX('How This Works &amp; Sources'!$B$211:$J$214,0,7))*INDEX('How This Works &amp; Sources'!$B$211:$J$214,0,7+2)),IF($AN26="VT",IF($AU26="Married",SUMPRODUCT(($AZ26&gt;=INDEX('How This Works &amp; Sources'!$B$228:$J$232,0,1))*INDEX('How This Works &amp; Sources'!$B$228:$J$232,0,1+2)),SUMPRODUCT(($AZ26&gt;=INDEX('How This Works &amp; Sources'!$B$219:$J$223,0,7))*INDEX('How This Works &amp; Sources'!$B$219:$J$223,0,7+2))),IF($AN26="WV",IF($AU26="Married",SUMPRODUCT(($AZ26&gt;=INDEX('How This Works &amp; Sources'!$B$237:$J$241,0,7))*INDEX('How This Works &amp; Sources'!$B$237:$J$241,0,7+2)),SUMPRODUCT(($AZ26&gt;=INDEX('How This Works &amp; Sources'!$B$228:$J$232,0,7))*INDEX('How This Works &amp; Sources'!$B$228:$J$232,0,7+2))),IF($AN26="AZ",'Second Earner'!$C$82,IF($AN26="ID",IF($AY26&gt;IF($AU26="Married",32000,16094),0.053,0),"")))))))))))))</f>
      </c>
      <c r="CC26" s="24">
        <f>IF($B26="","",IF($AN26="AR",SUMPRODUCT(($AZ26&gt;=INDEX('How This Works &amp; Sources'!$B$82:$J$86,0,7))*INDEX('How This Works &amp; Sources'!$B$82:$J$86,0,7+2)),IF($AN26="DE",SUMPRODUCT(($AZ26&gt;=INDEX('How This Works &amp; Sources'!$B$91:$J$98,0,1))*INDEX('How This Works &amp; Sources'!$B$91:$J$98,0,1+2)),IF($AN26="SC",SUMPRODUCT(($AZ26&gt;=INDEX('How This Works &amp; Sources'!$B$219:$J$223,0,1))*INDEX('How This Works &amp; Sources'!$B$219:$J$223,0,1+2)),IF($AN26="VA",SUMPRODUCT(($AZ26&gt;=INDEX('How This Works &amp; Sources'!$B$219:$J$223,0,4))*INDEX('How This Works &amp; Sources'!$B$219:$J$223,0,4+2)),IF($AN26="WI",SUMPRODUCT(($AZ26&gt;=INDEX('How This Works &amp; Sources'!$B$228:$J$232,0,4))*INDEX('How This Works &amp; Sources'!$B$228:$J$232,0,4+2)),IF($AN26="CO",IF($AY26&gt;IF($AU26="Married",10000,5000),0.044,0),IF($AN26="IA",IF($AY26&gt;IF($AU26="Head of household",19500,IF($AU26="Married",26000,13000)),0.038,0),IF($AN26="IL",IF($AY26&gt;(2925*$AS26+1000*$AT26),0.0495,0),IF($AN26="IN",(0.0295+'Second Earner'!$C$76),IF($AN26="KY",IF($AI26&gt;3360,0.035,0),IF($AN26="MA",IF(MAX(0,$AY26-MIN(($BD25+$Q26+$R26+$S26),2000)-IF($AS26=0,0,IF($AS26=1,4400,1000*$AS26+3400)))&gt;=1107750,0.09,0.05),IF($AN26="MI",IF($AY26&gt;5900*$AS26,0.0425,0),IF($AN26="MS",IF($AI26-IF($AU26="Head of household",3400,IF($AU26="Married",4600,2300))-'Second Earner'!$C$85&gt;10000,0.04,0),IF($AN26="PA",0.0307,"")))))))))))))))</f>
      </c>
      <c r="CD26" s="21">
        <f>IF(YEAR(IF('Second Earner'!$C$7="Weekly",'Second Earner'!$C$9+7*(($BE25+1)-1),IF('Second Earner'!$C$7="Biweekly",'Second Earner'!$C$9+14*(($BE25+1)-1),IF('Second Earner'!$C$7="Semimonthly",DATE(YEAR('Second Earner'!$C$9),MONTH('Second Earner'!$C$9)+INT((($BE25+1)-1)/2),MIN(DAY('Second Earner'!$C$9),DAY(EOMONTH(DATE(YEAR('Second Earner'!$C$9),MONTH('Second Earner'!$C$9)+INT((($BE25+1)-1)/2),1),0))))+IF(MOD(($BE25+1)-1,2)=1,15,0),EDATE('Second Earner'!$C$9,($BE25+1)-1)))))&lt;&gt;'Second Earner'!$C$10,"",IF('Second Earner'!$C$7="Weekly",'Second Earner'!$C$9+7*(($BE25+1)-1),IF('Second Earner'!$C$7="Biweekly",'Second Earner'!$C$9+14*(($BE25+1)-1),IF('Second Earner'!$C$7="Semimonthly",DATE(YEAR('Second Earner'!$C$9),MONTH('Second Earner'!$C$9)+INT((($BE25+1)-1)/2),MIN(DAY('Second Earner'!$C$9),DAY(EOMONTH(DATE(YEAR('Second Earner'!$C$9),MONTH('Second Earner'!$C$9)+INT((($BE25+1)-1)/2),1),0))))+IF(MOD(($BE25+1)-1,2)=1,15,0),EDATE('Second Earner'!$C$9,($BE25+1)-1)))))</f>
      </c>
      <c r="CE26" s="21">
        <f>IF(MIN(IF(AND('Second Earner'!$C$58&gt;MAX($B$6:$B25),'Second Earner'!$C$58&gt;=DATE('Second Earner'!$C$10,1,1),'Second Earner'!$C$58&lt;=DATE('Second Earner'!$C$10,12,31)),'Second Earner'!$C$58,999999),IF(AND('Second Earner'!$C$59&gt;MAX($B$6:$B25),'Second Earner'!$C$59&gt;=DATE('Second Earner'!$C$10,1,1),'Second Earner'!$C$59&lt;=DATE('Second Earner'!$C$10,12,31)),'Second Earner'!$C$59,999999),IF(AND('Second Earner'!$C$60&gt;MAX($B$6:$B25),'Second Earner'!$C$60&gt;=DATE('Second Earner'!$C$10,1,1),'Second Earner'!$C$60&lt;=DATE('Second Earner'!$C$10,12,31)),'Second Earner'!$C$60,999999),IF(AND('Second Earner'!$C$61&gt;MAX($B$6:$B25),'Second Earner'!$C$61&gt;=DATE('Second Earner'!$C$10,1,1),'Second Earner'!$C$61&lt;=DATE('Second Earner'!$C$10,12,31)),'Second Earner'!$C$61,999999),IF(AND('Second Earner'!$C$62&gt;MAX($B$6:$B25),'Second Earner'!$C$62&gt;=DATE('Second Earner'!$C$10,1,1),'Second Earner'!$C$62&lt;=DATE('Second Earner'!$C$10,12,31)),'Second Earner'!$C$62,999999),IF(AND('Second Earner'!$C$63&gt;MAX($B$6:$B25),'Second Earner'!$C$63&gt;=DATE('Second Earner'!$C$10,1,1),'Second Earner'!$C$63&lt;=DATE('Second Earner'!$C$10,12,31)),'Second Earner'!$C$63,999999),IF(AND('Second Earner'!$C$64&gt;MAX($B$6:$B25),'Second Earner'!$C$64&gt;=DATE('Second Earner'!$C$10,1,1),'Second Earner'!$C$64&lt;=DATE('Second Earner'!$C$10,12,31)),'Second Earner'!$C$64,999999),IF(AND('Second Earner'!$C$65&gt;MAX($B$6:$B25),'Second Earner'!$C$65&gt;=DATE('Second Earner'!$C$10,1,1),'Second Earner'!$C$65&lt;=DATE('Second Earner'!$C$10,12,31)),'Second Earner'!$C$65,999999),IF(AND('Second Earner'!$C$66&gt;MAX($B$6:$B25),'Second Earner'!$C$66&gt;=DATE('Second Earner'!$C$10,1,1),'Second Earner'!$C$66&lt;=DATE('Second Earner'!$C$10,12,31)),'Second Earner'!$C$66,999999),IF(AND('Second Earner'!$C$67&gt;MAX($B$6:$B25),'Second Earner'!$C$67&gt;=DATE('Second Earner'!$C$10,1,1),'Second Earner'!$C$67&lt;=DATE('Second Earner'!$C$10,12,31)),'Second Earner'!$C$67,999999))=999999,"",MIN(IF(AND('Second Earner'!$C$58&gt;MAX($B$6:$B25),'Second Earner'!$C$58&gt;=DATE('Second Earner'!$C$10,1,1),'Second Earner'!$C$58&lt;=DATE('Second Earner'!$C$10,12,31)),'Second Earner'!$C$58,999999),IF(AND('Second Earner'!$C$59&gt;MAX($B$6:$B25),'Second Earner'!$C$59&gt;=DATE('Second Earner'!$C$10,1,1),'Second Earner'!$C$59&lt;=DATE('Second Earner'!$C$10,12,31)),'Second Earner'!$C$59,999999),IF(AND('Second Earner'!$C$60&gt;MAX($B$6:$B25),'Second Earner'!$C$60&gt;=DATE('Second Earner'!$C$10,1,1),'Second Earner'!$C$60&lt;=DATE('Second Earner'!$C$10,12,31)),'Second Earner'!$C$60,999999),IF(AND('Second Earner'!$C$61&gt;MAX($B$6:$B25),'Second Earner'!$C$61&gt;=DATE('Second Earner'!$C$10,1,1),'Second Earner'!$C$61&lt;=DATE('Second Earner'!$C$10,12,31)),'Second Earner'!$C$61,999999),IF(AND('Second Earner'!$C$62&gt;MAX($B$6:$B25),'Second Earner'!$C$62&gt;=DATE('Second Earner'!$C$10,1,1),'Second Earner'!$C$62&lt;=DATE('Second Earner'!$C$10,12,31)),'Second Earner'!$C$62,999999),IF(AND('Second Earner'!$C$63&gt;MAX($B$6:$B25),'Second Earner'!$C$63&gt;=DATE('Second Earner'!$C$10,1,1),'Second Earner'!$C$63&lt;=DATE('Second Earner'!$C$10,12,31)),'Second Earner'!$C$63,999999),IF(AND('Second Earner'!$C$64&gt;MAX($B$6:$B25),'Second Earner'!$C$64&gt;=DATE('Second Earner'!$C$10,1,1),'Second Earner'!$C$64&lt;=DATE('Second Earner'!$C$10,12,31)),'Second Earner'!$C$64,999999),IF(AND('Second Earner'!$C$65&gt;MAX($B$6:$B25),'Second Earner'!$C$65&gt;=DATE('Second Earner'!$C$10,1,1),'Second Earner'!$C$65&lt;=DATE('Second Earner'!$C$10,12,31)),'Second Earner'!$C$65,999999),IF(AND('Second Earner'!$C$66&gt;MAX($B$6:$B25),'Second Earner'!$C$66&gt;=DATE('Second Earner'!$C$10,1,1),'Second Earner'!$C$66&lt;=DATE('Second Earner'!$C$10,12,31)),'Second Earner'!$C$66,999999),IF(AND('Second Earner'!$C$67&gt;MAX($B$6:$B25),'Second Earner'!$C$67&gt;=DATE('Second Earner'!$C$10,1,1),'Second Earner'!$C$67&lt;=DATE('Second Earner'!$C$10,12,31)),'Second Earner'!$C$67,999999)))</f>
      </c>
      <c r="CF26">
        <f>IF($B26="","",IF($D26=0,$Y26,""))</f>
      </c>
    </row>
    <row r="27">
      <c r="A27" t="n">
        <v>22</v>
      </c>
      <c r="B27" s="21">
        <f>IF(AND($CD27="",$CE27=""),"",IF($CE27="",$CD27,IF($CD27="",$CE27,MIN($CD27,$CE27))))</f>
      </c>
      <c r="C27" s="7">
        <f>IF($B27="","",IF($BF27=0,0,IF('Second Earner'!$C$4="Annual salary",ROUND($AK27/IF(AND('Second Earner'!$C$88="Actual paydays",MONTH('Second Earner'!$C$9)=1),MAX(1,MAX($BE$6:$BE$68)),'Second Earner'!$C$8),2),$AK27)))</f>
      </c>
      <c r="D27" s="7">
        <f>IF($B27="","",SUMIF('Second Earner'!$C$58:$C$67,$B27,'Second Earner'!$D$58:$D$67))</f>
      </c>
      <c r="E27" s="7">
        <f>IF($B27="","",ROUND(MAX(0,MIN(IF($AL27="Percent",$AM27*($C27+$D27),$AM27),MAX(0,'Second Earner'!$C$34-$AC26))),2))</f>
      </c>
      <c r="F27" s="7">
        <f>IF($B27="","",ROUND(MAX(0,MIN(IF('Second Earner'!$C$32="Percent",'Second Earner'!$D$32*($C27+$D27),'Second Earner'!$D$32),MAX(0,'Second Earner'!$C$34-$AC26-$E27))),2))</f>
      </c>
      <c r="G27" s="7">
        <f>IF($B27="","",IF($BF27=0,0,ROUND(MAX(0,MIN($BL27,'Second Earner'!$C$37-'Second Earner'!$C$54-$BI26)),2)))</f>
      </c>
      <c r="H27" s="7">
        <f>IF($B27="","",IF(OR($BF27=0,$BQ27=1),0,ROUND(MAX(0,MIN(IF($BS27=1,ROUND(MAX(0,MIN($BJ27,'How This Works &amp; Sources'!$C$13)-$BG26)/MAX(1,MAX($BE$6:$BE$68)-($BE26)),2),ROUND(MIN($BJ27,'How This Works &amp; Sources'!$C$13)/'Second Earner'!$C$8,2)),MIN($BJ27,'How This Works &amp; Sources'!$C$13)-$BG26)),2)))</f>
      </c>
      <c r="I27" s="7">
        <f>IF($B27="","",IF(OR($BF27=0,$BR27=1),0,ROUND(MAX(0,MIN(IF($BT27=1,ROUND(MAX(0,MIN($BK27,IF('Second Earner'!$C$12="MFJ",'How This Works &amp; Sources'!$C$14,'How This Works &amp; Sources'!$C$15))-$BH26)/MAX(1,MAX($BE$6:$BE$68)-($BE26)),2),ROUND(MIN($BK27,IF('Second Earner'!$C$12="MFJ",'How This Works &amp; Sources'!$C$14,'How This Works &amp; Sources'!$C$15))/'Second Earner'!$C$8,2)),MIN($BK27,IF('Second Earner'!$C$12="MFJ",'How This Works &amp; Sources'!$C$14,'How This Works &amp; Sources'!$C$15))-$BH26)),2)))</f>
      </c>
      <c r="J27" s="7">
        <f>IF($B27="","",IF($BF27=0,0,$BM27))</f>
      </c>
      <c r="K27" s="7">
        <f>IF($B27="","",IF($BF27=0,0,$BN27+$BO27))</f>
      </c>
      <c r="L27" s="7">
        <f>IF($B27="","",IF($BF27=0,0,'Second Earner'!$D$46))</f>
      </c>
      <c r="M27" s="7">
        <f>IF($B27="","",$C27+$D27+$L27-$E27-$G27-$H27-$I27-$J27-$K27)</f>
      </c>
      <c r="N27" s="7">
        <f>IF($B27="","",$C27+$D27+$L27-$G27-$H27-$I27-$J27-$K27)</f>
      </c>
      <c r="O27" s="7">
        <f>IF($B27="","",$C27+$D27+$L27-$E27-$H27-$I27-$J27-$K27-IF(OR($AN27="CA",$AN27="NJ"),0,$G27))</f>
      </c>
      <c r="P27" s="7">
        <f>IF($B27="","",IF('Second Earner'!$C$18,0,ROUND(MAX(0,IF('Second Earner'!$C$13,SUMPRODUCT(($AH27&gt;INDEX('How This Works &amp; Sources'!$B$29:$J$36,0,IF('Second Earner'!$C$12="MFJ",1,IF('Second Earner'!$C$12="HoH",7,4))))*($AH27-INDEX('How This Works &amp; Sources'!$B$29:$J$36,0,IF('Second Earner'!$C$12="MFJ",1,IF('Second Earner'!$C$12="HoH",7,4))))*INDEX('How This Works &amp; Sources'!$B$29:$J$36,0,IF('Second Earner'!$C$12="MFJ",1,IF('Second Earner'!$C$12="HoH",7,4))+2)),SUMPRODUCT(($AH27&gt;INDEX('How This Works &amp; Sources'!$B$19:$J$26,0,IF('Second Earner'!$C$12="MFJ",1,IF('Second Earner'!$C$12="HoH",7,4))))*($AH27-INDEX('How This Works &amp; Sources'!$B$19:$J$26,0,IF('Second Earner'!$C$12="MFJ",1,IF('Second Earner'!$C$12="HoH",7,4))))*INDEX('How This Works &amp; Sources'!$B$19:$J$26,0,IF('Second Earner'!$C$12="MFJ",1,IF('Second Earner'!$C$12="HoH",7,4))+2)))/'Second Earner'!$C$8-$AO27/'Second Earner'!$C$8)+$AR27+IF('Second Earner'!$C$89="Aggregate",MAX(0,IF('Second Earner'!$C$13,SUMPRODUCT((($AH27+$D27)&gt;INDEX('How This Works &amp; Sources'!$B$29:$J$36,0,IF('Second Earner'!$C$12="MFJ",1,IF('Second Earner'!$C$12="HoH",7,4))))*(($AH27+$D27)-INDEX('How This Works &amp; Sources'!$B$29:$J$36,0,IF('Second Earner'!$C$12="MFJ",1,IF('Second Earner'!$C$12="HoH",7,4))))*INDEX('How This Works &amp; Sources'!$B$29:$J$36,0,IF('Second Earner'!$C$12="MFJ",1,IF('Second Earner'!$C$12="HoH",7,4))+2)),SUMPRODUCT((($AH27+$D27)&gt;INDEX('How This Works &amp; Sources'!$B$19:$J$26,0,IF('Second Earner'!$C$12="MFJ",1,IF('Second Earner'!$C$12="HoH",7,4))))*(($AH27+$D27)-INDEX('How This Works &amp; Sources'!$B$19:$J$26,0,IF('Second Earner'!$C$12="MFJ",1,IF('Second Earner'!$C$12="HoH",7,4))))*INDEX('How This Works &amp; Sources'!$B$19:$J$26,0,IF('Second Earner'!$C$12="MFJ",1,IF('Second Earner'!$C$12="HoH",7,4))+2)))-IF('Second Earner'!$C$13,SUMPRODUCT(($AH27&gt;INDEX('How This Works &amp; Sources'!$B$29:$J$36,0,IF('Second Earner'!$C$12="MFJ",1,IF('Second Earner'!$C$12="HoH",7,4))))*($AH27-INDEX('How This Works &amp; Sources'!$B$29:$J$36,0,IF('Second Earner'!$C$12="MFJ",1,IF('Second Earner'!$C$12="HoH",7,4))))*INDEX('How This Works &amp; Sources'!$B$29:$J$36,0,IF('Second Earner'!$C$12="MFJ",1,IF('Second Earner'!$C$12="HoH",7,4))+2)),SUMPRODUCT(($AH27&gt;INDEX('How This Works &amp; Sources'!$B$19:$J$26,0,IF('Second Earner'!$C$12="MFJ",1,IF('Second Earner'!$C$12="HoH",7,4))))*($AH27-INDEX('How This Works &amp; Sources'!$B$19:$J$26,0,IF('Second Earner'!$C$12="MFJ",1,IF('Second Earner'!$C$12="HoH",7,4))))*INDEX('How This Works &amp; Sources'!$B$19:$J$26,0,IF('Second Earner'!$C$12="MFJ",1,IF('Second Earner'!$C$12="HoH",7,4))+2)))),'How This Works &amp; Sources'!$C$10*$D27),2)))</f>
      </c>
      <c r="Q27" s="7">
        <f>IF($B27="","",ROUND('How This Works &amp; Sources'!$C$4*MIN($N27,MAX(0,'How This Works &amp; Sources'!$C$3-($AX27+$AB26-$AW27))),2))</f>
      </c>
      <c r="R27" s="7">
        <f>IF($B27="","",ROUND('How This Works &amp; Sources'!$C$5*$N27,2))</f>
      </c>
      <c r="S27" s="7">
        <f>IF($B27="","",ROUND('How This Works &amp; Sources'!$C$6*MAX(0,MIN($N27,$AG26+$N27-'How This Works &amp; Sources'!$C$7)),2))</f>
      </c>
      <c r="T27" s="7">
        <f>IF($B27="","",IF('Second Earner'!$C$26,0,IF($AN27="CA",ROUND(IF($AI27&lt;=IF(($AS27+$AT27)&gt;=2,VLOOKUP($AN27,StateTables!$A$6:$AB$56,10,FALSE),VLOOKUP($AN27,StateTables!$A$6:$AB$56,9,FALSE)),0,MAX(0,SUMPRODUCT(($AJ27&gt;INDEX('How This Works &amp; Sources'!$B$39:$J$48,0,IF($AU27="Married",4,IF($AU27="Head of household",7,1))))*($AJ27-INDEX('How This Works &amp; Sources'!$B$39:$J$48,0,IF($AU27="Married",4,IF($AU27="Head of household",7,1))))*INDEX('How This Works &amp; Sources'!$B$39:$J$48,0,IF($AU27="Married",4,IF($AU27="Head of household",7,1))+2))-VLOOKUP($AN27,StateTables!$A$6:$AB$56,11,FALSE)*$AS27)/'Second Earner'!$C$8)+'Second Earner'!$C$25+VLOOKUP($AN27,StateTables!$A$6:$AB$56,13,FALSE)*$D27,2),IF(VLOOKUP($AN27,StateTables!$A$6:$AB$56,4,FALSE)="None",0,IF(ISNUMBER(SEARCH("MANUAL",VLOOKUP($AN27,StateTables!$A$6:$AB$56,5,FALSE))),'Second Earner'!$C$28,ROUND(MAX(0,$BA27+$BB27)/'Second Earner'!$C$8+'Second Earner'!$C$25+$BC27,2))))))</f>
      </c>
      <c r="U27" s="7">
        <f>IF($B27="","",IF(VLOOKUP($AN27,StateTables!$A$6:$AB$56,24,FALSE)="flatq",IF(OR(MONTH($B27)=1,MONTH($B27)=4,MONTH($B27)=7,MONTH($B27)=10),VLOOKUP($AN27,StateTables!$A$6:$AB$56,25,FALSE),0),IF(VLOOKUP($AN27,StateTables!$A$6:$AB$56,24,FALSE)="dbl",MIN(ROUND(0.005*$N27,2),ROUND(0.6*52/'Second Earner'!$C$8,2)),IF(OR(VLOOKUP($AN27,StateTables!$A$6:$AB$56,15,FALSE)="",VLOOKUP($AN27,StateTables!$A$6:$AB$56,15,FALSE)=0),0,ROUND(VLOOKUP($AN27,StateTables!$A$6:$AB$56,15,FALSE)*IF(OR(VLOOKUP($AN27,StateTables!$A$6:$AB$56,16,FALSE)="",VLOOKUP($AN27,StateTables!$A$6:$AB$56,16,FALSE)=0),$N27,MIN($N27,MAX(0,VLOOKUP($AN27,StateTables!$A$6:$AB$56,16,FALSE)-($AX27+$AB26-$AW27)))),2))))+IF(VLOOKUP($AN27,StateTables!$A$6:$AB$56,27,FALSE)="flatq",IF(OR(MONTH($B27)=1,MONTH($B27)=4,MONTH($B27)=7,MONTH($B27)=10),VLOOKUP($AN27,StateTables!$A$6:$AB$56,28,FALSE),0),IF(VLOOKUP($AN27,StateTables!$A$6:$AB$56,27,FALSE)="dbl",MIN(ROUND(0.005*$N27,2),ROUND(0.6*52/'Second Earner'!$C$8,2)),IF(OR(VLOOKUP($AN27,StateTables!$A$6:$AB$56,18,FALSE)="",VLOOKUP($AN27,StateTables!$A$6:$AB$56,18,FALSE)=0),0,ROUND(VLOOKUP($AN27,StateTables!$A$6:$AB$56,18,FALSE)*IF(OR(VLOOKUP($AN27,StateTables!$A$6:$AB$56,19,FALSE)="",VLOOKUP($AN27,StateTables!$A$6:$AB$56,19,FALSE)=0),$N27,MIN($N27,MAX(0,VLOOKUP($AN27,StateTables!$A$6:$AB$56,19,FALSE)-($AX27+$AB26-$AW27)))),2)))))</f>
      </c>
      <c r="V27" s="7">
        <f>IF($B27="","",IF($AN27="NY",IF('Second Earner'!$C$78,ROUND(SUMPRODUCT((MAX(0,($O27-$D27)*'Second Earner'!$C$8-(IF($AU27="Married",5500,5000)+1000*$AS27))&gt;INDEX('How This Works &amp; Sources'!$B$184:$J$198,0,4))*(MAX(0,($O27-$D27)*'Second Earner'!$C$8-(IF($AU27="Married",5500,5000)+1000*$AS27))-INDEX('How This Works &amp; Sources'!$B$184:$J$198,0,4))*INDEX('How This Works &amp; Sources'!$B$184:$J$198,0,4+2))/'Second Earner'!$C$8+0.0425*$D27,2),0)+IF('Second Earner'!$C$79="Resident",ROUND(0.1675*$T27,2),IF('Second Earner'!$C$79="Nonresident",ROUND(0.005*MAX(0,($O27-$D27)-(IF($AU27="Married",7950,7400)+1000*$AS27)/'Second Earner'!$C$8),2),0)),IF($AN27="PA",IF('Second Earner'!$C$80="None",'Second Earner'!$C$27+ROUND('Second Earner'!$C$81*($C27+$D27),2),ROUND(IF('Second Earner'!$C$80="Resident",IF($B27&lt;DATE(2026,7,1),0.0374,0.03735),IF($B27&lt;DATE(2026,7,1),0.0343,0.03425))*($C27+$D27),2)),IF($BF27=0,ROUND('Second Earner'!$C$81*($C27+$D27),2),'Second Earner'!$C$27+ROUND('Second Earner'!$C$81*($C27+$D27),2)))))</f>
      </c>
      <c r="W27" s="7">
        <f>IF($B27="","",IF($BF27=0,0,$BP27))</f>
      </c>
      <c r="X27" s="7">
        <f>IF($B27="","",SUM($E27:$K27)+$P27+$Q27+$R27+$S27+$T27+$U27+$V27+$W27)</f>
      </c>
      <c r="Y27" s="22">
        <f>IF($B27="","",$C27+$D27-$X27)</f>
      </c>
      <c r="Z27" s="7">
        <f>IF($B27="","",$Z26+$C27+$D27)</f>
      </c>
      <c r="AA27" s="7">
        <f>IF($B27="","",$AA26+$Y27)</f>
      </c>
      <c r="AB27" s="7">
        <f>IF($B27="","",$AB26+MIN($N27,MAX(0,'How This Works &amp; Sources'!$C$3-($AX27+$AB26-$AW27))))</f>
      </c>
      <c r="AC27" s="7">
        <f>IF($B27="","",$AC26+$E27+$F27)</f>
      </c>
      <c r="AD27" s="3">
        <f>IF($B27="","",IF(AND($AB26&lt;'How This Works &amp; Sources'!$C$3,$AB27&gt;='How This Works &amp; Sources'!$C$3),"★ Social Security maxed on this check — from the next check your net rises by about $"&amp;TEXT(ROUND('How This Works &amp; Sources'!$C$4*$N27,2),"#,##0.00")&amp;". ","")&amp;IF(AND($AC26&lt;'Second Earner'!$C$34,$AC27&gt;='Second Earner'!$C$34),"★ 401(k) reaches the $"&amp;TEXT('Second Earner'!$C$34,"#,##0")&amp;" cap on this check — deferrals stop and net pay rises. ","")&amp;IF(AND($AG26&lt;'How This Works &amp; Sources'!$C$7,$AG27&gt;='How This Works &amp; Sources'!$C$7),"★ Wages pass $200,000 — the 0.9% Additional Medicare Tax starts here. ","")&amp;IF(AND($BJ27&gt;0,$H27&gt;0,$BG26&lt;MIN($BJ27,'How This Works &amp; Sources'!$C$13),$BG26+$H27&gt;=MIN($BJ27,'How This Works &amp; Sources'!$C$13)),"★ Health FSA election is now fully deferred for the year. ",""))</f>
      </c>
      <c r="AE27" s="41" t="n"/>
      <c r="AF27" s="7">
        <f>IF(OR($B27="",$AE27=""),"",$AE27-$Y27)</f>
      </c>
      <c r="AG27" s="7">
        <f>IF($B27="","",$AG26+$N27)</f>
      </c>
      <c r="AH27" s="7">
        <f>IF($B27="","",MAX(0,($M27-$D27)*'Second Earner'!$C$8+$AP27-$AQ27-IF('Second Earner'!$C$13,0,IF('Second Earner'!$C$12="MFJ",'How This Works &amp; Sources'!$C$8,'How This Works &amp; Sources'!$C$9))))</f>
      </c>
      <c r="AI27" s="7">
        <f>IF($B27="","",$O27*'Second Earner'!$C$8)</f>
      </c>
      <c r="AJ27" s="7">
        <f>IF($B27="","",MAX(0,$AI27-VLOOKUP($AN27,StateTables!$A$6:$AB$56,12,FALSE)*$AT27-IF(($AS27+$AT27)&gt;=2,VLOOKUP($AN27,StateTables!$A$6:$AB$56,8,FALSE),VLOOKUP($AN27,StateTables!$A$6:$AB$56,7,FALSE))))</f>
      </c>
      <c r="AK27" s="7">
        <f>IF($B27="","",IFERROR(LOOKUP(2,1/(('Changes — Earner 2'!$C$6:$C$17="Salary change")*('Changes — Earner 2'!$B$6:$B$17&lt;=$B27)*('Changes — Earner 2'!$B$6:$B$17&lt;&gt;"")),'Changes — Earner 2'!$D$6:$D$17),IF('Second Earner'!$C$4="Annual salary",'Second Earner'!$C$5,'Second Earner'!$C$6)))</f>
      </c>
      <c r="AL27">
        <f>IF($B27="","",IFERROR(LOOKUP(2,1/(('Changes — Earner 2'!$C$6:$C$17="401(k) change")*('Changes — Earner 2'!$B$6:$B$17&lt;=$B27)*('Changes — Earner 2'!$B$6:$B$17&lt;&gt;"")),'Changes — Earner 2'!$D$6:$D$17),'Second Earner'!$C$30))</f>
      </c>
      <c r="AM27" s="7">
        <f>IF($B27="","",IFERROR(LOOKUP(2,1/(('Changes — Earner 2'!$C$6:$C$17="401(k) change")*('Changes — Earner 2'!$B$6:$B$17&lt;=$B27)*('Changes — Earner 2'!$B$6:$B$17&lt;&gt;"")),'Changes — Earner 2'!$E$6:$E$17),'Second Earner'!$D$31))</f>
      </c>
      <c r="AN27">
        <f>IF($B27="","",IFERROR(LOOKUP(2,1/(('Changes — Earner 2'!$C$6:$C$17="State move")*('Changes — Earner 2'!$B$6:$B$17&lt;=$B27)*('Changes — Earner 2'!$B$6:$B$17&lt;&gt;"")),'Changes — Earner 2'!$D$6:$D$17),'Second Earner'!$C$21))</f>
      </c>
      <c r="AO27" s="7">
        <f>IF($B27="","",IFERROR(LOOKUP(2,1/(('Changes — Earner 2'!$C$6:$C$17="W-4 change")*('Changes — Earner 2'!$B$6:$B$17&lt;=$B27)*('Changes — Earner 2'!$B$6:$B$17&lt;&gt;"")),'Changes — Earner 2'!$D$6:$D$17),'Second Earner'!$C$14))</f>
      </c>
      <c r="AP27" s="7">
        <f>IF($B27="","",IFERROR(LOOKUP(2,1/(('Changes — Earner 2'!$C$6:$C$17="W-4 change")*('Changes — Earner 2'!$B$6:$B$17&lt;=$B27)*('Changes — Earner 2'!$B$6:$B$17&lt;&gt;"")),'Changes — Earner 2'!$E$6:$E$17),'Second Earner'!$C$15))</f>
      </c>
      <c r="AQ27" s="7">
        <f>IF($B27="","",IFERROR(LOOKUP(2,1/(('Changes — Earner 2'!$C$6:$C$17="W-4 change")*('Changes — Earner 2'!$B$6:$B$17&lt;=$B27)*('Changes — Earner 2'!$B$6:$B$17&lt;&gt;"")),'Changes — Earner 2'!$F$6:$F$17),'Second Earner'!$C$16))</f>
      </c>
      <c r="AR27" s="7">
        <f>IF($B27="","",IFERROR(LOOKUP(2,1/(('Changes — Earner 2'!$C$6:$C$17="W-4 change")*('Changes — Earner 2'!$B$6:$B$17&lt;=$B27)*('Changes — Earner 2'!$B$6:$B$17&lt;&gt;"")),'Changes — Earner 2'!$G$6:$G$17),'Second Earner'!$C$17))</f>
      </c>
      <c r="AS27" s="6">
        <f>IF($B27="","",IFERROR(LOOKUP(2,1/((('Changes — Earner 2'!$C$6:$C$17="State move")+('Changes — Earner 2'!$C$6:$C$17="State cert change"))*('Changes — Earner 2'!$B$6:$B$17&lt;=$B27)*('Changes — Earner 2'!$B$6:$B$17&lt;&gt;"")),'Changes — Earner 2'!$F$6:$F$17),'Second Earner'!$C$23))</f>
      </c>
      <c r="AT27" s="6">
        <f>IF($B27="","",IFERROR(LOOKUP(2,1/((('Changes — Earner 2'!$C$6:$C$17="State move")+('Changes — Earner 2'!$C$6:$C$17="State cert change"))*('Changes — Earner 2'!$B$6:$B$17&lt;=$B27)*('Changes — Earner 2'!$B$6:$B$17&lt;&gt;"")),'Changes — Earner 2'!$G$6:$G$17),'Second Earner'!$C$24))</f>
      </c>
      <c r="AU27">
        <f>IF($B27="","",IFERROR(LOOKUP(2,1/(('Changes — Earner 2'!$C$6:$C$17="State move")*('Changes — Earner 2'!$B$6:$B$17&lt;=$B27)*('Changes — Earner 2'!$B$6:$B$17&lt;&gt;"")),'Changes — Earner 2'!$E$6:$E$17),'Second Earner'!$C$22))</f>
      </c>
      <c r="AV27" s="6">
        <f>IF($B27="","",1+COUNTIFS('Changes — Earner 2'!$C$6:$C$17,"Employer change",'Changes — Earner 2'!$B$6:$B$17,"&lt;="&amp;$B27,'Changes — Earner 2'!$B$6:$B$17,"&lt;&gt;"))</f>
      </c>
      <c r="AW27" s="7">
        <f>IF($B27="","",IF($AV27=1,'Second Earner'!$C$49,IF(IFERROR(MATCH(IFERROR(LOOKUP(2,1/(('Changes — Earner 2'!$C$6:$C$17="Employer change")*('Changes — Earner 2'!$B$6:$B$17&lt;=$B27)*('Changes — Earner 2'!$B$6:$B$17&lt;&gt;"")),'Changes — Earner 2'!$B$6:$B$17),""),$B$6:$B$68,1),1)&lt;=1,'Second Earner'!$C$49,INDEX($AB$6:$AB$68,MATCH(IFERROR(LOOKUP(2,1/(('Changes — Earner 2'!$C$6:$C$17="Employer change")*('Changes — Earner 2'!$B$6:$B$17&lt;=$B27)*('Changes — Earner 2'!$B$6:$B$17&lt;&gt;"")),'Changes — Earner 2'!$B$6:$B$17),""),$B$6:$B$68,1)-1))))</f>
      </c>
      <c r="AX27" s="7">
        <f>IF($B27="","",IF($AV27=1,'Second Earner'!$C$49,IFERROR(LOOKUP(2,1/(('Changes — Earner 2'!$C$6:$C$17="Employer change")*('Changes — Earner 2'!$B$6:$B$17&lt;=$B27)*('Changes — Earner 2'!$B$6:$B$17&lt;&gt;"")),'Changes — Earner 2'!$D$6:$D$17),0)))</f>
      </c>
      <c r="AY27" s="7">
        <f>IF($B27="","",($O27-$D27)*'Second Earner'!$C$8)</f>
      </c>
      <c r="AZ27" s="7">
        <f>IF($B27="","",IF($AN27="AL",MAX(0,$AY27-IF($AU27="Married",IF($AY27&lt;=25999,8500,MAX(5000,8500-175*CEILING(($AY27-25999)/500,1))),IF($AU27="Head of household",IF($AY27&lt;=25999,5200,MAX(2500,5200-135*CEILING(($AY27-25999)/500,1))),IF($AY27&lt;=25999,3000,MAX(2500,3000-25*CEILING(($AY27-25999)/500,1)))))-($P27-'How This Works &amp; Sources'!$C$10*$D27)*'Second Earner'!$C$8-IF(OR($AU27="Married",$AU27="Head of household"),3000,1500)-$AT27*IF($AY27&lt;=50000,1000,IF($AY27&lt;=100000,500,300))),IF($AN27="AR",IF(MAX(0,$AY27-2470)&lt;97701,INT(MAX(0,$AY27-2470)/100)*100+50,MAX(0,$AY27-2470)),IF($AN27="DE",MAX(0,$AI27-3250),IF($AN27="HI",MAX(0,$AI27-1144*$AS27-4350),IF($AN27="KS",MAX(0,$AI27-(9160*IF($AU27="Married",2,1)+2320*$AT27+IF($AU27="Head of household",2320,0))),IF($AN27="MD",MAX(0,$AI27-3400-3200*$AS27),IF($AN27="MN",MAX(0,$AY27-5300*$AS27),IF($AN27="MO",MAX(0,$AI27-IF($AU27="Head of household",24150,IF($AU27="Married",IF('Second Earner'!$C$83,16100,32200),16100))),IF($AN27="MT",$AY27,IF($AN27="ND",($C27+$L27)*'Second Earner'!$C$8,IF($AN27="NE",MAX(0,$AY27-2440*$AS27),IF($AN27="NJ",MAX(0,$AY27-1000*$AS27),IF($AN27="NY",MAX(0,$AY27-(IF($AU27="Married",7950,7400)+1000*$AS27)),IF($AN27="OH",MAX(0,$AY27-650*$AS27),IF($AN27="OK",MAX(0,$AY27-1000*$AS27),IF($AN27="RI",MAX(0,$AI27-1000*$AS27),IF($AN27="SC",MAX(0,$AI27-5000*$AS27-IF($AS27=0,0,MIN(0.1*$AI27,7500))),IF($AN27="VA",MAX(0,$AI27-IF($AU27="Married",17500,8750)-930*$AS27-800*$AT27),IF($AN27="VT",MAX(0,$AI27-5400*$AS27),IF($AN27="WI",MAX(0,$AI27-MAX(0,IF($AU27="Married",9461-0.2*MAX(0,$AI27-25727),6702-0.12*MAX(0,$AI27-17780)))-400*$AS27),IF($AN27="WV",MAX(0,$AI27-2000*$AS27),$AI27))))))))))))))))))))))</f>
      </c>
      <c r="BA27" s="7">
        <f>IF($B27="","",IF($BW27&lt;&gt;"",$BW27,IF($BX27&lt;&gt;"",$BX27,IF($BY27&lt;&gt;"",$BY27,0))))</f>
      </c>
      <c r="BB27" s="7">
        <f>IF($B27="","",IF($AN27="AR",-29*$AS27,IF($AN27="DE",-110*$AS27,IF($AN27="MD",$AZ27*'Second Earner'!$C$74,IF($AN27="AZ",'Second Earner'!$C$82*($M27-$D27)*'Second Earner'!$C$8,IF($AN27="CO",0.044*MAX(0,$AY27-IF($AU27="Married",10000,5000)),IF($AN27="IA",MAX(0,0.038*MAX(0,$AY27-IF($AU27="Head of household",19500,IF($AU27="Married",26000,13000)))-40*$AS27),IF($AN27="ID",0.053*MAX(0,$AY27-IF($AU27="Married",32000,16094)),IF($AN27="IL",0.0495*MAX(0,$AY27-(2925*$AS27+1000*$AT27)),IF($AN27="IN",(0.0295+'Second Earner'!$C$76)*MAX(0,$AY27-(1000*$AS27+1500*$AT27+3000*'Second Earner'!$C$86)),IF($AN27="KY",0.035*MAX(0,$AI27-3360),IF($AN27="LA",IF('Second Earner'!$C$84="0",0.0309*$AI27,0.0309*MAX(0,$AI27-IF('Second Earner'!$C$84="2",25750,12875))),IF($AN27="MA",0.05*MIN(MAX(0,$AY27-MIN(($BD26+$Q27+$R27+$S27),2000)-IF($AS27=0,0,IF($AS27=1,4400,1000*$AS27+3400))),1107750)+0.09*MAX(0,MAX(0,$AY27-MIN(($BD26+$Q27+$R27+$S27),2000)-IF($AS27=0,0,IF($AS27=1,4400,1000*$AS27+3400)))-1107750)-IF($AU27="Head of household",120,0)-110*'Second Earner'!$C$75,IF($AN27="MI",0.0425*MAX(0,$AY27-5900*$AS27),IF($AN27="MS",0.04*MAX(0,$AI27-IF($AU27="Head of household",3400,IF($AU27="Married",4600,2300))-'Second Earner'!$C$85-10000),IF($AN27="OR",IF(OR($AU27="Married",AND($AU27="Single",$AS27&gt;=3)),SUMPRODUCT((MAX(0,$AY27-MIN(($P27-'How This Works &amp; Sources'!$C$10*$D27)*'Second Earner'!$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Sources'!$B$211:$J$214,0,4))*(MAX(0,$AY27-MIN(($P27-'How This Works &amp; Sources'!$C$10*$D27)*'Second Earner'!$C$8,IF(OR($AU27="Married",AND($AU27="Single",$AS27&gt;=3)),IF($AY27&lt;250000,8750,IF($AY27&lt;260000,7000,IF($AY27&lt;270000,5250,IF($AY27&lt;280000,3500,IF($AY27&lt;290000,1750,0))))),IF($AY27&lt;125000,8750,IF($AY27&lt;130000,7000,IF($AY27&lt;135000,5250,IF($AY27&lt;140000,3500,IF($AY27&lt;145000,1750,0)))))))-IF(OR($AU27="Married",AND($AU27="Single",$AS27&gt;=3)),5820,2910))-INDEX('How This Works &amp; Sources'!$B$211:$J$214,0,4))*INDEX('How This Works &amp; Sources'!$B$211:$J$214,0,4+2)),SUMPRODUCT((MAX(0,$AY27-MIN(($P27-'How This Works &amp; Sources'!$C$10*$D27)*'Second Earner'!$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Sources'!$B$211:$J$214,0,1))*(MAX(0,$AY27-MIN(($P27-'How This Works &amp; Sources'!$C$10*$D27)*'Second Earner'!$C$8,IF(OR($AU27="Married",AND($AU27="Single",$AS27&gt;=3)),IF($AY27&lt;250000,8750,IF($AY27&lt;260000,7000,IF($AY27&lt;270000,5250,IF($AY27&lt;280000,3500,IF($AY27&lt;290000,1750,0))))),IF($AY27&lt;125000,8750,IF($AY27&lt;130000,7000,IF($AY27&lt;135000,5250,IF($AY27&lt;140000,3500,IF($AY27&lt;145000,1750,0)))))))-IF(OR($AU27="Married",AND($AU27="Single",$AS27&gt;=3)),5820,2910))-INDEX('How This Works &amp; Sources'!$B$211:$J$214,0,1))*INDEX('How This Works &amp; Sources'!$B$211:$J$214,0,1+2)))+263-263*IF(IF($AU27="Married",$AY27&gt;200000,$AY27&gt;100000),0,$AS27),IF($AN27="PA",0.0307*(($O27+$E27+$G27)*'Second Earner'!$C$8),IF($AN27="NY",IF($AU27="Married",IF($AZ27&gt;=2155350,0,IF($AZ27&gt;=1077550,0.48,IF($AZ27&gt;=373200,1.21,IF($AZ27&gt;=323200,0.21,IF($AZ27&gt;=211550,-0.19,IF($AZ27&gt;=157650,-2.8,IF($AZ27&gt;=107650,-0.8,IF($AZ27&gt;=96800,0.05,IF($AZ27&gt;=80650,-0.1,IF($AZ27&gt;=13900,0.4,IF($AZ27&gt;=11700,-0.3,IF($AZ27&gt;=8500,0.5,0)))))))))))),IF($AZ27&gt;=1077550,0,IF($AZ27&gt;=265400,4.29,IF($AZ27&gt;=215400,2.29,IF($AZ27&gt;=157650,2.29,IF($AZ27&gt;=107650,0.29,IF($AZ27&gt;=96800,0.05,IF($AZ27&gt;=80650,-0.1,IF($AZ27&gt;=13900,0.4,IF($AZ27&gt;=11700,-0.3,IF($AZ27&gt;=8500,0.5,0))))))))))),0))))))))))))))))))</f>
      </c>
      <c r="BC27" s="7">
        <f>IF($B27="","",IF($AN27="AL",0.05*$D27,IF($AN27="AR",0.039*$D27,IF($AN27="ID",0.053*$D27,IF($AN27="IN",(0.0295+'Second Earner'!$C$76)*$D27,IF($AN27="KS",0.05*$D27,IF($AN27="MA",0.09*MIN($D27,MAX(0,MAX(0,$AY27-MIN(($BD26+$Q27+$R27+$S27),2000)-IF($AS27=0,0,IF($AS27=1,4400,1000*$AS27+3400)))+$D27-1107750))+0.05*($D27-MIN($D27,MAX(0,MAX(0,$AY27-MIN(($BD26+$Q27+$R27+$S27),2000)-IF($AS27=0,0,IF($AS27=1,4400,1000*$AS27+3400)))+$D27-1107750))),IF($AN27="MD",(0.065+'Second Earner'!$C$74)*$D27,IF($AN27="MI",0.0425*$D27,IF($AN27="MN",0.0625*$D27,IF($AN27="MO",0.047*$D27,IF($AN27="MT",0.05*$D27,IF($AN27="ND",0.015*$D27,IF($AN27="NE",0.035*$D27,IF($AN27="NJ",IF('Second Earner'!$C$77="B",SUMPRODUCT(($D27*'Second Earner'!$C$8&gt;INDEX('How This Works &amp; Sources'!$B$155:$J$162,0,4))*($D27*'Second Earner'!$C$8-INDEX('How This Works &amp; Sources'!$B$155:$J$162,0,4))*INDEX('How This Works &amp; Sources'!$B$155:$J$162,0,4+2)),IF('Second Earner'!$C$77="C",SUMPRODUCT(($D27*'Second Earner'!$C$8&gt;INDEX('How This Works &amp; Sources'!$B$155:$J$162,0,7))*($D27*'Second Earner'!$C$8-INDEX('How This Works &amp; Sources'!$B$155:$J$162,0,7))*INDEX('How This Works &amp; Sources'!$B$155:$J$162,0,7+2)),IF('Second Earner'!$C$77="D",SUMPRODUCT(($D27*'Second Earner'!$C$8&gt;INDEX('How This Works &amp; Sources'!$B$167:$J$179,0,1))*($D27*'Second Earner'!$C$8-INDEX('How This Works &amp; Sources'!$B$167:$J$179,0,1))*INDEX('How This Works &amp; Sources'!$B$167:$J$179,0,1+2)),IF('Second Earner'!$C$77="E",SUMPRODUCT(($D27*'Second Earner'!$C$8&gt;INDEX('How This Works &amp; Sources'!$B$167:$J$179,0,4))*($D27*'Second Earner'!$C$8-INDEX('How This Works &amp; Sources'!$B$167:$J$179,0,4))*INDEX('How This Works &amp; Sources'!$B$167:$J$179,0,4+2)),SUMPRODUCT(($D27*'Second Earner'!$C$8&gt;INDEX('How This Works &amp; Sources'!$B$155:$J$162,0,1))*($D27*'Second Earner'!$C$8-INDEX('How This Works &amp; Sources'!$B$155:$J$162,0,1))*INDEX('How This Works &amp; Sources'!$B$155:$J$162,0,1+2))))))/'Second Earner'!$C$8,IF($AN27="NY",0.117*$D27,IF($AN27="OH",0.0275*$D27,IF($AN27="OK",0.045*$D27,IF($AN27="OR",0.08*$D27,IF($AN27="WI",IF($AY27&lt;12760,0.0354,IF($AY27&lt;25520,0.0465,IF($AY27&lt;280950,0.053,0.0765)))*$D27,0))))))))))))))))))))</f>
      </c>
      <c r="BD27" s="7">
        <f>IF($B27="","",$BD26+$Q27+$R27+$S27)</f>
      </c>
      <c r="BE27" s="6">
        <f>IF($B27="",$BE26,$BE26+$BF27)</f>
      </c>
      <c r="BF27" s="6">
        <f>IF($B27="","",IF(AND(IF(YEAR(IF('Second Earner'!$C$7="Weekly",'Second Earner'!$C$9+7*(($BE26+1)-1),IF('Second Earner'!$C$7="Biweekly",'Second Earner'!$C$9+14*(($BE26+1)-1),IF('Second Earner'!$C$7="Semimonthly",DATE(YEAR('Second Earner'!$C$9),MONTH('Second Earner'!$C$9)+INT((($BE26+1)-1)/2),MIN(DAY('Second Earner'!$C$9),DAY(EOMONTH(DATE(YEAR('Second Earner'!$C$9),MONTH('Second Earner'!$C$9)+INT((($BE26+1)-1)/2),1),0))))+IF(MOD(($BE26+1)-1,2)=1,15,0),EDATE('Second Earner'!$C$9,($BE26+1)-1)))))&lt;&gt;'Second Earner'!$C$10,"",IF('Second Earner'!$C$7="Weekly",'Second Earner'!$C$9+7*(($BE26+1)-1),IF('Second Earner'!$C$7="Biweekly",'Second Earner'!$C$9+14*(($BE26+1)-1),IF('Second Earner'!$C$7="Semimonthly",DATE(YEAR('Second Earner'!$C$9),MONTH('Second Earner'!$C$9)+INT((($BE26+1)-1)/2),MIN(DAY('Second Earner'!$C$9),DAY(EOMONTH(DATE(YEAR('Second Earner'!$C$9),MONTH('Second Earner'!$C$9)+INT((($BE26+1)-1)/2),1),0))))+IF(MOD(($BE26+1)-1,2)=1,15,0),EDATE('Second Earner'!$C$9,($BE26+1)-1)))))&lt;&gt;"",$B27=IF(YEAR(IF('Second Earner'!$C$7="Weekly",'Second Earner'!$C$9+7*(($BE26+1)-1),IF('Second Earner'!$C$7="Biweekly",'Second Earner'!$C$9+14*(($BE26+1)-1),IF('Second Earner'!$C$7="Semimonthly",DATE(YEAR('Second Earner'!$C$9),MONTH('Second Earner'!$C$9)+INT((($BE26+1)-1)/2),MIN(DAY('Second Earner'!$C$9),DAY(EOMONTH(DATE(YEAR('Second Earner'!$C$9),MONTH('Second Earner'!$C$9)+INT((($BE26+1)-1)/2),1),0))))+IF(MOD(($BE26+1)-1,2)=1,15,0),EDATE('Second Earner'!$C$9,($BE26+1)-1)))))&lt;&gt;'Second Earner'!$C$10,"",IF('Second Earner'!$C$7="Weekly",'Second Earner'!$C$9+7*(($BE26+1)-1),IF('Second Earner'!$C$7="Biweekly",'Second Earner'!$C$9+14*(($BE26+1)-1),IF('Second Earner'!$C$7="Semimonthly",DATE(YEAR('Second Earner'!$C$9),MONTH('Second Earner'!$C$9)+INT((($BE26+1)-1)/2),MIN(DAY('Second Earner'!$C$9),DAY(EOMONTH(DATE(YEAR('Second Earner'!$C$9),MONTH('Second Earner'!$C$9)+INT((($BE26+1)-1)/2),1),0))))+IF(MOD(($BE26+1)-1,2)=1,15,0),EDATE('Second Earner'!$C$9,($BE26+1)-1)))))),1,0))</f>
      </c>
      <c r="BG27" s="7">
        <f>IF($B27="","",$BG26+$H27)</f>
      </c>
      <c r="BH27" s="7">
        <f>IF($B27="","",$BH26+$I27)</f>
      </c>
      <c r="BI27" s="7">
        <f>IF($B27="","",$BI26+$G27)</f>
      </c>
      <c r="BJ27" s="7">
        <f>IF($B27="","",IFERROR(LOOKUP(2,1/(((('Changes — Earner 2'!$C$6:$C$17="Deduction start"))*('Changes — Earner 2'!$D$6:$D$17="Health FSA"))*('Changes — Earner 2'!$B$6:$B$17&lt;=$B27)*('Changes — Earner 2'!$B$6:$B$17&lt;&gt;"")),'Changes — Earner 2'!$E$6:$E$17),'Second Earner'!$D$38))</f>
      </c>
      <c r="BK27" s="7">
        <f>IF($B27="","",IFERROR(LOOKUP(2,1/(((('Changes — Earner 2'!$C$6:$C$17="Deduction start"))*('Changes — Earner 2'!$D$6:$D$17="Dependent-care FSA"))*('Changes — Earner 2'!$B$6:$B$17&lt;=$B27)*('Changes — Earner 2'!$B$6:$B$17&lt;&gt;"")),'Changes — Earner 2'!$E$6:$E$17),'Second Earner'!$D$39))</f>
      </c>
      <c r="BL27" s="7">
        <f>IF($B27="","",IFERROR(LOOKUP(2,1/(((('Changes — Earner 2'!$C$6:$C$17="Deduction start")+('Changes — Earner 2'!$C$6:$C$17="Deduction stop"))*('Changes — Earner 2'!$D$6:$D$17="HSA"))*('Changes — Earner 2'!$B$6:$B$17&lt;=$B27)*('Changes — Earner 2'!$B$6:$B$17&lt;&gt;"")),'Changes — Earner 2'!$I$6:$I$17),'Second Earner'!$D$35))</f>
      </c>
      <c r="BM27" s="7">
        <f>IF($B27="","",IFERROR(LOOKUP(2,1/(((('Changes — Earner 2'!$C$6:$C$17="Deduction start")+('Changes — Earner 2'!$C$6:$C$17="Deduction stop"))*('Changes — Earner 2'!$D$6:$D$17="Premiums"))*('Changes — Earner 2'!$B$6:$B$17&lt;=$B27)*('Changes — Earner 2'!$B$6:$B$17&lt;&gt;"")),'Changes — Earner 2'!$I$6:$I$17),'Second Earner'!$D$40+'Second Earner'!$D$41+'Second Earner'!$D$42))</f>
      </c>
      <c r="BN27" s="7">
        <f>IF($B27="","",IFERROR(LOOKUP(2,1/(((('Changes — Earner 2'!$C$6:$C$17="Deduction start")+('Changes — Earner 2'!$C$6:$C$17="Deduction stop"))*('Changes — Earner 2'!$D$6:$D$17="Commuter"))*('Changes — Earner 2'!$B$6:$B$17&lt;=$B27)*('Changes — Earner 2'!$B$6:$B$17&lt;&gt;"")),'Changes — Earner 2'!$I$6:$I$17),'Second Earner'!$D$43))</f>
      </c>
      <c r="BO27" s="7">
        <f>IF($B27="","",IFERROR(LOOKUP(2,1/(((('Changes — Earner 2'!$C$6:$C$17="Deduction start")+('Changes — Earner 2'!$C$6:$C$17="Deduction stop"))*('Changes — Earner 2'!$D$6:$D$17="Other pre-tax"))*('Changes — Earner 2'!$B$6:$B$17&lt;=$B27)*('Changes — Earner 2'!$B$6:$B$17&lt;&gt;"")),'Changes — Earner 2'!$I$6:$I$17),'Second Earner'!$D$44))</f>
      </c>
      <c r="BP27" s="7">
        <f>IF($B27="","",IFERROR(LOOKUP(2,1/(((('Changes — Earner 2'!$C$6:$C$17="Deduction start")+('Changes — Earner 2'!$C$6:$C$17="Deduction stop"))*('Changes — Earner 2'!$D$6:$D$17="Other post-tax"))*('Changes — Earner 2'!$B$6:$B$17&lt;=$B27)*('Changes — Earner 2'!$B$6:$B$17&lt;&gt;"")),'Changes — Earner 2'!$I$6:$I$17),'Second Earner'!$D$45))</f>
      </c>
      <c r="BQ27" s="6">
        <f>IF($B27="","",IFERROR(LOOKUP(2,1/(((('Changes — Earner 2'!$C$6:$C$17="Deduction start")+('Changes — Earner 2'!$C$6:$C$17="Deduction stop"))*('Changes — Earner 2'!$D$6:$D$17="Health FSA"))*('Changes — Earner 2'!$B$6:$B$17&lt;=$B27)*('Changes — Earner 2'!$B$6:$B$17&lt;&gt;"")),'Changes — Earner 2'!$J$6:$J$17),0))</f>
      </c>
      <c r="BR27" s="6">
        <f>IF($B27="","",IFERROR(LOOKUP(2,1/(((('Changes — Earner 2'!$C$6:$C$17="Deduction start")+('Changes — Earner 2'!$C$6:$C$17="Deduction stop"))*('Changes — Earner 2'!$D$6:$D$17="Dependent-care FSA"))*('Changes — Earner 2'!$B$6:$B$17&lt;=$B27)*('Changes — Earner 2'!$B$6:$B$17&lt;&gt;"")),'Changes — Earner 2'!$J$6:$J$17),0))</f>
      </c>
      <c r="BS27" s="6">
        <f>IF($B27="","",IF(SUMPRODUCT(('Changes — Earner 2'!$C$6:$C$17="Deduction start")*('Changes — Earner 2'!$B$6:$B$17&lt;=$B27)*('Changes — Earner 2'!$B$6:$B$17&lt;&gt;"")*('Changes — Earner 2'!$D$6:$D$17="Health FSA"))&gt;0,1,0))</f>
      </c>
      <c r="BT27" s="6">
        <f>IF($B27="","",IF(SUMPRODUCT(('Changes — Earner 2'!$C$6:$C$17="Deduction start")*('Changes — Earner 2'!$B$6:$B$17&lt;=$B27)*('Changes — Earner 2'!$B$6:$B$17&lt;&gt;"")*('Changes — Earner 2'!$D$6:$D$17="Dependent-care FSA"))&gt;0,1,0))</f>
      </c>
      <c r="BU27" s="24">
        <f>IF($B27="","",IF('Second Earner'!$C$13,SUMPRODUCT(($AH27&gt;=INDEX('How This Works &amp; Sources'!$B$29:$J$36,0,IF('Second Earner'!$C$12="MFJ",1,IF('Second Earner'!$C$12="HoH",7,4))))*INDEX('How This Works &amp; Sources'!$B$29:$J$36,0,IF('Second Earner'!$C$12="MFJ",1,IF('Second Earner'!$C$12="HoH",7,4))+2)),SUMPRODUCT(($AH27&gt;=INDEX('How This Works &amp; Sources'!$B$19:$J$26,0,IF('Second Earner'!$C$12="MFJ",1,IF('Second Earner'!$C$12="HoH",7,4))))*INDEX('How This Works &amp; Sources'!$B$19:$J$26,0,IF('Second Earner'!$C$12="MFJ",1,IF('Second Earner'!$C$12="HoH",7,4))+2))))</f>
      </c>
      <c r="BV27" s="24">
        <f>IF($B27="","",IF($BZ27&lt;&gt;"",$BZ27,IF($CA27&lt;&gt;"",$CA27,IF($CB27&lt;&gt;"",$CB27,IF($CC27&lt;&gt;"",$CC27,0)))))</f>
      </c>
      <c r="BW27" s="7">
        <f>IF($B27="","",IF($AN27="AR",SUMPRODUCT(($AZ27&gt;INDEX('How This Works &amp; Sources'!$B$82:$J$86,0,7))*($AZ27-INDEX('How This Works &amp; Sources'!$B$82:$J$86,0,7))*INDEX('How This Works &amp; Sources'!$B$82:$J$86,0,7+2)),IF($AN27="MD",IF(OR($AU27="Married",$AU27="Head of household"),SUMPRODUCT(($AZ27&gt;INDEX('How This Works &amp; Sources'!$B$114:$J$120,0,1))*($AZ27-INDEX('How This Works &amp; Sources'!$B$114:$J$120,0,1))*INDEX('How This Works &amp; Sources'!$B$114:$J$120,0,1+2)),SUMPRODUCT(($AZ27&gt;INDEX('How This Works &amp; Sources'!$B$103:$J$109,0,7))*($AZ27-INDEX('How This Works &amp; Sources'!$B$103:$J$109,0,7))*INDEX('How This Works &amp; Sources'!$B$103:$J$109,0,7+2))),IF($AN27="MT",IF($AU27="Head of household",SUMPRODUCT(($AZ27&gt;INDEX('How This Works &amp; Sources'!$B$137:$J$139,0,1))*($AZ27-INDEX('How This Works &amp; Sources'!$B$137:$J$139,0,1))*INDEX('How This Works &amp; Sources'!$B$137:$J$139,0,1+2)),IF($AU27="Married",SUMPRODUCT(($AZ27&gt;INDEX('How This Works &amp; Sources'!$B$125:$J$132,0,7))*($AZ27-INDEX('How This Works &amp; Sources'!$B$125:$J$132,0,7))*INDEX('How This Works &amp; Sources'!$B$125:$J$132,0,7+2)),SUMPRODUCT(($AZ27&gt;INDEX('How This Works &amp; Sources'!$B$125:$J$132,0,4))*($AZ27-INDEX('How This Works &amp; Sources'!$B$125:$J$132,0,4))*INDEX('How This Works &amp; Sources'!$B$125:$J$132,0,4+2)))),IF($AN27="ND",IF($AU27="Head of household",SUMPRODUCT(($AZ27&gt;INDEX('How This Works &amp; Sources'!$B$144:$J$150,0,1))*($AZ27-INDEX('How This Works &amp; Sources'!$B$144:$J$150,0,1))*INDEX('How This Works &amp; Sources'!$B$144:$J$150,0,1+2)),IF($AU27="Married",SUMPRODUCT(($AZ27&gt;INDEX('How This Works &amp; Sources'!$B$137:$J$139,0,7))*($AZ27-INDEX('How This Works &amp; Sources'!$B$137:$J$139,0,7))*INDEX('How This Works &amp; Sources'!$B$137:$J$139,0,7+2)),SUMPRODUCT(($AZ27&gt;INDEX('How This Works &amp; Sources'!$B$137:$J$139,0,4))*($AZ27-INDEX('How This Works &amp; Sources'!$B$137:$J$139,0,4))*INDEX('How This Works &amp; Sources'!$B$137:$J$139,0,4+2)))),IF($AN27="NJ",IF('Second Earner'!$C$77="B",SUMPRODUCT(($AZ27&gt;INDEX('How This Works &amp; Sources'!$B$155:$J$162,0,4))*($AZ27-INDEX('How This Works &amp; Sources'!$B$155:$J$162,0,4))*INDEX('How This Works &amp; Sources'!$B$155:$J$162,0,4+2)),IF('Second Earner'!$C$77="C",SUMPRODUCT(($AZ27&gt;INDEX('How This Works &amp; Sources'!$B$155:$J$162,0,7))*($AZ27-INDEX('How This Works &amp; Sources'!$B$155:$J$162,0,7))*INDEX('How This Works &amp; Sources'!$B$155:$J$162,0,7+2)),IF('Second Earner'!$C$77="D",SUMPRODUCT(($AZ27&gt;INDEX('How This Works &amp; Sources'!$B$167:$J$179,0,1))*($AZ27-INDEX('How This Works &amp; Sources'!$B$167:$J$179,0,1))*INDEX('How This Works &amp; Sources'!$B$167:$J$179,0,1+2)),IF('Second Earner'!$C$77="E",SUMPRODUCT(($AZ27&gt;INDEX('How This Works &amp; Sources'!$B$167:$J$179,0,4))*($AZ27-INDEX('How This Works &amp; Sources'!$B$167:$J$179,0,4))*INDEX('How This Works &amp; Sources'!$B$167:$J$179,0,4+2)),SUMPRODUCT(($AZ27&gt;INDEX('How This Works &amp; Sources'!$B$155:$J$162,0,1))*($AZ27-INDEX('How This Works &amp; Sources'!$B$155:$J$162,0,1))*INDEX('How This Works &amp; Sources'!$B$155:$J$162,0,1+2)))))),IF($AN27="NY",IF($AU27="Married",IF($AZ27&gt;=2155350,$AZ27*IF($AZ27&gt;25000000,0.117,IF($AZ27&gt;5000000,0.111,0.1045)),SUMPRODUCT(($AZ27&gt;INDEX('How This Works &amp; Sources'!$B$184:$J$198,0,1))*($AZ27-INDEX('How This Works &amp; Sources'!$B$184:$J$198,0,1))*INDEX('How This Works &amp; Sources'!$B$184:$J$198,0,1+2))),IF($AZ27&gt;=1077550,$AZ27*IF($AZ27&gt;25000000,0.117,IF($AZ27&gt;5000000,0.111,0.1045)),SUMPRODUCT(($AZ27&gt;INDEX('How This Works &amp; Sources'!$B$167:$J$179,0,7))*($AZ27-INDEX('How This Works &amp; Sources'!$B$167:$J$179,0,7))*INDEX('How This Works &amp; Sources'!$B$167:$J$179,0,7+2)))),"")))))))</f>
      </c>
      <c r="BX27" s="7">
        <f>IF($B27="","",IF($AN27="AL",IF(OR($AU27="Married",$AU27="Head of household"),SUMPRODUCT(($AZ27&gt;INDEX('How This Works &amp; Sources'!$B$82:$J$86,0,4))*($AZ27-INDEX('How This Works &amp; Sources'!$B$82:$J$86,0,4))*INDEX('How This Works &amp; Sources'!$B$82:$J$86,0,4+2)),SUMPRODUCT(($AZ27&gt;INDEX('How This Works &amp; Sources'!$B$82:$J$86,0,1))*($AZ27-INDEX('How This Works &amp; Sources'!$B$82:$J$86,0,1))*INDEX('How This Works &amp; Sources'!$B$82:$J$86,0,1+2))),IF($AN27="KS",IF($AU27="Married",SUMPRODUCT(($AZ27&gt;INDEX('How This Works &amp; Sources'!$B$103:$J$109,0,4))*($AZ27-INDEX('How This Works &amp; Sources'!$B$103:$J$109,0,4))*INDEX('How This Works &amp; Sources'!$B$103:$J$109,0,4+2)),SUMPRODUCT(($AZ27&gt;INDEX('How This Works &amp; Sources'!$B$103:$J$109,0,1))*($AZ27-INDEX('How This Works &amp; Sources'!$B$103:$J$109,0,1))*INDEX('How This Works &amp; Sources'!$B$103:$J$109,0,1+2))),IF($AN27="MN",IF($AU27="Married",SUMPRODUCT(($AZ27&gt;INDEX('How This Works &amp; Sources'!$B$114:$J$120,0,7))*($AZ27-INDEX('How This Works &amp; Sources'!$B$114:$J$120,0,7))*INDEX('How This Works &amp; Sources'!$B$114:$J$120,0,7+2)),SUMPRODUCT(($AZ27&gt;INDEX('How This Works &amp; Sources'!$B$114:$J$120,0,4))*($AZ27-INDEX('How This Works &amp; Sources'!$B$114:$J$120,0,4))*INDEX('How This Works &amp; Sources'!$B$114:$J$120,0,4+2))),IF($AN27="MO",SUMPRODUCT(($AZ27&gt;INDEX('How This Works &amp; Sources'!$B$125:$J$132,0,1))*($AZ27-INDEX('How This Works &amp; Sources'!$B$125:$J$132,0,1))*INDEX('How This Works &amp; Sources'!$B$125:$J$132,0,1+2)),IF($AN27="NE",MAX(IF($AU27="Married",SUMPRODUCT(($AZ27&gt;INDEX('How This Works &amp; Sources'!$B$144:$J$150,0,7))*($AZ27-INDEX('How This Works &amp; Sources'!$B$144:$J$150,0,7))*INDEX('How This Works &amp; Sources'!$B$144:$J$150,0,7+2)),SUMPRODUCT(($AZ27&gt;INDEX('How This Works &amp; Sources'!$B$144:$J$150,0,4))*($AZ27-INDEX('How This Works &amp; Sources'!$B$144:$J$150,0,4))*INDEX('How This Works &amp; Sources'!$B$144:$J$150,0,4+2))),0.015*$AZ27),IF($AN27="OH",IF($B27&gt;=DATE(2026,8,1),SUMPRODUCT(($AZ27&gt;INDEX('How This Works &amp; Sources'!$B$203:$J$206,0,1))*($AZ27-INDEX('How This Works &amp; Sources'!$B$203:$J$206,0,1))*INDEX('How This Works &amp; Sources'!$B$203:$J$206,0,1+2)),SUMPRODUCT(($AZ27&gt;INDEX('How This Works &amp; Sources'!$B$184:$J$198,0,7))*($AZ27-INDEX('How This Works &amp; Sources'!$B$184:$J$198,0,7))*INDEX('How This Works &amp; Sources'!$B$184:$J$198,0,7+2))),IF($AN27="OK",IF($AU27="Married",SUMPRODUCT(($AZ27&gt;INDEX('How This Works &amp; Sources'!$B$203:$J$206,0,7))*($AZ27-INDEX('How This Works &amp; Sources'!$B$203:$J$206,0,7))*INDEX('How This Works &amp; Sources'!$B$203:$J$206,0,7+2)),SUMPRODUCT(($AZ27&gt;INDEX('How This Works &amp; Sources'!$B$203:$J$206,0,4))*($AZ27-INDEX('How This Works &amp; Sources'!$B$203:$J$206,0,4))*INDEX('How This Works &amp; Sources'!$B$203:$J$206,0,4+2))),IF($AN27="VT",IF($AU27="Married",SUMPRODUCT(($AZ27&gt;INDEX('How This Works &amp; Sources'!$B$228:$J$232,0,1))*($AZ27-INDEX('How This Works &amp; Sources'!$B$228:$J$232,0,1))*INDEX('How This Works &amp; Sources'!$B$228:$J$232,0,1+2)),SUMPRODUCT(($AZ27&gt;INDEX('How This Works &amp; Sources'!$B$219:$J$223,0,7))*($AZ27-INDEX('How This Works &amp; Sources'!$B$219:$J$223,0,7))*INDEX('How This Works &amp; Sources'!$B$219:$J$223,0,7+2))),IF($AN27="WV",IF($AU27="Married",SUMPRODUCT(($AZ27&gt;INDEX('How This Works &amp; Sources'!$B$237:$J$241,0,7))*($AZ27-INDEX('How This Works &amp; Sources'!$B$237:$J$241,0,7))*INDEX('How This Works &amp; Sources'!$B$237:$J$241,0,7+2)),SUMPRODUCT(($AZ27&gt;INDEX('How This Works &amp; Sources'!$B$228:$J$232,0,7))*($AZ27-INDEX('How This Works &amp; Sources'!$B$228:$J$232,0,7))*INDEX('How This Works &amp; Sources'!$B$228:$J$232,0,7+2))),""))))))))))</f>
      </c>
      <c r="BY27" s="7">
        <f>IF($B27="","",IF($AN27="DE",SUMPRODUCT(($AZ27&gt;INDEX('How This Works &amp; Sources'!$B$91:$J$98,0,1))*($AZ27-INDEX('How This Works &amp; Sources'!$B$91:$J$98,0,1))*INDEX('How This Works &amp; Sources'!$B$91:$J$98,0,1+2)),IF($AN27="HI",IF($AU27="Married",SUMPRODUCT(($AZ27&gt;INDEX('How This Works &amp; Sources'!$B$91:$J$98,0,7))*($AZ27-INDEX('How This Works &amp; Sources'!$B$91:$J$98,0,7))*INDEX('How This Works &amp; Sources'!$B$91:$J$98,0,7+2)),SUMPRODUCT(($AZ27&gt;INDEX('How This Works &amp; Sources'!$B$91:$J$98,0,4))*($AZ27-INDEX('How This Works &amp; Sources'!$B$91:$J$98,0,4))*INDEX('How This Works &amp; Sources'!$B$91:$J$98,0,4+2))),IF($AN27="RI",SUMPRODUCT(($AZ27&gt;INDEX('How This Works &amp; Sources'!$B$211:$J$214,0,7))*($AZ27-INDEX('How This Works &amp; Sources'!$B$211:$J$214,0,7))*INDEX('How This Works &amp; Sources'!$B$211:$J$214,0,7+2)),IF($AN27="SC",SUMPRODUCT(($AZ27&gt;INDEX('How This Works &amp; Sources'!$B$219:$J$223,0,1))*($AZ27-INDEX('How This Works &amp; Sources'!$B$219:$J$223,0,1))*INDEX('How This Works &amp; Sources'!$B$219:$J$223,0,1+2)),IF($AN27="VA",SUMPRODUCT(($AZ27&gt;INDEX('How This Works &amp; Sources'!$B$219:$J$223,0,4))*($AZ27-INDEX('How This Works &amp; Sources'!$B$219:$J$223,0,4))*INDEX('How This Works &amp; Sources'!$B$219:$J$223,0,4+2)),IF($AN27="WI",SUMPRODUCT(($AZ27&gt;INDEX('How This Works &amp; Sources'!$B$228:$J$232,0,4))*($AZ27-INDEX('How This Works &amp; Sources'!$B$228:$J$232,0,4))*INDEX('How This Works &amp; Sources'!$B$228:$J$232,0,4+2)),"")))))))</f>
      </c>
      <c r="BZ27" s="24">
        <f>IF($B27="","",IF($AN27="KS",IF($AU27="Married",SUMPRODUCT(($AZ27&gt;=INDEX('How This Works &amp; Sources'!$B$103:$J$109,0,4))*INDEX('How This Works &amp; Sources'!$B$103:$J$109,0,4+2)),SUMPRODUCT(($AZ27&gt;=INDEX('How This Works &amp; Sources'!$B$103:$J$109,0,1))*INDEX('How This Works &amp; Sources'!$B$103:$J$109,0,1+2))),IF($AN27="MT",IF($AU27="Head of household",SUMPRODUCT(($AZ27&gt;=INDEX('How This Works &amp; Sources'!$B$137:$J$139,0,1))*INDEX('How This Works &amp; Sources'!$B$137:$J$139,0,1+2)),IF($AU27="Married",SUMPRODUCT(($AZ27&gt;=INDEX('How This Works &amp; Sources'!$B$125:$J$132,0,7))*INDEX('How This Works &amp; Sources'!$B$125:$J$132,0,7+2)),SUMPRODUCT(($AZ27&gt;=INDEX('How This Works &amp; Sources'!$B$125:$J$132,0,4))*INDEX('How This Works &amp; Sources'!$B$125:$J$132,0,4+2)))),IF($AN27="OR",IF(OR($AU27="Married",AND($AU27="Single",$AS27&gt;=3)),SUMPRODUCT((MAX(0,$AY27-MIN(($P27-'How This Works &amp; Sources'!$C$10*$D27)*'Second Earner'!$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Sources'!$B$211:$J$214,0,4))*INDEX('How This Works &amp; Sources'!$B$211:$J$214,0,4+2)),SUMPRODUCT((MAX(0,$AY27-MIN(($P27-'How This Works &amp; Sources'!$C$10*$D27)*'Second Earner'!$C$8,IF(OR($AU27="Married",AND($AU27="Single",$AS27&gt;=3)),IF($AY27&lt;250000,8750,IF($AY27&lt;260000,7000,IF($AY27&lt;270000,5250,IF($AY27&lt;280000,3500,IF($AY27&lt;290000,1750,0))))),IF($AY27&lt;125000,8750,IF($AY27&lt;130000,7000,IF($AY27&lt;135000,5250,IF($AY27&lt;140000,3500,IF($AY27&lt;145000,1750,0)))))))-IF(OR($AU27="Married",AND($AU27="Single",$AS27&gt;=3)),5820,2910))&gt;=INDEX('How This Works &amp; Sources'!$B$211:$J$214,0,1))*INDEX('How This Works &amp; Sources'!$B$211:$J$214,0,1+2)))*IF(($P27-'How This Works &amp; Sources'!$C$10*$D27)*'Second Earner'!$C$8&gt;=IF(OR($AU27="Married",AND($AU27="Single",$AS27&gt;=3)),IF($AY27&lt;250000,8750,IF($AY27&lt;260000,7000,IF($AY27&lt;270000,5250,IF($AY27&lt;280000,3500,IF($AY27&lt;290000,1750,0))))),IF($AY27&lt;125000,8750,IF($AY27&lt;130000,7000,IF($AY27&lt;135000,5250,IF($AY27&lt;140000,3500,IF($AY27&lt;145000,1750,0)))))),1,1-IF('Second Earner'!$C$13,SUMPRODUCT(($AH27&gt;=INDEX('How This Works &amp; Sources'!$B$29:$J$36,0,IF('Second Earner'!$C$12="MFJ",1,IF('Second Earner'!$C$12="HoH",7,4))))*INDEX('How This Works &amp; Sources'!$B$29:$J$36,0,IF('Second Earner'!$C$12="MFJ",1,IF('Second Earner'!$C$12="HoH",7,4))+2)),SUMPRODUCT(($AH27&gt;=INDEX('How This Works &amp; Sources'!$B$19:$J$26,0,IF('Second Earner'!$C$12="MFJ",1,IF('Second Earner'!$C$12="HoH",7,4))))*INDEX('How This Works &amp; Sources'!$B$19:$J$26,0,IF('Second Earner'!$C$12="MFJ",1,IF('Second Earner'!$C$12="HoH",7,4))+2)))),""))))</f>
      </c>
      <c r="CA27" s="24">
        <f>IF($B27="","",IF($AN27="CA",SUMPRODUCT(($AJ27&gt;=INDEX('How This Works &amp; Sources'!$B$39:$J$48,0,IF($AU27="Married",4,IF($AU27="Head of household",7,1))))*INDEX('How This Works &amp; Sources'!$B$39:$J$48,0,IF($AU27="Married",4,IF($AU27="Head of household",7,1))+2)),IF($AN27="AL",IF(OR($AU27="Married",$AU27="Head of household"),SUMPRODUCT(($AZ27&gt;=INDEX('How This Works &amp; Sources'!$B$82:$J$86,0,4))*INDEX('How This Works &amp; Sources'!$B$82:$J$86,0,4+2)),SUMPRODUCT(($AZ27&gt;=INDEX('How This Works &amp; Sources'!$B$82:$J$86,0,1))*INDEX('How This Works &amp; Sources'!$B$82:$J$86,0,1+2)))*(1-IF('Second Earner'!$C$13,SUMPRODUCT(($AH27&gt;=INDEX('How This Works &amp; Sources'!$B$29:$J$36,0,IF('Second Earner'!$C$12="MFJ",1,IF('Second Earner'!$C$12="HoH",7,4))))*INDEX('How This Works &amp; Sources'!$B$29:$J$36,0,IF('Second Earner'!$C$12="MFJ",1,IF('Second Earner'!$C$12="HoH",7,4))+2)),SUMPRODUCT(($AH27&gt;=INDEX('How This Works &amp; Sources'!$B$19:$J$26,0,IF('Second Earner'!$C$12="MFJ",1,IF('Second Earner'!$C$12="HoH",7,4))))*INDEX('How This Works &amp; Sources'!$B$19:$J$26,0,IF('Second Earner'!$C$12="MFJ",1,IF('Second Earner'!$C$12="HoH",7,4))+2)))),IF($AN27="ND",IF($AU27="Head of household",SUMPRODUCT(($AZ27&gt;=INDEX('How This Works &amp; Sources'!$B$144:$J$150,0,1))*INDEX('How This Works &amp; Sources'!$B$144:$J$150,0,1+2)),IF($AU27="Married",SUMPRODUCT(($AZ27&gt;=INDEX('How This Works &amp; Sources'!$B$137:$J$139,0,7))*INDEX('How This Works &amp; Sources'!$B$137:$J$139,0,7+2)),SUMPRODUCT(($AZ27&gt;=INDEX('How This Works &amp; Sources'!$B$137:$J$139,0,4))*INDEX('How This Works &amp; Sources'!$B$137:$J$139,0,4+2)))),IF($AN27="NJ",IF('Second Earner'!$C$77="B",SUMPRODUCT(($AZ27&gt;=INDEX('How This Works &amp; Sources'!$B$155:$J$162,0,4))*INDEX('How This Works &amp; Sources'!$B$155:$J$162,0,4+2)),IF('Second Earner'!$C$77="C",SUMPRODUCT(($AZ27&gt;=INDEX('How This Works &amp; Sources'!$B$155:$J$162,0,7))*INDEX('How This Works &amp; Sources'!$B$155:$J$162,0,7+2)),IF('Second Earner'!$C$77="D",SUMPRODUCT(($AZ27&gt;=INDEX('How This Works &amp; Sources'!$B$167:$J$179,0,1))*INDEX('How This Works &amp; Sources'!$B$167:$J$179,0,1+2)),IF('Second Earner'!$C$77="E",SUMPRODUCT(($AZ27&gt;=INDEX('How This Works &amp; Sources'!$B$167:$J$179,0,4))*INDEX('How This Works &amp; Sources'!$B$167:$J$179,0,4+2)),SUMPRODUCT(($AZ27&gt;=INDEX('How This Works &amp; Sources'!$B$155:$J$162,0,1))*INDEX('How This Works &amp; Sources'!$B$155:$J$162,0,1+2)))))),IF($AN27="NY",IF($AU27="Married",IF($AZ27&gt;=2155350,IF($AZ27&gt;25000000,0.117,IF($AZ27&gt;5000000,0.111,0.1045)),SUMPRODUCT(($AZ27&gt;=INDEX('How This Works &amp; Sources'!$B$184:$J$198,0,1))*INDEX('How This Works &amp; Sources'!$B$184:$J$198,0,1+2))),IF($AZ27&gt;=1077550,IF($AZ27&gt;25000000,0.117,IF($AZ27&gt;5000000,0.111,0.1045)),SUMPRODUCT(($AZ27&gt;=INDEX('How This Works &amp; Sources'!$B$167:$J$179,0,7))*INDEX('How This Works &amp; Sources'!$B$167:$J$179,0,7+2)))),IF($AN27="LA",0.0309,"")))))))</f>
      </c>
      <c r="CB27" s="24">
        <f>IF($B27="","",IF($AN27="HI",IF($AU27="Married",SUMPRODUCT(($AZ27&gt;=INDEX('How This Works &amp; Sources'!$B$91:$J$98,0,7))*INDEX('How This Works &amp; Sources'!$B$91:$J$98,0,7+2)),SUMPRODUCT(($AZ27&gt;=INDEX('How This Works &amp; Sources'!$B$91:$J$98,0,4))*INDEX('How This Works &amp; Sources'!$B$91:$J$98,0,4+2))),IF($AN27="MD",IF(OR($AU27="Married",$AU27="Head of household"),SUMPRODUCT(($AZ27&gt;=INDEX('How This Works &amp; Sources'!$B$114:$J$120,0,1))*INDEX('How This Works &amp; Sources'!$B$114:$J$120,0,1+2)),SUMPRODUCT(($AZ27&gt;=INDEX('How This Works &amp; Sources'!$B$103:$J$109,0,7))*INDEX('How This Works &amp; Sources'!$B$103:$J$109,0,7+2)))+'Second Earner'!$C$74,IF($AN27="MN",IF($AU27="Married",SUMPRODUCT(($AZ27&gt;=INDEX('How This Works &amp; Sources'!$B$114:$J$120,0,7))*INDEX('How This Works &amp; Sources'!$B$114:$J$120,0,7+2)),SUMPRODUCT(($AZ27&gt;=INDEX('How This Works &amp; Sources'!$B$114:$J$120,0,4))*INDEX('How This Works &amp; Sources'!$B$114:$J$120,0,4+2))),IF($AN27="MO",SUMPRODUCT(($AZ27&gt;=INDEX('How This Works &amp; Sources'!$B$125:$J$132,0,1))*INDEX('How This Works &amp; Sources'!$B$125:$J$132,0,1+2)),IF($AN27="NE",MAX(IF($AU27="Married",SUMPRODUCT(($AZ27&gt;=INDEX('How This Works &amp; Sources'!$B$144:$J$150,0,7))*INDEX('How This Works &amp; Sources'!$B$144:$J$150,0,7+2)),SUMPRODUCT(($AZ27&gt;=INDEX('How This Works &amp; Sources'!$B$144:$J$150,0,4))*INDEX('How This Works &amp; Sources'!$B$144:$J$150,0,4+2))),0.015),IF($AN27="OH",IF($B27&gt;=DATE(2026,8,1),SUMPRODUCT(($AZ27&gt;=INDEX('How This Works &amp; Sources'!$B$203:$J$206,0,1))*INDEX('How This Works &amp; Sources'!$B$203:$J$206,0,1+2)),SUMPRODUCT(($AZ27&gt;=INDEX('How This Works &amp; Sources'!$B$184:$J$198,0,7))*INDEX('How This Works &amp; Sources'!$B$184:$J$198,0,7+2))),IF($AN27="OK",IF($AU27="Married",SUMPRODUCT(($AZ27&gt;=INDEX('How This Works &amp; Sources'!$B$203:$J$206,0,7))*INDEX('How This Works &amp; Sources'!$B$203:$J$206,0,7+2)),SUMPRODUCT(($AZ27&gt;=INDEX('How This Works &amp; Sources'!$B$203:$J$206,0,4))*INDEX('How This Works &amp; Sources'!$B$203:$J$206,0,4+2))),IF($AN27="RI",SUMPRODUCT(($AZ27&gt;=INDEX('How This Works &amp; Sources'!$B$211:$J$214,0,7))*INDEX('How This Works &amp; Sources'!$B$211:$J$214,0,7+2)),IF($AN27="VT",IF($AU27="Married",SUMPRODUCT(($AZ27&gt;=INDEX('How This Works &amp; Sources'!$B$228:$J$232,0,1))*INDEX('How This Works &amp; Sources'!$B$228:$J$232,0,1+2)),SUMPRODUCT(($AZ27&gt;=INDEX('How This Works &amp; Sources'!$B$219:$J$223,0,7))*INDEX('How This Works &amp; Sources'!$B$219:$J$223,0,7+2))),IF($AN27="WV",IF($AU27="Married",SUMPRODUCT(($AZ27&gt;=INDEX('How This Works &amp; Sources'!$B$237:$J$241,0,7))*INDEX('How This Works &amp; Sources'!$B$237:$J$241,0,7+2)),SUMPRODUCT(($AZ27&gt;=INDEX('How This Works &amp; Sources'!$B$228:$J$232,0,7))*INDEX('How This Works &amp; Sources'!$B$228:$J$232,0,7+2))),IF($AN27="AZ",'Second Earner'!$C$82,IF($AN27="ID",IF($AY27&gt;IF($AU27="Married",32000,16094),0.053,0),"")))))))))))))</f>
      </c>
      <c r="CC27" s="24">
        <f>IF($B27="","",IF($AN27="AR",SUMPRODUCT(($AZ27&gt;=INDEX('How This Works &amp; Sources'!$B$82:$J$86,0,7))*INDEX('How This Works &amp; Sources'!$B$82:$J$86,0,7+2)),IF($AN27="DE",SUMPRODUCT(($AZ27&gt;=INDEX('How This Works &amp; Sources'!$B$91:$J$98,0,1))*INDEX('How This Works &amp; Sources'!$B$91:$J$98,0,1+2)),IF($AN27="SC",SUMPRODUCT(($AZ27&gt;=INDEX('How This Works &amp; Sources'!$B$219:$J$223,0,1))*INDEX('How This Works &amp; Sources'!$B$219:$J$223,0,1+2)),IF($AN27="VA",SUMPRODUCT(($AZ27&gt;=INDEX('How This Works &amp; Sources'!$B$219:$J$223,0,4))*INDEX('How This Works &amp; Sources'!$B$219:$J$223,0,4+2)),IF($AN27="WI",SUMPRODUCT(($AZ27&gt;=INDEX('How This Works &amp; Sources'!$B$228:$J$232,0,4))*INDEX('How This Works &amp; Sources'!$B$228:$J$232,0,4+2)),IF($AN27="CO",IF($AY27&gt;IF($AU27="Married",10000,5000),0.044,0),IF($AN27="IA",IF($AY27&gt;IF($AU27="Head of household",19500,IF($AU27="Married",26000,13000)),0.038,0),IF($AN27="IL",IF($AY27&gt;(2925*$AS27+1000*$AT27),0.0495,0),IF($AN27="IN",(0.0295+'Second Earner'!$C$76),IF($AN27="KY",IF($AI27&gt;3360,0.035,0),IF($AN27="MA",IF(MAX(0,$AY27-MIN(($BD26+$Q27+$R27+$S27),2000)-IF($AS27=0,0,IF($AS27=1,4400,1000*$AS27+3400)))&gt;=1107750,0.09,0.05),IF($AN27="MI",IF($AY27&gt;5900*$AS27,0.0425,0),IF($AN27="MS",IF($AI27-IF($AU27="Head of household",3400,IF($AU27="Married",4600,2300))-'Second Earner'!$C$85&gt;10000,0.04,0),IF($AN27="PA",0.0307,"")))))))))))))))</f>
      </c>
      <c r="CD27" s="21">
        <f>IF(YEAR(IF('Second Earner'!$C$7="Weekly",'Second Earner'!$C$9+7*(($BE26+1)-1),IF('Second Earner'!$C$7="Biweekly",'Second Earner'!$C$9+14*(($BE26+1)-1),IF('Second Earner'!$C$7="Semimonthly",DATE(YEAR('Second Earner'!$C$9),MONTH('Second Earner'!$C$9)+INT((($BE26+1)-1)/2),MIN(DAY('Second Earner'!$C$9),DAY(EOMONTH(DATE(YEAR('Second Earner'!$C$9),MONTH('Second Earner'!$C$9)+INT((($BE26+1)-1)/2),1),0))))+IF(MOD(($BE26+1)-1,2)=1,15,0),EDATE('Second Earner'!$C$9,($BE26+1)-1)))))&lt;&gt;'Second Earner'!$C$10,"",IF('Second Earner'!$C$7="Weekly",'Second Earner'!$C$9+7*(($BE26+1)-1),IF('Second Earner'!$C$7="Biweekly",'Second Earner'!$C$9+14*(($BE26+1)-1),IF('Second Earner'!$C$7="Semimonthly",DATE(YEAR('Second Earner'!$C$9),MONTH('Second Earner'!$C$9)+INT((($BE26+1)-1)/2),MIN(DAY('Second Earner'!$C$9),DAY(EOMONTH(DATE(YEAR('Second Earner'!$C$9),MONTH('Second Earner'!$C$9)+INT((($BE26+1)-1)/2),1),0))))+IF(MOD(($BE26+1)-1,2)=1,15,0),EDATE('Second Earner'!$C$9,($BE26+1)-1)))))</f>
      </c>
      <c r="CE27" s="21">
        <f>IF(MIN(IF(AND('Second Earner'!$C$58&gt;MAX($B$6:$B26),'Second Earner'!$C$58&gt;=DATE('Second Earner'!$C$10,1,1),'Second Earner'!$C$58&lt;=DATE('Second Earner'!$C$10,12,31)),'Second Earner'!$C$58,999999),IF(AND('Second Earner'!$C$59&gt;MAX($B$6:$B26),'Second Earner'!$C$59&gt;=DATE('Second Earner'!$C$10,1,1),'Second Earner'!$C$59&lt;=DATE('Second Earner'!$C$10,12,31)),'Second Earner'!$C$59,999999),IF(AND('Second Earner'!$C$60&gt;MAX($B$6:$B26),'Second Earner'!$C$60&gt;=DATE('Second Earner'!$C$10,1,1),'Second Earner'!$C$60&lt;=DATE('Second Earner'!$C$10,12,31)),'Second Earner'!$C$60,999999),IF(AND('Second Earner'!$C$61&gt;MAX($B$6:$B26),'Second Earner'!$C$61&gt;=DATE('Second Earner'!$C$10,1,1),'Second Earner'!$C$61&lt;=DATE('Second Earner'!$C$10,12,31)),'Second Earner'!$C$61,999999),IF(AND('Second Earner'!$C$62&gt;MAX($B$6:$B26),'Second Earner'!$C$62&gt;=DATE('Second Earner'!$C$10,1,1),'Second Earner'!$C$62&lt;=DATE('Second Earner'!$C$10,12,31)),'Second Earner'!$C$62,999999),IF(AND('Second Earner'!$C$63&gt;MAX($B$6:$B26),'Second Earner'!$C$63&gt;=DATE('Second Earner'!$C$10,1,1),'Second Earner'!$C$63&lt;=DATE('Second Earner'!$C$10,12,31)),'Second Earner'!$C$63,999999),IF(AND('Second Earner'!$C$64&gt;MAX($B$6:$B26),'Second Earner'!$C$64&gt;=DATE('Second Earner'!$C$10,1,1),'Second Earner'!$C$64&lt;=DATE('Second Earner'!$C$10,12,31)),'Second Earner'!$C$64,999999),IF(AND('Second Earner'!$C$65&gt;MAX($B$6:$B26),'Second Earner'!$C$65&gt;=DATE('Second Earner'!$C$10,1,1),'Second Earner'!$C$65&lt;=DATE('Second Earner'!$C$10,12,31)),'Second Earner'!$C$65,999999),IF(AND('Second Earner'!$C$66&gt;MAX($B$6:$B26),'Second Earner'!$C$66&gt;=DATE('Second Earner'!$C$10,1,1),'Second Earner'!$C$66&lt;=DATE('Second Earner'!$C$10,12,31)),'Second Earner'!$C$66,999999),IF(AND('Second Earner'!$C$67&gt;MAX($B$6:$B26),'Second Earner'!$C$67&gt;=DATE('Second Earner'!$C$10,1,1),'Second Earner'!$C$67&lt;=DATE('Second Earner'!$C$10,12,31)),'Second Earner'!$C$67,999999))=999999,"",MIN(IF(AND('Second Earner'!$C$58&gt;MAX($B$6:$B26),'Second Earner'!$C$58&gt;=DATE('Second Earner'!$C$10,1,1),'Second Earner'!$C$58&lt;=DATE('Second Earner'!$C$10,12,31)),'Second Earner'!$C$58,999999),IF(AND('Second Earner'!$C$59&gt;MAX($B$6:$B26),'Second Earner'!$C$59&gt;=DATE('Second Earner'!$C$10,1,1),'Second Earner'!$C$59&lt;=DATE('Second Earner'!$C$10,12,31)),'Second Earner'!$C$59,999999),IF(AND('Second Earner'!$C$60&gt;MAX($B$6:$B26),'Second Earner'!$C$60&gt;=DATE('Second Earner'!$C$10,1,1),'Second Earner'!$C$60&lt;=DATE('Second Earner'!$C$10,12,31)),'Second Earner'!$C$60,999999),IF(AND('Second Earner'!$C$61&gt;MAX($B$6:$B26),'Second Earner'!$C$61&gt;=DATE('Second Earner'!$C$10,1,1),'Second Earner'!$C$61&lt;=DATE('Second Earner'!$C$10,12,31)),'Second Earner'!$C$61,999999),IF(AND('Second Earner'!$C$62&gt;MAX($B$6:$B26),'Second Earner'!$C$62&gt;=DATE('Second Earner'!$C$10,1,1),'Second Earner'!$C$62&lt;=DATE('Second Earner'!$C$10,12,31)),'Second Earner'!$C$62,999999),IF(AND('Second Earner'!$C$63&gt;MAX($B$6:$B26),'Second Earner'!$C$63&gt;=DATE('Second Earner'!$C$10,1,1),'Second Earner'!$C$63&lt;=DATE('Second Earner'!$C$10,12,31)),'Second Earner'!$C$63,999999),IF(AND('Second Earner'!$C$64&gt;MAX($B$6:$B26),'Second Earner'!$C$64&gt;=DATE('Second Earner'!$C$10,1,1),'Second Earner'!$C$64&lt;=DATE('Second Earner'!$C$10,12,31)),'Second Earner'!$C$64,999999),IF(AND('Second Earner'!$C$65&gt;MAX($B$6:$B26),'Second Earner'!$C$65&gt;=DATE('Second Earner'!$C$10,1,1),'Second Earner'!$C$65&lt;=DATE('Second Earner'!$C$10,12,31)),'Second Earner'!$C$65,999999),IF(AND('Second Earner'!$C$66&gt;MAX($B$6:$B26),'Second Earner'!$C$66&gt;=DATE('Second Earner'!$C$10,1,1),'Second Earner'!$C$66&lt;=DATE('Second Earner'!$C$10,12,31)),'Second Earner'!$C$66,999999),IF(AND('Second Earner'!$C$67&gt;MAX($B$6:$B26),'Second Earner'!$C$67&gt;=DATE('Second Earner'!$C$10,1,1),'Second Earner'!$C$67&lt;=DATE('Second Earner'!$C$10,12,31)),'Second Earner'!$C$67,999999)))</f>
      </c>
      <c r="CF27">
        <f>IF($B27="","",IF($D27=0,$Y27,""))</f>
      </c>
    </row>
    <row r="28">
      <c r="A28" t="n">
        <v>23</v>
      </c>
      <c r="B28" s="21">
        <f>IF(AND($CD28="",$CE28=""),"",IF($CE28="",$CD28,IF($CD28="",$CE28,MIN($CD28,$CE28))))</f>
      </c>
      <c r="C28" s="7">
        <f>IF($B28="","",IF($BF28=0,0,IF('Second Earner'!$C$4="Annual salary",ROUND($AK28/IF(AND('Second Earner'!$C$88="Actual paydays",MONTH('Second Earner'!$C$9)=1),MAX(1,MAX($BE$6:$BE$68)),'Second Earner'!$C$8),2),$AK28)))</f>
      </c>
      <c r="D28" s="7">
        <f>IF($B28="","",SUMIF('Second Earner'!$C$58:$C$67,$B28,'Second Earner'!$D$58:$D$67))</f>
      </c>
      <c r="E28" s="7">
        <f>IF($B28="","",ROUND(MAX(0,MIN(IF($AL28="Percent",$AM28*($C28+$D28),$AM28),MAX(0,'Second Earner'!$C$34-$AC27))),2))</f>
      </c>
      <c r="F28" s="7">
        <f>IF($B28="","",ROUND(MAX(0,MIN(IF('Second Earner'!$C$32="Percent",'Second Earner'!$D$32*($C28+$D28),'Second Earner'!$D$32),MAX(0,'Second Earner'!$C$34-$AC27-$E28))),2))</f>
      </c>
      <c r="G28" s="7">
        <f>IF($B28="","",IF($BF28=0,0,ROUND(MAX(0,MIN($BL28,'Second Earner'!$C$37-'Second Earner'!$C$54-$BI27)),2)))</f>
      </c>
      <c r="H28" s="7">
        <f>IF($B28="","",IF(OR($BF28=0,$BQ28=1),0,ROUND(MAX(0,MIN(IF($BS28=1,ROUND(MAX(0,MIN($BJ28,'How This Works &amp; Sources'!$C$13)-$BG27)/MAX(1,MAX($BE$6:$BE$68)-($BE27)),2),ROUND(MIN($BJ28,'How This Works &amp; Sources'!$C$13)/'Second Earner'!$C$8,2)),MIN($BJ28,'How This Works &amp; Sources'!$C$13)-$BG27)),2)))</f>
      </c>
      <c r="I28" s="7">
        <f>IF($B28="","",IF(OR($BF28=0,$BR28=1),0,ROUND(MAX(0,MIN(IF($BT28=1,ROUND(MAX(0,MIN($BK28,IF('Second Earner'!$C$12="MFJ",'How This Works &amp; Sources'!$C$14,'How This Works &amp; Sources'!$C$15))-$BH27)/MAX(1,MAX($BE$6:$BE$68)-($BE27)),2),ROUND(MIN($BK28,IF('Second Earner'!$C$12="MFJ",'How This Works &amp; Sources'!$C$14,'How This Works &amp; Sources'!$C$15))/'Second Earner'!$C$8,2)),MIN($BK28,IF('Second Earner'!$C$12="MFJ",'How This Works &amp; Sources'!$C$14,'How This Works &amp; Sources'!$C$15))-$BH27)),2)))</f>
      </c>
      <c r="J28" s="7">
        <f>IF($B28="","",IF($BF28=0,0,$BM28))</f>
      </c>
      <c r="K28" s="7">
        <f>IF($B28="","",IF($BF28=0,0,$BN28+$BO28))</f>
      </c>
      <c r="L28" s="7">
        <f>IF($B28="","",IF($BF28=0,0,'Second Earner'!$D$46))</f>
      </c>
      <c r="M28" s="7">
        <f>IF($B28="","",$C28+$D28+$L28-$E28-$G28-$H28-$I28-$J28-$K28)</f>
      </c>
      <c r="N28" s="7">
        <f>IF($B28="","",$C28+$D28+$L28-$G28-$H28-$I28-$J28-$K28)</f>
      </c>
      <c r="O28" s="7">
        <f>IF($B28="","",$C28+$D28+$L28-$E28-$H28-$I28-$J28-$K28-IF(OR($AN28="CA",$AN28="NJ"),0,$G28))</f>
      </c>
      <c r="P28" s="7">
        <f>IF($B28="","",IF('Second Earner'!$C$18,0,ROUND(MAX(0,IF('Second Earner'!$C$13,SUMPRODUCT(($AH28&gt;INDEX('How This Works &amp; Sources'!$B$29:$J$36,0,IF('Second Earner'!$C$12="MFJ",1,IF('Second Earner'!$C$12="HoH",7,4))))*($AH28-INDEX('How This Works &amp; Sources'!$B$29:$J$36,0,IF('Second Earner'!$C$12="MFJ",1,IF('Second Earner'!$C$12="HoH",7,4))))*INDEX('How This Works &amp; Sources'!$B$29:$J$36,0,IF('Second Earner'!$C$12="MFJ",1,IF('Second Earner'!$C$12="HoH",7,4))+2)),SUMPRODUCT(($AH28&gt;INDEX('How This Works &amp; Sources'!$B$19:$J$26,0,IF('Second Earner'!$C$12="MFJ",1,IF('Second Earner'!$C$12="HoH",7,4))))*($AH28-INDEX('How This Works &amp; Sources'!$B$19:$J$26,0,IF('Second Earner'!$C$12="MFJ",1,IF('Second Earner'!$C$12="HoH",7,4))))*INDEX('How This Works &amp; Sources'!$B$19:$J$26,0,IF('Second Earner'!$C$12="MFJ",1,IF('Second Earner'!$C$12="HoH",7,4))+2)))/'Second Earner'!$C$8-$AO28/'Second Earner'!$C$8)+$AR28+IF('Second Earner'!$C$89="Aggregate",MAX(0,IF('Second Earner'!$C$13,SUMPRODUCT((($AH28+$D28)&gt;INDEX('How This Works &amp; Sources'!$B$29:$J$36,0,IF('Second Earner'!$C$12="MFJ",1,IF('Second Earner'!$C$12="HoH",7,4))))*(($AH28+$D28)-INDEX('How This Works &amp; Sources'!$B$29:$J$36,0,IF('Second Earner'!$C$12="MFJ",1,IF('Second Earner'!$C$12="HoH",7,4))))*INDEX('How This Works &amp; Sources'!$B$29:$J$36,0,IF('Second Earner'!$C$12="MFJ",1,IF('Second Earner'!$C$12="HoH",7,4))+2)),SUMPRODUCT((($AH28+$D28)&gt;INDEX('How This Works &amp; Sources'!$B$19:$J$26,0,IF('Second Earner'!$C$12="MFJ",1,IF('Second Earner'!$C$12="HoH",7,4))))*(($AH28+$D28)-INDEX('How This Works &amp; Sources'!$B$19:$J$26,0,IF('Second Earner'!$C$12="MFJ",1,IF('Second Earner'!$C$12="HoH",7,4))))*INDEX('How This Works &amp; Sources'!$B$19:$J$26,0,IF('Second Earner'!$C$12="MFJ",1,IF('Second Earner'!$C$12="HoH",7,4))+2)))-IF('Second Earner'!$C$13,SUMPRODUCT(($AH28&gt;INDEX('How This Works &amp; Sources'!$B$29:$J$36,0,IF('Second Earner'!$C$12="MFJ",1,IF('Second Earner'!$C$12="HoH",7,4))))*($AH28-INDEX('How This Works &amp; Sources'!$B$29:$J$36,0,IF('Second Earner'!$C$12="MFJ",1,IF('Second Earner'!$C$12="HoH",7,4))))*INDEX('How This Works &amp; Sources'!$B$29:$J$36,0,IF('Second Earner'!$C$12="MFJ",1,IF('Second Earner'!$C$12="HoH",7,4))+2)),SUMPRODUCT(($AH28&gt;INDEX('How This Works &amp; Sources'!$B$19:$J$26,0,IF('Second Earner'!$C$12="MFJ",1,IF('Second Earner'!$C$12="HoH",7,4))))*($AH28-INDEX('How This Works &amp; Sources'!$B$19:$J$26,0,IF('Second Earner'!$C$12="MFJ",1,IF('Second Earner'!$C$12="HoH",7,4))))*INDEX('How This Works &amp; Sources'!$B$19:$J$26,0,IF('Second Earner'!$C$12="MFJ",1,IF('Second Earner'!$C$12="HoH",7,4))+2)))),'How This Works &amp; Sources'!$C$10*$D28),2)))</f>
      </c>
      <c r="Q28" s="7">
        <f>IF($B28="","",ROUND('How This Works &amp; Sources'!$C$4*MIN($N28,MAX(0,'How This Works &amp; Sources'!$C$3-($AX28+$AB27-$AW28))),2))</f>
      </c>
      <c r="R28" s="7">
        <f>IF($B28="","",ROUND('How This Works &amp; Sources'!$C$5*$N28,2))</f>
      </c>
      <c r="S28" s="7">
        <f>IF($B28="","",ROUND('How This Works &amp; Sources'!$C$6*MAX(0,MIN($N28,$AG27+$N28-'How This Works &amp; Sources'!$C$7)),2))</f>
      </c>
      <c r="T28" s="7">
        <f>IF($B28="","",IF('Second Earner'!$C$26,0,IF($AN28="CA",ROUND(IF($AI28&lt;=IF(($AS28+$AT28)&gt;=2,VLOOKUP($AN28,StateTables!$A$6:$AB$56,10,FALSE),VLOOKUP($AN28,StateTables!$A$6:$AB$56,9,FALSE)),0,MAX(0,SUMPRODUCT(($AJ28&gt;INDEX('How This Works &amp; Sources'!$B$39:$J$48,0,IF($AU28="Married",4,IF($AU28="Head of household",7,1))))*($AJ28-INDEX('How This Works &amp; Sources'!$B$39:$J$48,0,IF($AU28="Married",4,IF($AU28="Head of household",7,1))))*INDEX('How This Works &amp; Sources'!$B$39:$J$48,0,IF($AU28="Married",4,IF($AU28="Head of household",7,1))+2))-VLOOKUP($AN28,StateTables!$A$6:$AB$56,11,FALSE)*$AS28)/'Second Earner'!$C$8)+'Second Earner'!$C$25+VLOOKUP($AN28,StateTables!$A$6:$AB$56,13,FALSE)*$D28,2),IF(VLOOKUP($AN28,StateTables!$A$6:$AB$56,4,FALSE)="None",0,IF(ISNUMBER(SEARCH("MANUAL",VLOOKUP($AN28,StateTables!$A$6:$AB$56,5,FALSE))),'Second Earner'!$C$28,ROUND(MAX(0,$BA28+$BB28)/'Second Earner'!$C$8+'Second Earner'!$C$25+$BC28,2))))))</f>
      </c>
      <c r="U28" s="7">
        <f>IF($B28="","",IF(VLOOKUP($AN28,StateTables!$A$6:$AB$56,24,FALSE)="flatq",IF(OR(MONTH($B28)=1,MONTH($B28)=4,MONTH($B28)=7,MONTH($B28)=10),VLOOKUP($AN28,StateTables!$A$6:$AB$56,25,FALSE),0),IF(VLOOKUP($AN28,StateTables!$A$6:$AB$56,24,FALSE)="dbl",MIN(ROUND(0.005*$N28,2),ROUND(0.6*52/'Second Earner'!$C$8,2)),IF(OR(VLOOKUP($AN28,StateTables!$A$6:$AB$56,15,FALSE)="",VLOOKUP($AN28,StateTables!$A$6:$AB$56,15,FALSE)=0),0,ROUND(VLOOKUP($AN28,StateTables!$A$6:$AB$56,15,FALSE)*IF(OR(VLOOKUP($AN28,StateTables!$A$6:$AB$56,16,FALSE)="",VLOOKUP($AN28,StateTables!$A$6:$AB$56,16,FALSE)=0),$N28,MIN($N28,MAX(0,VLOOKUP($AN28,StateTables!$A$6:$AB$56,16,FALSE)-($AX28+$AB27-$AW28)))),2))))+IF(VLOOKUP($AN28,StateTables!$A$6:$AB$56,27,FALSE)="flatq",IF(OR(MONTH($B28)=1,MONTH($B28)=4,MONTH($B28)=7,MONTH($B28)=10),VLOOKUP($AN28,StateTables!$A$6:$AB$56,28,FALSE),0),IF(VLOOKUP($AN28,StateTables!$A$6:$AB$56,27,FALSE)="dbl",MIN(ROUND(0.005*$N28,2),ROUND(0.6*52/'Second Earner'!$C$8,2)),IF(OR(VLOOKUP($AN28,StateTables!$A$6:$AB$56,18,FALSE)="",VLOOKUP($AN28,StateTables!$A$6:$AB$56,18,FALSE)=0),0,ROUND(VLOOKUP($AN28,StateTables!$A$6:$AB$56,18,FALSE)*IF(OR(VLOOKUP($AN28,StateTables!$A$6:$AB$56,19,FALSE)="",VLOOKUP($AN28,StateTables!$A$6:$AB$56,19,FALSE)=0),$N28,MIN($N28,MAX(0,VLOOKUP($AN28,StateTables!$A$6:$AB$56,19,FALSE)-($AX28+$AB27-$AW28)))),2)))))</f>
      </c>
      <c r="V28" s="7">
        <f>IF($B28="","",IF($AN28="NY",IF('Second Earner'!$C$78,ROUND(SUMPRODUCT((MAX(0,($O28-$D28)*'Second Earner'!$C$8-(IF($AU28="Married",5500,5000)+1000*$AS28))&gt;INDEX('How This Works &amp; Sources'!$B$184:$J$198,0,4))*(MAX(0,($O28-$D28)*'Second Earner'!$C$8-(IF($AU28="Married",5500,5000)+1000*$AS28))-INDEX('How This Works &amp; Sources'!$B$184:$J$198,0,4))*INDEX('How This Works &amp; Sources'!$B$184:$J$198,0,4+2))/'Second Earner'!$C$8+0.0425*$D28,2),0)+IF('Second Earner'!$C$79="Resident",ROUND(0.1675*$T28,2),IF('Second Earner'!$C$79="Nonresident",ROUND(0.005*MAX(0,($O28-$D28)-(IF($AU28="Married",7950,7400)+1000*$AS28)/'Second Earner'!$C$8),2),0)),IF($AN28="PA",IF('Second Earner'!$C$80="None",'Second Earner'!$C$27+ROUND('Second Earner'!$C$81*($C28+$D28),2),ROUND(IF('Second Earner'!$C$80="Resident",IF($B28&lt;DATE(2026,7,1),0.0374,0.03735),IF($B28&lt;DATE(2026,7,1),0.0343,0.03425))*($C28+$D28),2)),IF($BF28=0,ROUND('Second Earner'!$C$81*($C28+$D28),2),'Second Earner'!$C$27+ROUND('Second Earner'!$C$81*($C28+$D28),2)))))</f>
      </c>
      <c r="W28" s="7">
        <f>IF($B28="","",IF($BF28=0,0,$BP28))</f>
      </c>
      <c r="X28" s="7">
        <f>IF($B28="","",SUM($E28:$K28)+$P28+$Q28+$R28+$S28+$T28+$U28+$V28+$W28)</f>
      </c>
      <c r="Y28" s="22">
        <f>IF($B28="","",$C28+$D28-$X28)</f>
      </c>
      <c r="Z28" s="7">
        <f>IF($B28="","",$Z27+$C28+$D28)</f>
      </c>
      <c r="AA28" s="7">
        <f>IF($B28="","",$AA27+$Y28)</f>
      </c>
      <c r="AB28" s="7">
        <f>IF($B28="","",$AB27+MIN($N28,MAX(0,'How This Works &amp; Sources'!$C$3-($AX28+$AB27-$AW28))))</f>
      </c>
      <c r="AC28" s="7">
        <f>IF($B28="","",$AC27+$E28+$F28)</f>
      </c>
      <c r="AD28" s="3">
        <f>IF($B28="","",IF(AND($AB27&lt;'How This Works &amp; Sources'!$C$3,$AB28&gt;='How This Works &amp; Sources'!$C$3),"★ Social Security maxed on this check — from the next check your net rises by about $"&amp;TEXT(ROUND('How This Works &amp; Sources'!$C$4*$N28,2),"#,##0.00")&amp;". ","")&amp;IF(AND($AC27&lt;'Second Earner'!$C$34,$AC28&gt;='Second Earner'!$C$34),"★ 401(k) reaches the $"&amp;TEXT('Second Earner'!$C$34,"#,##0")&amp;" cap on this check — deferrals stop and net pay rises. ","")&amp;IF(AND($AG27&lt;'How This Works &amp; Sources'!$C$7,$AG28&gt;='How This Works &amp; Sources'!$C$7),"★ Wages pass $200,000 — the 0.9% Additional Medicare Tax starts here. ","")&amp;IF(AND($BJ28&gt;0,$H28&gt;0,$BG27&lt;MIN($BJ28,'How This Works &amp; Sources'!$C$13),$BG27+$H28&gt;=MIN($BJ28,'How This Works &amp; Sources'!$C$13)),"★ Health FSA election is now fully deferred for the year. ",""))</f>
      </c>
      <c r="AE28" s="41" t="n"/>
      <c r="AF28" s="7">
        <f>IF(OR($B28="",$AE28=""),"",$AE28-$Y28)</f>
      </c>
      <c r="AG28" s="7">
        <f>IF($B28="","",$AG27+$N28)</f>
      </c>
      <c r="AH28" s="7">
        <f>IF($B28="","",MAX(0,($M28-$D28)*'Second Earner'!$C$8+$AP28-$AQ28-IF('Second Earner'!$C$13,0,IF('Second Earner'!$C$12="MFJ",'How This Works &amp; Sources'!$C$8,'How This Works &amp; Sources'!$C$9))))</f>
      </c>
      <c r="AI28" s="7">
        <f>IF($B28="","",$O28*'Second Earner'!$C$8)</f>
      </c>
      <c r="AJ28" s="7">
        <f>IF($B28="","",MAX(0,$AI28-VLOOKUP($AN28,StateTables!$A$6:$AB$56,12,FALSE)*$AT28-IF(($AS28+$AT28)&gt;=2,VLOOKUP($AN28,StateTables!$A$6:$AB$56,8,FALSE),VLOOKUP($AN28,StateTables!$A$6:$AB$56,7,FALSE))))</f>
      </c>
      <c r="AK28" s="7">
        <f>IF($B28="","",IFERROR(LOOKUP(2,1/(('Changes — Earner 2'!$C$6:$C$17="Salary change")*('Changes — Earner 2'!$B$6:$B$17&lt;=$B28)*('Changes — Earner 2'!$B$6:$B$17&lt;&gt;"")),'Changes — Earner 2'!$D$6:$D$17),IF('Second Earner'!$C$4="Annual salary",'Second Earner'!$C$5,'Second Earner'!$C$6)))</f>
      </c>
      <c r="AL28">
        <f>IF($B28="","",IFERROR(LOOKUP(2,1/(('Changes — Earner 2'!$C$6:$C$17="401(k) change")*('Changes — Earner 2'!$B$6:$B$17&lt;=$B28)*('Changes — Earner 2'!$B$6:$B$17&lt;&gt;"")),'Changes — Earner 2'!$D$6:$D$17),'Second Earner'!$C$30))</f>
      </c>
      <c r="AM28" s="7">
        <f>IF($B28="","",IFERROR(LOOKUP(2,1/(('Changes — Earner 2'!$C$6:$C$17="401(k) change")*('Changes — Earner 2'!$B$6:$B$17&lt;=$B28)*('Changes — Earner 2'!$B$6:$B$17&lt;&gt;"")),'Changes — Earner 2'!$E$6:$E$17),'Second Earner'!$D$31))</f>
      </c>
      <c r="AN28">
        <f>IF($B28="","",IFERROR(LOOKUP(2,1/(('Changes — Earner 2'!$C$6:$C$17="State move")*('Changes — Earner 2'!$B$6:$B$17&lt;=$B28)*('Changes — Earner 2'!$B$6:$B$17&lt;&gt;"")),'Changes — Earner 2'!$D$6:$D$17),'Second Earner'!$C$21))</f>
      </c>
      <c r="AO28" s="7">
        <f>IF($B28="","",IFERROR(LOOKUP(2,1/(('Changes — Earner 2'!$C$6:$C$17="W-4 change")*('Changes — Earner 2'!$B$6:$B$17&lt;=$B28)*('Changes — Earner 2'!$B$6:$B$17&lt;&gt;"")),'Changes — Earner 2'!$D$6:$D$17),'Second Earner'!$C$14))</f>
      </c>
      <c r="AP28" s="7">
        <f>IF($B28="","",IFERROR(LOOKUP(2,1/(('Changes — Earner 2'!$C$6:$C$17="W-4 change")*('Changes — Earner 2'!$B$6:$B$17&lt;=$B28)*('Changes — Earner 2'!$B$6:$B$17&lt;&gt;"")),'Changes — Earner 2'!$E$6:$E$17),'Second Earner'!$C$15))</f>
      </c>
      <c r="AQ28" s="7">
        <f>IF($B28="","",IFERROR(LOOKUP(2,1/(('Changes — Earner 2'!$C$6:$C$17="W-4 change")*('Changes — Earner 2'!$B$6:$B$17&lt;=$B28)*('Changes — Earner 2'!$B$6:$B$17&lt;&gt;"")),'Changes — Earner 2'!$F$6:$F$17),'Second Earner'!$C$16))</f>
      </c>
      <c r="AR28" s="7">
        <f>IF($B28="","",IFERROR(LOOKUP(2,1/(('Changes — Earner 2'!$C$6:$C$17="W-4 change")*('Changes — Earner 2'!$B$6:$B$17&lt;=$B28)*('Changes — Earner 2'!$B$6:$B$17&lt;&gt;"")),'Changes — Earner 2'!$G$6:$G$17),'Second Earner'!$C$17))</f>
      </c>
      <c r="AS28" s="6">
        <f>IF($B28="","",IFERROR(LOOKUP(2,1/((('Changes — Earner 2'!$C$6:$C$17="State move")+('Changes — Earner 2'!$C$6:$C$17="State cert change"))*('Changes — Earner 2'!$B$6:$B$17&lt;=$B28)*('Changes — Earner 2'!$B$6:$B$17&lt;&gt;"")),'Changes — Earner 2'!$F$6:$F$17),'Second Earner'!$C$23))</f>
      </c>
      <c r="AT28" s="6">
        <f>IF($B28="","",IFERROR(LOOKUP(2,1/((('Changes — Earner 2'!$C$6:$C$17="State move")+('Changes — Earner 2'!$C$6:$C$17="State cert change"))*('Changes — Earner 2'!$B$6:$B$17&lt;=$B28)*('Changes — Earner 2'!$B$6:$B$17&lt;&gt;"")),'Changes — Earner 2'!$G$6:$G$17),'Second Earner'!$C$24))</f>
      </c>
      <c r="AU28">
        <f>IF($B28="","",IFERROR(LOOKUP(2,1/(('Changes — Earner 2'!$C$6:$C$17="State move")*('Changes — Earner 2'!$B$6:$B$17&lt;=$B28)*('Changes — Earner 2'!$B$6:$B$17&lt;&gt;"")),'Changes — Earner 2'!$E$6:$E$17),'Second Earner'!$C$22))</f>
      </c>
      <c r="AV28" s="6">
        <f>IF($B28="","",1+COUNTIFS('Changes — Earner 2'!$C$6:$C$17,"Employer change",'Changes — Earner 2'!$B$6:$B$17,"&lt;="&amp;$B28,'Changes — Earner 2'!$B$6:$B$17,"&lt;&gt;"))</f>
      </c>
      <c r="AW28" s="7">
        <f>IF($B28="","",IF($AV28=1,'Second Earner'!$C$49,IF(IFERROR(MATCH(IFERROR(LOOKUP(2,1/(('Changes — Earner 2'!$C$6:$C$17="Employer change")*('Changes — Earner 2'!$B$6:$B$17&lt;=$B28)*('Changes — Earner 2'!$B$6:$B$17&lt;&gt;"")),'Changes — Earner 2'!$B$6:$B$17),""),$B$6:$B$68,1),1)&lt;=1,'Second Earner'!$C$49,INDEX($AB$6:$AB$68,MATCH(IFERROR(LOOKUP(2,1/(('Changes — Earner 2'!$C$6:$C$17="Employer change")*('Changes — Earner 2'!$B$6:$B$17&lt;=$B28)*('Changes — Earner 2'!$B$6:$B$17&lt;&gt;"")),'Changes — Earner 2'!$B$6:$B$17),""),$B$6:$B$68,1)-1))))</f>
      </c>
      <c r="AX28" s="7">
        <f>IF($B28="","",IF($AV28=1,'Second Earner'!$C$49,IFERROR(LOOKUP(2,1/(('Changes — Earner 2'!$C$6:$C$17="Employer change")*('Changes — Earner 2'!$B$6:$B$17&lt;=$B28)*('Changes — Earner 2'!$B$6:$B$17&lt;&gt;"")),'Changes — Earner 2'!$D$6:$D$17),0)))</f>
      </c>
      <c r="AY28" s="7">
        <f>IF($B28="","",($O28-$D28)*'Second Earner'!$C$8)</f>
      </c>
      <c r="AZ28" s="7">
        <f>IF($B28="","",IF($AN28="AL",MAX(0,$AY28-IF($AU28="Married",IF($AY28&lt;=25999,8500,MAX(5000,8500-175*CEILING(($AY28-25999)/500,1))),IF($AU28="Head of household",IF($AY28&lt;=25999,5200,MAX(2500,5200-135*CEILING(($AY28-25999)/500,1))),IF($AY28&lt;=25999,3000,MAX(2500,3000-25*CEILING(($AY28-25999)/500,1)))))-($P28-'How This Works &amp; Sources'!$C$10*$D28)*'Second Earner'!$C$8-IF(OR($AU28="Married",$AU28="Head of household"),3000,1500)-$AT28*IF($AY28&lt;=50000,1000,IF($AY28&lt;=100000,500,300))),IF($AN28="AR",IF(MAX(0,$AY28-2470)&lt;97701,INT(MAX(0,$AY28-2470)/100)*100+50,MAX(0,$AY28-2470)),IF($AN28="DE",MAX(0,$AI28-3250),IF($AN28="HI",MAX(0,$AI28-1144*$AS28-4350),IF($AN28="KS",MAX(0,$AI28-(9160*IF($AU28="Married",2,1)+2320*$AT28+IF($AU28="Head of household",2320,0))),IF($AN28="MD",MAX(0,$AI28-3400-3200*$AS28),IF($AN28="MN",MAX(0,$AY28-5300*$AS28),IF($AN28="MO",MAX(0,$AI28-IF($AU28="Head of household",24150,IF($AU28="Married",IF('Second Earner'!$C$83,16100,32200),16100))),IF($AN28="MT",$AY28,IF($AN28="ND",($C28+$L28)*'Second Earner'!$C$8,IF($AN28="NE",MAX(0,$AY28-2440*$AS28),IF($AN28="NJ",MAX(0,$AY28-1000*$AS28),IF($AN28="NY",MAX(0,$AY28-(IF($AU28="Married",7950,7400)+1000*$AS28)),IF($AN28="OH",MAX(0,$AY28-650*$AS28),IF($AN28="OK",MAX(0,$AY28-1000*$AS28),IF($AN28="RI",MAX(0,$AI28-1000*$AS28),IF($AN28="SC",MAX(0,$AI28-5000*$AS28-IF($AS28=0,0,MIN(0.1*$AI28,7500))),IF($AN28="VA",MAX(0,$AI28-IF($AU28="Married",17500,8750)-930*$AS28-800*$AT28),IF($AN28="VT",MAX(0,$AI28-5400*$AS28),IF($AN28="WI",MAX(0,$AI28-MAX(0,IF($AU28="Married",9461-0.2*MAX(0,$AI28-25727),6702-0.12*MAX(0,$AI28-17780)))-400*$AS28),IF($AN28="WV",MAX(0,$AI28-2000*$AS28),$AI28))))))))))))))))))))))</f>
      </c>
      <c r="BA28" s="7">
        <f>IF($B28="","",IF($BW28&lt;&gt;"",$BW28,IF($BX28&lt;&gt;"",$BX28,IF($BY28&lt;&gt;"",$BY28,0))))</f>
      </c>
      <c r="BB28" s="7">
        <f>IF($B28="","",IF($AN28="AR",-29*$AS28,IF($AN28="DE",-110*$AS28,IF($AN28="MD",$AZ28*'Second Earner'!$C$74,IF($AN28="AZ",'Second Earner'!$C$82*($M28-$D28)*'Second Earner'!$C$8,IF($AN28="CO",0.044*MAX(0,$AY28-IF($AU28="Married",10000,5000)),IF($AN28="IA",MAX(0,0.038*MAX(0,$AY28-IF($AU28="Head of household",19500,IF($AU28="Married",26000,13000)))-40*$AS28),IF($AN28="ID",0.053*MAX(0,$AY28-IF($AU28="Married",32000,16094)),IF($AN28="IL",0.0495*MAX(0,$AY28-(2925*$AS28+1000*$AT28)),IF($AN28="IN",(0.0295+'Second Earner'!$C$76)*MAX(0,$AY28-(1000*$AS28+1500*$AT28+3000*'Second Earner'!$C$86)),IF($AN28="KY",0.035*MAX(0,$AI28-3360),IF($AN28="LA",IF('Second Earner'!$C$84="0",0.0309*$AI28,0.0309*MAX(0,$AI28-IF('Second Earner'!$C$84="2",25750,12875))),IF($AN28="MA",0.05*MIN(MAX(0,$AY28-MIN(($BD27+$Q28+$R28+$S28),2000)-IF($AS28=0,0,IF($AS28=1,4400,1000*$AS28+3400))),1107750)+0.09*MAX(0,MAX(0,$AY28-MIN(($BD27+$Q28+$R28+$S28),2000)-IF($AS28=0,0,IF($AS28=1,4400,1000*$AS28+3400)))-1107750)-IF($AU28="Head of household",120,0)-110*'Second Earner'!$C$75,IF($AN28="MI",0.0425*MAX(0,$AY28-5900*$AS28),IF($AN28="MS",0.04*MAX(0,$AI28-IF($AU28="Head of household",3400,IF($AU28="Married",4600,2300))-'Second Earner'!$C$85-10000),IF($AN28="OR",IF(OR($AU28="Married",AND($AU28="Single",$AS28&gt;=3)),SUMPRODUCT((MAX(0,$AY28-MIN(($P28-'How This Works &amp; Sources'!$C$10*$D28)*'Second Earner'!$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Sources'!$B$211:$J$214,0,4))*(MAX(0,$AY28-MIN(($P28-'How This Works &amp; Sources'!$C$10*$D28)*'Second Earner'!$C$8,IF(OR($AU28="Married",AND($AU28="Single",$AS28&gt;=3)),IF($AY28&lt;250000,8750,IF($AY28&lt;260000,7000,IF($AY28&lt;270000,5250,IF($AY28&lt;280000,3500,IF($AY28&lt;290000,1750,0))))),IF($AY28&lt;125000,8750,IF($AY28&lt;130000,7000,IF($AY28&lt;135000,5250,IF($AY28&lt;140000,3500,IF($AY28&lt;145000,1750,0)))))))-IF(OR($AU28="Married",AND($AU28="Single",$AS28&gt;=3)),5820,2910))-INDEX('How This Works &amp; Sources'!$B$211:$J$214,0,4))*INDEX('How This Works &amp; Sources'!$B$211:$J$214,0,4+2)),SUMPRODUCT((MAX(0,$AY28-MIN(($P28-'How This Works &amp; Sources'!$C$10*$D28)*'Second Earner'!$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Sources'!$B$211:$J$214,0,1))*(MAX(0,$AY28-MIN(($P28-'How This Works &amp; Sources'!$C$10*$D28)*'Second Earner'!$C$8,IF(OR($AU28="Married",AND($AU28="Single",$AS28&gt;=3)),IF($AY28&lt;250000,8750,IF($AY28&lt;260000,7000,IF($AY28&lt;270000,5250,IF($AY28&lt;280000,3500,IF($AY28&lt;290000,1750,0))))),IF($AY28&lt;125000,8750,IF($AY28&lt;130000,7000,IF($AY28&lt;135000,5250,IF($AY28&lt;140000,3500,IF($AY28&lt;145000,1750,0)))))))-IF(OR($AU28="Married",AND($AU28="Single",$AS28&gt;=3)),5820,2910))-INDEX('How This Works &amp; Sources'!$B$211:$J$214,0,1))*INDEX('How This Works &amp; Sources'!$B$211:$J$214,0,1+2)))+263-263*IF(IF($AU28="Married",$AY28&gt;200000,$AY28&gt;100000),0,$AS28),IF($AN28="PA",0.0307*(($O28+$E28+$G28)*'Second Earner'!$C$8),IF($AN28="NY",IF($AU28="Married",IF($AZ28&gt;=2155350,0,IF($AZ28&gt;=1077550,0.48,IF($AZ28&gt;=373200,1.21,IF($AZ28&gt;=323200,0.21,IF($AZ28&gt;=211550,-0.19,IF($AZ28&gt;=157650,-2.8,IF($AZ28&gt;=107650,-0.8,IF($AZ28&gt;=96800,0.05,IF($AZ28&gt;=80650,-0.1,IF($AZ28&gt;=13900,0.4,IF($AZ28&gt;=11700,-0.3,IF($AZ28&gt;=8500,0.5,0)))))))))))),IF($AZ28&gt;=1077550,0,IF($AZ28&gt;=265400,4.29,IF($AZ28&gt;=215400,2.29,IF($AZ28&gt;=157650,2.29,IF($AZ28&gt;=107650,0.29,IF($AZ28&gt;=96800,0.05,IF($AZ28&gt;=80650,-0.1,IF($AZ28&gt;=13900,0.4,IF($AZ28&gt;=11700,-0.3,IF($AZ28&gt;=8500,0.5,0))))))))))),0))))))))))))))))))</f>
      </c>
      <c r="BC28" s="7">
        <f>IF($B28="","",IF($AN28="AL",0.05*$D28,IF($AN28="AR",0.039*$D28,IF($AN28="ID",0.053*$D28,IF($AN28="IN",(0.0295+'Second Earner'!$C$76)*$D28,IF($AN28="KS",0.05*$D28,IF($AN28="MA",0.09*MIN($D28,MAX(0,MAX(0,$AY28-MIN(($BD27+$Q28+$R28+$S28),2000)-IF($AS28=0,0,IF($AS28=1,4400,1000*$AS28+3400)))+$D28-1107750))+0.05*($D28-MIN($D28,MAX(0,MAX(0,$AY28-MIN(($BD27+$Q28+$R28+$S28),2000)-IF($AS28=0,0,IF($AS28=1,4400,1000*$AS28+3400)))+$D28-1107750))),IF($AN28="MD",(0.065+'Second Earner'!$C$74)*$D28,IF($AN28="MI",0.0425*$D28,IF($AN28="MN",0.0625*$D28,IF($AN28="MO",0.047*$D28,IF($AN28="MT",0.05*$D28,IF($AN28="ND",0.015*$D28,IF($AN28="NE",0.035*$D28,IF($AN28="NJ",IF('Second Earner'!$C$77="B",SUMPRODUCT(($D28*'Second Earner'!$C$8&gt;INDEX('How This Works &amp; Sources'!$B$155:$J$162,0,4))*($D28*'Second Earner'!$C$8-INDEX('How This Works &amp; Sources'!$B$155:$J$162,0,4))*INDEX('How This Works &amp; Sources'!$B$155:$J$162,0,4+2)),IF('Second Earner'!$C$77="C",SUMPRODUCT(($D28*'Second Earner'!$C$8&gt;INDEX('How This Works &amp; Sources'!$B$155:$J$162,0,7))*($D28*'Second Earner'!$C$8-INDEX('How This Works &amp; Sources'!$B$155:$J$162,0,7))*INDEX('How This Works &amp; Sources'!$B$155:$J$162,0,7+2)),IF('Second Earner'!$C$77="D",SUMPRODUCT(($D28*'Second Earner'!$C$8&gt;INDEX('How This Works &amp; Sources'!$B$167:$J$179,0,1))*($D28*'Second Earner'!$C$8-INDEX('How This Works &amp; Sources'!$B$167:$J$179,0,1))*INDEX('How This Works &amp; Sources'!$B$167:$J$179,0,1+2)),IF('Second Earner'!$C$77="E",SUMPRODUCT(($D28*'Second Earner'!$C$8&gt;INDEX('How This Works &amp; Sources'!$B$167:$J$179,0,4))*($D28*'Second Earner'!$C$8-INDEX('How This Works &amp; Sources'!$B$167:$J$179,0,4))*INDEX('How This Works &amp; Sources'!$B$167:$J$179,0,4+2)),SUMPRODUCT(($D28*'Second Earner'!$C$8&gt;INDEX('How This Works &amp; Sources'!$B$155:$J$162,0,1))*($D28*'Second Earner'!$C$8-INDEX('How This Works &amp; Sources'!$B$155:$J$162,0,1))*INDEX('How This Works &amp; Sources'!$B$155:$J$162,0,1+2))))))/'Second Earner'!$C$8,IF($AN28="NY",0.117*$D28,IF($AN28="OH",0.0275*$D28,IF($AN28="OK",0.045*$D28,IF($AN28="OR",0.08*$D28,IF($AN28="WI",IF($AY28&lt;12760,0.0354,IF($AY28&lt;25520,0.0465,IF($AY28&lt;280950,0.053,0.0765)))*$D28,0))))))))))))))))))))</f>
      </c>
      <c r="BD28" s="7">
        <f>IF($B28="","",$BD27+$Q28+$R28+$S28)</f>
      </c>
      <c r="BE28" s="6">
        <f>IF($B28="",$BE27,$BE27+$BF28)</f>
      </c>
      <c r="BF28" s="6">
        <f>IF($B28="","",IF(AND(IF(YEAR(IF('Second Earner'!$C$7="Weekly",'Second Earner'!$C$9+7*(($BE27+1)-1),IF('Second Earner'!$C$7="Biweekly",'Second Earner'!$C$9+14*(($BE27+1)-1),IF('Second Earner'!$C$7="Semimonthly",DATE(YEAR('Second Earner'!$C$9),MONTH('Second Earner'!$C$9)+INT((($BE27+1)-1)/2),MIN(DAY('Second Earner'!$C$9),DAY(EOMONTH(DATE(YEAR('Second Earner'!$C$9),MONTH('Second Earner'!$C$9)+INT((($BE27+1)-1)/2),1),0))))+IF(MOD(($BE27+1)-1,2)=1,15,0),EDATE('Second Earner'!$C$9,($BE27+1)-1)))))&lt;&gt;'Second Earner'!$C$10,"",IF('Second Earner'!$C$7="Weekly",'Second Earner'!$C$9+7*(($BE27+1)-1),IF('Second Earner'!$C$7="Biweekly",'Second Earner'!$C$9+14*(($BE27+1)-1),IF('Second Earner'!$C$7="Semimonthly",DATE(YEAR('Second Earner'!$C$9),MONTH('Second Earner'!$C$9)+INT((($BE27+1)-1)/2),MIN(DAY('Second Earner'!$C$9),DAY(EOMONTH(DATE(YEAR('Second Earner'!$C$9),MONTH('Second Earner'!$C$9)+INT((($BE27+1)-1)/2),1),0))))+IF(MOD(($BE27+1)-1,2)=1,15,0),EDATE('Second Earner'!$C$9,($BE27+1)-1)))))&lt;&gt;"",$B28=IF(YEAR(IF('Second Earner'!$C$7="Weekly",'Second Earner'!$C$9+7*(($BE27+1)-1),IF('Second Earner'!$C$7="Biweekly",'Second Earner'!$C$9+14*(($BE27+1)-1),IF('Second Earner'!$C$7="Semimonthly",DATE(YEAR('Second Earner'!$C$9),MONTH('Second Earner'!$C$9)+INT((($BE27+1)-1)/2),MIN(DAY('Second Earner'!$C$9),DAY(EOMONTH(DATE(YEAR('Second Earner'!$C$9),MONTH('Second Earner'!$C$9)+INT((($BE27+1)-1)/2),1),0))))+IF(MOD(($BE27+1)-1,2)=1,15,0),EDATE('Second Earner'!$C$9,($BE27+1)-1)))))&lt;&gt;'Second Earner'!$C$10,"",IF('Second Earner'!$C$7="Weekly",'Second Earner'!$C$9+7*(($BE27+1)-1),IF('Second Earner'!$C$7="Biweekly",'Second Earner'!$C$9+14*(($BE27+1)-1),IF('Second Earner'!$C$7="Semimonthly",DATE(YEAR('Second Earner'!$C$9),MONTH('Second Earner'!$C$9)+INT((($BE27+1)-1)/2),MIN(DAY('Second Earner'!$C$9),DAY(EOMONTH(DATE(YEAR('Second Earner'!$C$9),MONTH('Second Earner'!$C$9)+INT((($BE27+1)-1)/2),1),0))))+IF(MOD(($BE27+1)-1,2)=1,15,0),EDATE('Second Earner'!$C$9,($BE27+1)-1)))))),1,0))</f>
      </c>
      <c r="BG28" s="7">
        <f>IF($B28="","",$BG27+$H28)</f>
      </c>
      <c r="BH28" s="7">
        <f>IF($B28="","",$BH27+$I28)</f>
      </c>
      <c r="BI28" s="7">
        <f>IF($B28="","",$BI27+$G28)</f>
      </c>
      <c r="BJ28" s="7">
        <f>IF($B28="","",IFERROR(LOOKUP(2,1/(((('Changes — Earner 2'!$C$6:$C$17="Deduction start"))*('Changes — Earner 2'!$D$6:$D$17="Health FSA"))*('Changes — Earner 2'!$B$6:$B$17&lt;=$B28)*('Changes — Earner 2'!$B$6:$B$17&lt;&gt;"")),'Changes — Earner 2'!$E$6:$E$17),'Second Earner'!$D$38))</f>
      </c>
      <c r="BK28" s="7">
        <f>IF($B28="","",IFERROR(LOOKUP(2,1/(((('Changes — Earner 2'!$C$6:$C$17="Deduction start"))*('Changes — Earner 2'!$D$6:$D$17="Dependent-care FSA"))*('Changes — Earner 2'!$B$6:$B$17&lt;=$B28)*('Changes — Earner 2'!$B$6:$B$17&lt;&gt;"")),'Changes — Earner 2'!$E$6:$E$17),'Second Earner'!$D$39))</f>
      </c>
      <c r="BL28" s="7">
        <f>IF($B28="","",IFERROR(LOOKUP(2,1/(((('Changes — Earner 2'!$C$6:$C$17="Deduction start")+('Changes — Earner 2'!$C$6:$C$17="Deduction stop"))*('Changes — Earner 2'!$D$6:$D$17="HSA"))*('Changes — Earner 2'!$B$6:$B$17&lt;=$B28)*('Changes — Earner 2'!$B$6:$B$17&lt;&gt;"")),'Changes — Earner 2'!$I$6:$I$17),'Second Earner'!$D$35))</f>
      </c>
      <c r="BM28" s="7">
        <f>IF($B28="","",IFERROR(LOOKUP(2,1/(((('Changes — Earner 2'!$C$6:$C$17="Deduction start")+('Changes — Earner 2'!$C$6:$C$17="Deduction stop"))*('Changes — Earner 2'!$D$6:$D$17="Premiums"))*('Changes — Earner 2'!$B$6:$B$17&lt;=$B28)*('Changes — Earner 2'!$B$6:$B$17&lt;&gt;"")),'Changes — Earner 2'!$I$6:$I$17),'Second Earner'!$D$40+'Second Earner'!$D$41+'Second Earner'!$D$42))</f>
      </c>
      <c r="BN28" s="7">
        <f>IF($B28="","",IFERROR(LOOKUP(2,1/(((('Changes — Earner 2'!$C$6:$C$17="Deduction start")+('Changes — Earner 2'!$C$6:$C$17="Deduction stop"))*('Changes — Earner 2'!$D$6:$D$17="Commuter"))*('Changes — Earner 2'!$B$6:$B$17&lt;=$B28)*('Changes — Earner 2'!$B$6:$B$17&lt;&gt;"")),'Changes — Earner 2'!$I$6:$I$17),'Second Earner'!$D$43))</f>
      </c>
      <c r="BO28" s="7">
        <f>IF($B28="","",IFERROR(LOOKUP(2,1/(((('Changes — Earner 2'!$C$6:$C$17="Deduction start")+('Changes — Earner 2'!$C$6:$C$17="Deduction stop"))*('Changes — Earner 2'!$D$6:$D$17="Other pre-tax"))*('Changes — Earner 2'!$B$6:$B$17&lt;=$B28)*('Changes — Earner 2'!$B$6:$B$17&lt;&gt;"")),'Changes — Earner 2'!$I$6:$I$17),'Second Earner'!$D$44))</f>
      </c>
      <c r="BP28" s="7">
        <f>IF($B28="","",IFERROR(LOOKUP(2,1/(((('Changes — Earner 2'!$C$6:$C$17="Deduction start")+('Changes — Earner 2'!$C$6:$C$17="Deduction stop"))*('Changes — Earner 2'!$D$6:$D$17="Other post-tax"))*('Changes — Earner 2'!$B$6:$B$17&lt;=$B28)*('Changes — Earner 2'!$B$6:$B$17&lt;&gt;"")),'Changes — Earner 2'!$I$6:$I$17),'Second Earner'!$D$45))</f>
      </c>
      <c r="BQ28" s="6">
        <f>IF($B28="","",IFERROR(LOOKUP(2,1/(((('Changes — Earner 2'!$C$6:$C$17="Deduction start")+('Changes — Earner 2'!$C$6:$C$17="Deduction stop"))*('Changes — Earner 2'!$D$6:$D$17="Health FSA"))*('Changes — Earner 2'!$B$6:$B$17&lt;=$B28)*('Changes — Earner 2'!$B$6:$B$17&lt;&gt;"")),'Changes — Earner 2'!$J$6:$J$17),0))</f>
      </c>
      <c r="BR28" s="6">
        <f>IF($B28="","",IFERROR(LOOKUP(2,1/(((('Changes — Earner 2'!$C$6:$C$17="Deduction start")+('Changes — Earner 2'!$C$6:$C$17="Deduction stop"))*('Changes — Earner 2'!$D$6:$D$17="Dependent-care FSA"))*('Changes — Earner 2'!$B$6:$B$17&lt;=$B28)*('Changes — Earner 2'!$B$6:$B$17&lt;&gt;"")),'Changes — Earner 2'!$J$6:$J$17),0))</f>
      </c>
      <c r="BS28" s="6">
        <f>IF($B28="","",IF(SUMPRODUCT(('Changes — Earner 2'!$C$6:$C$17="Deduction start")*('Changes — Earner 2'!$B$6:$B$17&lt;=$B28)*('Changes — Earner 2'!$B$6:$B$17&lt;&gt;"")*('Changes — Earner 2'!$D$6:$D$17="Health FSA"))&gt;0,1,0))</f>
      </c>
      <c r="BT28" s="6">
        <f>IF($B28="","",IF(SUMPRODUCT(('Changes — Earner 2'!$C$6:$C$17="Deduction start")*('Changes — Earner 2'!$B$6:$B$17&lt;=$B28)*('Changes — Earner 2'!$B$6:$B$17&lt;&gt;"")*('Changes — Earner 2'!$D$6:$D$17="Dependent-care FSA"))&gt;0,1,0))</f>
      </c>
      <c r="BU28" s="24">
        <f>IF($B28="","",IF('Second Earner'!$C$13,SUMPRODUCT(($AH28&gt;=INDEX('How This Works &amp; Sources'!$B$29:$J$36,0,IF('Second Earner'!$C$12="MFJ",1,IF('Second Earner'!$C$12="HoH",7,4))))*INDEX('How This Works &amp; Sources'!$B$29:$J$36,0,IF('Second Earner'!$C$12="MFJ",1,IF('Second Earner'!$C$12="HoH",7,4))+2)),SUMPRODUCT(($AH28&gt;=INDEX('How This Works &amp; Sources'!$B$19:$J$26,0,IF('Second Earner'!$C$12="MFJ",1,IF('Second Earner'!$C$12="HoH",7,4))))*INDEX('How This Works &amp; Sources'!$B$19:$J$26,0,IF('Second Earner'!$C$12="MFJ",1,IF('Second Earner'!$C$12="HoH",7,4))+2))))</f>
      </c>
      <c r="BV28" s="24">
        <f>IF($B28="","",IF($BZ28&lt;&gt;"",$BZ28,IF($CA28&lt;&gt;"",$CA28,IF($CB28&lt;&gt;"",$CB28,IF($CC28&lt;&gt;"",$CC28,0)))))</f>
      </c>
      <c r="BW28" s="7">
        <f>IF($B28="","",IF($AN28="AR",SUMPRODUCT(($AZ28&gt;INDEX('How This Works &amp; Sources'!$B$82:$J$86,0,7))*($AZ28-INDEX('How This Works &amp; Sources'!$B$82:$J$86,0,7))*INDEX('How This Works &amp; Sources'!$B$82:$J$86,0,7+2)),IF($AN28="MD",IF(OR($AU28="Married",$AU28="Head of household"),SUMPRODUCT(($AZ28&gt;INDEX('How This Works &amp; Sources'!$B$114:$J$120,0,1))*($AZ28-INDEX('How This Works &amp; Sources'!$B$114:$J$120,0,1))*INDEX('How This Works &amp; Sources'!$B$114:$J$120,0,1+2)),SUMPRODUCT(($AZ28&gt;INDEX('How This Works &amp; Sources'!$B$103:$J$109,0,7))*($AZ28-INDEX('How This Works &amp; Sources'!$B$103:$J$109,0,7))*INDEX('How This Works &amp; Sources'!$B$103:$J$109,0,7+2))),IF($AN28="MT",IF($AU28="Head of household",SUMPRODUCT(($AZ28&gt;INDEX('How This Works &amp; Sources'!$B$137:$J$139,0,1))*($AZ28-INDEX('How This Works &amp; Sources'!$B$137:$J$139,0,1))*INDEX('How This Works &amp; Sources'!$B$137:$J$139,0,1+2)),IF($AU28="Married",SUMPRODUCT(($AZ28&gt;INDEX('How This Works &amp; Sources'!$B$125:$J$132,0,7))*($AZ28-INDEX('How This Works &amp; Sources'!$B$125:$J$132,0,7))*INDEX('How This Works &amp; Sources'!$B$125:$J$132,0,7+2)),SUMPRODUCT(($AZ28&gt;INDEX('How This Works &amp; Sources'!$B$125:$J$132,0,4))*($AZ28-INDEX('How This Works &amp; Sources'!$B$125:$J$132,0,4))*INDEX('How This Works &amp; Sources'!$B$125:$J$132,0,4+2)))),IF($AN28="ND",IF($AU28="Head of household",SUMPRODUCT(($AZ28&gt;INDEX('How This Works &amp; Sources'!$B$144:$J$150,0,1))*($AZ28-INDEX('How This Works &amp; Sources'!$B$144:$J$150,0,1))*INDEX('How This Works &amp; Sources'!$B$144:$J$150,0,1+2)),IF($AU28="Married",SUMPRODUCT(($AZ28&gt;INDEX('How This Works &amp; Sources'!$B$137:$J$139,0,7))*($AZ28-INDEX('How This Works &amp; Sources'!$B$137:$J$139,0,7))*INDEX('How This Works &amp; Sources'!$B$137:$J$139,0,7+2)),SUMPRODUCT(($AZ28&gt;INDEX('How This Works &amp; Sources'!$B$137:$J$139,0,4))*($AZ28-INDEX('How This Works &amp; Sources'!$B$137:$J$139,0,4))*INDEX('How This Works &amp; Sources'!$B$137:$J$139,0,4+2)))),IF($AN28="NJ",IF('Second Earner'!$C$77="B",SUMPRODUCT(($AZ28&gt;INDEX('How This Works &amp; Sources'!$B$155:$J$162,0,4))*($AZ28-INDEX('How This Works &amp; Sources'!$B$155:$J$162,0,4))*INDEX('How This Works &amp; Sources'!$B$155:$J$162,0,4+2)),IF('Second Earner'!$C$77="C",SUMPRODUCT(($AZ28&gt;INDEX('How This Works &amp; Sources'!$B$155:$J$162,0,7))*($AZ28-INDEX('How This Works &amp; Sources'!$B$155:$J$162,0,7))*INDEX('How This Works &amp; Sources'!$B$155:$J$162,0,7+2)),IF('Second Earner'!$C$77="D",SUMPRODUCT(($AZ28&gt;INDEX('How This Works &amp; Sources'!$B$167:$J$179,0,1))*($AZ28-INDEX('How This Works &amp; Sources'!$B$167:$J$179,0,1))*INDEX('How This Works &amp; Sources'!$B$167:$J$179,0,1+2)),IF('Second Earner'!$C$77="E",SUMPRODUCT(($AZ28&gt;INDEX('How This Works &amp; Sources'!$B$167:$J$179,0,4))*($AZ28-INDEX('How This Works &amp; Sources'!$B$167:$J$179,0,4))*INDEX('How This Works &amp; Sources'!$B$167:$J$179,0,4+2)),SUMPRODUCT(($AZ28&gt;INDEX('How This Works &amp; Sources'!$B$155:$J$162,0,1))*($AZ28-INDEX('How This Works &amp; Sources'!$B$155:$J$162,0,1))*INDEX('How This Works &amp; Sources'!$B$155:$J$162,0,1+2)))))),IF($AN28="NY",IF($AU28="Married",IF($AZ28&gt;=2155350,$AZ28*IF($AZ28&gt;25000000,0.117,IF($AZ28&gt;5000000,0.111,0.1045)),SUMPRODUCT(($AZ28&gt;INDEX('How This Works &amp; Sources'!$B$184:$J$198,0,1))*($AZ28-INDEX('How This Works &amp; Sources'!$B$184:$J$198,0,1))*INDEX('How This Works &amp; Sources'!$B$184:$J$198,0,1+2))),IF($AZ28&gt;=1077550,$AZ28*IF($AZ28&gt;25000000,0.117,IF($AZ28&gt;5000000,0.111,0.1045)),SUMPRODUCT(($AZ28&gt;INDEX('How This Works &amp; Sources'!$B$167:$J$179,0,7))*($AZ28-INDEX('How This Works &amp; Sources'!$B$167:$J$179,0,7))*INDEX('How This Works &amp; Sources'!$B$167:$J$179,0,7+2)))),"")))))))</f>
      </c>
      <c r="BX28" s="7">
        <f>IF($B28="","",IF($AN28="AL",IF(OR($AU28="Married",$AU28="Head of household"),SUMPRODUCT(($AZ28&gt;INDEX('How This Works &amp; Sources'!$B$82:$J$86,0,4))*($AZ28-INDEX('How This Works &amp; Sources'!$B$82:$J$86,0,4))*INDEX('How This Works &amp; Sources'!$B$82:$J$86,0,4+2)),SUMPRODUCT(($AZ28&gt;INDEX('How This Works &amp; Sources'!$B$82:$J$86,0,1))*($AZ28-INDEX('How This Works &amp; Sources'!$B$82:$J$86,0,1))*INDEX('How This Works &amp; Sources'!$B$82:$J$86,0,1+2))),IF($AN28="KS",IF($AU28="Married",SUMPRODUCT(($AZ28&gt;INDEX('How This Works &amp; Sources'!$B$103:$J$109,0,4))*($AZ28-INDEX('How This Works &amp; Sources'!$B$103:$J$109,0,4))*INDEX('How This Works &amp; Sources'!$B$103:$J$109,0,4+2)),SUMPRODUCT(($AZ28&gt;INDEX('How This Works &amp; Sources'!$B$103:$J$109,0,1))*($AZ28-INDEX('How This Works &amp; Sources'!$B$103:$J$109,0,1))*INDEX('How This Works &amp; Sources'!$B$103:$J$109,0,1+2))),IF($AN28="MN",IF($AU28="Married",SUMPRODUCT(($AZ28&gt;INDEX('How This Works &amp; Sources'!$B$114:$J$120,0,7))*($AZ28-INDEX('How This Works &amp; Sources'!$B$114:$J$120,0,7))*INDEX('How This Works &amp; Sources'!$B$114:$J$120,0,7+2)),SUMPRODUCT(($AZ28&gt;INDEX('How This Works &amp; Sources'!$B$114:$J$120,0,4))*($AZ28-INDEX('How This Works &amp; Sources'!$B$114:$J$120,0,4))*INDEX('How This Works &amp; Sources'!$B$114:$J$120,0,4+2))),IF($AN28="MO",SUMPRODUCT(($AZ28&gt;INDEX('How This Works &amp; Sources'!$B$125:$J$132,0,1))*($AZ28-INDEX('How This Works &amp; Sources'!$B$125:$J$132,0,1))*INDEX('How This Works &amp; Sources'!$B$125:$J$132,0,1+2)),IF($AN28="NE",MAX(IF($AU28="Married",SUMPRODUCT(($AZ28&gt;INDEX('How This Works &amp; Sources'!$B$144:$J$150,0,7))*($AZ28-INDEX('How This Works &amp; Sources'!$B$144:$J$150,0,7))*INDEX('How This Works &amp; Sources'!$B$144:$J$150,0,7+2)),SUMPRODUCT(($AZ28&gt;INDEX('How This Works &amp; Sources'!$B$144:$J$150,0,4))*($AZ28-INDEX('How This Works &amp; Sources'!$B$144:$J$150,0,4))*INDEX('How This Works &amp; Sources'!$B$144:$J$150,0,4+2))),0.015*$AZ28),IF($AN28="OH",IF($B28&gt;=DATE(2026,8,1),SUMPRODUCT(($AZ28&gt;INDEX('How This Works &amp; Sources'!$B$203:$J$206,0,1))*($AZ28-INDEX('How This Works &amp; Sources'!$B$203:$J$206,0,1))*INDEX('How This Works &amp; Sources'!$B$203:$J$206,0,1+2)),SUMPRODUCT(($AZ28&gt;INDEX('How This Works &amp; Sources'!$B$184:$J$198,0,7))*($AZ28-INDEX('How This Works &amp; Sources'!$B$184:$J$198,0,7))*INDEX('How This Works &amp; Sources'!$B$184:$J$198,0,7+2))),IF($AN28="OK",IF($AU28="Married",SUMPRODUCT(($AZ28&gt;INDEX('How This Works &amp; Sources'!$B$203:$J$206,0,7))*($AZ28-INDEX('How This Works &amp; Sources'!$B$203:$J$206,0,7))*INDEX('How This Works &amp; Sources'!$B$203:$J$206,0,7+2)),SUMPRODUCT(($AZ28&gt;INDEX('How This Works &amp; Sources'!$B$203:$J$206,0,4))*($AZ28-INDEX('How This Works &amp; Sources'!$B$203:$J$206,0,4))*INDEX('How This Works &amp; Sources'!$B$203:$J$206,0,4+2))),IF($AN28="VT",IF($AU28="Married",SUMPRODUCT(($AZ28&gt;INDEX('How This Works &amp; Sources'!$B$228:$J$232,0,1))*($AZ28-INDEX('How This Works &amp; Sources'!$B$228:$J$232,0,1))*INDEX('How This Works &amp; Sources'!$B$228:$J$232,0,1+2)),SUMPRODUCT(($AZ28&gt;INDEX('How This Works &amp; Sources'!$B$219:$J$223,0,7))*($AZ28-INDEX('How This Works &amp; Sources'!$B$219:$J$223,0,7))*INDEX('How This Works &amp; Sources'!$B$219:$J$223,0,7+2))),IF($AN28="WV",IF($AU28="Married",SUMPRODUCT(($AZ28&gt;INDEX('How This Works &amp; Sources'!$B$237:$J$241,0,7))*($AZ28-INDEX('How This Works &amp; Sources'!$B$237:$J$241,0,7))*INDEX('How This Works &amp; Sources'!$B$237:$J$241,0,7+2)),SUMPRODUCT(($AZ28&gt;INDEX('How This Works &amp; Sources'!$B$228:$J$232,0,7))*($AZ28-INDEX('How This Works &amp; Sources'!$B$228:$J$232,0,7))*INDEX('How This Works &amp; Sources'!$B$228:$J$232,0,7+2))),""))))))))))</f>
      </c>
      <c r="BY28" s="7">
        <f>IF($B28="","",IF($AN28="DE",SUMPRODUCT(($AZ28&gt;INDEX('How This Works &amp; Sources'!$B$91:$J$98,0,1))*($AZ28-INDEX('How This Works &amp; Sources'!$B$91:$J$98,0,1))*INDEX('How This Works &amp; Sources'!$B$91:$J$98,0,1+2)),IF($AN28="HI",IF($AU28="Married",SUMPRODUCT(($AZ28&gt;INDEX('How This Works &amp; Sources'!$B$91:$J$98,0,7))*($AZ28-INDEX('How This Works &amp; Sources'!$B$91:$J$98,0,7))*INDEX('How This Works &amp; Sources'!$B$91:$J$98,0,7+2)),SUMPRODUCT(($AZ28&gt;INDEX('How This Works &amp; Sources'!$B$91:$J$98,0,4))*($AZ28-INDEX('How This Works &amp; Sources'!$B$91:$J$98,0,4))*INDEX('How This Works &amp; Sources'!$B$91:$J$98,0,4+2))),IF($AN28="RI",SUMPRODUCT(($AZ28&gt;INDEX('How This Works &amp; Sources'!$B$211:$J$214,0,7))*($AZ28-INDEX('How This Works &amp; Sources'!$B$211:$J$214,0,7))*INDEX('How This Works &amp; Sources'!$B$211:$J$214,0,7+2)),IF($AN28="SC",SUMPRODUCT(($AZ28&gt;INDEX('How This Works &amp; Sources'!$B$219:$J$223,0,1))*($AZ28-INDEX('How This Works &amp; Sources'!$B$219:$J$223,0,1))*INDEX('How This Works &amp; Sources'!$B$219:$J$223,0,1+2)),IF($AN28="VA",SUMPRODUCT(($AZ28&gt;INDEX('How This Works &amp; Sources'!$B$219:$J$223,0,4))*($AZ28-INDEX('How This Works &amp; Sources'!$B$219:$J$223,0,4))*INDEX('How This Works &amp; Sources'!$B$219:$J$223,0,4+2)),IF($AN28="WI",SUMPRODUCT(($AZ28&gt;INDEX('How This Works &amp; Sources'!$B$228:$J$232,0,4))*($AZ28-INDEX('How This Works &amp; Sources'!$B$228:$J$232,0,4))*INDEX('How This Works &amp; Sources'!$B$228:$J$232,0,4+2)),"")))))))</f>
      </c>
      <c r="BZ28" s="24">
        <f>IF($B28="","",IF($AN28="KS",IF($AU28="Married",SUMPRODUCT(($AZ28&gt;=INDEX('How This Works &amp; Sources'!$B$103:$J$109,0,4))*INDEX('How This Works &amp; Sources'!$B$103:$J$109,0,4+2)),SUMPRODUCT(($AZ28&gt;=INDEX('How This Works &amp; Sources'!$B$103:$J$109,0,1))*INDEX('How This Works &amp; Sources'!$B$103:$J$109,0,1+2))),IF($AN28="MT",IF($AU28="Head of household",SUMPRODUCT(($AZ28&gt;=INDEX('How This Works &amp; Sources'!$B$137:$J$139,0,1))*INDEX('How This Works &amp; Sources'!$B$137:$J$139,0,1+2)),IF($AU28="Married",SUMPRODUCT(($AZ28&gt;=INDEX('How This Works &amp; Sources'!$B$125:$J$132,0,7))*INDEX('How This Works &amp; Sources'!$B$125:$J$132,0,7+2)),SUMPRODUCT(($AZ28&gt;=INDEX('How This Works &amp; Sources'!$B$125:$J$132,0,4))*INDEX('How This Works &amp; Sources'!$B$125:$J$132,0,4+2)))),IF($AN28="OR",IF(OR($AU28="Married",AND($AU28="Single",$AS28&gt;=3)),SUMPRODUCT((MAX(0,$AY28-MIN(($P28-'How This Works &amp; Sources'!$C$10*$D28)*'Second Earner'!$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Sources'!$B$211:$J$214,0,4))*INDEX('How This Works &amp; Sources'!$B$211:$J$214,0,4+2)),SUMPRODUCT((MAX(0,$AY28-MIN(($P28-'How This Works &amp; Sources'!$C$10*$D28)*'Second Earner'!$C$8,IF(OR($AU28="Married",AND($AU28="Single",$AS28&gt;=3)),IF($AY28&lt;250000,8750,IF($AY28&lt;260000,7000,IF($AY28&lt;270000,5250,IF($AY28&lt;280000,3500,IF($AY28&lt;290000,1750,0))))),IF($AY28&lt;125000,8750,IF($AY28&lt;130000,7000,IF($AY28&lt;135000,5250,IF($AY28&lt;140000,3500,IF($AY28&lt;145000,1750,0)))))))-IF(OR($AU28="Married",AND($AU28="Single",$AS28&gt;=3)),5820,2910))&gt;=INDEX('How This Works &amp; Sources'!$B$211:$J$214,0,1))*INDEX('How This Works &amp; Sources'!$B$211:$J$214,0,1+2)))*IF(($P28-'How This Works &amp; Sources'!$C$10*$D28)*'Second Earner'!$C$8&gt;=IF(OR($AU28="Married",AND($AU28="Single",$AS28&gt;=3)),IF($AY28&lt;250000,8750,IF($AY28&lt;260000,7000,IF($AY28&lt;270000,5250,IF($AY28&lt;280000,3500,IF($AY28&lt;290000,1750,0))))),IF($AY28&lt;125000,8750,IF($AY28&lt;130000,7000,IF($AY28&lt;135000,5250,IF($AY28&lt;140000,3500,IF($AY28&lt;145000,1750,0)))))),1,1-IF('Second Earner'!$C$13,SUMPRODUCT(($AH28&gt;=INDEX('How This Works &amp; Sources'!$B$29:$J$36,0,IF('Second Earner'!$C$12="MFJ",1,IF('Second Earner'!$C$12="HoH",7,4))))*INDEX('How This Works &amp; Sources'!$B$29:$J$36,0,IF('Second Earner'!$C$12="MFJ",1,IF('Second Earner'!$C$12="HoH",7,4))+2)),SUMPRODUCT(($AH28&gt;=INDEX('How This Works &amp; Sources'!$B$19:$J$26,0,IF('Second Earner'!$C$12="MFJ",1,IF('Second Earner'!$C$12="HoH",7,4))))*INDEX('How This Works &amp; Sources'!$B$19:$J$26,0,IF('Second Earner'!$C$12="MFJ",1,IF('Second Earner'!$C$12="HoH",7,4))+2)))),""))))</f>
      </c>
      <c r="CA28" s="24">
        <f>IF($B28="","",IF($AN28="CA",SUMPRODUCT(($AJ28&gt;=INDEX('How This Works &amp; Sources'!$B$39:$J$48,0,IF($AU28="Married",4,IF($AU28="Head of household",7,1))))*INDEX('How This Works &amp; Sources'!$B$39:$J$48,0,IF($AU28="Married",4,IF($AU28="Head of household",7,1))+2)),IF($AN28="AL",IF(OR($AU28="Married",$AU28="Head of household"),SUMPRODUCT(($AZ28&gt;=INDEX('How This Works &amp; Sources'!$B$82:$J$86,0,4))*INDEX('How This Works &amp; Sources'!$B$82:$J$86,0,4+2)),SUMPRODUCT(($AZ28&gt;=INDEX('How This Works &amp; Sources'!$B$82:$J$86,0,1))*INDEX('How This Works &amp; Sources'!$B$82:$J$86,0,1+2)))*(1-IF('Second Earner'!$C$13,SUMPRODUCT(($AH28&gt;=INDEX('How This Works &amp; Sources'!$B$29:$J$36,0,IF('Second Earner'!$C$12="MFJ",1,IF('Second Earner'!$C$12="HoH",7,4))))*INDEX('How This Works &amp; Sources'!$B$29:$J$36,0,IF('Second Earner'!$C$12="MFJ",1,IF('Second Earner'!$C$12="HoH",7,4))+2)),SUMPRODUCT(($AH28&gt;=INDEX('How This Works &amp; Sources'!$B$19:$J$26,0,IF('Second Earner'!$C$12="MFJ",1,IF('Second Earner'!$C$12="HoH",7,4))))*INDEX('How This Works &amp; Sources'!$B$19:$J$26,0,IF('Second Earner'!$C$12="MFJ",1,IF('Second Earner'!$C$12="HoH",7,4))+2)))),IF($AN28="ND",IF($AU28="Head of household",SUMPRODUCT(($AZ28&gt;=INDEX('How This Works &amp; Sources'!$B$144:$J$150,0,1))*INDEX('How This Works &amp; Sources'!$B$144:$J$150,0,1+2)),IF($AU28="Married",SUMPRODUCT(($AZ28&gt;=INDEX('How This Works &amp; Sources'!$B$137:$J$139,0,7))*INDEX('How This Works &amp; Sources'!$B$137:$J$139,0,7+2)),SUMPRODUCT(($AZ28&gt;=INDEX('How This Works &amp; Sources'!$B$137:$J$139,0,4))*INDEX('How This Works &amp; Sources'!$B$137:$J$139,0,4+2)))),IF($AN28="NJ",IF('Second Earner'!$C$77="B",SUMPRODUCT(($AZ28&gt;=INDEX('How This Works &amp; Sources'!$B$155:$J$162,0,4))*INDEX('How This Works &amp; Sources'!$B$155:$J$162,0,4+2)),IF('Second Earner'!$C$77="C",SUMPRODUCT(($AZ28&gt;=INDEX('How This Works &amp; Sources'!$B$155:$J$162,0,7))*INDEX('How This Works &amp; Sources'!$B$155:$J$162,0,7+2)),IF('Second Earner'!$C$77="D",SUMPRODUCT(($AZ28&gt;=INDEX('How This Works &amp; Sources'!$B$167:$J$179,0,1))*INDEX('How This Works &amp; Sources'!$B$167:$J$179,0,1+2)),IF('Second Earner'!$C$77="E",SUMPRODUCT(($AZ28&gt;=INDEX('How This Works &amp; Sources'!$B$167:$J$179,0,4))*INDEX('How This Works &amp; Sources'!$B$167:$J$179,0,4+2)),SUMPRODUCT(($AZ28&gt;=INDEX('How This Works &amp; Sources'!$B$155:$J$162,0,1))*INDEX('How This Works &amp; Sources'!$B$155:$J$162,0,1+2)))))),IF($AN28="NY",IF($AU28="Married",IF($AZ28&gt;=2155350,IF($AZ28&gt;25000000,0.117,IF($AZ28&gt;5000000,0.111,0.1045)),SUMPRODUCT(($AZ28&gt;=INDEX('How This Works &amp; Sources'!$B$184:$J$198,0,1))*INDEX('How This Works &amp; Sources'!$B$184:$J$198,0,1+2))),IF($AZ28&gt;=1077550,IF($AZ28&gt;25000000,0.117,IF($AZ28&gt;5000000,0.111,0.1045)),SUMPRODUCT(($AZ28&gt;=INDEX('How This Works &amp; Sources'!$B$167:$J$179,0,7))*INDEX('How This Works &amp; Sources'!$B$167:$J$179,0,7+2)))),IF($AN28="LA",0.0309,"")))))))</f>
      </c>
      <c r="CB28" s="24">
        <f>IF($B28="","",IF($AN28="HI",IF($AU28="Married",SUMPRODUCT(($AZ28&gt;=INDEX('How This Works &amp; Sources'!$B$91:$J$98,0,7))*INDEX('How This Works &amp; Sources'!$B$91:$J$98,0,7+2)),SUMPRODUCT(($AZ28&gt;=INDEX('How This Works &amp; Sources'!$B$91:$J$98,0,4))*INDEX('How This Works &amp; Sources'!$B$91:$J$98,0,4+2))),IF($AN28="MD",IF(OR($AU28="Married",$AU28="Head of household"),SUMPRODUCT(($AZ28&gt;=INDEX('How This Works &amp; Sources'!$B$114:$J$120,0,1))*INDEX('How This Works &amp; Sources'!$B$114:$J$120,0,1+2)),SUMPRODUCT(($AZ28&gt;=INDEX('How This Works &amp; Sources'!$B$103:$J$109,0,7))*INDEX('How This Works &amp; Sources'!$B$103:$J$109,0,7+2)))+'Second Earner'!$C$74,IF($AN28="MN",IF($AU28="Married",SUMPRODUCT(($AZ28&gt;=INDEX('How This Works &amp; Sources'!$B$114:$J$120,0,7))*INDEX('How This Works &amp; Sources'!$B$114:$J$120,0,7+2)),SUMPRODUCT(($AZ28&gt;=INDEX('How This Works &amp; Sources'!$B$114:$J$120,0,4))*INDEX('How This Works &amp; Sources'!$B$114:$J$120,0,4+2))),IF($AN28="MO",SUMPRODUCT(($AZ28&gt;=INDEX('How This Works &amp; Sources'!$B$125:$J$132,0,1))*INDEX('How This Works &amp; Sources'!$B$125:$J$132,0,1+2)),IF($AN28="NE",MAX(IF($AU28="Married",SUMPRODUCT(($AZ28&gt;=INDEX('How This Works &amp; Sources'!$B$144:$J$150,0,7))*INDEX('How This Works &amp; Sources'!$B$144:$J$150,0,7+2)),SUMPRODUCT(($AZ28&gt;=INDEX('How This Works &amp; Sources'!$B$144:$J$150,0,4))*INDEX('How This Works &amp; Sources'!$B$144:$J$150,0,4+2))),0.015),IF($AN28="OH",IF($B28&gt;=DATE(2026,8,1),SUMPRODUCT(($AZ28&gt;=INDEX('How This Works &amp; Sources'!$B$203:$J$206,0,1))*INDEX('How This Works &amp; Sources'!$B$203:$J$206,0,1+2)),SUMPRODUCT(($AZ28&gt;=INDEX('How This Works &amp; Sources'!$B$184:$J$198,0,7))*INDEX('How This Works &amp; Sources'!$B$184:$J$198,0,7+2))),IF($AN28="OK",IF($AU28="Married",SUMPRODUCT(($AZ28&gt;=INDEX('How This Works &amp; Sources'!$B$203:$J$206,0,7))*INDEX('How This Works &amp; Sources'!$B$203:$J$206,0,7+2)),SUMPRODUCT(($AZ28&gt;=INDEX('How This Works &amp; Sources'!$B$203:$J$206,0,4))*INDEX('How This Works &amp; Sources'!$B$203:$J$206,0,4+2))),IF($AN28="RI",SUMPRODUCT(($AZ28&gt;=INDEX('How This Works &amp; Sources'!$B$211:$J$214,0,7))*INDEX('How This Works &amp; Sources'!$B$211:$J$214,0,7+2)),IF($AN28="VT",IF($AU28="Married",SUMPRODUCT(($AZ28&gt;=INDEX('How This Works &amp; Sources'!$B$228:$J$232,0,1))*INDEX('How This Works &amp; Sources'!$B$228:$J$232,0,1+2)),SUMPRODUCT(($AZ28&gt;=INDEX('How This Works &amp; Sources'!$B$219:$J$223,0,7))*INDEX('How This Works &amp; Sources'!$B$219:$J$223,0,7+2))),IF($AN28="WV",IF($AU28="Married",SUMPRODUCT(($AZ28&gt;=INDEX('How This Works &amp; Sources'!$B$237:$J$241,0,7))*INDEX('How This Works &amp; Sources'!$B$237:$J$241,0,7+2)),SUMPRODUCT(($AZ28&gt;=INDEX('How This Works &amp; Sources'!$B$228:$J$232,0,7))*INDEX('How This Works &amp; Sources'!$B$228:$J$232,0,7+2))),IF($AN28="AZ",'Second Earner'!$C$82,IF($AN28="ID",IF($AY28&gt;IF($AU28="Married",32000,16094),0.053,0),"")))))))))))))</f>
      </c>
      <c r="CC28" s="24">
        <f>IF($B28="","",IF($AN28="AR",SUMPRODUCT(($AZ28&gt;=INDEX('How This Works &amp; Sources'!$B$82:$J$86,0,7))*INDEX('How This Works &amp; Sources'!$B$82:$J$86,0,7+2)),IF($AN28="DE",SUMPRODUCT(($AZ28&gt;=INDEX('How This Works &amp; Sources'!$B$91:$J$98,0,1))*INDEX('How This Works &amp; Sources'!$B$91:$J$98,0,1+2)),IF($AN28="SC",SUMPRODUCT(($AZ28&gt;=INDEX('How This Works &amp; Sources'!$B$219:$J$223,0,1))*INDEX('How This Works &amp; Sources'!$B$219:$J$223,0,1+2)),IF($AN28="VA",SUMPRODUCT(($AZ28&gt;=INDEX('How This Works &amp; Sources'!$B$219:$J$223,0,4))*INDEX('How This Works &amp; Sources'!$B$219:$J$223,0,4+2)),IF($AN28="WI",SUMPRODUCT(($AZ28&gt;=INDEX('How This Works &amp; Sources'!$B$228:$J$232,0,4))*INDEX('How This Works &amp; Sources'!$B$228:$J$232,0,4+2)),IF($AN28="CO",IF($AY28&gt;IF($AU28="Married",10000,5000),0.044,0),IF($AN28="IA",IF($AY28&gt;IF($AU28="Head of household",19500,IF($AU28="Married",26000,13000)),0.038,0),IF($AN28="IL",IF($AY28&gt;(2925*$AS28+1000*$AT28),0.0495,0),IF($AN28="IN",(0.0295+'Second Earner'!$C$76),IF($AN28="KY",IF($AI28&gt;3360,0.035,0),IF($AN28="MA",IF(MAX(0,$AY28-MIN(($BD27+$Q28+$R28+$S28),2000)-IF($AS28=0,0,IF($AS28=1,4400,1000*$AS28+3400)))&gt;=1107750,0.09,0.05),IF($AN28="MI",IF($AY28&gt;5900*$AS28,0.0425,0),IF($AN28="MS",IF($AI28-IF($AU28="Head of household",3400,IF($AU28="Married",4600,2300))-'Second Earner'!$C$85&gt;10000,0.04,0),IF($AN28="PA",0.0307,"")))))))))))))))</f>
      </c>
      <c r="CD28" s="21">
        <f>IF(YEAR(IF('Second Earner'!$C$7="Weekly",'Second Earner'!$C$9+7*(($BE27+1)-1),IF('Second Earner'!$C$7="Biweekly",'Second Earner'!$C$9+14*(($BE27+1)-1),IF('Second Earner'!$C$7="Semimonthly",DATE(YEAR('Second Earner'!$C$9),MONTH('Second Earner'!$C$9)+INT((($BE27+1)-1)/2),MIN(DAY('Second Earner'!$C$9),DAY(EOMONTH(DATE(YEAR('Second Earner'!$C$9),MONTH('Second Earner'!$C$9)+INT((($BE27+1)-1)/2),1),0))))+IF(MOD(($BE27+1)-1,2)=1,15,0),EDATE('Second Earner'!$C$9,($BE27+1)-1)))))&lt;&gt;'Second Earner'!$C$10,"",IF('Second Earner'!$C$7="Weekly",'Second Earner'!$C$9+7*(($BE27+1)-1),IF('Second Earner'!$C$7="Biweekly",'Second Earner'!$C$9+14*(($BE27+1)-1),IF('Second Earner'!$C$7="Semimonthly",DATE(YEAR('Second Earner'!$C$9),MONTH('Second Earner'!$C$9)+INT((($BE27+1)-1)/2),MIN(DAY('Second Earner'!$C$9),DAY(EOMONTH(DATE(YEAR('Second Earner'!$C$9),MONTH('Second Earner'!$C$9)+INT((($BE27+1)-1)/2),1),0))))+IF(MOD(($BE27+1)-1,2)=1,15,0),EDATE('Second Earner'!$C$9,($BE27+1)-1)))))</f>
      </c>
      <c r="CE28" s="21">
        <f>IF(MIN(IF(AND('Second Earner'!$C$58&gt;MAX($B$6:$B27),'Second Earner'!$C$58&gt;=DATE('Second Earner'!$C$10,1,1),'Second Earner'!$C$58&lt;=DATE('Second Earner'!$C$10,12,31)),'Second Earner'!$C$58,999999),IF(AND('Second Earner'!$C$59&gt;MAX($B$6:$B27),'Second Earner'!$C$59&gt;=DATE('Second Earner'!$C$10,1,1),'Second Earner'!$C$59&lt;=DATE('Second Earner'!$C$10,12,31)),'Second Earner'!$C$59,999999),IF(AND('Second Earner'!$C$60&gt;MAX($B$6:$B27),'Second Earner'!$C$60&gt;=DATE('Second Earner'!$C$10,1,1),'Second Earner'!$C$60&lt;=DATE('Second Earner'!$C$10,12,31)),'Second Earner'!$C$60,999999),IF(AND('Second Earner'!$C$61&gt;MAX($B$6:$B27),'Second Earner'!$C$61&gt;=DATE('Second Earner'!$C$10,1,1),'Second Earner'!$C$61&lt;=DATE('Second Earner'!$C$10,12,31)),'Second Earner'!$C$61,999999),IF(AND('Second Earner'!$C$62&gt;MAX($B$6:$B27),'Second Earner'!$C$62&gt;=DATE('Second Earner'!$C$10,1,1),'Second Earner'!$C$62&lt;=DATE('Second Earner'!$C$10,12,31)),'Second Earner'!$C$62,999999),IF(AND('Second Earner'!$C$63&gt;MAX($B$6:$B27),'Second Earner'!$C$63&gt;=DATE('Second Earner'!$C$10,1,1),'Second Earner'!$C$63&lt;=DATE('Second Earner'!$C$10,12,31)),'Second Earner'!$C$63,999999),IF(AND('Second Earner'!$C$64&gt;MAX($B$6:$B27),'Second Earner'!$C$64&gt;=DATE('Second Earner'!$C$10,1,1),'Second Earner'!$C$64&lt;=DATE('Second Earner'!$C$10,12,31)),'Second Earner'!$C$64,999999),IF(AND('Second Earner'!$C$65&gt;MAX($B$6:$B27),'Second Earner'!$C$65&gt;=DATE('Second Earner'!$C$10,1,1),'Second Earner'!$C$65&lt;=DATE('Second Earner'!$C$10,12,31)),'Second Earner'!$C$65,999999),IF(AND('Second Earner'!$C$66&gt;MAX($B$6:$B27),'Second Earner'!$C$66&gt;=DATE('Second Earner'!$C$10,1,1),'Second Earner'!$C$66&lt;=DATE('Second Earner'!$C$10,12,31)),'Second Earner'!$C$66,999999),IF(AND('Second Earner'!$C$67&gt;MAX($B$6:$B27),'Second Earner'!$C$67&gt;=DATE('Second Earner'!$C$10,1,1),'Second Earner'!$C$67&lt;=DATE('Second Earner'!$C$10,12,31)),'Second Earner'!$C$67,999999))=999999,"",MIN(IF(AND('Second Earner'!$C$58&gt;MAX($B$6:$B27),'Second Earner'!$C$58&gt;=DATE('Second Earner'!$C$10,1,1),'Second Earner'!$C$58&lt;=DATE('Second Earner'!$C$10,12,31)),'Second Earner'!$C$58,999999),IF(AND('Second Earner'!$C$59&gt;MAX($B$6:$B27),'Second Earner'!$C$59&gt;=DATE('Second Earner'!$C$10,1,1),'Second Earner'!$C$59&lt;=DATE('Second Earner'!$C$10,12,31)),'Second Earner'!$C$59,999999),IF(AND('Second Earner'!$C$60&gt;MAX($B$6:$B27),'Second Earner'!$C$60&gt;=DATE('Second Earner'!$C$10,1,1),'Second Earner'!$C$60&lt;=DATE('Second Earner'!$C$10,12,31)),'Second Earner'!$C$60,999999),IF(AND('Second Earner'!$C$61&gt;MAX($B$6:$B27),'Second Earner'!$C$61&gt;=DATE('Second Earner'!$C$10,1,1),'Second Earner'!$C$61&lt;=DATE('Second Earner'!$C$10,12,31)),'Second Earner'!$C$61,999999),IF(AND('Second Earner'!$C$62&gt;MAX($B$6:$B27),'Second Earner'!$C$62&gt;=DATE('Second Earner'!$C$10,1,1),'Second Earner'!$C$62&lt;=DATE('Second Earner'!$C$10,12,31)),'Second Earner'!$C$62,999999),IF(AND('Second Earner'!$C$63&gt;MAX($B$6:$B27),'Second Earner'!$C$63&gt;=DATE('Second Earner'!$C$10,1,1),'Second Earner'!$C$63&lt;=DATE('Second Earner'!$C$10,12,31)),'Second Earner'!$C$63,999999),IF(AND('Second Earner'!$C$64&gt;MAX($B$6:$B27),'Second Earner'!$C$64&gt;=DATE('Second Earner'!$C$10,1,1),'Second Earner'!$C$64&lt;=DATE('Second Earner'!$C$10,12,31)),'Second Earner'!$C$64,999999),IF(AND('Second Earner'!$C$65&gt;MAX($B$6:$B27),'Second Earner'!$C$65&gt;=DATE('Second Earner'!$C$10,1,1),'Second Earner'!$C$65&lt;=DATE('Second Earner'!$C$10,12,31)),'Second Earner'!$C$65,999999),IF(AND('Second Earner'!$C$66&gt;MAX($B$6:$B27),'Second Earner'!$C$66&gt;=DATE('Second Earner'!$C$10,1,1),'Second Earner'!$C$66&lt;=DATE('Second Earner'!$C$10,12,31)),'Second Earner'!$C$66,999999),IF(AND('Second Earner'!$C$67&gt;MAX($B$6:$B27),'Second Earner'!$C$67&gt;=DATE('Second Earner'!$C$10,1,1),'Second Earner'!$C$67&lt;=DATE('Second Earner'!$C$10,12,31)),'Second Earner'!$C$67,999999)))</f>
      </c>
      <c r="CF28">
        <f>IF($B28="","",IF($D28=0,$Y28,""))</f>
      </c>
    </row>
    <row r="29">
      <c r="A29" t="n">
        <v>24</v>
      </c>
      <c r="B29" s="21">
        <f>IF(AND($CD29="",$CE29=""),"",IF($CE29="",$CD29,IF($CD29="",$CE29,MIN($CD29,$CE29))))</f>
      </c>
      <c r="C29" s="7">
        <f>IF($B29="","",IF($BF29=0,0,IF('Second Earner'!$C$4="Annual salary",ROUND($AK29/IF(AND('Second Earner'!$C$88="Actual paydays",MONTH('Second Earner'!$C$9)=1),MAX(1,MAX($BE$6:$BE$68)),'Second Earner'!$C$8),2),$AK29)))</f>
      </c>
      <c r="D29" s="7">
        <f>IF($B29="","",SUMIF('Second Earner'!$C$58:$C$67,$B29,'Second Earner'!$D$58:$D$67))</f>
      </c>
      <c r="E29" s="7">
        <f>IF($B29="","",ROUND(MAX(0,MIN(IF($AL29="Percent",$AM29*($C29+$D29),$AM29),MAX(0,'Second Earner'!$C$34-$AC28))),2))</f>
      </c>
      <c r="F29" s="7">
        <f>IF($B29="","",ROUND(MAX(0,MIN(IF('Second Earner'!$C$32="Percent",'Second Earner'!$D$32*($C29+$D29),'Second Earner'!$D$32),MAX(0,'Second Earner'!$C$34-$AC28-$E29))),2))</f>
      </c>
      <c r="G29" s="7">
        <f>IF($B29="","",IF($BF29=0,0,ROUND(MAX(0,MIN($BL29,'Second Earner'!$C$37-'Second Earner'!$C$54-$BI28)),2)))</f>
      </c>
      <c r="H29" s="7">
        <f>IF($B29="","",IF(OR($BF29=0,$BQ29=1),0,ROUND(MAX(0,MIN(IF($BS29=1,ROUND(MAX(0,MIN($BJ29,'How This Works &amp; Sources'!$C$13)-$BG28)/MAX(1,MAX($BE$6:$BE$68)-($BE28)),2),ROUND(MIN($BJ29,'How This Works &amp; Sources'!$C$13)/'Second Earner'!$C$8,2)),MIN($BJ29,'How This Works &amp; Sources'!$C$13)-$BG28)),2)))</f>
      </c>
      <c r="I29" s="7">
        <f>IF($B29="","",IF(OR($BF29=0,$BR29=1),0,ROUND(MAX(0,MIN(IF($BT29=1,ROUND(MAX(0,MIN($BK29,IF('Second Earner'!$C$12="MFJ",'How This Works &amp; Sources'!$C$14,'How This Works &amp; Sources'!$C$15))-$BH28)/MAX(1,MAX($BE$6:$BE$68)-($BE28)),2),ROUND(MIN($BK29,IF('Second Earner'!$C$12="MFJ",'How This Works &amp; Sources'!$C$14,'How This Works &amp; Sources'!$C$15))/'Second Earner'!$C$8,2)),MIN($BK29,IF('Second Earner'!$C$12="MFJ",'How This Works &amp; Sources'!$C$14,'How This Works &amp; Sources'!$C$15))-$BH28)),2)))</f>
      </c>
      <c r="J29" s="7">
        <f>IF($B29="","",IF($BF29=0,0,$BM29))</f>
      </c>
      <c r="K29" s="7">
        <f>IF($B29="","",IF($BF29=0,0,$BN29+$BO29))</f>
      </c>
      <c r="L29" s="7">
        <f>IF($B29="","",IF($BF29=0,0,'Second Earner'!$D$46))</f>
      </c>
      <c r="M29" s="7">
        <f>IF($B29="","",$C29+$D29+$L29-$E29-$G29-$H29-$I29-$J29-$K29)</f>
      </c>
      <c r="N29" s="7">
        <f>IF($B29="","",$C29+$D29+$L29-$G29-$H29-$I29-$J29-$K29)</f>
      </c>
      <c r="O29" s="7">
        <f>IF($B29="","",$C29+$D29+$L29-$E29-$H29-$I29-$J29-$K29-IF(OR($AN29="CA",$AN29="NJ"),0,$G29))</f>
      </c>
      <c r="P29" s="7">
        <f>IF($B29="","",IF('Second Earner'!$C$18,0,ROUND(MAX(0,IF('Second Earner'!$C$13,SUMPRODUCT(($AH29&gt;INDEX('How This Works &amp; Sources'!$B$29:$J$36,0,IF('Second Earner'!$C$12="MFJ",1,IF('Second Earner'!$C$12="HoH",7,4))))*($AH29-INDEX('How This Works &amp; Sources'!$B$29:$J$36,0,IF('Second Earner'!$C$12="MFJ",1,IF('Second Earner'!$C$12="HoH",7,4))))*INDEX('How This Works &amp; Sources'!$B$29:$J$36,0,IF('Second Earner'!$C$12="MFJ",1,IF('Second Earner'!$C$12="HoH",7,4))+2)),SUMPRODUCT(($AH29&gt;INDEX('How This Works &amp; Sources'!$B$19:$J$26,0,IF('Second Earner'!$C$12="MFJ",1,IF('Second Earner'!$C$12="HoH",7,4))))*($AH29-INDEX('How This Works &amp; Sources'!$B$19:$J$26,0,IF('Second Earner'!$C$12="MFJ",1,IF('Second Earner'!$C$12="HoH",7,4))))*INDEX('How This Works &amp; Sources'!$B$19:$J$26,0,IF('Second Earner'!$C$12="MFJ",1,IF('Second Earner'!$C$12="HoH",7,4))+2)))/'Second Earner'!$C$8-$AO29/'Second Earner'!$C$8)+$AR29+IF('Second Earner'!$C$89="Aggregate",MAX(0,IF('Second Earner'!$C$13,SUMPRODUCT((($AH29+$D29)&gt;INDEX('How This Works &amp; Sources'!$B$29:$J$36,0,IF('Second Earner'!$C$12="MFJ",1,IF('Second Earner'!$C$12="HoH",7,4))))*(($AH29+$D29)-INDEX('How This Works &amp; Sources'!$B$29:$J$36,0,IF('Second Earner'!$C$12="MFJ",1,IF('Second Earner'!$C$12="HoH",7,4))))*INDEX('How This Works &amp; Sources'!$B$29:$J$36,0,IF('Second Earner'!$C$12="MFJ",1,IF('Second Earner'!$C$12="HoH",7,4))+2)),SUMPRODUCT((($AH29+$D29)&gt;INDEX('How This Works &amp; Sources'!$B$19:$J$26,0,IF('Second Earner'!$C$12="MFJ",1,IF('Second Earner'!$C$12="HoH",7,4))))*(($AH29+$D29)-INDEX('How This Works &amp; Sources'!$B$19:$J$26,0,IF('Second Earner'!$C$12="MFJ",1,IF('Second Earner'!$C$12="HoH",7,4))))*INDEX('How This Works &amp; Sources'!$B$19:$J$26,0,IF('Second Earner'!$C$12="MFJ",1,IF('Second Earner'!$C$12="HoH",7,4))+2)))-IF('Second Earner'!$C$13,SUMPRODUCT(($AH29&gt;INDEX('How This Works &amp; Sources'!$B$29:$J$36,0,IF('Second Earner'!$C$12="MFJ",1,IF('Second Earner'!$C$12="HoH",7,4))))*($AH29-INDEX('How This Works &amp; Sources'!$B$29:$J$36,0,IF('Second Earner'!$C$12="MFJ",1,IF('Second Earner'!$C$12="HoH",7,4))))*INDEX('How This Works &amp; Sources'!$B$29:$J$36,0,IF('Second Earner'!$C$12="MFJ",1,IF('Second Earner'!$C$12="HoH",7,4))+2)),SUMPRODUCT(($AH29&gt;INDEX('How This Works &amp; Sources'!$B$19:$J$26,0,IF('Second Earner'!$C$12="MFJ",1,IF('Second Earner'!$C$12="HoH",7,4))))*($AH29-INDEX('How This Works &amp; Sources'!$B$19:$J$26,0,IF('Second Earner'!$C$12="MFJ",1,IF('Second Earner'!$C$12="HoH",7,4))))*INDEX('How This Works &amp; Sources'!$B$19:$J$26,0,IF('Second Earner'!$C$12="MFJ",1,IF('Second Earner'!$C$12="HoH",7,4))+2)))),'How This Works &amp; Sources'!$C$10*$D29),2)))</f>
      </c>
      <c r="Q29" s="7">
        <f>IF($B29="","",ROUND('How This Works &amp; Sources'!$C$4*MIN($N29,MAX(0,'How This Works &amp; Sources'!$C$3-($AX29+$AB28-$AW29))),2))</f>
      </c>
      <c r="R29" s="7">
        <f>IF($B29="","",ROUND('How This Works &amp; Sources'!$C$5*$N29,2))</f>
      </c>
      <c r="S29" s="7">
        <f>IF($B29="","",ROUND('How This Works &amp; Sources'!$C$6*MAX(0,MIN($N29,$AG28+$N29-'How This Works &amp; Sources'!$C$7)),2))</f>
      </c>
      <c r="T29" s="7">
        <f>IF($B29="","",IF('Second Earner'!$C$26,0,IF($AN29="CA",ROUND(IF($AI29&lt;=IF(($AS29+$AT29)&gt;=2,VLOOKUP($AN29,StateTables!$A$6:$AB$56,10,FALSE),VLOOKUP($AN29,StateTables!$A$6:$AB$56,9,FALSE)),0,MAX(0,SUMPRODUCT(($AJ29&gt;INDEX('How This Works &amp; Sources'!$B$39:$J$48,0,IF($AU29="Married",4,IF($AU29="Head of household",7,1))))*($AJ29-INDEX('How This Works &amp; Sources'!$B$39:$J$48,0,IF($AU29="Married",4,IF($AU29="Head of household",7,1))))*INDEX('How This Works &amp; Sources'!$B$39:$J$48,0,IF($AU29="Married",4,IF($AU29="Head of household",7,1))+2))-VLOOKUP($AN29,StateTables!$A$6:$AB$56,11,FALSE)*$AS29)/'Second Earner'!$C$8)+'Second Earner'!$C$25+VLOOKUP($AN29,StateTables!$A$6:$AB$56,13,FALSE)*$D29,2),IF(VLOOKUP($AN29,StateTables!$A$6:$AB$56,4,FALSE)="None",0,IF(ISNUMBER(SEARCH("MANUAL",VLOOKUP($AN29,StateTables!$A$6:$AB$56,5,FALSE))),'Second Earner'!$C$28,ROUND(MAX(0,$BA29+$BB29)/'Second Earner'!$C$8+'Second Earner'!$C$25+$BC29,2))))))</f>
      </c>
      <c r="U29" s="7">
        <f>IF($B29="","",IF(VLOOKUP($AN29,StateTables!$A$6:$AB$56,24,FALSE)="flatq",IF(OR(MONTH($B29)=1,MONTH($B29)=4,MONTH($B29)=7,MONTH($B29)=10),VLOOKUP($AN29,StateTables!$A$6:$AB$56,25,FALSE),0),IF(VLOOKUP($AN29,StateTables!$A$6:$AB$56,24,FALSE)="dbl",MIN(ROUND(0.005*$N29,2),ROUND(0.6*52/'Second Earner'!$C$8,2)),IF(OR(VLOOKUP($AN29,StateTables!$A$6:$AB$56,15,FALSE)="",VLOOKUP($AN29,StateTables!$A$6:$AB$56,15,FALSE)=0),0,ROUND(VLOOKUP($AN29,StateTables!$A$6:$AB$56,15,FALSE)*IF(OR(VLOOKUP($AN29,StateTables!$A$6:$AB$56,16,FALSE)="",VLOOKUP($AN29,StateTables!$A$6:$AB$56,16,FALSE)=0),$N29,MIN($N29,MAX(0,VLOOKUP($AN29,StateTables!$A$6:$AB$56,16,FALSE)-($AX29+$AB28-$AW29)))),2))))+IF(VLOOKUP($AN29,StateTables!$A$6:$AB$56,27,FALSE)="flatq",IF(OR(MONTH($B29)=1,MONTH($B29)=4,MONTH($B29)=7,MONTH($B29)=10),VLOOKUP($AN29,StateTables!$A$6:$AB$56,28,FALSE),0),IF(VLOOKUP($AN29,StateTables!$A$6:$AB$56,27,FALSE)="dbl",MIN(ROUND(0.005*$N29,2),ROUND(0.6*52/'Second Earner'!$C$8,2)),IF(OR(VLOOKUP($AN29,StateTables!$A$6:$AB$56,18,FALSE)="",VLOOKUP($AN29,StateTables!$A$6:$AB$56,18,FALSE)=0),0,ROUND(VLOOKUP($AN29,StateTables!$A$6:$AB$56,18,FALSE)*IF(OR(VLOOKUP($AN29,StateTables!$A$6:$AB$56,19,FALSE)="",VLOOKUP($AN29,StateTables!$A$6:$AB$56,19,FALSE)=0),$N29,MIN($N29,MAX(0,VLOOKUP($AN29,StateTables!$A$6:$AB$56,19,FALSE)-($AX29+$AB28-$AW29)))),2)))))</f>
      </c>
      <c r="V29" s="7">
        <f>IF($B29="","",IF($AN29="NY",IF('Second Earner'!$C$78,ROUND(SUMPRODUCT((MAX(0,($O29-$D29)*'Second Earner'!$C$8-(IF($AU29="Married",5500,5000)+1000*$AS29))&gt;INDEX('How This Works &amp; Sources'!$B$184:$J$198,0,4))*(MAX(0,($O29-$D29)*'Second Earner'!$C$8-(IF($AU29="Married",5500,5000)+1000*$AS29))-INDEX('How This Works &amp; Sources'!$B$184:$J$198,0,4))*INDEX('How This Works &amp; Sources'!$B$184:$J$198,0,4+2))/'Second Earner'!$C$8+0.0425*$D29,2),0)+IF('Second Earner'!$C$79="Resident",ROUND(0.1675*$T29,2),IF('Second Earner'!$C$79="Nonresident",ROUND(0.005*MAX(0,($O29-$D29)-(IF($AU29="Married",7950,7400)+1000*$AS29)/'Second Earner'!$C$8),2),0)),IF($AN29="PA",IF('Second Earner'!$C$80="None",'Second Earner'!$C$27+ROUND('Second Earner'!$C$81*($C29+$D29),2),ROUND(IF('Second Earner'!$C$80="Resident",IF($B29&lt;DATE(2026,7,1),0.0374,0.03735),IF($B29&lt;DATE(2026,7,1),0.0343,0.03425))*($C29+$D29),2)),IF($BF29=0,ROUND('Second Earner'!$C$81*($C29+$D29),2),'Second Earner'!$C$27+ROUND('Second Earner'!$C$81*($C29+$D29),2)))))</f>
      </c>
      <c r="W29" s="7">
        <f>IF($B29="","",IF($BF29=0,0,$BP29))</f>
      </c>
      <c r="X29" s="7">
        <f>IF($B29="","",SUM($E29:$K29)+$P29+$Q29+$R29+$S29+$T29+$U29+$V29+$W29)</f>
      </c>
      <c r="Y29" s="22">
        <f>IF($B29="","",$C29+$D29-$X29)</f>
      </c>
      <c r="Z29" s="7">
        <f>IF($B29="","",$Z28+$C29+$D29)</f>
      </c>
      <c r="AA29" s="7">
        <f>IF($B29="","",$AA28+$Y29)</f>
      </c>
      <c r="AB29" s="7">
        <f>IF($B29="","",$AB28+MIN($N29,MAX(0,'How This Works &amp; Sources'!$C$3-($AX29+$AB28-$AW29))))</f>
      </c>
      <c r="AC29" s="7">
        <f>IF($B29="","",$AC28+$E29+$F29)</f>
      </c>
      <c r="AD29" s="3">
        <f>IF($B29="","",IF(AND($AB28&lt;'How This Works &amp; Sources'!$C$3,$AB29&gt;='How This Works &amp; Sources'!$C$3),"★ Social Security maxed on this check — from the next check your net rises by about $"&amp;TEXT(ROUND('How This Works &amp; Sources'!$C$4*$N29,2),"#,##0.00")&amp;". ","")&amp;IF(AND($AC28&lt;'Second Earner'!$C$34,$AC29&gt;='Second Earner'!$C$34),"★ 401(k) reaches the $"&amp;TEXT('Second Earner'!$C$34,"#,##0")&amp;" cap on this check — deferrals stop and net pay rises. ","")&amp;IF(AND($AG28&lt;'How This Works &amp; Sources'!$C$7,$AG29&gt;='How This Works &amp; Sources'!$C$7),"★ Wages pass $200,000 — the 0.9% Additional Medicare Tax starts here. ","")&amp;IF(AND($BJ29&gt;0,$H29&gt;0,$BG28&lt;MIN($BJ29,'How This Works &amp; Sources'!$C$13),$BG28+$H29&gt;=MIN($BJ29,'How This Works &amp; Sources'!$C$13)),"★ Health FSA election is now fully deferred for the year. ",""))</f>
      </c>
      <c r="AE29" s="41" t="n"/>
      <c r="AF29" s="7">
        <f>IF(OR($B29="",$AE29=""),"",$AE29-$Y29)</f>
      </c>
      <c r="AG29" s="7">
        <f>IF($B29="","",$AG28+$N29)</f>
      </c>
      <c r="AH29" s="7">
        <f>IF($B29="","",MAX(0,($M29-$D29)*'Second Earner'!$C$8+$AP29-$AQ29-IF('Second Earner'!$C$13,0,IF('Second Earner'!$C$12="MFJ",'How This Works &amp; Sources'!$C$8,'How This Works &amp; Sources'!$C$9))))</f>
      </c>
      <c r="AI29" s="7">
        <f>IF($B29="","",$O29*'Second Earner'!$C$8)</f>
      </c>
      <c r="AJ29" s="7">
        <f>IF($B29="","",MAX(0,$AI29-VLOOKUP($AN29,StateTables!$A$6:$AB$56,12,FALSE)*$AT29-IF(($AS29+$AT29)&gt;=2,VLOOKUP($AN29,StateTables!$A$6:$AB$56,8,FALSE),VLOOKUP($AN29,StateTables!$A$6:$AB$56,7,FALSE))))</f>
      </c>
      <c r="AK29" s="7">
        <f>IF($B29="","",IFERROR(LOOKUP(2,1/(('Changes — Earner 2'!$C$6:$C$17="Salary change")*('Changes — Earner 2'!$B$6:$B$17&lt;=$B29)*('Changes — Earner 2'!$B$6:$B$17&lt;&gt;"")),'Changes — Earner 2'!$D$6:$D$17),IF('Second Earner'!$C$4="Annual salary",'Second Earner'!$C$5,'Second Earner'!$C$6)))</f>
      </c>
      <c r="AL29">
        <f>IF($B29="","",IFERROR(LOOKUP(2,1/(('Changes — Earner 2'!$C$6:$C$17="401(k) change")*('Changes — Earner 2'!$B$6:$B$17&lt;=$B29)*('Changes — Earner 2'!$B$6:$B$17&lt;&gt;"")),'Changes — Earner 2'!$D$6:$D$17),'Second Earner'!$C$30))</f>
      </c>
      <c r="AM29" s="7">
        <f>IF($B29="","",IFERROR(LOOKUP(2,1/(('Changes — Earner 2'!$C$6:$C$17="401(k) change")*('Changes — Earner 2'!$B$6:$B$17&lt;=$B29)*('Changes — Earner 2'!$B$6:$B$17&lt;&gt;"")),'Changes — Earner 2'!$E$6:$E$17),'Second Earner'!$D$31))</f>
      </c>
      <c r="AN29">
        <f>IF($B29="","",IFERROR(LOOKUP(2,1/(('Changes — Earner 2'!$C$6:$C$17="State move")*('Changes — Earner 2'!$B$6:$B$17&lt;=$B29)*('Changes — Earner 2'!$B$6:$B$17&lt;&gt;"")),'Changes — Earner 2'!$D$6:$D$17),'Second Earner'!$C$21))</f>
      </c>
      <c r="AO29" s="7">
        <f>IF($B29="","",IFERROR(LOOKUP(2,1/(('Changes — Earner 2'!$C$6:$C$17="W-4 change")*('Changes — Earner 2'!$B$6:$B$17&lt;=$B29)*('Changes — Earner 2'!$B$6:$B$17&lt;&gt;"")),'Changes — Earner 2'!$D$6:$D$17),'Second Earner'!$C$14))</f>
      </c>
      <c r="AP29" s="7">
        <f>IF($B29="","",IFERROR(LOOKUP(2,1/(('Changes — Earner 2'!$C$6:$C$17="W-4 change")*('Changes — Earner 2'!$B$6:$B$17&lt;=$B29)*('Changes — Earner 2'!$B$6:$B$17&lt;&gt;"")),'Changes — Earner 2'!$E$6:$E$17),'Second Earner'!$C$15))</f>
      </c>
      <c r="AQ29" s="7">
        <f>IF($B29="","",IFERROR(LOOKUP(2,1/(('Changes — Earner 2'!$C$6:$C$17="W-4 change")*('Changes — Earner 2'!$B$6:$B$17&lt;=$B29)*('Changes — Earner 2'!$B$6:$B$17&lt;&gt;"")),'Changes — Earner 2'!$F$6:$F$17),'Second Earner'!$C$16))</f>
      </c>
      <c r="AR29" s="7">
        <f>IF($B29="","",IFERROR(LOOKUP(2,1/(('Changes — Earner 2'!$C$6:$C$17="W-4 change")*('Changes — Earner 2'!$B$6:$B$17&lt;=$B29)*('Changes — Earner 2'!$B$6:$B$17&lt;&gt;"")),'Changes — Earner 2'!$G$6:$G$17),'Second Earner'!$C$17))</f>
      </c>
      <c r="AS29" s="6">
        <f>IF($B29="","",IFERROR(LOOKUP(2,1/((('Changes — Earner 2'!$C$6:$C$17="State move")+('Changes — Earner 2'!$C$6:$C$17="State cert change"))*('Changes — Earner 2'!$B$6:$B$17&lt;=$B29)*('Changes — Earner 2'!$B$6:$B$17&lt;&gt;"")),'Changes — Earner 2'!$F$6:$F$17),'Second Earner'!$C$23))</f>
      </c>
      <c r="AT29" s="6">
        <f>IF($B29="","",IFERROR(LOOKUP(2,1/((('Changes — Earner 2'!$C$6:$C$17="State move")+('Changes — Earner 2'!$C$6:$C$17="State cert change"))*('Changes — Earner 2'!$B$6:$B$17&lt;=$B29)*('Changes — Earner 2'!$B$6:$B$17&lt;&gt;"")),'Changes — Earner 2'!$G$6:$G$17),'Second Earner'!$C$24))</f>
      </c>
      <c r="AU29">
        <f>IF($B29="","",IFERROR(LOOKUP(2,1/(('Changes — Earner 2'!$C$6:$C$17="State move")*('Changes — Earner 2'!$B$6:$B$17&lt;=$B29)*('Changes — Earner 2'!$B$6:$B$17&lt;&gt;"")),'Changes — Earner 2'!$E$6:$E$17),'Second Earner'!$C$22))</f>
      </c>
      <c r="AV29" s="6">
        <f>IF($B29="","",1+COUNTIFS('Changes — Earner 2'!$C$6:$C$17,"Employer change",'Changes — Earner 2'!$B$6:$B$17,"&lt;="&amp;$B29,'Changes — Earner 2'!$B$6:$B$17,"&lt;&gt;"))</f>
      </c>
      <c r="AW29" s="7">
        <f>IF($B29="","",IF($AV29=1,'Second Earner'!$C$49,IF(IFERROR(MATCH(IFERROR(LOOKUP(2,1/(('Changes — Earner 2'!$C$6:$C$17="Employer change")*('Changes — Earner 2'!$B$6:$B$17&lt;=$B29)*('Changes — Earner 2'!$B$6:$B$17&lt;&gt;"")),'Changes — Earner 2'!$B$6:$B$17),""),$B$6:$B$68,1),1)&lt;=1,'Second Earner'!$C$49,INDEX($AB$6:$AB$68,MATCH(IFERROR(LOOKUP(2,1/(('Changes — Earner 2'!$C$6:$C$17="Employer change")*('Changes — Earner 2'!$B$6:$B$17&lt;=$B29)*('Changes — Earner 2'!$B$6:$B$17&lt;&gt;"")),'Changes — Earner 2'!$B$6:$B$17),""),$B$6:$B$68,1)-1))))</f>
      </c>
      <c r="AX29" s="7">
        <f>IF($B29="","",IF($AV29=1,'Second Earner'!$C$49,IFERROR(LOOKUP(2,1/(('Changes — Earner 2'!$C$6:$C$17="Employer change")*('Changes — Earner 2'!$B$6:$B$17&lt;=$B29)*('Changes — Earner 2'!$B$6:$B$17&lt;&gt;"")),'Changes — Earner 2'!$D$6:$D$17),0)))</f>
      </c>
      <c r="AY29" s="7">
        <f>IF($B29="","",($O29-$D29)*'Second Earner'!$C$8)</f>
      </c>
      <c r="AZ29" s="7">
        <f>IF($B29="","",IF($AN29="AL",MAX(0,$AY29-IF($AU29="Married",IF($AY29&lt;=25999,8500,MAX(5000,8500-175*CEILING(($AY29-25999)/500,1))),IF($AU29="Head of household",IF($AY29&lt;=25999,5200,MAX(2500,5200-135*CEILING(($AY29-25999)/500,1))),IF($AY29&lt;=25999,3000,MAX(2500,3000-25*CEILING(($AY29-25999)/500,1)))))-($P29-'How This Works &amp; Sources'!$C$10*$D29)*'Second Earner'!$C$8-IF(OR($AU29="Married",$AU29="Head of household"),3000,1500)-$AT29*IF($AY29&lt;=50000,1000,IF($AY29&lt;=100000,500,300))),IF($AN29="AR",IF(MAX(0,$AY29-2470)&lt;97701,INT(MAX(0,$AY29-2470)/100)*100+50,MAX(0,$AY29-2470)),IF($AN29="DE",MAX(0,$AI29-3250),IF($AN29="HI",MAX(0,$AI29-1144*$AS29-4350),IF($AN29="KS",MAX(0,$AI29-(9160*IF($AU29="Married",2,1)+2320*$AT29+IF($AU29="Head of household",2320,0))),IF($AN29="MD",MAX(0,$AI29-3400-3200*$AS29),IF($AN29="MN",MAX(0,$AY29-5300*$AS29),IF($AN29="MO",MAX(0,$AI29-IF($AU29="Head of household",24150,IF($AU29="Married",IF('Second Earner'!$C$83,16100,32200),16100))),IF($AN29="MT",$AY29,IF($AN29="ND",($C29+$L29)*'Second Earner'!$C$8,IF($AN29="NE",MAX(0,$AY29-2440*$AS29),IF($AN29="NJ",MAX(0,$AY29-1000*$AS29),IF($AN29="NY",MAX(0,$AY29-(IF($AU29="Married",7950,7400)+1000*$AS29)),IF($AN29="OH",MAX(0,$AY29-650*$AS29),IF($AN29="OK",MAX(0,$AY29-1000*$AS29),IF($AN29="RI",MAX(0,$AI29-1000*$AS29),IF($AN29="SC",MAX(0,$AI29-5000*$AS29-IF($AS29=0,0,MIN(0.1*$AI29,7500))),IF($AN29="VA",MAX(0,$AI29-IF($AU29="Married",17500,8750)-930*$AS29-800*$AT29),IF($AN29="VT",MAX(0,$AI29-5400*$AS29),IF($AN29="WI",MAX(0,$AI29-MAX(0,IF($AU29="Married",9461-0.2*MAX(0,$AI29-25727),6702-0.12*MAX(0,$AI29-17780)))-400*$AS29),IF($AN29="WV",MAX(0,$AI29-2000*$AS29),$AI29))))))))))))))))))))))</f>
      </c>
      <c r="BA29" s="7">
        <f>IF($B29="","",IF($BW29&lt;&gt;"",$BW29,IF($BX29&lt;&gt;"",$BX29,IF($BY29&lt;&gt;"",$BY29,0))))</f>
      </c>
      <c r="BB29" s="7">
        <f>IF($B29="","",IF($AN29="AR",-29*$AS29,IF($AN29="DE",-110*$AS29,IF($AN29="MD",$AZ29*'Second Earner'!$C$74,IF($AN29="AZ",'Second Earner'!$C$82*($M29-$D29)*'Second Earner'!$C$8,IF($AN29="CO",0.044*MAX(0,$AY29-IF($AU29="Married",10000,5000)),IF($AN29="IA",MAX(0,0.038*MAX(0,$AY29-IF($AU29="Head of household",19500,IF($AU29="Married",26000,13000)))-40*$AS29),IF($AN29="ID",0.053*MAX(0,$AY29-IF($AU29="Married",32000,16094)),IF($AN29="IL",0.0495*MAX(0,$AY29-(2925*$AS29+1000*$AT29)),IF($AN29="IN",(0.0295+'Second Earner'!$C$76)*MAX(0,$AY29-(1000*$AS29+1500*$AT29+3000*'Second Earner'!$C$86)),IF($AN29="KY",0.035*MAX(0,$AI29-3360),IF($AN29="LA",IF('Second Earner'!$C$84="0",0.0309*$AI29,0.0309*MAX(0,$AI29-IF('Second Earner'!$C$84="2",25750,12875))),IF($AN29="MA",0.05*MIN(MAX(0,$AY29-MIN(($BD28+$Q29+$R29+$S29),2000)-IF($AS29=0,0,IF($AS29=1,4400,1000*$AS29+3400))),1107750)+0.09*MAX(0,MAX(0,$AY29-MIN(($BD28+$Q29+$R29+$S29),2000)-IF($AS29=0,0,IF($AS29=1,4400,1000*$AS29+3400)))-1107750)-IF($AU29="Head of household",120,0)-110*'Second Earner'!$C$75,IF($AN29="MI",0.0425*MAX(0,$AY29-5900*$AS29),IF($AN29="MS",0.04*MAX(0,$AI29-IF($AU29="Head of household",3400,IF($AU29="Married",4600,2300))-'Second Earner'!$C$85-10000),IF($AN29="OR",IF(OR($AU29="Married",AND($AU29="Single",$AS29&gt;=3)),SUMPRODUCT((MAX(0,$AY29-MIN(($P29-'How This Works &amp; Sources'!$C$10*$D29)*'Second Earner'!$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Sources'!$B$211:$J$214,0,4))*(MAX(0,$AY29-MIN(($P29-'How This Works &amp; Sources'!$C$10*$D29)*'Second Earner'!$C$8,IF(OR($AU29="Married",AND($AU29="Single",$AS29&gt;=3)),IF($AY29&lt;250000,8750,IF($AY29&lt;260000,7000,IF($AY29&lt;270000,5250,IF($AY29&lt;280000,3500,IF($AY29&lt;290000,1750,0))))),IF($AY29&lt;125000,8750,IF($AY29&lt;130000,7000,IF($AY29&lt;135000,5250,IF($AY29&lt;140000,3500,IF($AY29&lt;145000,1750,0)))))))-IF(OR($AU29="Married",AND($AU29="Single",$AS29&gt;=3)),5820,2910))-INDEX('How This Works &amp; Sources'!$B$211:$J$214,0,4))*INDEX('How This Works &amp; Sources'!$B$211:$J$214,0,4+2)),SUMPRODUCT((MAX(0,$AY29-MIN(($P29-'How This Works &amp; Sources'!$C$10*$D29)*'Second Earner'!$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Sources'!$B$211:$J$214,0,1))*(MAX(0,$AY29-MIN(($P29-'How This Works &amp; Sources'!$C$10*$D29)*'Second Earner'!$C$8,IF(OR($AU29="Married",AND($AU29="Single",$AS29&gt;=3)),IF($AY29&lt;250000,8750,IF($AY29&lt;260000,7000,IF($AY29&lt;270000,5250,IF($AY29&lt;280000,3500,IF($AY29&lt;290000,1750,0))))),IF($AY29&lt;125000,8750,IF($AY29&lt;130000,7000,IF($AY29&lt;135000,5250,IF($AY29&lt;140000,3500,IF($AY29&lt;145000,1750,0)))))))-IF(OR($AU29="Married",AND($AU29="Single",$AS29&gt;=3)),5820,2910))-INDEX('How This Works &amp; Sources'!$B$211:$J$214,0,1))*INDEX('How This Works &amp; Sources'!$B$211:$J$214,0,1+2)))+263-263*IF(IF($AU29="Married",$AY29&gt;200000,$AY29&gt;100000),0,$AS29),IF($AN29="PA",0.0307*(($O29+$E29+$G29)*'Second Earner'!$C$8),IF($AN29="NY",IF($AU29="Married",IF($AZ29&gt;=2155350,0,IF($AZ29&gt;=1077550,0.48,IF($AZ29&gt;=373200,1.21,IF($AZ29&gt;=323200,0.21,IF($AZ29&gt;=211550,-0.19,IF($AZ29&gt;=157650,-2.8,IF($AZ29&gt;=107650,-0.8,IF($AZ29&gt;=96800,0.05,IF($AZ29&gt;=80650,-0.1,IF($AZ29&gt;=13900,0.4,IF($AZ29&gt;=11700,-0.3,IF($AZ29&gt;=8500,0.5,0)))))))))))),IF($AZ29&gt;=1077550,0,IF($AZ29&gt;=265400,4.29,IF($AZ29&gt;=215400,2.29,IF($AZ29&gt;=157650,2.29,IF($AZ29&gt;=107650,0.29,IF($AZ29&gt;=96800,0.05,IF($AZ29&gt;=80650,-0.1,IF($AZ29&gt;=13900,0.4,IF($AZ29&gt;=11700,-0.3,IF($AZ29&gt;=8500,0.5,0))))))))))),0))))))))))))))))))</f>
      </c>
      <c r="BC29" s="7">
        <f>IF($B29="","",IF($AN29="AL",0.05*$D29,IF($AN29="AR",0.039*$D29,IF($AN29="ID",0.053*$D29,IF($AN29="IN",(0.0295+'Second Earner'!$C$76)*$D29,IF($AN29="KS",0.05*$D29,IF($AN29="MA",0.09*MIN($D29,MAX(0,MAX(0,$AY29-MIN(($BD28+$Q29+$R29+$S29),2000)-IF($AS29=0,0,IF($AS29=1,4400,1000*$AS29+3400)))+$D29-1107750))+0.05*($D29-MIN($D29,MAX(0,MAX(0,$AY29-MIN(($BD28+$Q29+$R29+$S29),2000)-IF($AS29=0,0,IF($AS29=1,4400,1000*$AS29+3400)))+$D29-1107750))),IF($AN29="MD",(0.065+'Second Earner'!$C$74)*$D29,IF($AN29="MI",0.0425*$D29,IF($AN29="MN",0.0625*$D29,IF($AN29="MO",0.047*$D29,IF($AN29="MT",0.05*$D29,IF($AN29="ND",0.015*$D29,IF($AN29="NE",0.035*$D29,IF($AN29="NJ",IF('Second Earner'!$C$77="B",SUMPRODUCT(($D29*'Second Earner'!$C$8&gt;INDEX('How This Works &amp; Sources'!$B$155:$J$162,0,4))*($D29*'Second Earner'!$C$8-INDEX('How This Works &amp; Sources'!$B$155:$J$162,0,4))*INDEX('How This Works &amp; Sources'!$B$155:$J$162,0,4+2)),IF('Second Earner'!$C$77="C",SUMPRODUCT(($D29*'Second Earner'!$C$8&gt;INDEX('How This Works &amp; Sources'!$B$155:$J$162,0,7))*($D29*'Second Earner'!$C$8-INDEX('How This Works &amp; Sources'!$B$155:$J$162,0,7))*INDEX('How This Works &amp; Sources'!$B$155:$J$162,0,7+2)),IF('Second Earner'!$C$77="D",SUMPRODUCT(($D29*'Second Earner'!$C$8&gt;INDEX('How This Works &amp; Sources'!$B$167:$J$179,0,1))*($D29*'Second Earner'!$C$8-INDEX('How This Works &amp; Sources'!$B$167:$J$179,0,1))*INDEX('How This Works &amp; Sources'!$B$167:$J$179,0,1+2)),IF('Second Earner'!$C$77="E",SUMPRODUCT(($D29*'Second Earner'!$C$8&gt;INDEX('How This Works &amp; Sources'!$B$167:$J$179,0,4))*($D29*'Second Earner'!$C$8-INDEX('How This Works &amp; Sources'!$B$167:$J$179,0,4))*INDEX('How This Works &amp; Sources'!$B$167:$J$179,0,4+2)),SUMPRODUCT(($D29*'Second Earner'!$C$8&gt;INDEX('How This Works &amp; Sources'!$B$155:$J$162,0,1))*($D29*'Second Earner'!$C$8-INDEX('How This Works &amp; Sources'!$B$155:$J$162,0,1))*INDEX('How This Works &amp; Sources'!$B$155:$J$162,0,1+2))))))/'Second Earner'!$C$8,IF($AN29="NY",0.117*$D29,IF($AN29="OH",0.0275*$D29,IF($AN29="OK",0.045*$D29,IF($AN29="OR",0.08*$D29,IF($AN29="WI",IF($AY29&lt;12760,0.0354,IF($AY29&lt;25520,0.0465,IF($AY29&lt;280950,0.053,0.0765)))*$D29,0))))))))))))))))))))</f>
      </c>
      <c r="BD29" s="7">
        <f>IF($B29="","",$BD28+$Q29+$R29+$S29)</f>
      </c>
      <c r="BE29" s="6">
        <f>IF($B29="",$BE28,$BE28+$BF29)</f>
      </c>
      <c r="BF29" s="6">
        <f>IF($B29="","",IF(AND(IF(YEAR(IF('Second Earner'!$C$7="Weekly",'Second Earner'!$C$9+7*(($BE28+1)-1),IF('Second Earner'!$C$7="Biweekly",'Second Earner'!$C$9+14*(($BE28+1)-1),IF('Second Earner'!$C$7="Semimonthly",DATE(YEAR('Second Earner'!$C$9),MONTH('Second Earner'!$C$9)+INT((($BE28+1)-1)/2),MIN(DAY('Second Earner'!$C$9),DAY(EOMONTH(DATE(YEAR('Second Earner'!$C$9),MONTH('Second Earner'!$C$9)+INT((($BE28+1)-1)/2),1),0))))+IF(MOD(($BE28+1)-1,2)=1,15,0),EDATE('Second Earner'!$C$9,($BE28+1)-1)))))&lt;&gt;'Second Earner'!$C$10,"",IF('Second Earner'!$C$7="Weekly",'Second Earner'!$C$9+7*(($BE28+1)-1),IF('Second Earner'!$C$7="Biweekly",'Second Earner'!$C$9+14*(($BE28+1)-1),IF('Second Earner'!$C$7="Semimonthly",DATE(YEAR('Second Earner'!$C$9),MONTH('Second Earner'!$C$9)+INT((($BE28+1)-1)/2),MIN(DAY('Second Earner'!$C$9),DAY(EOMONTH(DATE(YEAR('Second Earner'!$C$9),MONTH('Second Earner'!$C$9)+INT((($BE28+1)-1)/2),1),0))))+IF(MOD(($BE28+1)-1,2)=1,15,0),EDATE('Second Earner'!$C$9,($BE28+1)-1)))))&lt;&gt;"",$B29=IF(YEAR(IF('Second Earner'!$C$7="Weekly",'Second Earner'!$C$9+7*(($BE28+1)-1),IF('Second Earner'!$C$7="Biweekly",'Second Earner'!$C$9+14*(($BE28+1)-1),IF('Second Earner'!$C$7="Semimonthly",DATE(YEAR('Second Earner'!$C$9),MONTH('Second Earner'!$C$9)+INT((($BE28+1)-1)/2),MIN(DAY('Second Earner'!$C$9),DAY(EOMONTH(DATE(YEAR('Second Earner'!$C$9),MONTH('Second Earner'!$C$9)+INT((($BE28+1)-1)/2),1),0))))+IF(MOD(($BE28+1)-1,2)=1,15,0),EDATE('Second Earner'!$C$9,($BE28+1)-1)))))&lt;&gt;'Second Earner'!$C$10,"",IF('Second Earner'!$C$7="Weekly",'Second Earner'!$C$9+7*(($BE28+1)-1),IF('Second Earner'!$C$7="Biweekly",'Second Earner'!$C$9+14*(($BE28+1)-1),IF('Second Earner'!$C$7="Semimonthly",DATE(YEAR('Second Earner'!$C$9),MONTH('Second Earner'!$C$9)+INT((($BE28+1)-1)/2),MIN(DAY('Second Earner'!$C$9),DAY(EOMONTH(DATE(YEAR('Second Earner'!$C$9),MONTH('Second Earner'!$C$9)+INT((($BE28+1)-1)/2),1),0))))+IF(MOD(($BE28+1)-1,2)=1,15,0),EDATE('Second Earner'!$C$9,($BE28+1)-1)))))),1,0))</f>
      </c>
      <c r="BG29" s="7">
        <f>IF($B29="","",$BG28+$H29)</f>
      </c>
      <c r="BH29" s="7">
        <f>IF($B29="","",$BH28+$I29)</f>
      </c>
      <c r="BI29" s="7">
        <f>IF($B29="","",$BI28+$G29)</f>
      </c>
      <c r="BJ29" s="7">
        <f>IF($B29="","",IFERROR(LOOKUP(2,1/(((('Changes — Earner 2'!$C$6:$C$17="Deduction start"))*('Changes — Earner 2'!$D$6:$D$17="Health FSA"))*('Changes — Earner 2'!$B$6:$B$17&lt;=$B29)*('Changes — Earner 2'!$B$6:$B$17&lt;&gt;"")),'Changes — Earner 2'!$E$6:$E$17),'Second Earner'!$D$38))</f>
      </c>
      <c r="BK29" s="7">
        <f>IF($B29="","",IFERROR(LOOKUP(2,1/(((('Changes — Earner 2'!$C$6:$C$17="Deduction start"))*('Changes — Earner 2'!$D$6:$D$17="Dependent-care FSA"))*('Changes — Earner 2'!$B$6:$B$17&lt;=$B29)*('Changes — Earner 2'!$B$6:$B$17&lt;&gt;"")),'Changes — Earner 2'!$E$6:$E$17),'Second Earner'!$D$39))</f>
      </c>
      <c r="BL29" s="7">
        <f>IF($B29="","",IFERROR(LOOKUP(2,1/(((('Changes — Earner 2'!$C$6:$C$17="Deduction start")+('Changes — Earner 2'!$C$6:$C$17="Deduction stop"))*('Changes — Earner 2'!$D$6:$D$17="HSA"))*('Changes — Earner 2'!$B$6:$B$17&lt;=$B29)*('Changes — Earner 2'!$B$6:$B$17&lt;&gt;"")),'Changes — Earner 2'!$I$6:$I$17),'Second Earner'!$D$35))</f>
      </c>
      <c r="BM29" s="7">
        <f>IF($B29="","",IFERROR(LOOKUP(2,1/(((('Changes — Earner 2'!$C$6:$C$17="Deduction start")+('Changes — Earner 2'!$C$6:$C$17="Deduction stop"))*('Changes — Earner 2'!$D$6:$D$17="Premiums"))*('Changes — Earner 2'!$B$6:$B$17&lt;=$B29)*('Changes — Earner 2'!$B$6:$B$17&lt;&gt;"")),'Changes — Earner 2'!$I$6:$I$17),'Second Earner'!$D$40+'Second Earner'!$D$41+'Second Earner'!$D$42))</f>
      </c>
      <c r="BN29" s="7">
        <f>IF($B29="","",IFERROR(LOOKUP(2,1/(((('Changes — Earner 2'!$C$6:$C$17="Deduction start")+('Changes — Earner 2'!$C$6:$C$17="Deduction stop"))*('Changes — Earner 2'!$D$6:$D$17="Commuter"))*('Changes — Earner 2'!$B$6:$B$17&lt;=$B29)*('Changes — Earner 2'!$B$6:$B$17&lt;&gt;"")),'Changes — Earner 2'!$I$6:$I$17),'Second Earner'!$D$43))</f>
      </c>
      <c r="BO29" s="7">
        <f>IF($B29="","",IFERROR(LOOKUP(2,1/(((('Changes — Earner 2'!$C$6:$C$17="Deduction start")+('Changes — Earner 2'!$C$6:$C$17="Deduction stop"))*('Changes — Earner 2'!$D$6:$D$17="Other pre-tax"))*('Changes — Earner 2'!$B$6:$B$17&lt;=$B29)*('Changes — Earner 2'!$B$6:$B$17&lt;&gt;"")),'Changes — Earner 2'!$I$6:$I$17),'Second Earner'!$D$44))</f>
      </c>
      <c r="BP29" s="7">
        <f>IF($B29="","",IFERROR(LOOKUP(2,1/(((('Changes — Earner 2'!$C$6:$C$17="Deduction start")+('Changes — Earner 2'!$C$6:$C$17="Deduction stop"))*('Changes — Earner 2'!$D$6:$D$17="Other post-tax"))*('Changes — Earner 2'!$B$6:$B$17&lt;=$B29)*('Changes — Earner 2'!$B$6:$B$17&lt;&gt;"")),'Changes — Earner 2'!$I$6:$I$17),'Second Earner'!$D$45))</f>
      </c>
      <c r="BQ29" s="6">
        <f>IF($B29="","",IFERROR(LOOKUP(2,1/(((('Changes — Earner 2'!$C$6:$C$17="Deduction start")+('Changes — Earner 2'!$C$6:$C$17="Deduction stop"))*('Changes — Earner 2'!$D$6:$D$17="Health FSA"))*('Changes — Earner 2'!$B$6:$B$17&lt;=$B29)*('Changes — Earner 2'!$B$6:$B$17&lt;&gt;"")),'Changes — Earner 2'!$J$6:$J$17),0))</f>
      </c>
      <c r="BR29" s="6">
        <f>IF($B29="","",IFERROR(LOOKUP(2,1/(((('Changes — Earner 2'!$C$6:$C$17="Deduction start")+('Changes — Earner 2'!$C$6:$C$17="Deduction stop"))*('Changes — Earner 2'!$D$6:$D$17="Dependent-care FSA"))*('Changes — Earner 2'!$B$6:$B$17&lt;=$B29)*('Changes — Earner 2'!$B$6:$B$17&lt;&gt;"")),'Changes — Earner 2'!$J$6:$J$17),0))</f>
      </c>
      <c r="BS29" s="6">
        <f>IF($B29="","",IF(SUMPRODUCT(('Changes — Earner 2'!$C$6:$C$17="Deduction start")*('Changes — Earner 2'!$B$6:$B$17&lt;=$B29)*('Changes — Earner 2'!$B$6:$B$17&lt;&gt;"")*('Changes — Earner 2'!$D$6:$D$17="Health FSA"))&gt;0,1,0))</f>
      </c>
      <c r="BT29" s="6">
        <f>IF($B29="","",IF(SUMPRODUCT(('Changes — Earner 2'!$C$6:$C$17="Deduction start")*('Changes — Earner 2'!$B$6:$B$17&lt;=$B29)*('Changes — Earner 2'!$B$6:$B$17&lt;&gt;"")*('Changes — Earner 2'!$D$6:$D$17="Dependent-care FSA"))&gt;0,1,0))</f>
      </c>
      <c r="BU29" s="24">
        <f>IF($B29="","",IF('Second Earner'!$C$13,SUMPRODUCT(($AH29&gt;=INDEX('How This Works &amp; Sources'!$B$29:$J$36,0,IF('Second Earner'!$C$12="MFJ",1,IF('Second Earner'!$C$12="HoH",7,4))))*INDEX('How This Works &amp; Sources'!$B$29:$J$36,0,IF('Second Earner'!$C$12="MFJ",1,IF('Second Earner'!$C$12="HoH",7,4))+2)),SUMPRODUCT(($AH29&gt;=INDEX('How This Works &amp; Sources'!$B$19:$J$26,0,IF('Second Earner'!$C$12="MFJ",1,IF('Second Earner'!$C$12="HoH",7,4))))*INDEX('How This Works &amp; Sources'!$B$19:$J$26,0,IF('Second Earner'!$C$12="MFJ",1,IF('Second Earner'!$C$12="HoH",7,4))+2))))</f>
      </c>
      <c r="BV29" s="24">
        <f>IF($B29="","",IF($BZ29&lt;&gt;"",$BZ29,IF($CA29&lt;&gt;"",$CA29,IF($CB29&lt;&gt;"",$CB29,IF($CC29&lt;&gt;"",$CC29,0)))))</f>
      </c>
      <c r="BW29" s="7">
        <f>IF($B29="","",IF($AN29="AR",SUMPRODUCT(($AZ29&gt;INDEX('How This Works &amp; Sources'!$B$82:$J$86,0,7))*($AZ29-INDEX('How This Works &amp; Sources'!$B$82:$J$86,0,7))*INDEX('How This Works &amp; Sources'!$B$82:$J$86,0,7+2)),IF($AN29="MD",IF(OR($AU29="Married",$AU29="Head of household"),SUMPRODUCT(($AZ29&gt;INDEX('How This Works &amp; Sources'!$B$114:$J$120,0,1))*($AZ29-INDEX('How This Works &amp; Sources'!$B$114:$J$120,0,1))*INDEX('How This Works &amp; Sources'!$B$114:$J$120,0,1+2)),SUMPRODUCT(($AZ29&gt;INDEX('How This Works &amp; Sources'!$B$103:$J$109,0,7))*($AZ29-INDEX('How This Works &amp; Sources'!$B$103:$J$109,0,7))*INDEX('How This Works &amp; Sources'!$B$103:$J$109,0,7+2))),IF($AN29="MT",IF($AU29="Head of household",SUMPRODUCT(($AZ29&gt;INDEX('How This Works &amp; Sources'!$B$137:$J$139,0,1))*($AZ29-INDEX('How This Works &amp; Sources'!$B$137:$J$139,0,1))*INDEX('How This Works &amp; Sources'!$B$137:$J$139,0,1+2)),IF($AU29="Married",SUMPRODUCT(($AZ29&gt;INDEX('How This Works &amp; Sources'!$B$125:$J$132,0,7))*($AZ29-INDEX('How This Works &amp; Sources'!$B$125:$J$132,0,7))*INDEX('How This Works &amp; Sources'!$B$125:$J$132,0,7+2)),SUMPRODUCT(($AZ29&gt;INDEX('How This Works &amp; Sources'!$B$125:$J$132,0,4))*($AZ29-INDEX('How This Works &amp; Sources'!$B$125:$J$132,0,4))*INDEX('How This Works &amp; Sources'!$B$125:$J$132,0,4+2)))),IF($AN29="ND",IF($AU29="Head of household",SUMPRODUCT(($AZ29&gt;INDEX('How This Works &amp; Sources'!$B$144:$J$150,0,1))*($AZ29-INDEX('How This Works &amp; Sources'!$B$144:$J$150,0,1))*INDEX('How This Works &amp; Sources'!$B$144:$J$150,0,1+2)),IF($AU29="Married",SUMPRODUCT(($AZ29&gt;INDEX('How This Works &amp; Sources'!$B$137:$J$139,0,7))*($AZ29-INDEX('How This Works &amp; Sources'!$B$137:$J$139,0,7))*INDEX('How This Works &amp; Sources'!$B$137:$J$139,0,7+2)),SUMPRODUCT(($AZ29&gt;INDEX('How This Works &amp; Sources'!$B$137:$J$139,0,4))*($AZ29-INDEX('How This Works &amp; Sources'!$B$137:$J$139,0,4))*INDEX('How This Works &amp; Sources'!$B$137:$J$139,0,4+2)))),IF($AN29="NJ",IF('Second Earner'!$C$77="B",SUMPRODUCT(($AZ29&gt;INDEX('How This Works &amp; Sources'!$B$155:$J$162,0,4))*($AZ29-INDEX('How This Works &amp; Sources'!$B$155:$J$162,0,4))*INDEX('How This Works &amp; Sources'!$B$155:$J$162,0,4+2)),IF('Second Earner'!$C$77="C",SUMPRODUCT(($AZ29&gt;INDEX('How This Works &amp; Sources'!$B$155:$J$162,0,7))*($AZ29-INDEX('How This Works &amp; Sources'!$B$155:$J$162,0,7))*INDEX('How This Works &amp; Sources'!$B$155:$J$162,0,7+2)),IF('Second Earner'!$C$77="D",SUMPRODUCT(($AZ29&gt;INDEX('How This Works &amp; Sources'!$B$167:$J$179,0,1))*($AZ29-INDEX('How This Works &amp; Sources'!$B$167:$J$179,0,1))*INDEX('How This Works &amp; Sources'!$B$167:$J$179,0,1+2)),IF('Second Earner'!$C$77="E",SUMPRODUCT(($AZ29&gt;INDEX('How This Works &amp; Sources'!$B$167:$J$179,0,4))*($AZ29-INDEX('How This Works &amp; Sources'!$B$167:$J$179,0,4))*INDEX('How This Works &amp; Sources'!$B$167:$J$179,0,4+2)),SUMPRODUCT(($AZ29&gt;INDEX('How This Works &amp; Sources'!$B$155:$J$162,0,1))*($AZ29-INDEX('How This Works &amp; Sources'!$B$155:$J$162,0,1))*INDEX('How This Works &amp; Sources'!$B$155:$J$162,0,1+2)))))),IF($AN29="NY",IF($AU29="Married",IF($AZ29&gt;=2155350,$AZ29*IF($AZ29&gt;25000000,0.117,IF($AZ29&gt;5000000,0.111,0.1045)),SUMPRODUCT(($AZ29&gt;INDEX('How This Works &amp; Sources'!$B$184:$J$198,0,1))*($AZ29-INDEX('How This Works &amp; Sources'!$B$184:$J$198,0,1))*INDEX('How This Works &amp; Sources'!$B$184:$J$198,0,1+2))),IF($AZ29&gt;=1077550,$AZ29*IF($AZ29&gt;25000000,0.117,IF($AZ29&gt;5000000,0.111,0.1045)),SUMPRODUCT(($AZ29&gt;INDEX('How This Works &amp; Sources'!$B$167:$J$179,0,7))*($AZ29-INDEX('How This Works &amp; Sources'!$B$167:$J$179,0,7))*INDEX('How This Works &amp; Sources'!$B$167:$J$179,0,7+2)))),"")))))))</f>
      </c>
      <c r="BX29" s="7">
        <f>IF($B29="","",IF($AN29="AL",IF(OR($AU29="Married",$AU29="Head of household"),SUMPRODUCT(($AZ29&gt;INDEX('How This Works &amp; Sources'!$B$82:$J$86,0,4))*($AZ29-INDEX('How This Works &amp; Sources'!$B$82:$J$86,0,4))*INDEX('How This Works &amp; Sources'!$B$82:$J$86,0,4+2)),SUMPRODUCT(($AZ29&gt;INDEX('How This Works &amp; Sources'!$B$82:$J$86,0,1))*($AZ29-INDEX('How This Works &amp; Sources'!$B$82:$J$86,0,1))*INDEX('How This Works &amp; Sources'!$B$82:$J$86,0,1+2))),IF($AN29="KS",IF($AU29="Married",SUMPRODUCT(($AZ29&gt;INDEX('How This Works &amp; Sources'!$B$103:$J$109,0,4))*($AZ29-INDEX('How This Works &amp; Sources'!$B$103:$J$109,0,4))*INDEX('How This Works &amp; Sources'!$B$103:$J$109,0,4+2)),SUMPRODUCT(($AZ29&gt;INDEX('How This Works &amp; Sources'!$B$103:$J$109,0,1))*($AZ29-INDEX('How This Works &amp; Sources'!$B$103:$J$109,0,1))*INDEX('How This Works &amp; Sources'!$B$103:$J$109,0,1+2))),IF($AN29="MN",IF($AU29="Married",SUMPRODUCT(($AZ29&gt;INDEX('How This Works &amp; Sources'!$B$114:$J$120,0,7))*($AZ29-INDEX('How This Works &amp; Sources'!$B$114:$J$120,0,7))*INDEX('How This Works &amp; Sources'!$B$114:$J$120,0,7+2)),SUMPRODUCT(($AZ29&gt;INDEX('How This Works &amp; Sources'!$B$114:$J$120,0,4))*($AZ29-INDEX('How This Works &amp; Sources'!$B$114:$J$120,0,4))*INDEX('How This Works &amp; Sources'!$B$114:$J$120,0,4+2))),IF($AN29="MO",SUMPRODUCT(($AZ29&gt;INDEX('How This Works &amp; Sources'!$B$125:$J$132,0,1))*($AZ29-INDEX('How This Works &amp; Sources'!$B$125:$J$132,0,1))*INDEX('How This Works &amp; Sources'!$B$125:$J$132,0,1+2)),IF($AN29="NE",MAX(IF($AU29="Married",SUMPRODUCT(($AZ29&gt;INDEX('How This Works &amp; Sources'!$B$144:$J$150,0,7))*($AZ29-INDEX('How This Works &amp; Sources'!$B$144:$J$150,0,7))*INDEX('How This Works &amp; Sources'!$B$144:$J$150,0,7+2)),SUMPRODUCT(($AZ29&gt;INDEX('How This Works &amp; Sources'!$B$144:$J$150,0,4))*($AZ29-INDEX('How This Works &amp; Sources'!$B$144:$J$150,0,4))*INDEX('How This Works &amp; Sources'!$B$144:$J$150,0,4+2))),0.015*$AZ29),IF($AN29="OH",IF($B29&gt;=DATE(2026,8,1),SUMPRODUCT(($AZ29&gt;INDEX('How This Works &amp; Sources'!$B$203:$J$206,0,1))*($AZ29-INDEX('How This Works &amp; Sources'!$B$203:$J$206,0,1))*INDEX('How This Works &amp; Sources'!$B$203:$J$206,0,1+2)),SUMPRODUCT(($AZ29&gt;INDEX('How This Works &amp; Sources'!$B$184:$J$198,0,7))*($AZ29-INDEX('How This Works &amp; Sources'!$B$184:$J$198,0,7))*INDEX('How This Works &amp; Sources'!$B$184:$J$198,0,7+2))),IF($AN29="OK",IF($AU29="Married",SUMPRODUCT(($AZ29&gt;INDEX('How This Works &amp; Sources'!$B$203:$J$206,0,7))*($AZ29-INDEX('How This Works &amp; Sources'!$B$203:$J$206,0,7))*INDEX('How This Works &amp; Sources'!$B$203:$J$206,0,7+2)),SUMPRODUCT(($AZ29&gt;INDEX('How This Works &amp; Sources'!$B$203:$J$206,0,4))*($AZ29-INDEX('How This Works &amp; Sources'!$B$203:$J$206,0,4))*INDEX('How This Works &amp; Sources'!$B$203:$J$206,0,4+2))),IF($AN29="VT",IF($AU29="Married",SUMPRODUCT(($AZ29&gt;INDEX('How This Works &amp; Sources'!$B$228:$J$232,0,1))*($AZ29-INDEX('How This Works &amp; Sources'!$B$228:$J$232,0,1))*INDEX('How This Works &amp; Sources'!$B$228:$J$232,0,1+2)),SUMPRODUCT(($AZ29&gt;INDEX('How This Works &amp; Sources'!$B$219:$J$223,0,7))*($AZ29-INDEX('How This Works &amp; Sources'!$B$219:$J$223,0,7))*INDEX('How This Works &amp; Sources'!$B$219:$J$223,0,7+2))),IF($AN29="WV",IF($AU29="Married",SUMPRODUCT(($AZ29&gt;INDEX('How This Works &amp; Sources'!$B$237:$J$241,0,7))*($AZ29-INDEX('How This Works &amp; Sources'!$B$237:$J$241,0,7))*INDEX('How This Works &amp; Sources'!$B$237:$J$241,0,7+2)),SUMPRODUCT(($AZ29&gt;INDEX('How This Works &amp; Sources'!$B$228:$J$232,0,7))*($AZ29-INDEX('How This Works &amp; Sources'!$B$228:$J$232,0,7))*INDEX('How This Works &amp; Sources'!$B$228:$J$232,0,7+2))),""))))))))))</f>
      </c>
      <c r="BY29" s="7">
        <f>IF($B29="","",IF($AN29="DE",SUMPRODUCT(($AZ29&gt;INDEX('How This Works &amp; Sources'!$B$91:$J$98,0,1))*($AZ29-INDEX('How This Works &amp; Sources'!$B$91:$J$98,0,1))*INDEX('How This Works &amp; Sources'!$B$91:$J$98,0,1+2)),IF($AN29="HI",IF($AU29="Married",SUMPRODUCT(($AZ29&gt;INDEX('How This Works &amp; Sources'!$B$91:$J$98,0,7))*($AZ29-INDEX('How This Works &amp; Sources'!$B$91:$J$98,0,7))*INDEX('How This Works &amp; Sources'!$B$91:$J$98,0,7+2)),SUMPRODUCT(($AZ29&gt;INDEX('How This Works &amp; Sources'!$B$91:$J$98,0,4))*($AZ29-INDEX('How This Works &amp; Sources'!$B$91:$J$98,0,4))*INDEX('How This Works &amp; Sources'!$B$91:$J$98,0,4+2))),IF($AN29="RI",SUMPRODUCT(($AZ29&gt;INDEX('How This Works &amp; Sources'!$B$211:$J$214,0,7))*($AZ29-INDEX('How This Works &amp; Sources'!$B$211:$J$214,0,7))*INDEX('How This Works &amp; Sources'!$B$211:$J$214,0,7+2)),IF($AN29="SC",SUMPRODUCT(($AZ29&gt;INDEX('How This Works &amp; Sources'!$B$219:$J$223,0,1))*($AZ29-INDEX('How This Works &amp; Sources'!$B$219:$J$223,0,1))*INDEX('How This Works &amp; Sources'!$B$219:$J$223,0,1+2)),IF($AN29="VA",SUMPRODUCT(($AZ29&gt;INDEX('How This Works &amp; Sources'!$B$219:$J$223,0,4))*($AZ29-INDEX('How This Works &amp; Sources'!$B$219:$J$223,0,4))*INDEX('How This Works &amp; Sources'!$B$219:$J$223,0,4+2)),IF($AN29="WI",SUMPRODUCT(($AZ29&gt;INDEX('How This Works &amp; Sources'!$B$228:$J$232,0,4))*($AZ29-INDEX('How This Works &amp; Sources'!$B$228:$J$232,0,4))*INDEX('How This Works &amp; Sources'!$B$228:$J$232,0,4+2)),"")))))))</f>
      </c>
      <c r="BZ29" s="24">
        <f>IF($B29="","",IF($AN29="KS",IF($AU29="Married",SUMPRODUCT(($AZ29&gt;=INDEX('How This Works &amp; Sources'!$B$103:$J$109,0,4))*INDEX('How This Works &amp; Sources'!$B$103:$J$109,0,4+2)),SUMPRODUCT(($AZ29&gt;=INDEX('How This Works &amp; Sources'!$B$103:$J$109,0,1))*INDEX('How This Works &amp; Sources'!$B$103:$J$109,0,1+2))),IF($AN29="MT",IF($AU29="Head of household",SUMPRODUCT(($AZ29&gt;=INDEX('How This Works &amp; Sources'!$B$137:$J$139,0,1))*INDEX('How This Works &amp; Sources'!$B$137:$J$139,0,1+2)),IF($AU29="Married",SUMPRODUCT(($AZ29&gt;=INDEX('How This Works &amp; Sources'!$B$125:$J$132,0,7))*INDEX('How This Works &amp; Sources'!$B$125:$J$132,0,7+2)),SUMPRODUCT(($AZ29&gt;=INDEX('How This Works &amp; Sources'!$B$125:$J$132,0,4))*INDEX('How This Works &amp; Sources'!$B$125:$J$132,0,4+2)))),IF($AN29="OR",IF(OR($AU29="Married",AND($AU29="Single",$AS29&gt;=3)),SUMPRODUCT((MAX(0,$AY29-MIN(($P29-'How This Works &amp; Sources'!$C$10*$D29)*'Second Earner'!$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Sources'!$B$211:$J$214,0,4))*INDEX('How This Works &amp; Sources'!$B$211:$J$214,0,4+2)),SUMPRODUCT((MAX(0,$AY29-MIN(($P29-'How This Works &amp; Sources'!$C$10*$D29)*'Second Earner'!$C$8,IF(OR($AU29="Married",AND($AU29="Single",$AS29&gt;=3)),IF($AY29&lt;250000,8750,IF($AY29&lt;260000,7000,IF($AY29&lt;270000,5250,IF($AY29&lt;280000,3500,IF($AY29&lt;290000,1750,0))))),IF($AY29&lt;125000,8750,IF($AY29&lt;130000,7000,IF($AY29&lt;135000,5250,IF($AY29&lt;140000,3500,IF($AY29&lt;145000,1750,0)))))))-IF(OR($AU29="Married",AND($AU29="Single",$AS29&gt;=3)),5820,2910))&gt;=INDEX('How This Works &amp; Sources'!$B$211:$J$214,0,1))*INDEX('How This Works &amp; Sources'!$B$211:$J$214,0,1+2)))*IF(($P29-'How This Works &amp; Sources'!$C$10*$D29)*'Second Earner'!$C$8&gt;=IF(OR($AU29="Married",AND($AU29="Single",$AS29&gt;=3)),IF($AY29&lt;250000,8750,IF($AY29&lt;260000,7000,IF($AY29&lt;270000,5250,IF($AY29&lt;280000,3500,IF($AY29&lt;290000,1750,0))))),IF($AY29&lt;125000,8750,IF($AY29&lt;130000,7000,IF($AY29&lt;135000,5250,IF($AY29&lt;140000,3500,IF($AY29&lt;145000,1750,0)))))),1,1-IF('Second Earner'!$C$13,SUMPRODUCT(($AH29&gt;=INDEX('How This Works &amp; Sources'!$B$29:$J$36,0,IF('Second Earner'!$C$12="MFJ",1,IF('Second Earner'!$C$12="HoH",7,4))))*INDEX('How This Works &amp; Sources'!$B$29:$J$36,0,IF('Second Earner'!$C$12="MFJ",1,IF('Second Earner'!$C$12="HoH",7,4))+2)),SUMPRODUCT(($AH29&gt;=INDEX('How This Works &amp; Sources'!$B$19:$J$26,0,IF('Second Earner'!$C$12="MFJ",1,IF('Second Earner'!$C$12="HoH",7,4))))*INDEX('How This Works &amp; Sources'!$B$19:$J$26,0,IF('Second Earner'!$C$12="MFJ",1,IF('Second Earner'!$C$12="HoH",7,4))+2)))),""))))</f>
      </c>
      <c r="CA29" s="24">
        <f>IF($B29="","",IF($AN29="CA",SUMPRODUCT(($AJ29&gt;=INDEX('How This Works &amp; Sources'!$B$39:$J$48,0,IF($AU29="Married",4,IF($AU29="Head of household",7,1))))*INDEX('How This Works &amp; Sources'!$B$39:$J$48,0,IF($AU29="Married",4,IF($AU29="Head of household",7,1))+2)),IF($AN29="AL",IF(OR($AU29="Married",$AU29="Head of household"),SUMPRODUCT(($AZ29&gt;=INDEX('How This Works &amp; Sources'!$B$82:$J$86,0,4))*INDEX('How This Works &amp; Sources'!$B$82:$J$86,0,4+2)),SUMPRODUCT(($AZ29&gt;=INDEX('How This Works &amp; Sources'!$B$82:$J$86,0,1))*INDEX('How This Works &amp; Sources'!$B$82:$J$86,0,1+2)))*(1-IF('Second Earner'!$C$13,SUMPRODUCT(($AH29&gt;=INDEX('How This Works &amp; Sources'!$B$29:$J$36,0,IF('Second Earner'!$C$12="MFJ",1,IF('Second Earner'!$C$12="HoH",7,4))))*INDEX('How This Works &amp; Sources'!$B$29:$J$36,0,IF('Second Earner'!$C$12="MFJ",1,IF('Second Earner'!$C$12="HoH",7,4))+2)),SUMPRODUCT(($AH29&gt;=INDEX('How This Works &amp; Sources'!$B$19:$J$26,0,IF('Second Earner'!$C$12="MFJ",1,IF('Second Earner'!$C$12="HoH",7,4))))*INDEX('How This Works &amp; Sources'!$B$19:$J$26,0,IF('Second Earner'!$C$12="MFJ",1,IF('Second Earner'!$C$12="HoH",7,4))+2)))),IF($AN29="ND",IF($AU29="Head of household",SUMPRODUCT(($AZ29&gt;=INDEX('How This Works &amp; Sources'!$B$144:$J$150,0,1))*INDEX('How This Works &amp; Sources'!$B$144:$J$150,0,1+2)),IF($AU29="Married",SUMPRODUCT(($AZ29&gt;=INDEX('How This Works &amp; Sources'!$B$137:$J$139,0,7))*INDEX('How This Works &amp; Sources'!$B$137:$J$139,0,7+2)),SUMPRODUCT(($AZ29&gt;=INDEX('How This Works &amp; Sources'!$B$137:$J$139,0,4))*INDEX('How This Works &amp; Sources'!$B$137:$J$139,0,4+2)))),IF($AN29="NJ",IF('Second Earner'!$C$77="B",SUMPRODUCT(($AZ29&gt;=INDEX('How This Works &amp; Sources'!$B$155:$J$162,0,4))*INDEX('How This Works &amp; Sources'!$B$155:$J$162,0,4+2)),IF('Second Earner'!$C$77="C",SUMPRODUCT(($AZ29&gt;=INDEX('How This Works &amp; Sources'!$B$155:$J$162,0,7))*INDEX('How This Works &amp; Sources'!$B$155:$J$162,0,7+2)),IF('Second Earner'!$C$77="D",SUMPRODUCT(($AZ29&gt;=INDEX('How This Works &amp; Sources'!$B$167:$J$179,0,1))*INDEX('How This Works &amp; Sources'!$B$167:$J$179,0,1+2)),IF('Second Earner'!$C$77="E",SUMPRODUCT(($AZ29&gt;=INDEX('How This Works &amp; Sources'!$B$167:$J$179,0,4))*INDEX('How This Works &amp; Sources'!$B$167:$J$179,0,4+2)),SUMPRODUCT(($AZ29&gt;=INDEX('How This Works &amp; Sources'!$B$155:$J$162,0,1))*INDEX('How This Works &amp; Sources'!$B$155:$J$162,0,1+2)))))),IF($AN29="NY",IF($AU29="Married",IF($AZ29&gt;=2155350,IF($AZ29&gt;25000000,0.117,IF($AZ29&gt;5000000,0.111,0.1045)),SUMPRODUCT(($AZ29&gt;=INDEX('How This Works &amp; Sources'!$B$184:$J$198,0,1))*INDEX('How This Works &amp; Sources'!$B$184:$J$198,0,1+2))),IF($AZ29&gt;=1077550,IF($AZ29&gt;25000000,0.117,IF($AZ29&gt;5000000,0.111,0.1045)),SUMPRODUCT(($AZ29&gt;=INDEX('How This Works &amp; Sources'!$B$167:$J$179,0,7))*INDEX('How This Works &amp; Sources'!$B$167:$J$179,0,7+2)))),IF($AN29="LA",0.0309,"")))))))</f>
      </c>
      <c r="CB29" s="24">
        <f>IF($B29="","",IF($AN29="HI",IF($AU29="Married",SUMPRODUCT(($AZ29&gt;=INDEX('How This Works &amp; Sources'!$B$91:$J$98,0,7))*INDEX('How This Works &amp; Sources'!$B$91:$J$98,0,7+2)),SUMPRODUCT(($AZ29&gt;=INDEX('How This Works &amp; Sources'!$B$91:$J$98,0,4))*INDEX('How This Works &amp; Sources'!$B$91:$J$98,0,4+2))),IF($AN29="MD",IF(OR($AU29="Married",$AU29="Head of household"),SUMPRODUCT(($AZ29&gt;=INDEX('How This Works &amp; Sources'!$B$114:$J$120,0,1))*INDEX('How This Works &amp; Sources'!$B$114:$J$120,0,1+2)),SUMPRODUCT(($AZ29&gt;=INDEX('How This Works &amp; Sources'!$B$103:$J$109,0,7))*INDEX('How This Works &amp; Sources'!$B$103:$J$109,0,7+2)))+'Second Earner'!$C$74,IF($AN29="MN",IF($AU29="Married",SUMPRODUCT(($AZ29&gt;=INDEX('How This Works &amp; Sources'!$B$114:$J$120,0,7))*INDEX('How This Works &amp; Sources'!$B$114:$J$120,0,7+2)),SUMPRODUCT(($AZ29&gt;=INDEX('How This Works &amp; Sources'!$B$114:$J$120,0,4))*INDEX('How This Works &amp; Sources'!$B$114:$J$120,0,4+2))),IF($AN29="MO",SUMPRODUCT(($AZ29&gt;=INDEX('How This Works &amp; Sources'!$B$125:$J$132,0,1))*INDEX('How This Works &amp; Sources'!$B$125:$J$132,0,1+2)),IF($AN29="NE",MAX(IF($AU29="Married",SUMPRODUCT(($AZ29&gt;=INDEX('How This Works &amp; Sources'!$B$144:$J$150,0,7))*INDEX('How This Works &amp; Sources'!$B$144:$J$150,0,7+2)),SUMPRODUCT(($AZ29&gt;=INDEX('How This Works &amp; Sources'!$B$144:$J$150,0,4))*INDEX('How This Works &amp; Sources'!$B$144:$J$150,0,4+2))),0.015),IF($AN29="OH",IF($B29&gt;=DATE(2026,8,1),SUMPRODUCT(($AZ29&gt;=INDEX('How This Works &amp; Sources'!$B$203:$J$206,0,1))*INDEX('How This Works &amp; Sources'!$B$203:$J$206,0,1+2)),SUMPRODUCT(($AZ29&gt;=INDEX('How This Works &amp; Sources'!$B$184:$J$198,0,7))*INDEX('How This Works &amp; Sources'!$B$184:$J$198,0,7+2))),IF($AN29="OK",IF($AU29="Married",SUMPRODUCT(($AZ29&gt;=INDEX('How This Works &amp; Sources'!$B$203:$J$206,0,7))*INDEX('How This Works &amp; Sources'!$B$203:$J$206,0,7+2)),SUMPRODUCT(($AZ29&gt;=INDEX('How This Works &amp; Sources'!$B$203:$J$206,0,4))*INDEX('How This Works &amp; Sources'!$B$203:$J$206,0,4+2))),IF($AN29="RI",SUMPRODUCT(($AZ29&gt;=INDEX('How This Works &amp; Sources'!$B$211:$J$214,0,7))*INDEX('How This Works &amp; Sources'!$B$211:$J$214,0,7+2)),IF($AN29="VT",IF($AU29="Married",SUMPRODUCT(($AZ29&gt;=INDEX('How This Works &amp; Sources'!$B$228:$J$232,0,1))*INDEX('How This Works &amp; Sources'!$B$228:$J$232,0,1+2)),SUMPRODUCT(($AZ29&gt;=INDEX('How This Works &amp; Sources'!$B$219:$J$223,0,7))*INDEX('How This Works &amp; Sources'!$B$219:$J$223,0,7+2))),IF($AN29="WV",IF($AU29="Married",SUMPRODUCT(($AZ29&gt;=INDEX('How This Works &amp; Sources'!$B$237:$J$241,0,7))*INDEX('How This Works &amp; Sources'!$B$237:$J$241,0,7+2)),SUMPRODUCT(($AZ29&gt;=INDEX('How This Works &amp; Sources'!$B$228:$J$232,0,7))*INDEX('How This Works &amp; Sources'!$B$228:$J$232,0,7+2))),IF($AN29="AZ",'Second Earner'!$C$82,IF($AN29="ID",IF($AY29&gt;IF($AU29="Married",32000,16094),0.053,0),"")))))))))))))</f>
      </c>
      <c r="CC29" s="24">
        <f>IF($B29="","",IF($AN29="AR",SUMPRODUCT(($AZ29&gt;=INDEX('How This Works &amp; Sources'!$B$82:$J$86,0,7))*INDEX('How This Works &amp; Sources'!$B$82:$J$86,0,7+2)),IF($AN29="DE",SUMPRODUCT(($AZ29&gt;=INDEX('How This Works &amp; Sources'!$B$91:$J$98,0,1))*INDEX('How This Works &amp; Sources'!$B$91:$J$98,0,1+2)),IF($AN29="SC",SUMPRODUCT(($AZ29&gt;=INDEX('How This Works &amp; Sources'!$B$219:$J$223,0,1))*INDEX('How This Works &amp; Sources'!$B$219:$J$223,0,1+2)),IF($AN29="VA",SUMPRODUCT(($AZ29&gt;=INDEX('How This Works &amp; Sources'!$B$219:$J$223,0,4))*INDEX('How This Works &amp; Sources'!$B$219:$J$223,0,4+2)),IF($AN29="WI",SUMPRODUCT(($AZ29&gt;=INDEX('How This Works &amp; Sources'!$B$228:$J$232,0,4))*INDEX('How This Works &amp; Sources'!$B$228:$J$232,0,4+2)),IF($AN29="CO",IF($AY29&gt;IF($AU29="Married",10000,5000),0.044,0),IF($AN29="IA",IF($AY29&gt;IF($AU29="Head of household",19500,IF($AU29="Married",26000,13000)),0.038,0),IF($AN29="IL",IF($AY29&gt;(2925*$AS29+1000*$AT29),0.0495,0),IF($AN29="IN",(0.0295+'Second Earner'!$C$76),IF($AN29="KY",IF($AI29&gt;3360,0.035,0),IF($AN29="MA",IF(MAX(0,$AY29-MIN(($BD28+$Q29+$R29+$S29),2000)-IF($AS29=0,0,IF($AS29=1,4400,1000*$AS29+3400)))&gt;=1107750,0.09,0.05),IF($AN29="MI",IF($AY29&gt;5900*$AS29,0.0425,0),IF($AN29="MS",IF($AI29-IF($AU29="Head of household",3400,IF($AU29="Married",4600,2300))-'Second Earner'!$C$85&gt;10000,0.04,0),IF($AN29="PA",0.0307,"")))))))))))))))</f>
      </c>
      <c r="CD29" s="21">
        <f>IF(YEAR(IF('Second Earner'!$C$7="Weekly",'Second Earner'!$C$9+7*(($BE28+1)-1),IF('Second Earner'!$C$7="Biweekly",'Second Earner'!$C$9+14*(($BE28+1)-1),IF('Second Earner'!$C$7="Semimonthly",DATE(YEAR('Second Earner'!$C$9),MONTH('Second Earner'!$C$9)+INT((($BE28+1)-1)/2),MIN(DAY('Second Earner'!$C$9),DAY(EOMONTH(DATE(YEAR('Second Earner'!$C$9),MONTH('Second Earner'!$C$9)+INT((($BE28+1)-1)/2),1),0))))+IF(MOD(($BE28+1)-1,2)=1,15,0),EDATE('Second Earner'!$C$9,($BE28+1)-1)))))&lt;&gt;'Second Earner'!$C$10,"",IF('Second Earner'!$C$7="Weekly",'Second Earner'!$C$9+7*(($BE28+1)-1),IF('Second Earner'!$C$7="Biweekly",'Second Earner'!$C$9+14*(($BE28+1)-1),IF('Second Earner'!$C$7="Semimonthly",DATE(YEAR('Second Earner'!$C$9),MONTH('Second Earner'!$C$9)+INT((($BE28+1)-1)/2),MIN(DAY('Second Earner'!$C$9),DAY(EOMONTH(DATE(YEAR('Second Earner'!$C$9),MONTH('Second Earner'!$C$9)+INT((($BE28+1)-1)/2),1),0))))+IF(MOD(($BE28+1)-1,2)=1,15,0),EDATE('Second Earner'!$C$9,($BE28+1)-1)))))</f>
      </c>
      <c r="CE29" s="21">
        <f>IF(MIN(IF(AND('Second Earner'!$C$58&gt;MAX($B$6:$B28),'Second Earner'!$C$58&gt;=DATE('Second Earner'!$C$10,1,1),'Second Earner'!$C$58&lt;=DATE('Second Earner'!$C$10,12,31)),'Second Earner'!$C$58,999999),IF(AND('Second Earner'!$C$59&gt;MAX($B$6:$B28),'Second Earner'!$C$59&gt;=DATE('Second Earner'!$C$10,1,1),'Second Earner'!$C$59&lt;=DATE('Second Earner'!$C$10,12,31)),'Second Earner'!$C$59,999999),IF(AND('Second Earner'!$C$60&gt;MAX($B$6:$B28),'Second Earner'!$C$60&gt;=DATE('Second Earner'!$C$10,1,1),'Second Earner'!$C$60&lt;=DATE('Second Earner'!$C$10,12,31)),'Second Earner'!$C$60,999999),IF(AND('Second Earner'!$C$61&gt;MAX($B$6:$B28),'Second Earner'!$C$61&gt;=DATE('Second Earner'!$C$10,1,1),'Second Earner'!$C$61&lt;=DATE('Second Earner'!$C$10,12,31)),'Second Earner'!$C$61,999999),IF(AND('Second Earner'!$C$62&gt;MAX($B$6:$B28),'Second Earner'!$C$62&gt;=DATE('Second Earner'!$C$10,1,1),'Second Earner'!$C$62&lt;=DATE('Second Earner'!$C$10,12,31)),'Second Earner'!$C$62,999999),IF(AND('Second Earner'!$C$63&gt;MAX($B$6:$B28),'Second Earner'!$C$63&gt;=DATE('Second Earner'!$C$10,1,1),'Second Earner'!$C$63&lt;=DATE('Second Earner'!$C$10,12,31)),'Second Earner'!$C$63,999999),IF(AND('Second Earner'!$C$64&gt;MAX($B$6:$B28),'Second Earner'!$C$64&gt;=DATE('Second Earner'!$C$10,1,1),'Second Earner'!$C$64&lt;=DATE('Second Earner'!$C$10,12,31)),'Second Earner'!$C$64,999999),IF(AND('Second Earner'!$C$65&gt;MAX($B$6:$B28),'Second Earner'!$C$65&gt;=DATE('Second Earner'!$C$10,1,1),'Second Earner'!$C$65&lt;=DATE('Second Earner'!$C$10,12,31)),'Second Earner'!$C$65,999999),IF(AND('Second Earner'!$C$66&gt;MAX($B$6:$B28),'Second Earner'!$C$66&gt;=DATE('Second Earner'!$C$10,1,1),'Second Earner'!$C$66&lt;=DATE('Second Earner'!$C$10,12,31)),'Second Earner'!$C$66,999999),IF(AND('Second Earner'!$C$67&gt;MAX($B$6:$B28),'Second Earner'!$C$67&gt;=DATE('Second Earner'!$C$10,1,1),'Second Earner'!$C$67&lt;=DATE('Second Earner'!$C$10,12,31)),'Second Earner'!$C$67,999999))=999999,"",MIN(IF(AND('Second Earner'!$C$58&gt;MAX($B$6:$B28),'Second Earner'!$C$58&gt;=DATE('Second Earner'!$C$10,1,1),'Second Earner'!$C$58&lt;=DATE('Second Earner'!$C$10,12,31)),'Second Earner'!$C$58,999999),IF(AND('Second Earner'!$C$59&gt;MAX($B$6:$B28),'Second Earner'!$C$59&gt;=DATE('Second Earner'!$C$10,1,1),'Second Earner'!$C$59&lt;=DATE('Second Earner'!$C$10,12,31)),'Second Earner'!$C$59,999999),IF(AND('Second Earner'!$C$60&gt;MAX($B$6:$B28),'Second Earner'!$C$60&gt;=DATE('Second Earner'!$C$10,1,1),'Second Earner'!$C$60&lt;=DATE('Second Earner'!$C$10,12,31)),'Second Earner'!$C$60,999999),IF(AND('Second Earner'!$C$61&gt;MAX($B$6:$B28),'Second Earner'!$C$61&gt;=DATE('Second Earner'!$C$10,1,1),'Second Earner'!$C$61&lt;=DATE('Second Earner'!$C$10,12,31)),'Second Earner'!$C$61,999999),IF(AND('Second Earner'!$C$62&gt;MAX($B$6:$B28),'Second Earner'!$C$62&gt;=DATE('Second Earner'!$C$10,1,1),'Second Earner'!$C$62&lt;=DATE('Second Earner'!$C$10,12,31)),'Second Earner'!$C$62,999999),IF(AND('Second Earner'!$C$63&gt;MAX($B$6:$B28),'Second Earner'!$C$63&gt;=DATE('Second Earner'!$C$10,1,1),'Second Earner'!$C$63&lt;=DATE('Second Earner'!$C$10,12,31)),'Second Earner'!$C$63,999999),IF(AND('Second Earner'!$C$64&gt;MAX($B$6:$B28),'Second Earner'!$C$64&gt;=DATE('Second Earner'!$C$10,1,1),'Second Earner'!$C$64&lt;=DATE('Second Earner'!$C$10,12,31)),'Second Earner'!$C$64,999999),IF(AND('Second Earner'!$C$65&gt;MAX($B$6:$B28),'Second Earner'!$C$65&gt;=DATE('Second Earner'!$C$10,1,1),'Second Earner'!$C$65&lt;=DATE('Second Earner'!$C$10,12,31)),'Second Earner'!$C$65,999999),IF(AND('Second Earner'!$C$66&gt;MAX($B$6:$B28),'Second Earner'!$C$66&gt;=DATE('Second Earner'!$C$10,1,1),'Second Earner'!$C$66&lt;=DATE('Second Earner'!$C$10,12,31)),'Second Earner'!$C$66,999999),IF(AND('Second Earner'!$C$67&gt;MAX($B$6:$B28),'Second Earner'!$C$67&gt;=DATE('Second Earner'!$C$10,1,1),'Second Earner'!$C$67&lt;=DATE('Second Earner'!$C$10,12,31)),'Second Earner'!$C$67,999999)))</f>
      </c>
      <c r="CF29">
        <f>IF($B29="","",IF($D29=0,$Y29,""))</f>
      </c>
    </row>
    <row r="30">
      <c r="A30" t="n">
        <v>25</v>
      </c>
      <c r="B30" s="21">
        <f>IF(AND($CD30="",$CE30=""),"",IF($CE30="",$CD30,IF($CD30="",$CE30,MIN($CD30,$CE30))))</f>
      </c>
      <c r="C30" s="7">
        <f>IF($B30="","",IF($BF30=0,0,IF('Second Earner'!$C$4="Annual salary",ROUND($AK30/IF(AND('Second Earner'!$C$88="Actual paydays",MONTH('Second Earner'!$C$9)=1),MAX(1,MAX($BE$6:$BE$68)),'Second Earner'!$C$8),2),$AK30)))</f>
      </c>
      <c r="D30" s="7">
        <f>IF($B30="","",SUMIF('Second Earner'!$C$58:$C$67,$B30,'Second Earner'!$D$58:$D$67))</f>
      </c>
      <c r="E30" s="7">
        <f>IF($B30="","",ROUND(MAX(0,MIN(IF($AL30="Percent",$AM30*($C30+$D30),$AM30),MAX(0,'Second Earner'!$C$34-$AC29))),2))</f>
      </c>
      <c r="F30" s="7">
        <f>IF($B30="","",ROUND(MAX(0,MIN(IF('Second Earner'!$C$32="Percent",'Second Earner'!$D$32*($C30+$D30),'Second Earner'!$D$32),MAX(0,'Second Earner'!$C$34-$AC29-$E30))),2))</f>
      </c>
      <c r="G30" s="7">
        <f>IF($B30="","",IF($BF30=0,0,ROUND(MAX(0,MIN($BL30,'Second Earner'!$C$37-'Second Earner'!$C$54-$BI29)),2)))</f>
      </c>
      <c r="H30" s="7">
        <f>IF($B30="","",IF(OR($BF30=0,$BQ30=1),0,ROUND(MAX(0,MIN(IF($BS30=1,ROUND(MAX(0,MIN($BJ30,'How This Works &amp; Sources'!$C$13)-$BG29)/MAX(1,MAX($BE$6:$BE$68)-($BE29)),2),ROUND(MIN($BJ30,'How This Works &amp; Sources'!$C$13)/'Second Earner'!$C$8,2)),MIN($BJ30,'How This Works &amp; Sources'!$C$13)-$BG29)),2)))</f>
      </c>
      <c r="I30" s="7">
        <f>IF($B30="","",IF(OR($BF30=0,$BR30=1),0,ROUND(MAX(0,MIN(IF($BT30=1,ROUND(MAX(0,MIN($BK30,IF('Second Earner'!$C$12="MFJ",'How This Works &amp; Sources'!$C$14,'How This Works &amp; Sources'!$C$15))-$BH29)/MAX(1,MAX($BE$6:$BE$68)-($BE29)),2),ROUND(MIN($BK30,IF('Second Earner'!$C$12="MFJ",'How This Works &amp; Sources'!$C$14,'How This Works &amp; Sources'!$C$15))/'Second Earner'!$C$8,2)),MIN($BK30,IF('Second Earner'!$C$12="MFJ",'How This Works &amp; Sources'!$C$14,'How This Works &amp; Sources'!$C$15))-$BH29)),2)))</f>
      </c>
      <c r="J30" s="7">
        <f>IF($B30="","",IF($BF30=0,0,$BM30))</f>
      </c>
      <c r="K30" s="7">
        <f>IF($B30="","",IF($BF30=0,0,$BN30+$BO30))</f>
      </c>
      <c r="L30" s="7">
        <f>IF($B30="","",IF($BF30=0,0,'Second Earner'!$D$46))</f>
      </c>
      <c r="M30" s="7">
        <f>IF($B30="","",$C30+$D30+$L30-$E30-$G30-$H30-$I30-$J30-$K30)</f>
      </c>
      <c r="N30" s="7">
        <f>IF($B30="","",$C30+$D30+$L30-$G30-$H30-$I30-$J30-$K30)</f>
      </c>
      <c r="O30" s="7">
        <f>IF($B30="","",$C30+$D30+$L30-$E30-$H30-$I30-$J30-$K30-IF(OR($AN30="CA",$AN30="NJ"),0,$G30))</f>
      </c>
      <c r="P30" s="7">
        <f>IF($B30="","",IF('Second Earner'!$C$18,0,ROUND(MAX(0,IF('Second Earner'!$C$13,SUMPRODUCT(($AH30&gt;INDEX('How This Works &amp; Sources'!$B$29:$J$36,0,IF('Second Earner'!$C$12="MFJ",1,IF('Second Earner'!$C$12="HoH",7,4))))*($AH30-INDEX('How This Works &amp; Sources'!$B$29:$J$36,0,IF('Second Earner'!$C$12="MFJ",1,IF('Second Earner'!$C$12="HoH",7,4))))*INDEX('How This Works &amp; Sources'!$B$29:$J$36,0,IF('Second Earner'!$C$12="MFJ",1,IF('Second Earner'!$C$12="HoH",7,4))+2)),SUMPRODUCT(($AH30&gt;INDEX('How This Works &amp; Sources'!$B$19:$J$26,0,IF('Second Earner'!$C$12="MFJ",1,IF('Second Earner'!$C$12="HoH",7,4))))*($AH30-INDEX('How This Works &amp; Sources'!$B$19:$J$26,0,IF('Second Earner'!$C$12="MFJ",1,IF('Second Earner'!$C$12="HoH",7,4))))*INDEX('How This Works &amp; Sources'!$B$19:$J$26,0,IF('Second Earner'!$C$12="MFJ",1,IF('Second Earner'!$C$12="HoH",7,4))+2)))/'Second Earner'!$C$8-$AO30/'Second Earner'!$C$8)+$AR30+IF('Second Earner'!$C$89="Aggregate",MAX(0,IF('Second Earner'!$C$13,SUMPRODUCT((($AH30+$D30)&gt;INDEX('How This Works &amp; Sources'!$B$29:$J$36,0,IF('Second Earner'!$C$12="MFJ",1,IF('Second Earner'!$C$12="HoH",7,4))))*(($AH30+$D30)-INDEX('How This Works &amp; Sources'!$B$29:$J$36,0,IF('Second Earner'!$C$12="MFJ",1,IF('Second Earner'!$C$12="HoH",7,4))))*INDEX('How This Works &amp; Sources'!$B$29:$J$36,0,IF('Second Earner'!$C$12="MFJ",1,IF('Second Earner'!$C$12="HoH",7,4))+2)),SUMPRODUCT((($AH30+$D30)&gt;INDEX('How This Works &amp; Sources'!$B$19:$J$26,0,IF('Second Earner'!$C$12="MFJ",1,IF('Second Earner'!$C$12="HoH",7,4))))*(($AH30+$D30)-INDEX('How This Works &amp; Sources'!$B$19:$J$26,0,IF('Second Earner'!$C$12="MFJ",1,IF('Second Earner'!$C$12="HoH",7,4))))*INDEX('How This Works &amp; Sources'!$B$19:$J$26,0,IF('Second Earner'!$C$12="MFJ",1,IF('Second Earner'!$C$12="HoH",7,4))+2)))-IF('Second Earner'!$C$13,SUMPRODUCT(($AH30&gt;INDEX('How This Works &amp; Sources'!$B$29:$J$36,0,IF('Second Earner'!$C$12="MFJ",1,IF('Second Earner'!$C$12="HoH",7,4))))*($AH30-INDEX('How This Works &amp; Sources'!$B$29:$J$36,0,IF('Second Earner'!$C$12="MFJ",1,IF('Second Earner'!$C$12="HoH",7,4))))*INDEX('How This Works &amp; Sources'!$B$29:$J$36,0,IF('Second Earner'!$C$12="MFJ",1,IF('Second Earner'!$C$12="HoH",7,4))+2)),SUMPRODUCT(($AH30&gt;INDEX('How This Works &amp; Sources'!$B$19:$J$26,0,IF('Second Earner'!$C$12="MFJ",1,IF('Second Earner'!$C$12="HoH",7,4))))*($AH30-INDEX('How This Works &amp; Sources'!$B$19:$J$26,0,IF('Second Earner'!$C$12="MFJ",1,IF('Second Earner'!$C$12="HoH",7,4))))*INDEX('How This Works &amp; Sources'!$B$19:$J$26,0,IF('Second Earner'!$C$12="MFJ",1,IF('Second Earner'!$C$12="HoH",7,4))+2)))),'How This Works &amp; Sources'!$C$10*$D30),2)))</f>
      </c>
      <c r="Q30" s="7">
        <f>IF($B30="","",ROUND('How This Works &amp; Sources'!$C$4*MIN($N30,MAX(0,'How This Works &amp; Sources'!$C$3-($AX30+$AB29-$AW30))),2))</f>
      </c>
      <c r="R30" s="7">
        <f>IF($B30="","",ROUND('How This Works &amp; Sources'!$C$5*$N30,2))</f>
      </c>
      <c r="S30" s="7">
        <f>IF($B30="","",ROUND('How This Works &amp; Sources'!$C$6*MAX(0,MIN($N30,$AG29+$N30-'How This Works &amp; Sources'!$C$7)),2))</f>
      </c>
      <c r="T30" s="7">
        <f>IF($B30="","",IF('Second Earner'!$C$26,0,IF($AN30="CA",ROUND(IF($AI30&lt;=IF(($AS30+$AT30)&gt;=2,VLOOKUP($AN30,StateTables!$A$6:$AB$56,10,FALSE),VLOOKUP($AN30,StateTables!$A$6:$AB$56,9,FALSE)),0,MAX(0,SUMPRODUCT(($AJ30&gt;INDEX('How This Works &amp; Sources'!$B$39:$J$48,0,IF($AU30="Married",4,IF($AU30="Head of household",7,1))))*($AJ30-INDEX('How This Works &amp; Sources'!$B$39:$J$48,0,IF($AU30="Married",4,IF($AU30="Head of household",7,1))))*INDEX('How This Works &amp; Sources'!$B$39:$J$48,0,IF($AU30="Married",4,IF($AU30="Head of household",7,1))+2))-VLOOKUP($AN30,StateTables!$A$6:$AB$56,11,FALSE)*$AS30)/'Second Earner'!$C$8)+'Second Earner'!$C$25+VLOOKUP($AN30,StateTables!$A$6:$AB$56,13,FALSE)*$D30,2),IF(VLOOKUP($AN30,StateTables!$A$6:$AB$56,4,FALSE)="None",0,IF(ISNUMBER(SEARCH("MANUAL",VLOOKUP($AN30,StateTables!$A$6:$AB$56,5,FALSE))),'Second Earner'!$C$28,ROUND(MAX(0,$BA30+$BB30)/'Second Earner'!$C$8+'Second Earner'!$C$25+$BC30,2))))))</f>
      </c>
      <c r="U30" s="7">
        <f>IF($B30="","",IF(VLOOKUP($AN30,StateTables!$A$6:$AB$56,24,FALSE)="flatq",IF(OR(MONTH($B30)=1,MONTH($B30)=4,MONTH($B30)=7,MONTH($B30)=10),VLOOKUP($AN30,StateTables!$A$6:$AB$56,25,FALSE),0),IF(VLOOKUP($AN30,StateTables!$A$6:$AB$56,24,FALSE)="dbl",MIN(ROUND(0.005*$N30,2),ROUND(0.6*52/'Second Earner'!$C$8,2)),IF(OR(VLOOKUP($AN30,StateTables!$A$6:$AB$56,15,FALSE)="",VLOOKUP($AN30,StateTables!$A$6:$AB$56,15,FALSE)=0),0,ROUND(VLOOKUP($AN30,StateTables!$A$6:$AB$56,15,FALSE)*IF(OR(VLOOKUP($AN30,StateTables!$A$6:$AB$56,16,FALSE)="",VLOOKUP($AN30,StateTables!$A$6:$AB$56,16,FALSE)=0),$N30,MIN($N30,MAX(0,VLOOKUP($AN30,StateTables!$A$6:$AB$56,16,FALSE)-($AX30+$AB29-$AW30)))),2))))+IF(VLOOKUP($AN30,StateTables!$A$6:$AB$56,27,FALSE)="flatq",IF(OR(MONTH($B30)=1,MONTH($B30)=4,MONTH($B30)=7,MONTH($B30)=10),VLOOKUP($AN30,StateTables!$A$6:$AB$56,28,FALSE),0),IF(VLOOKUP($AN30,StateTables!$A$6:$AB$56,27,FALSE)="dbl",MIN(ROUND(0.005*$N30,2),ROUND(0.6*52/'Second Earner'!$C$8,2)),IF(OR(VLOOKUP($AN30,StateTables!$A$6:$AB$56,18,FALSE)="",VLOOKUP($AN30,StateTables!$A$6:$AB$56,18,FALSE)=0),0,ROUND(VLOOKUP($AN30,StateTables!$A$6:$AB$56,18,FALSE)*IF(OR(VLOOKUP($AN30,StateTables!$A$6:$AB$56,19,FALSE)="",VLOOKUP($AN30,StateTables!$A$6:$AB$56,19,FALSE)=0),$N30,MIN($N30,MAX(0,VLOOKUP($AN30,StateTables!$A$6:$AB$56,19,FALSE)-($AX30+$AB29-$AW30)))),2)))))</f>
      </c>
      <c r="V30" s="7">
        <f>IF($B30="","",IF($AN30="NY",IF('Second Earner'!$C$78,ROUND(SUMPRODUCT((MAX(0,($O30-$D30)*'Second Earner'!$C$8-(IF($AU30="Married",5500,5000)+1000*$AS30))&gt;INDEX('How This Works &amp; Sources'!$B$184:$J$198,0,4))*(MAX(0,($O30-$D30)*'Second Earner'!$C$8-(IF($AU30="Married",5500,5000)+1000*$AS30))-INDEX('How This Works &amp; Sources'!$B$184:$J$198,0,4))*INDEX('How This Works &amp; Sources'!$B$184:$J$198,0,4+2))/'Second Earner'!$C$8+0.0425*$D30,2),0)+IF('Second Earner'!$C$79="Resident",ROUND(0.1675*$T30,2),IF('Second Earner'!$C$79="Nonresident",ROUND(0.005*MAX(0,($O30-$D30)-(IF($AU30="Married",7950,7400)+1000*$AS30)/'Second Earner'!$C$8),2),0)),IF($AN30="PA",IF('Second Earner'!$C$80="None",'Second Earner'!$C$27+ROUND('Second Earner'!$C$81*($C30+$D30),2),ROUND(IF('Second Earner'!$C$80="Resident",IF($B30&lt;DATE(2026,7,1),0.0374,0.03735),IF($B30&lt;DATE(2026,7,1),0.0343,0.03425))*($C30+$D30),2)),IF($BF30=0,ROUND('Second Earner'!$C$81*($C30+$D30),2),'Second Earner'!$C$27+ROUND('Second Earner'!$C$81*($C30+$D30),2)))))</f>
      </c>
      <c r="W30" s="7">
        <f>IF($B30="","",IF($BF30=0,0,$BP30))</f>
      </c>
      <c r="X30" s="7">
        <f>IF($B30="","",SUM($E30:$K30)+$P30+$Q30+$R30+$S30+$T30+$U30+$V30+$W30)</f>
      </c>
      <c r="Y30" s="22">
        <f>IF($B30="","",$C30+$D30-$X30)</f>
      </c>
      <c r="Z30" s="7">
        <f>IF($B30="","",$Z29+$C30+$D30)</f>
      </c>
      <c r="AA30" s="7">
        <f>IF($B30="","",$AA29+$Y30)</f>
      </c>
      <c r="AB30" s="7">
        <f>IF($B30="","",$AB29+MIN($N30,MAX(0,'How This Works &amp; Sources'!$C$3-($AX30+$AB29-$AW30))))</f>
      </c>
      <c r="AC30" s="7">
        <f>IF($B30="","",$AC29+$E30+$F30)</f>
      </c>
      <c r="AD30" s="3">
        <f>IF($B30="","",IF(AND($AB29&lt;'How This Works &amp; Sources'!$C$3,$AB30&gt;='How This Works &amp; Sources'!$C$3),"★ Social Security maxed on this check — from the next check your net rises by about $"&amp;TEXT(ROUND('How This Works &amp; Sources'!$C$4*$N30,2),"#,##0.00")&amp;". ","")&amp;IF(AND($AC29&lt;'Second Earner'!$C$34,$AC30&gt;='Second Earner'!$C$34),"★ 401(k) reaches the $"&amp;TEXT('Second Earner'!$C$34,"#,##0")&amp;" cap on this check — deferrals stop and net pay rises. ","")&amp;IF(AND($AG29&lt;'How This Works &amp; Sources'!$C$7,$AG30&gt;='How This Works &amp; Sources'!$C$7),"★ Wages pass $200,000 — the 0.9% Additional Medicare Tax starts here. ","")&amp;IF(AND($BJ30&gt;0,$H30&gt;0,$BG29&lt;MIN($BJ30,'How This Works &amp; Sources'!$C$13),$BG29+$H30&gt;=MIN($BJ30,'How This Works &amp; Sources'!$C$13)),"★ Health FSA election is now fully deferred for the year. ",""))</f>
      </c>
      <c r="AE30" s="41" t="n"/>
      <c r="AF30" s="7">
        <f>IF(OR($B30="",$AE30=""),"",$AE30-$Y30)</f>
      </c>
      <c r="AG30" s="7">
        <f>IF($B30="","",$AG29+$N30)</f>
      </c>
      <c r="AH30" s="7">
        <f>IF($B30="","",MAX(0,($M30-$D30)*'Second Earner'!$C$8+$AP30-$AQ30-IF('Second Earner'!$C$13,0,IF('Second Earner'!$C$12="MFJ",'How This Works &amp; Sources'!$C$8,'How This Works &amp; Sources'!$C$9))))</f>
      </c>
      <c r="AI30" s="7">
        <f>IF($B30="","",$O30*'Second Earner'!$C$8)</f>
      </c>
      <c r="AJ30" s="7">
        <f>IF($B30="","",MAX(0,$AI30-VLOOKUP($AN30,StateTables!$A$6:$AB$56,12,FALSE)*$AT30-IF(($AS30+$AT30)&gt;=2,VLOOKUP($AN30,StateTables!$A$6:$AB$56,8,FALSE),VLOOKUP($AN30,StateTables!$A$6:$AB$56,7,FALSE))))</f>
      </c>
      <c r="AK30" s="7">
        <f>IF($B30="","",IFERROR(LOOKUP(2,1/(('Changes — Earner 2'!$C$6:$C$17="Salary change")*('Changes — Earner 2'!$B$6:$B$17&lt;=$B30)*('Changes — Earner 2'!$B$6:$B$17&lt;&gt;"")),'Changes — Earner 2'!$D$6:$D$17),IF('Second Earner'!$C$4="Annual salary",'Second Earner'!$C$5,'Second Earner'!$C$6)))</f>
      </c>
      <c r="AL30">
        <f>IF($B30="","",IFERROR(LOOKUP(2,1/(('Changes — Earner 2'!$C$6:$C$17="401(k) change")*('Changes — Earner 2'!$B$6:$B$17&lt;=$B30)*('Changes — Earner 2'!$B$6:$B$17&lt;&gt;"")),'Changes — Earner 2'!$D$6:$D$17),'Second Earner'!$C$30))</f>
      </c>
      <c r="AM30" s="7">
        <f>IF($B30="","",IFERROR(LOOKUP(2,1/(('Changes — Earner 2'!$C$6:$C$17="401(k) change")*('Changes — Earner 2'!$B$6:$B$17&lt;=$B30)*('Changes — Earner 2'!$B$6:$B$17&lt;&gt;"")),'Changes — Earner 2'!$E$6:$E$17),'Second Earner'!$D$31))</f>
      </c>
      <c r="AN30">
        <f>IF($B30="","",IFERROR(LOOKUP(2,1/(('Changes — Earner 2'!$C$6:$C$17="State move")*('Changes — Earner 2'!$B$6:$B$17&lt;=$B30)*('Changes — Earner 2'!$B$6:$B$17&lt;&gt;"")),'Changes — Earner 2'!$D$6:$D$17),'Second Earner'!$C$21))</f>
      </c>
      <c r="AO30" s="7">
        <f>IF($B30="","",IFERROR(LOOKUP(2,1/(('Changes — Earner 2'!$C$6:$C$17="W-4 change")*('Changes — Earner 2'!$B$6:$B$17&lt;=$B30)*('Changes — Earner 2'!$B$6:$B$17&lt;&gt;"")),'Changes — Earner 2'!$D$6:$D$17),'Second Earner'!$C$14))</f>
      </c>
      <c r="AP30" s="7">
        <f>IF($B30="","",IFERROR(LOOKUP(2,1/(('Changes — Earner 2'!$C$6:$C$17="W-4 change")*('Changes — Earner 2'!$B$6:$B$17&lt;=$B30)*('Changes — Earner 2'!$B$6:$B$17&lt;&gt;"")),'Changes — Earner 2'!$E$6:$E$17),'Second Earner'!$C$15))</f>
      </c>
      <c r="AQ30" s="7">
        <f>IF($B30="","",IFERROR(LOOKUP(2,1/(('Changes — Earner 2'!$C$6:$C$17="W-4 change")*('Changes — Earner 2'!$B$6:$B$17&lt;=$B30)*('Changes — Earner 2'!$B$6:$B$17&lt;&gt;"")),'Changes — Earner 2'!$F$6:$F$17),'Second Earner'!$C$16))</f>
      </c>
      <c r="AR30" s="7">
        <f>IF($B30="","",IFERROR(LOOKUP(2,1/(('Changes — Earner 2'!$C$6:$C$17="W-4 change")*('Changes — Earner 2'!$B$6:$B$17&lt;=$B30)*('Changes — Earner 2'!$B$6:$B$17&lt;&gt;"")),'Changes — Earner 2'!$G$6:$G$17),'Second Earner'!$C$17))</f>
      </c>
      <c r="AS30" s="6">
        <f>IF($B30="","",IFERROR(LOOKUP(2,1/((('Changes — Earner 2'!$C$6:$C$17="State move")+('Changes — Earner 2'!$C$6:$C$17="State cert change"))*('Changes — Earner 2'!$B$6:$B$17&lt;=$B30)*('Changes — Earner 2'!$B$6:$B$17&lt;&gt;"")),'Changes — Earner 2'!$F$6:$F$17),'Second Earner'!$C$23))</f>
      </c>
      <c r="AT30" s="6">
        <f>IF($B30="","",IFERROR(LOOKUP(2,1/((('Changes — Earner 2'!$C$6:$C$17="State move")+('Changes — Earner 2'!$C$6:$C$17="State cert change"))*('Changes — Earner 2'!$B$6:$B$17&lt;=$B30)*('Changes — Earner 2'!$B$6:$B$17&lt;&gt;"")),'Changes — Earner 2'!$G$6:$G$17),'Second Earner'!$C$24))</f>
      </c>
      <c r="AU30">
        <f>IF($B30="","",IFERROR(LOOKUP(2,1/(('Changes — Earner 2'!$C$6:$C$17="State move")*('Changes — Earner 2'!$B$6:$B$17&lt;=$B30)*('Changes — Earner 2'!$B$6:$B$17&lt;&gt;"")),'Changes — Earner 2'!$E$6:$E$17),'Second Earner'!$C$22))</f>
      </c>
      <c r="AV30" s="6">
        <f>IF($B30="","",1+COUNTIFS('Changes — Earner 2'!$C$6:$C$17,"Employer change",'Changes — Earner 2'!$B$6:$B$17,"&lt;="&amp;$B30,'Changes — Earner 2'!$B$6:$B$17,"&lt;&gt;"))</f>
      </c>
      <c r="AW30" s="7">
        <f>IF($B30="","",IF($AV30=1,'Second Earner'!$C$49,IF(IFERROR(MATCH(IFERROR(LOOKUP(2,1/(('Changes — Earner 2'!$C$6:$C$17="Employer change")*('Changes — Earner 2'!$B$6:$B$17&lt;=$B30)*('Changes — Earner 2'!$B$6:$B$17&lt;&gt;"")),'Changes — Earner 2'!$B$6:$B$17),""),$B$6:$B$68,1),1)&lt;=1,'Second Earner'!$C$49,INDEX($AB$6:$AB$68,MATCH(IFERROR(LOOKUP(2,1/(('Changes — Earner 2'!$C$6:$C$17="Employer change")*('Changes — Earner 2'!$B$6:$B$17&lt;=$B30)*('Changes — Earner 2'!$B$6:$B$17&lt;&gt;"")),'Changes — Earner 2'!$B$6:$B$17),""),$B$6:$B$68,1)-1))))</f>
      </c>
      <c r="AX30" s="7">
        <f>IF($B30="","",IF($AV30=1,'Second Earner'!$C$49,IFERROR(LOOKUP(2,1/(('Changes — Earner 2'!$C$6:$C$17="Employer change")*('Changes — Earner 2'!$B$6:$B$17&lt;=$B30)*('Changes — Earner 2'!$B$6:$B$17&lt;&gt;"")),'Changes — Earner 2'!$D$6:$D$17),0)))</f>
      </c>
      <c r="AY30" s="7">
        <f>IF($B30="","",($O30-$D30)*'Second Earner'!$C$8)</f>
      </c>
      <c r="AZ30" s="7">
        <f>IF($B30="","",IF($AN30="AL",MAX(0,$AY30-IF($AU30="Married",IF($AY30&lt;=25999,8500,MAX(5000,8500-175*CEILING(($AY30-25999)/500,1))),IF($AU30="Head of household",IF($AY30&lt;=25999,5200,MAX(2500,5200-135*CEILING(($AY30-25999)/500,1))),IF($AY30&lt;=25999,3000,MAX(2500,3000-25*CEILING(($AY30-25999)/500,1)))))-($P30-'How This Works &amp; Sources'!$C$10*$D30)*'Second Earner'!$C$8-IF(OR($AU30="Married",$AU30="Head of household"),3000,1500)-$AT30*IF($AY30&lt;=50000,1000,IF($AY30&lt;=100000,500,300))),IF($AN30="AR",IF(MAX(0,$AY30-2470)&lt;97701,INT(MAX(0,$AY30-2470)/100)*100+50,MAX(0,$AY30-2470)),IF($AN30="DE",MAX(0,$AI30-3250),IF($AN30="HI",MAX(0,$AI30-1144*$AS30-4350),IF($AN30="KS",MAX(0,$AI30-(9160*IF($AU30="Married",2,1)+2320*$AT30+IF($AU30="Head of household",2320,0))),IF($AN30="MD",MAX(0,$AI30-3400-3200*$AS30),IF($AN30="MN",MAX(0,$AY30-5300*$AS30),IF($AN30="MO",MAX(0,$AI30-IF($AU30="Head of household",24150,IF($AU30="Married",IF('Second Earner'!$C$83,16100,32200),16100))),IF($AN30="MT",$AY30,IF($AN30="ND",($C30+$L30)*'Second Earner'!$C$8,IF($AN30="NE",MAX(0,$AY30-2440*$AS30),IF($AN30="NJ",MAX(0,$AY30-1000*$AS30),IF($AN30="NY",MAX(0,$AY30-(IF($AU30="Married",7950,7400)+1000*$AS30)),IF($AN30="OH",MAX(0,$AY30-650*$AS30),IF($AN30="OK",MAX(0,$AY30-1000*$AS30),IF($AN30="RI",MAX(0,$AI30-1000*$AS30),IF($AN30="SC",MAX(0,$AI30-5000*$AS30-IF($AS30=0,0,MIN(0.1*$AI30,7500))),IF($AN30="VA",MAX(0,$AI30-IF($AU30="Married",17500,8750)-930*$AS30-800*$AT30),IF($AN30="VT",MAX(0,$AI30-5400*$AS30),IF($AN30="WI",MAX(0,$AI30-MAX(0,IF($AU30="Married",9461-0.2*MAX(0,$AI30-25727),6702-0.12*MAX(0,$AI30-17780)))-400*$AS30),IF($AN30="WV",MAX(0,$AI30-2000*$AS30),$AI30))))))))))))))))))))))</f>
      </c>
      <c r="BA30" s="7">
        <f>IF($B30="","",IF($BW30&lt;&gt;"",$BW30,IF($BX30&lt;&gt;"",$BX30,IF($BY30&lt;&gt;"",$BY30,0))))</f>
      </c>
      <c r="BB30" s="7">
        <f>IF($B30="","",IF($AN30="AR",-29*$AS30,IF($AN30="DE",-110*$AS30,IF($AN30="MD",$AZ30*'Second Earner'!$C$74,IF($AN30="AZ",'Second Earner'!$C$82*($M30-$D30)*'Second Earner'!$C$8,IF($AN30="CO",0.044*MAX(0,$AY30-IF($AU30="Married",10000,5000)),IF($AN30="IA",MAX(0,0.038*MAX(0,$AY30-IF($AU30="Head of household",19500,IF($AU30="Married",26000,13000)))-40*$AS30),IF($AN30="ID",0.053*MAX(0,$AY30-IF($AU30="Married",32000,16094)),IF($AN30="IL",0.0495*MAX(0,$AY30-(2925*$AS30+1000*$AT30)),IF($AN30="IN",(0.0295+'Second Earner'!$C$76)*MAX(0,$AY30-(1000*$AS30+1500*$AT30+3000*'Second Earner'!$C$86)),IF($AN30="KY",0.035*MAX(0,$AI30-3360),IF($AN30="LA",IF('Second Earner'!$C$84="0",0.0309*$AI30,0.0309*MAX(0,$AI30-IF('Second Earner'!$C$84="2",25750,12875))),IF($AN30="MA",0.05*MIN(MAX(0,$AY30-MIN(($BD29+$Q30+$R30+$S30),2000)-IF($AS30=0,0,IF($AS30=1,4400,1000*$AS30+3400))),1107750)+0.09*MAX(0,MAX(0,$AY30-MIN(($BD29+$Q30+$R30+$S30),2000)-IF($AS30=0,0,IF($AS30=1,4400,1000*$AS30+3400)))-1107750)-IF($AU30="Head of household",120,0)-110*'Second Earner'!$C$75,IF($AN30="MI",0.0425*MAX(0,$AY30-5900*$AS30),IF($AN30="MS",0.04*MAX(0,$AI30-IF($AU30="Head of household",3400,IF($AU30="Married",4600,2300))-'Second Earner'!$C$85-10000),IF($AN30="OR",IF(OR($AU30="Married",AND($AU30="Single",$AS30&gt;=3)),SUMPRODUCT((MAX(0,$AY30-MIN(($P30-'How This Works &amp; Sources'!$C$10*$D30)*'Second Earner'!$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Sources'!$B$211:$J$214,0,4))*(MAX(0,$AY30-MIN(($P30-'How This Works &amp; Sources'!$C$10*$D30)*'Second Earner'!$C$8,IF(OR($AU30="Married",AND($AU30="Single",$AS30&gt;=3)),IF($AY30&lt;250000,8750,IF($AY30&lt;260000,7000,IF($AY30&lt;270000,5250,IF($AY30&lt;280000,3500,IF($AY30&lt;290000,1750,0))))),IF($AY30&lt;125000,8750,IF($AY30&lt;130000,7000,IF($AY30&lt;135000,5250,IF($AY30&lt;140000,3500,IF($AY30&lt;145000,1750,0)))))))-IF(OR($AU30="Married",AND($AU30="Single",$AS30&gt;=3)),5820,2910))-INDEX('How This Works &amp; Sources'!$B$211:$J$214,0,4))*INDEX('How This Works &amp; Sources'!$B$211:$J$214,0,4+2)),SUMPRODUCT((MAX(0,$AY30-MIN(($P30-'How This Works &amp; Sources'!$C$10*$D30)*'Second Earner'!$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Sources'!$B$211:$J$214,0,1))*(MAX(0,$AY30-MIN(($P30-'How This Works &amp; Sources'!$C$10*$D30)*'Second Earner'!$C$8,IF(OR($AU30="Married",AND($AU30="Single",$AS30&gt;=3)),IF($AY30&lt;250000,8750,IF($AY30&lt;260000,7000,IF($AY30&lt;270000,5250,IF($AY30&lt;280000,3500,IF($AY30&lt;290000,1750,0))))),IF($AY30&lt;125000,8750,IF($AY30&lt;130000,7000,IF($AY30&lt;135000,5250,IF($AY30&lt;140000,3500,IF($AY30&lt;145000,1750,0)))))))-IF(OR($AU30="Married",AND($AU30="Single",$AS30&gt;=3)),5820,2910))-INDEX('How This Works &amp; Sources'!$B$211:$J$214,0,1))*INDEX('How This Works &amp; Sources'!$B$211:$J$214,0,1+2)))+263-263*IF(IF($AU30="Married",$AY30&gt;200000,$AY30&gt;100000),0,$AS30),IF($AN30="PA",0.0307*(($O30+$E30+$G30)*'Second Earner'!$C$8),IF($AN30="NY",IF($AU30="Married",IF($AZ30&gt;=2155350,0,IF($AZ30&gt;=1077550,0.48,IF($AZ30&gt;=373200,1.21,IF($AZ30&gt;=323200,0.21,IF($AZ30&gt;=211550,-0.19,IF($AZ30&gt;=157650,-2.8,IF($AZ30&gt;=107650,-0.8,IF($AZ30&gt;=96800,0.05,IF($AZ30&gt;=80650,-0.1,IF($AZ30&gt;=13900,0.4,IF($AZ30&gt;=11700,-0.3,IF($AZ30&gt;=8500,0.5,0)))))))))))),IF($AZ30&gt;=1077550,0,IF($AZ30&gt;=265400,4.29,IF($AZ30&gt;=215400,2.29,IF($AZ30&gt;=157650,2.29,IF($AZ30&gt;=107650,0.29,IF($AZ30&gt;=96800,0.05,IF($AZ30&gt;=80650,-0.1,IF($AZ30&gt;=13900,0.4,IF($AZ30&gt;=11700,-0.3,IF($AZ30&gt;=8500,0.5,0))))))))))),0))))))))))))))))))</f>
      </c>
      <c r="BC30" s="7">
        <f>IF($B30="","",IF($AN30="AL",0.05*$D30,IF($AN30="AR",0.039*$D30,IF($AN30="ID",0.053*$D30,IF($AN30="IN",(0.0295+'Second Earner'!$C$76)*$D30,IF($AN30="KS",0.05*$D30,IF($AN30="MA",0.09*MIN($D30,MAX(0,MAX(0,$AY30-MIN(($BD29+$Q30+$R30+$S30),2000)-IF($AS30=0,0,IF($AS30=1,4400,1000*$AS30+3400)))+$D30-1107750))+0.05*($D30-MIN($D30,MAX(0,MAX(0,$AY30-MIN(($BD29+$Q30+$R30+$S30),2000)-IF($AS30=0,0,IF($AS30=1,4400,1000*$AS30+3400)))+$D30-1107750))),IF($AN30="MD",(0.065+'Second Earner'!$C$74)*$D30,IF($AN30="MI",0.0425*$D30,IF($AN30="MN",0.0625*$D30,IF($AN30="MO",0.047*$D30,IF($AN30="MT",0.05*$D30,IF($AN30="ND",0.015*$D30,IF($AN30="NE",0.035*$D30,IF($AN30="NJ",IF('Second Earner'!$C$77="B",SUMPRODUCT(($D30*'Second Earner'!$C$8&gt;INDEX('How This Works &amp; Sources'!$B$155:$J$162,0,4))*($D30*'Second Earner'!$C$8-INDEX('How This Works &amp; Sources'!$B$155:$J$162,0,4))*INDEX('How This Works &amp; Sources'!$B$155:$J$162,0,4+2)),IF('Second Earner'!$C$77="C",SUMPRODUCT(($D30*'Second Earner'!$C$8&gt;INDEX('How This Works &amp; Sources'!$B$155:$J$162,0,7))*($D30*'Second Earner'!$C$8-INDEX('How This Works &amp; Sources'!$B$155:$J$162,0,7))*INDEX('How This Works &amp; Sources'!$B$155:$J$162,0,7+2)),IF('Second Earner'!$C$77="D",SUMPRODUCT(($D30*'Second Earner'!$C$8&gt;INDEX('How This Works &amp; Sources'!$B$167:$J$179,0,1))*($D30*'Second Earner'!$C$8-INDEX('How This Works &amp; Sources'!$B$167:$J$179,0,1))*INDEX('How This Works &amp; Sources'!$B$167:$J$179,0,1+2)),IF('Second Earner'!$C$77="E",SUMPRODUCT(($D30*'Second Earner'!$C$8&gt;INDEX('How This Works &amp; Sources'!$B$167:$J$179,0,4))*($D30*'Second Earner'!$C$8-INDEX('How This Works &amp; Sources'!$B$167:$J$179,0,4))*INDEX('How This Works &amp; Sources'!$B$167:$J$179,0,4+2)),SUMPRODUCT(($D30*'Second Earner'!$C$8&gt;INDEX('How This Works &amp; Sources'!$B$155:$J$162,0,1))*($D30*'Second Earner'!$C$8-INDEX('How This Works &amp; Sources'!$B$155:$J$162,0,1))*INDEX('How This Works &amp; Sources'!$B$155:$J$162,0,1+2))))))/'Second Earner'!$C$8,IF($AN30="NY",0.117*$D30,IF($AN30="OH",0.0275*$D30,IF($AN30="OK",0.045*$D30,IF($AN30="OR",0.08*$D30,IF($AN30="WI",IF($AY30&lt;12760,0.0354,IF($AY30&lt;25520,0.0465,IF($AY30&lt;280950,0.053,0.0765)))*$D30,0))))))))))))))))))))</f>
      </c>
      <c r="BD30" s="7">
        <f>IF($B30="","",$BD29+$Q30+$R30+$S30)</f>
      </c>
      <c r="BE30" s="6">
        <f>IF($B30="",$BE29,$BE29+$BF30)</f>
      </c>
      <c r="BF30" s="6">
        <f>IF($B30="","",IF(AND(IF(YEAR(IF('Second Earner'!$C$7="Weekly",'Second Earner'!$C$9+7*(($BE29+1)-1),IF('Second Earner'!$C$7="Biweekly",'Second Earner'!$C$9+14*(($BE29+1)-1),IF('Second Earner'!$C$7="Semimonthly",DATE(YEAR('Second Earner'!$C$9),MONTH('Second Earner'!$C$9)+INT((($BE29+1)-1)/2),MIN(DAY('Second Earner'!$C$9),DAY(EOMONTH(DATE(YEAR('Second Earner'!$C$9),MONTH('Second Earner'!$C$9)+INT((($BE29+1)-1)/2),1),0))))+IF(MOD(($BE29+1)-1,2)=1,15,0),EDATE('Second Earner'!$C$9,($BE29+1)-1)))))&lt;&gt;'Second Earner'!$C$10,"",IF('Second Earner'!$C$7="Weekly",'Second Earner'!$C$9+7*(($BE29+1)-1),IF('Second Earner'!$C$7="Biweekly",'Second Earner'!$C$9+14*(($BE29+1)-1),IF('Second Earner'!$C$7="Semimonthly",DATE(YEAR('Second Earner'!$C$9),MONTH('Second Earner'!$C$9)+INT((($BE29+1)-1)/2),MIN(DAY('Second Earner'!$C$9),DAY(EOMONTH(DATE(YEAR('Second Earner'!$C$9),MONTH('Second Earner'!$C$9)+INT((($BE29+1)-1)/2),1),0))))+IF(MOD(($BE29+1)-1,2)=1,15,0),EDATE('Second Earner'!$C$9,($BE29+1)-1)))))&lt;&gt;"",$B30=IF(YEAR(IF('Second Earner'!$C$7="Weekly",'Second Earner'!$C$9+7*(($BE29+1)-1),IF('Second Earner'!$C$7="Biweekly",'Second Earner'!$C$9+14*(($BE29+1)-1),IF('Second Earner'!$C$7="Semimonthly",DATE(YEAR('Second Earner'!$C$9),MONTH('Second Earner'!$C$9)+INT((($BE29+1)-1)/2),MIN(DAY('Second Earner'!$C$9),DAY(EOMONTH(DATE(YEAR('Second Earner'!$C$9),MONTH('Second Earner'!$C$9)+INT((($BE29+1)-1)/2),1),0))))+IF(MOD(($BE29+1)-1,2)=1,15,0),EDATE('Second Earner'!$C$9,($BE29+1)-1)))))&lt;&gt;'Second Earner'!$C$10,"",IF('Second Earner'!$C$7="Weekly",'Second Earner'!$C$9+7*(($BE29+1)-1),IF('Second Earner'!$C$7="Biweekly",'Second Earner'!$C$9+14*(($BE29+1)-1),IF('Second Earner'!$C$7="Semimonthly",DATE(YEAR('Second Earner'!$C$9),MONTH('Second Earner'!$C$9)+INT((($BE29+1)-1)/2),MIN(DAY('Second Earner'!$C$9),DAY(EOMONTH(DATE(YEAR('Second Earner'!$C$9),MONTH('Second Earner'!$C$9)+INT((($BE29+1)-1)/2),1),0))))+IF(MOD(($BE29+1)-1,2)=1,15,0),EDATE('Second Earner'!$C$9,($BE29+1)-1)))))),1,0))</f>
      </c>
      <c r="BG30" s="7">
        <f>IF($B30="","",$BG29+$H30)</f>
      </c>
      <c r="BH30" s="7">
        <f>IF($B30="","",$BH29+$I30)</f>
      </c>
      <c r="BI30" s="7">
        <f>IF($B30="","",$BI29+$G30)</f>
      </c>
      <c r="BJ30" s="7">
        <f>IF($B30="","",IFERROR(LOOKUP(2,1/(((('Changes — Earner 2'!$C$6:$C$17="Deduction start"))*('Changes — Earner 2'!$D$6:$D$17="Health FSA"))*('Changes — Earner 2'!$B$6:$B$17&lt;=$B30)*('Changes — Earner 2'!$B$6:$B$17&lt;&gt;"")),'Changes — Earner 2'!$E$6:$E$17),'Second Earner'!$D$38))</f>
      </c>
      <c r="BK30" s="7">
        <f>IF($B30="","",IFERROR(LOOKUP(2,1/(((('Changes — Earner 2'!$C$6:$C$17="Deduction start"))*('Changes — Earner 2'!$D$6:$D$17="Dependent-care FSA"))*('Changes — Earner 2'!$B$6:$B$17&lt;=$B30)*('Changes — Earner 2'!$B$6:$B$17&lt;&gt;"")),'Changes — Earner 2'!$E$6:$E$17),'Second Earner'!$D$39))</f>
      </c>
      <c r="BL30" s="7">
        <f>IF($B30="","",IFERROR(LOOKUP(2,1/(((('Changes — Earner 2'!$C$6:$C$17="Deduction start")+('Changes — Earner 2'!$C$6:$C$17="Deduction stop"))*('Changes — Earner 2'!$D$6:$D$17="HSA"))*('Changes — Earner 2'!$B$6:$B$17&lt;=$B30)*('Changes — Earner 2'!$B$6:$B$17&lt;&gt;"")),'Changes — Earner 2'!$I$6:$I$17),'Second Earner'!$D$35))</f>
      </c>
      <c r="BM30" s="7">
        <f>IF($B30="","",IFERROR(LOOKUP(2,1/(((('Changes — Earner 2'!$C$6:$C$17="Deduction start")+('Changes — Earner 2'!$C$6:$C$17="Deduction stop"))*('Changes — Earner 2'!$D$6:$D$17="Premiums"))*('Changes — Earner 2'!$B$6:$B$17&lt;=$B30)*('Changes — Earner 2'!$B$6:$B$17&lt;&gt;"")),'Changes — Earner 2'!$I$6:$I$17),'Second Earner'!$D$40+'Second Earner'!$D$41+'Second Earner'!$D$42))</f>
      </c>
      <c r="BN30" s="7">
        <f>IF($B30="","",IFERROR(LOOKUP(2,1/(((('Changes — Earner 2'!$C$6:$C$17="Deduction start")+('Changes — Earner 2'!$C$6:$C$17="Deduction stop"))*('Changes — Earner 2'!$D$6:$D$17="Commuter"))*('Changes — Earner 2'!$B$6:$B$17&lt;=$B30)*('Changes — Earner 2'!$B$6:$B$17&lt;&gt;"")),'Changes — Earner 2'!$I$6:$I$17),'Second Earner'!$D$43))</f>
      </c>
      <c r="BO30" s="7">
        <f>IF($B30="","",IFERROR(LOOKUP(2,1/(((('Changes — Earner 2'!$C$6:$C$17="Deduction start")+('Changes — Earner 2'!$C$6:$C$17="Deduction stop"))*('Changes — Earner 2'!$D$6:$D$17="Other pre-tax"))*('Changes — Earner 2'!$B$6:$B$17&lt;=$B30)*('Changes — Earner 2'!$B$6:$B$17&lt;&gt;"")),'Changes — Earner 2'!$I$6:$I$17),'Second Earner'!$D$44))</f>
      </c>
      <c r="BP30" s="7">
        <f>IF($B30="","",IFERROR(LOOKUP(2,1/(((('Changes — Earner 2'!$C$6:$C$17="Deduction start")+('Changes — Earner 2'!$C$6:$C$17="Deduction stop"))*('Changes — Earner 2'!$D$6:$D$17="Other post-tax"))*('Changes — Earner 2'!$B$6:$B$17&lt;=$B30)*('Changes — Earner 2'!$B$6:$B$17&lt;&gt;"")),'Changes — Earner 2'!$I$6:$I$17),'Second Earner'!$D$45))</f>
      </c>
      <c r="BQ30" s="6">
        <f>IF($B30="","",IFERROR(LOOKUP(2,1/(((('Changes — Earner 2'!$C$6:$C$17="Deduction start")+('Changes — Earner 2'!$C$6:$C$17="Deduction stop"))*('Changes — Earner 2'!$D$6:$D$17="Health FSA"))*('Changes — Earner 2'!$B$6:$B$17&lt;=$B30)*('Changes — Earner 2'!$B$6:$B$17&lt;&gt;"")),'Changes — Earner 2'!$J$6:$J$17),0))</f>
      </c>
      <c r="BR30" s="6">
        <f>IF($B30="","",IFERROR(LOOKUP(2,1/(((('Changes — Earner 2'!$C$6:$C$17="Deduction start")+('Changes — Earner 2'!$C$6:$C$17="Deduction stop"))*('Changes — Earner 2'!$D$6:$D$17="Dependent-care FSA"))*('Changes — Earner 2'!$B$6:$B$17&lt;=$B30)*('Changes — Earner 2'!$B$6:$B$17&lt;&gt;"")),'Changes — Earner 2'!$J$6:$J$17),0))</f>
      </c>
      <c r="BS30" s="6">
        <f>IF($B30="","",IF(SUMPRODUCT(('Changes — Earner 2'!$C$6:$C$17="Deduction start")*('Changes — Earner 2'!$B$6:$B$17&lt;=$B30)*('Changes — Earner 2'!$B$6:$B$17&lt;&gt;"")*('Changes — Earner 2'!$D$6:$D$17="Health FSA"))&gt;0,1,0))</f>
      </c>
      <c r="BT30" s="6">
        <f>IF($B30="","",IF(SUMPRODUCT(('Changes — Earner 2'!$C$6:$C$17="Deduction start")*('Changes — Earner 2'!$B$6:$B$17&lt;=$B30)*('Changes — Earner 2'!$B$6:$B$17&lt;&gt;"")*('Changes — Earner 2'!$D$6:$D$17="Dependent-care FSA"))&gt;0,1,0))</f>
      </c>
      <c r="BU30" s="24">
        <f>IF($B30="","",IF('Second Earner'!$C$13,SUMPRODUCT(($AH30&gt;=INDEX('How This Works &amp; Sources'!$B$29:$J$36,0,IF('Second Earner'!$C$12="MFJ",1,IF('Second Earner'!$C$12="HoH",7,4))))*INDEX('How This Works &amp; Sources'!$B$29:$J$36,0,IF('Second Earner'!$C$12="MFJ",1,IF('Second Earner'!$C$12="HoH",7,4))+2)),SUMPRODUCT(($AH30&gt;=INDEX('How This Works &amp; Sources'!$B$19:$J$26,0,IF('Second Earner'!$C$12="MFJ",1,IF('Second Earner'!$C$12="HoH",7,4))))*INDEX('How This Works &amp; Sources'!$B$19:$J$26,0,IF('Second Earner'!$C$12="MFJ",1,IF('Second Earner'!$C$12="HoH",7,4))+2))))</f>
      </c>
      <c r="BV30" s="24">
        <f>IF($B30="","",IF($BZ30&lt;&gt;"",$BZ30,IF($CA30&lt;&gt;"",$CA30,IF($CB30&lt;&gt;"",$CB30,IF($CC30&lt;&gt;"",$CC30,0)))))</f>
      </c>
      <c r="BW30" s="7">
        <f>IF($B30="","",IF($AN30="AR",SUMPRODUCT(($AZ30&gt;INDEX('How This Works &amp; Sources'!$B$82:$J$86,0,7))*($AZ30-INDEX('How This Works &amp; Sources'!$B$82:$J$86,0,7))*INDEX('How This Works &amp; Sources'!$B$82:$J$86,0,7+2)),IF($AN30="MD",IF(OR($AU30="Married",$AU30="Head of household"),SUMPRODUCT(($AZ30&gt;INDEX('How This Works &amp; Sources'!$B$114:$J$120,0,1))*($AZ30-INDEX('How This Works &amp; Sources'!$B$114:$J$120,0,1))*INDEX('How This Works &amp; Sources'!$B$114:$J$120,0,1+2)),SUMPRODUCT(($AZ30&gt;INDEX('How This Works &amp; Sources'!$B$103:$J$109,0,7))*($AZ30-INDEX('How This Works &amp; Sources'!$B$103:$J$109,0,7))*INDEX('How This Works &amp; Sources'!$B$103:$J$109,0,7+2))),IF($AN30="MT",IF($AU30="Head of household",SUMPRODUCT(($AZ30&gt;INDEX('How This Works &amp; Sources'!$B$137:$J$139,0,1))*($AZ30-INDEX('How This Works &amp; Sources'!$B$137:$J$139,0,1))*INDEX('How This Works &amp; Sources'!$B$137:$J$139,0,1+2)),IF($AU30="Married",SUMPRODUCT(($AZ30&gt;INDEX('How This Works &amp; Sources'!$B$125:$J$132,0,7))*($AZ30-INDEX('How This Works &amp; Sources'!$B$125:$J$132,0,7))*INDEX('How This Works &amp; Sources'!$B$125:$J$132,0,7+2)),SUMPRODUCT(($AZ30&gt;INDEX('How This Works &amp; Sources'!$B$125:$J$132,0,4))*($AZ30-INDEX('How This Works &amp; Sources'!$B$125:$J$132,0,4))*INDEX('How This Works &amp; Sources'!$B$125:$J$132,0,4+2)))),IF($AN30="ND",IF($AU30="Head of household",SUMPRODUCT(($AZ30&gt;INDEX('How This Works &amp; Sources'!$B$144:$J$150,0,1))*($AZ30-INDEX('How This Works &amp; Sources'!$B$144:$J$150,0,1))*INDEX('How This Works &amp; Sources'!$B$144:$J$150,0,1+2)),IF($AU30="Married",SUMPRODUCT(($AZ30&gt;INDEX('How This Works &amp; Sources'!$B$137:$J$139,0,7))*($AZ30-INDEX('How This Works &amp; Sources'!$B$137:$J$139,0,7))*INDEX('How This Works &amp; Sources'!$B$137:$J$139,0,7+2)),SUMPRODUCT(($AZ30&gt;INDEX('How This Works &amp; Sources'!$B$137:$J$139,0,4))*($AZ30-INDEX('How This Works &amp; Sources'!$B$137:$J$139,0,4))*INDEX('How This Works &amp; Sources'!$B$137:$J$139,0,4+2)))),IF($AN30="NJ",IF('Second Earner'!$C$77="B",SUMPRODUCT(($AZ30&gt;INDEX('How This Works &amp; Sources'!$B$155:$J$162,0,4))*($AZ30-INDEX('How This Works &amp; Sources'!$B$155:$J$162,0,4))*INDEX('How This Works &amp; Sources'!$B$155:$J$162,0,4+2)),IF('Second Earner'!$C$77="C",SUMPRODUCT(($AZ30&gt;INDEX('How This Works &amp; Sources'!$B$155:$J$162,0,7))*($AZ30-INDEX('How This Works &amp; Sources'!$B$155:$J$162,0,7))*INDEX('How This Works &amp; Sources'!$B$155:$J$162,0,7+2)),IF('Second Earner'!$C$77="D",SUMPRODUCT(($AZ30&gt;INDEX('How This Works &amp; Sources'!$B$167:$J$179,0,1))*($AZ30-INDEX('How This Works &amp; Sources'!$B$167:$J$179,0,1))*INDEX('How This Works &amp; Sources'!$B$167:$J$179,0,1+2)),IF('Second Earner'!$C$77="E",SUMPRODUCT(($AZ30&gt;INDEX('How This Works &amp; Sources'!$B$167:$J$179,0,4))*($AZ30-INDEX('How This Works &amp; Sources'!$B$167:$J$179,0,4))*INDEX('How This Works &amp; Sources'!$B$167:$J$179,0,4+2)),SUMPRODUCT(($AZ30&gt;INDEX('How This Works &amp; Sources'!$B$155:$J$162,0,1))*($AZ30-INDEX('How This Works &amp; Sources'!$B$155:$J$162,0,1))*INDEX('How This Works &amp; Sources'!$B$155:$J$162,0,1+2)))))),IF($AN30="NY",IF($AU30="Married",IF($AZ30&gt;=2155350,$AZ30*IF($AZ30&gt;25000000,0.117,IF($AZ30&gt;5000000,0.111,0.1045)),SUMPRODUCT(($AZ30&gt;INDEX('How This Works &amp; Sources'!$B$184:$J$198,0,1))*($AZ30-INDEX('How This Works &amp; Sources'!$B$184:$J$198,0,1))*INDEX('How This Works &amp; Sources'!$B$184:$J$198,0,1+2))),IF($AZ30&gt;=1077550,$AZ30*IF($AZ30&gt;25000000,0.117,IF($AZ30&gt;5000000,0.111,0.1045)),SUMPRODUCT(($AZ30&gt;INDEX('How This Works &amp; Sources'!$B$167:$J$179,0,7))*($AZ30-INDEX('How This Works &amp; Sources'!$B$167:$J$179,0,7))*INDEX('How This Works &amp; Sources'!$B$167:$J$179,0,7+2)))),"")))))))</f>
      </c>
      <c r="BX30" s="7">
        <f>IF($B30="","",IF($AN30="AL",IF(OR($AU30="Married",$AU30="Head of household"),SUMPRODUCT(($AZ30&gt;INDEX('How This Works &amp; Sources'!$B$82:$J$86,0,4))*($AZ30-INDEX('How This Works &amp; Sources'!$B$82:$J$86,0,4))*INDEX('How This Works &amp; Sources'!$B$82:$J$86,0,4+2)),SUMPRODUCT(($AZ30&gt;INDEX('How This Works &amp; Sources'!$B$82:$J$86,0,1))*($AZ30-INDEX('How This Works &amp; Sources'!$B$82:$J$86,0,1))*INDEX('How This Works &amp; Sources'!$B$82:$J$86,0,1+2))),IF($AN30="KS",IF($AU30="Married",SUMPRODUCT(($AZ30&gt;INDEX('How This Works &amp; Sources'!$B$103:$J$109,0,4))*($AZ30-INDEX('How This Works &amp; Sources'!$B$103:$J$109,0,4))*INDEX('How This Works &amp; Sources'!$B$103:$J$109,0,4+2)),SUMPRODUCT(($AZ30&gt;INDEX('How This Works &amp; Sources'!$B$103:$J$109,0,1))*($AZ30-INDEX('How This Works &amp; Sources'!$B$103:$J$109,0,1))*INDEX('How This Works &amp; Sources'!$B$103:$J$109,0,1+2))),IF($AN30="MN",IF($AU30="Married",SUMPRODUCT(($AZ30&gt;INDEX('How This Works &amp; Sources'!$B$114:$J$120,0,7))*($AZ30-INDEX('How This Works &amp; Sources'!$B$114:$J$120,0,7))*INDEX('How This Works &amp; Sources'!$B$114:$J$120,0,7+2)),SUMPRODUCT(($AZ30&gt;INDEX('How This Works &amp; Sources'!$B$114:$J$120,0,4))*($AZ30-INDEX('How This Works &amp; Sources'!$B$114:$J$120,0,4))*INDEX('How This Works &amp; Sources'!$B$114:$J$120,0,4+2))),IF($AN30="MO",SUMPRODUCT(($AZ30&gt;INDEX('How This Works &amp; Sources'!$B$125:$J$132,0,1))*($AZ30-INDEX('How This Works &amp; Sources'!$B$125:$J$132,0,1))*INDEX('How This Works &amp; Sources'!$B$125:$J$132,0,1+2)),IF($AN30="NE",MAX(IF($AU30="Married",SUMPRODUCT(($AZ30&gt;INDEX('How This Works &amp; Sources'!$B$144:$J$150,0,7))*($AZ30-INDEX('How This Works &amp; Sources'!$B$144:$J$150,0,7))*INDEX('How This Works &amp; Sources'!$B$144:$J$150,0,7+2)),SUMPRODUCT(($AZ30&gt;INDEX('How This Works &amp; Sources'!$B$144:$J$150,0,4))*($AZ30-INDEX('How This Works &amp; Sources'!$B$144:$J$150,0,4))*INDEX('How This Works &amp; Sources'!$B$144:$J$150,0,4+2))),0.015*$AZ30),IF($AN30="OH",IF($B30&gt;=DATE(2026,8,1),SUMPRODUCT(($AZ30&gt;INDEX('How This Works &amp; Sources'!$B$203:$J$206,0,1))*($AZ30-INDEX('How This Works &amp; Sources'!$B$203:$J$206,0,1))*INDEX('How This Works &amp; Sources'!$B$203:$J$206,0,1+2)),SUMPRODUCT(($AZ30&gt;INDEX('How This Works &amp; Sources'!$B$184:$J$198,0,7))*($AZ30-INDEX('How This Works &amp; Sources'!$B$184:$J$198,0,7))*INDEX('How This Works &amp; Sources'!$B$184:$J$198,0,7+2))),IF($AN30="OK",IF($AU30="Married",SUMPRODUCT(($AZ30&gt;INDEX('How This Works &amp; Sources'!$B$203:$J$206,0,7))*($AZ30-INDEX('How This Works &amp; Sources'!$B$203:$J$206,0,7))*INDEX('How This Works &amp; Sources'!$B$203:$J$206,0,7+2)),SUMPRODUCT(($AZ30&gt;INDEX('How This Works &amp; Sources'!$B$203:$J$206,0,4))*($AZ30-INDEX('How This Works &amp; Sources'!$B$203:$J$206,0,4))*INDEX('How This Works &amp; Sources'!$B$203:$J$206,0,4+2))),IF($AN30="VT",IF($AU30="Married",SUMPRODUCT(($AZ30&gt;INDEX('How This Works &amp; Sources'!$B$228:$J$232,0,1))*($AZ30-INDEX('How This Works &amp; Sources'!$B$228:$J$232,0,1))*INDEX('How This Works &amp; Sources'!$B$228:$J$232,0,1+2)),SUMPRODUCT(($AZ30&gt;INDEX('How This Works &amp; Sources'!$B$219:$J$223,0,7))*($AZ30-INDEX('How This Works &amp; Sources'!$B$219:$J$223,0,7))*INDEX('How This Works &amp; Sources'!$B$219:$J$223,0,7+2))),IF($AN30="WV",IF($AU30="Married",SUMPRODUCT(($AZ30&gt;INDEX('How This Works &amp; Sources'!$B$237:$J$241,0,7))*($AZ30-INDEX('How This Works &amp; Sources'!$B$237:$J$241,0,7))*INDEX('How This Works &amp; Sources'!$B$237:$J$241,0,7+2)),SUMPRODUCT(($AZ30&gt;INDEX('How This Works &amp; Sources'!$B$228:$J$232,0,7))*($AZ30-INDEX('How This Works &amp; Sources'!$B$228:$J$232,0,7))*INDEX('How This Works &amp; Sources'!$B$228:$J$232,0,7+2))),""))))))))))</f>
      </c>
      <c r="BY30" s="7">
        <f>IF($B30="","",IF($AN30="DE",SUMPRODUCT(($AZ30&gt;INDEX('How This Works &amp; Sources'!$B$91:$J$98,0,1))*($AZ30-INDEX('How This Works &amp; Sources'!$B$91:$J$98,0,1))*INDEX('How This Works &amp; Sources'!$B$91:$J$98,0,1+2)),IF($AN30="HI",IF($AU30="Married",SUMPRODUCT(($AZ30&gt;INDEX('How This Works &amp; Sources'!$B$91:$J$98,0,7))*($AZ30-INDEX('How This Works &amp; Sources'!$B$91:$J$98,0,7))*INDEX('How This Works &amp; Sources'!$B$91:$J$98,0,7+2)),SUMPRODUCT(($AZ30&gt;INDEX('How This Works &amp; Sources'!$B$91:$J$98,0,4))*($AZ30-INDEX('How This Works &amp; Sources'!$B$91:$J$98,0,4))*INDEX('How This Works &amp; Sources'!$B$91:$J$98,0,4+2))),IF($AN30="RI",SUMPRODUCT(($AZ30&gt;INDEX('How This Works &amp; Sources'!$B$211:$J$214,0,7))*($AZ30-INDEX('How This Works &amp; Sources'!$B$211:$J$214,0,7))*INDEX('How This Works &amp; Sources'!$B$211:$J$214,0,7+2)),IF($AN30="SC",SUMPRODUCT(($AZ30&gt;INDEX('How This Works &amp; Sources'!$B$219:$J$223,0,1))*($AZ30-INDEX('How This Works &amp; Sources'!$B$219:$J$223,0,1))*INDEX('How This Works &amp; Sources'!$B$219:$J$223,0,1+2)),IF($AN30="VA",SUMPRODUCT(($AZ30&gt;INDEX('How This Works &amp; Sources'!$B$219:$J$223,0,4))*($AZ30-INDEX('How This Works &amp; Sources'!$B$219:$J$223,0,4))*INDEX('How This Works &amp; Sources'!$B$219:$J$223,0,4+2)),IF($AN30="WI",SUMPRODUCT(($AZ30&gt;INDEX('How This Works &amp; Sources'!$B$228:$J$232,0,4))*($AZ30-INDEX('How This Works &amp; Sources'!$B$228:$J$232,0,4))*INDEX('How This Works &amp; Sources'!$B$228:$J$232,0,4+2)),"")))))))</f>
      </c>
      <c r="BZ30" s="24">
        <f>IF($B30="","",IF($AN30="KS",IF($AU30="Married",SUMPRODUCT(($AZ30&gt;=INDEX('How This Works &amp; Sources'!$B$103:$J$109,0,4))*INDEX('How This Works &amp; Sources'!$B$103:$J$109,0,4+2)),SUMPRODUCT(($AZ30&gt;=INDEX('How This Works &amp; Sources'!$B$103:$J$109,0,1))*INDEX('How This Works &amp; Sources'!$B$103:$J$109,0,1+2))),IF($AN30="MT",IF($AU30="Head of household",SUMPRODUCT(($AZ30&gt;=INDEX('How This Works &amp; Sources'!$B$137:$J$139,0,1))*INDEX('How This Works &amp; Sources'!$B$137:$J$139,0,1+2)),IF($AU30="Married",SUMPRODUCT(($AZ30&gt;=INDEX('How This Works &amp; Sources'!$B$125:$J$132,0,7))*INDEX('How This Works &amp; Sources'!$B$125:$J$132,0,7+2)),SUMPRODUCT(($AZ30&gt;=INDEX('How This Works &amp; Sources'!$B$125:$J$132,0,4))*INDEX('How This Works &amp; Sources'!$B$125:$J$132,0,4+2)))),IF($AN30="OR",IF(OR($AU30="Married",AND($AU30="Single",$AS30&gt;=3)),SUMPRODUCT((MAX(0,$AY30-MIN(($P30-'How This Works &amp; Sources'!$C$10*$D30)*'Second Earner'!$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Sources'!$B$211:$J$214,0,4))*INDEX('How This Works &amp; Sources'!$B$211:$J$214,0,4+2)),SUMPRODUCT((MAX(0,$AY30-MIN(($P30-'How This Works &amp; Sources'!$C$10*$D30)*'Second Earner'!$C$8,IF(OR($AU30="Married",AND($AU30="Single",$AS30&gt;=3)),IF($AY30&lt;250000,8750,IF($AY30&lt;260000,7000,IF($AY30&lt;270000,5250,IF($AY30&lt;280000,3500,IF($AY30&lt;290000,1750,0))))),IF($AY30&lt;125000,8750,IF($AY30&lt;130000,7000,IF($AY30&lt;135000,5250,IF($AY30&lt;140000,3500,IF($AY30&lt;145000,1750,0)))))))-IF(OR($AU30="Married",AND($AU30="Single",$AS30&gt;=3)),5820,2910))&gt;=INDEX('How This Works &amp; Sources'!$B$211:$J$214,0,1))*INDEX('How This Works &amp; Sources'!$B$211:$J$214,0,1+2)))*IF(($P30-'How This Works &amp; Sources'!$C$10*$D30)*'Second Earner'!$C$8&gt;=IF(OR($AU30="Married",AND($AU30="Single",$AS30&gt;=3)),IF($AY30&lt;250000,8750,IF($AY30&lt;260000,7000,IF($AY30&lt;270000,5250,IF($AY30&lt;280000,3500,IF($AY30&lt;290000,1750,0))))),IF($AY30&lt;125000,8750,IF($AY30&lt;130000,7000,IF($AY30&lt;135000,5250,IF($AY30&lt;140000,3500,IF($AY30&lt;145000,1750,0)))))),1,1-IF('Second Earner'!$C$13,SUMPRODUCT(($AH30&gt;=INDEX('How This Works &amp; Sources'!$B$29:$J$36,0,IF('Second Earner'!$C$12="MFJ",1,IF('Second Earner'!$C$12="HoH",7,4))))*INDEX('How This Works &amp; Sources'!$B$29:$J$36,0,IF('Second Earner'!$C$12="MFJ",1,IF('Second Earner'!$C$12="HoH",7,4))+2)),SUMPRODUCT(($AH30&gt;=INDEX('How This Works &amp; Sources'!$B$19:$J$26,0,IF('Second Earner'!$C$12="MFJ",1,IF('Second Earner'!$C$12="HoH",7,4))))*INDEX('How This Works &amp; Sources'!$B$19:$J$26,0,IF('Second Earner'!$C$12="MFJ",1,IF('Second Earner'!$C$12="HoH",7,4))+2)))),""))))</f>
      </c>
      <c r="CA30" s="24">
        <f>IF($B30="","",IF($AN30="CA",SUMPRODUCT(($AJ30&gt;=INDEX('How This Works &amp; Sources'!$B$39:$J$48,0,IF($AU30="Married",4,IF($AU30="Head of household",7,1))))*INDEX('How This Works &amp; Sources'!$B$39:$J$48,0,IF($AU30="Married",4,IF($AU30="Head of household",7,1))+2)),IF($AN30="AL",IF(OR($AU30="Married",$AU30="Head of household"),SUMPRODUCT(($AZ30&gt;=INDEX('How This Works &amp; Sources'!$B$82:$J$86,0,4))*INDEX('How This Works &amp; Sources'!$B$82:$J$86,0,4+2)),SUMPRODUCT(($AZ30&gt;=INDEX('How This Works &amp; Sources'!$B$82:$J$86,0,1))*INDEX('How This Works &amp; Sources'!$B$82:$J$86,0,1+2)))*(1-IF('Second Earner'!$C$13,SUMPRODUCT(($AH30&gt;=INDEX('How This Works &amp; Sources'!$B$29:$J$36,0,IF('Second Earner'!$C$12="MFJ",1,IF('Second Earner'!$C$12="HoH",7,4))))*INDEX('How This Works &amp; Sources'!$B$29:$J$36,0,IF('Second Earner'!$C$12="MFJ",1,IF('Second Earner'!$C$12="HoH",7,4))+2)),SUMPRODUCT(($AH30&gt;=INDEX('How This Works &amp; Sources'!$B$19:$J$26,0,IF('Second Earner'!$C$12="MFJ",1,IF('Second Earner'!$C$12="HoH",7,4))))*INDEX('How This Works &amp; Sources'!$B$19:$J$26,0,IF('Second Earner'!$C$12="MFJ",1,IF('Second Earner'!$C$12="HoH",7,4))+2)))),IF($AN30="ND",IF($AU30="Head of household",SUMPRODUCT(($AZ30&gt;=INDEX('How This Works &amp; Sources'!$B$144:$J$150,0,1))*INDEX('How This Works &amp; Sources'!$B$144:$J$150,0,1+2)),IF($AU30="Married",SUMPRODUCT(($AZ30&gt;=INDEX('How This Works &amp; Sources'!$B$137:$J$139,0,7))*INDEX('How This Works &amp; Sources'!$B$137:$J$139,0,7+2)),SUMPRODUCT(($AZ30&gt;=INDEX('How This Works &amp; Sources'!$B$137:$J$139,0,4))*INDEX('How This Works &amp; Sources'!$B$137:$J$139,0,4+2)))),IF($AN30="NJ",IF('Second Earner'!$C$77="B",SUMPRODUCT(($AZ30&gt;=INDEX('How This Works &amp; Sources'!$B$155:$J$162,0,4))*INDEX('How This Works &amp; Sources'!$B$155:$J$162,0,4+2)),IF('Second Earner'!$C$77="C",SUMPRODUCT(($AZ30&gt;=INDEX('How This Works &amp; Sources'!$B$155:$J$162,0,7))*INDEX('How This Works &amp; Sources'!$B$155:$J$162,0,7+2)),IF('Second Earner'!$C$77="D",SUMPRODUCT(($AZ30&gt;=INDEX('How This Works &amp; Sources'!$B$167:$J$179,0,1))*INDEX('How This Works &amp; Sources'!$B$167:$J$179,0,1+2)),IF('Second Earner'!$C$77="E",SUMPRODUCT(($AZ30&gt;=INDEX('How This Works &amp; Sources'!$B$167:$J$179,0,4))*INDEX('How This Works &amp; Sources'!$B$167:$J$179,0,4+2)),SUMPRODUCT(($AZ30&gt;=INDEX('How This Works &amp; Sources'!$B$155:$J$162,0,1))*INDEX('How This Works &amp; Sources'!$B$155:$J$162,0,1+2)))))),IF($AN30="NY",IF($AU30="Married",IF($AZ30&gt;=2155350,IF($AZ30&gt;25000000,0.117,IF($AZ30&gt;5000000,0.111,0.1045)),SUMPRODUCT(($AZ30&gt;=INDEX('How This Works &amp; Sources'!$B$184:$J$198,0,1))*INDEX('How This Works &amp; Sources'!$B$184:$J$198,0,1+2))),IF($AZ30&gt;=1077550,IF($AZ30&gt;25000000,0.117,IF($AZ30&gt;5000000,0.111,0.1045)),SUMPRODUCT(($AZ30&gt;=INDEX('How This Works &amp; Sources'!$B$167:$J$179,0,7))*INDEX('How This Works &amp; Sources'!$B$167:$J$179,0,7+2)))),IF($AN30="LA",0.0309,"")))))))</f>
      </c>
      <c r="CB30" s="24">
        <f>IF($B30="","",IF($AN30="HI",IF($AU30="Married",SUMPRODUCT(($AZ30&gt;=INDEX('How This Works &amp; Sources'!$B$91:$J$98,0,7))*INDEX('How This Works &amp; Sources'!$B$91:$J$98,0,7+2)),SUMPRODUCT(($AZ30&gt;=INDEX('How This Works &amp; Sources'!$B$91:$J$98,0,4))*INDEX('How This Works &amp; Sources'!$B$91:$J$98,0,4+2))),IF($AN30="MD",IF(OR($AU30="Married",$AU30="Head of household"),SUMPRODUCT(($AZ30&gt;=INDEX('How This Works &amp; Sources'!$B$114:$J$120,0,1))*INDEX('How This Works &amp; Sources'!$B$114:$J$120,0,1+2)),SUMPRODUCT(($AZ30&gt;=INDEX('How This Works &amp; Sources'!$B$103:$J$109,0,7))*INDEX('How This Works &amp; Sources'!$B$103:$J$109,0,7+2)))+'Second Earner'!$C$74,IF($AN30="MN",IF($AU30="Married",SUMPRODUCT(($AZ30&gt;=INDEX('How This Works &amp; Sources'!$B$114:$J$120,0,7))*INDEX('How This Works &amp; Sources'!$B$114:$J$120,0,7+2)),SUMPRODUCT(($AZ30&gt;=INDEX('How This Works &amp; Sources'!$B$114:$J$120,0,4))*INDEX('How This Works &amp; Sources'!$B$114:$J$120,0,4+2))),IF($AN30="MO",SUMPRODUCT(($AZ30&gt;=INDEX('How This Works &amp; Sources'!$B$125:$J$132,0,1))*INDEX('How This Works &amp; Sources'!$B$125:$J$132,0,1+2)),IF($AN30="NE",MAX(IF($AU30="Married",SUMPRODUCT(($AZ30&gt;=INDEX('How This Works &amp; Sources'!$B$144:$J$150,0,7))*INDEX('How This Works &amp; Sources'!$B$144:$J$150,0,7+2)),SUMPRODUCT(($AZ30&gt;=INDEX('How This Works &amp; Sources'!$B$144:$J$150,0,4))*INDEX('How This Works &amp; Sources'!$B$144:$J$150,0,4+2))),0.015),IF($AN30="OH",IF($B30&gt;=DATE(2026,8,1),SUMPRODUCT(($AZ30&gt;=INDEX('How This Works &amp; Sources'!$B$203:$J$206,0,1))*INDEX('How This Works &amp; Sources'!$B$203:$J$206,0,1+2)),SUMPRODUCT(($AZ30&gt;=INDEX('How This Works &amp; Sources'!$B$184:$J$198,0,7))*INDEX('How This Works &amp; Sources'!$B$184:$J$198,0,7+2))),IF($AN30="OK",IF($AU30="Married",SUMPRODUCT(($AZ30&gt;=INDEX('How This Works &amp; Sources'!$B$203:$J$206,0,7))*INDEX('How This Works &amp; Sources'!$B$203:$J$206,0,7+2)),SUMPRODUCT(($AZ30&gt;=INDEX('How This Works &amp; Sources'!$B$203:$J$206,0,4))*INDEX('How This Works &amp; Sources'!$B$203:$J$206,0,4+2))),IF($AN30="RI",SUMPRODUCT(($AZ30&gt;=INDEX('How This Works &amp; Sources'!$B$211:$J$214,0,7))*INDEX('How This Works &amp; Sources'!$B$211:$J$214,0,7+2)),IF($AN30="VT",IF($AU30="Married",SUMPRODUCT(($AZ30&gt;=INDEX('How This Works &amp; Sources'!$B$228:$J$232,0,1))*INDEX('How This Works &amp; Sources'!$B$228:$J$232,0,1+2)),SUMPRODUCT(($AZ30&gt;=INDEX('How This Works &amp; Sources'!$B$219:$J$223,0,7))*INDEX('How This Works &amp; Sources'!$B$219:$J$223,0,7+2))),IF($AN30="WV",IF($AU30="Married",SUMPRODUCT(($AZ30&gt;=INDEX('How This Works &amp; Sources'!$B$237:$J$241,0,7))*INDEX('How This Works &amp; Sources'!$B$237:$J$241,0,7+2)),SUMPRODUCT(($AZ30&gt;=INDEX('How This Works &amp; Sources'!$B$228:$J$232,0,7))*INDEX('How This Works &amp; Sources'!$B$228:$J$232,0,7+2))),IF($AN30="AZ",'Second Earner'!$C$82,IF($AN30="ID",IF($AY30&gt;IF($AU30="Married",32000,16094),0.053,0),"")))))))))))))</f>
      </c>
      <c r="CC30" s="24">
        <f>IF($B30="","",IF($AN30="AR",SUMPRODUCT(($AZ30&gt;=INDEX('How This Works &amp; Sources'!$B$82:$J$86,0,7))*INDEX('How This Works &amp; Sources'!$B$82:$J$86,0,7+2)),IF($AN30="DE",SUMPRODUCT(($AZ30&gt;=INDEX('How This Works &amp; Sources'!$B$91:$J$98,0,1))*INDEX('How This Works &amp; Sources'!$B$91:$J$98,0,1+2)),IF($AN30="SC",SUMPRODUCT(($AZ30&gt;=INDEX('How This Works &amp; Sources'!$B$219:$J$223,0,1))*INDEX('How This Works &amp; Sources'!$B$219:$J$223,0,1+2)),IF($AN30="VA",SUMPRODUCT(($AZ30&gt;=INDEX('How This Works &amp; Sources'!$B$219:$J$223,0,4))*INDEX('How This Works &amp; Sources'!$B$219:$J$223,0,4+2)),IF($AN30="WI",SUMPRODUCT(($AZ30&gt;=INDEX('How This Works &amp; Sources'!$B$228:$J$232,0,4))*INDEX('How This Works &amp; Sources'!$B$228:$J$232,0,4+2)),IF($AN30="CO",IF($AY30&gt;IF($AU30="Married",10000,5000),0.044,0),IF($AN30="IA",IF($AY30&gt;IF($AU30="Head of household",19500,IF($AU30="Married",26000,13000)),0.038,0),IF($AN30="IL",IF($AY30&gt;(2925*$AS30+1000*$AT30),0.0495,0),IF($AN30="IN",(0.0295+'Second Earner'!$C$76),IF($AN30="KY",IF($AI30&gt;3360,0.035,0),IF($AN30="MA",IF(MAX(0,$AY30-MIN(($BD29+$Q30+$R30+$S30),2000)-IF($AS30=0,0,IF($AS30=1,4400,1000*$AS30+3400)))&gt;=1107750,0.09,0.05),IF($AN30="MI",IF($AY30&gt;5900*$AS30,0.0425,0),IF($AN30="MS",IF($AI30-IF($AU30="Head of household",3400,IF($AU30="Married",4600,2300))-'Second Earner'!$C$85&gt;10000,0.04,0),IF($AN30="PA",0.0307,"")))))))))))))))</f>
      </c>
      <c r="CD30" s="21">
        <f>IF(YEAR(IF('Second Earner'!$C$7="Weekly",'Second Earner'!$C$9+7*(($BE29+1)-1),IF('Second Earner'!$C$7="Biweekly",'Second Earner'!$C$9+14*(($BE29+1)-1),IF('Second Earner'!$C$7="Semimonthly",DATE(YEAR('Second Earner'!$C$9),MONTH('Second Earner'!$C$9)+INT((($BE29+1)-1)/2),MIN(DAY('Second Earner'!$C$9),DAY(EOMONTH(DATE(YEAR('Second Earner'!$C$9),MONTH('Second Earner'!$C$9)+INT((($BE29+1)-1)/2),1),0))))+IF(MOD(($BE29+1)-1,2)=1,15,0),EDATE('Second Earner'!$C$9,($BE29+1)-1)))))&lt;&gt;'Second Earner'!$C$10,"",IF('Second Earner'!$C$7="Weekly",'Second Earner'!$C$9+7*(($BE29+1)-1),IF('Second Earner'!$C$7="Biweekly",'Second Earner'!$C$9+14*(($BE29+1)-1),IF('Second Earner'!$C$7="Semimonthly",DATE(YEAR('Second Earner'!$C$9),MONTH('Second Earner'!$C$9)+INT((($BE29+1)-1)/2),MIN(DAY('Second Earner'!$C$9),DAY(EOMONTH(DATE(YEAR('Second Earner'!$C$9),MONTH('Second Earner'!$C$9)+INT((($BE29+1)-1)/2),1),0))))+IF(MOD(($BE29+1)-1,2)=1,15,0),EDATE('Second Earner'!$C$9,($BE29+1)-1)))))</f>
      </c>
      <c r="CE30" s="21">
        <f>IF(MIN(IF(AND('Second Earner'!$C$58&gt;MAX($B$6:$B29),'Second Earner'!$C$58&gt;=DATE('Second Earner'!$C$10,1,1),'Second Earner'!$C$58&lt;=DATE('Second Earner'!$C$10,12,31)),'Second Earner'!$C$58,999999),IF(AND('Second Earner'!$C$59&gt;MAX($B$6:$B29),'Second Earner'!$C$59&gt;=DATE('Second Earner'!$C$10,1,1),'Second Earner'!$C$59&lt;=DATE('Second Earner'!$C$10,12,31)),'Second Earner'!$C$59,999999),IF(AND('Second Earner'!$C$60&gt;MAX($B$6:$B29),'Second Earner'!$C$60&gt;=DATE('Second Earner'!$C$10,1,1),'Second Earner'!$C$60&lt;=DATE('Second Earner'!$C$10,12,31)),'Second Earner'!$C$60,999999),IF(AND('Second Earner'!$C$61&gt;MAX($B$6:$B29),'Second Earner'!$C$61&gt;=DATE('Second Earner'!$C$10,1,1),'Second Earner'!$C$61&lt;=DATE('Second Earner'!$C$10,12,31)),'Second Earner'!$C$61,999999),IF(AND('Second Earner'!$C$62&gt;MAX($B$6:$B29),'Second Earner'!$C$62&gt;=DATE('Second Earner'!$C$10,1,1),'Second Earner'!$C$62&lt;=DATE('Second Earner'!$C$10,12,31)),'Second Earner'!$C$62,999999),IF(AND('Second Earner'!$C$63&gt;MAX($B$6:$B29),'Second Earner'!$C$63&gt;=DATE('Second Earner'!$C$10,1,1),'Second Earner'!$C$63&lt;=DATE('Second Earner'!$C$10,12,31)),'Second Earner'!$C$63,999999),IF(AND('Second Earner'!$C$64&gt;MAX($B$6:$B29),'Second Earner'!$C$64&gt;=DATE('Second Earner'!$C$10,1,1),'Second Earner'!$C$64&lt;=DATE('Second Earner'!$C$10,12,31)),'Second Earner'!$C$64,999999),IF(AND('Second Earner'!$C$65&gt;MAX($B$6:$B29),'Second Earner'!$C$65&gt;=DATE('Second Earner'!$C$10,1,1),'Second Earner'!$C$65&lt;=DATE('Second Earner'!$C$10,12,31)),'Second Earner'!$C$65,999999),IF(AND('Second Earner'!$C$66&gt;MAX($B$6:$B29),'Second Earner'!$C$66&gt;=DATE('Second Earner'!$C$10,1,1),'Second Earner'!$C$66&lt;=DATE('Second Earner'!$C$10,12,31)),'Second Earner'!$C$66,999999),IF(AND('Second Earner'!$C$67&gt;MAX($B$6:$B29),'Second Earner'!$C$67&gt;=DATE('Second Earner'!$C$10,1,1),'Second Earner'!$C$67&lt;=DATE('Second Earner'!$C$10,12,31)),'Second Earner'!$C$67,999999))=999999,"",MIN(IF(AND('Second Earner'!$C$58&gt;MAX($B$6:$B29),'Second Earner'!$C$58&gt;=DATE('Second Earner'!$C$10,1,1),'Second Earner'!$C$58&lt;=DATE('Second Earner'!$C$10,12,31)),'Second Earner'!$C$58,999999),IF(AND('Second Earner'!$C$59&gt;MAX($B$6:$B29),'Second Earner'!$C$59&gt;=DATE('Second Earner'!$C$10,1,1),'Second Earner'!$C$59&lt;=DATE('Second Earner'!$C$10,12,31)),'Second Earner'!$C$59,999999),IF(AND('Second Earner'!$C$60&gt;MAX($B$6:$B29),'Second Earner'!$C$60&gt;=DATE('Second Earner'!$C$10,1,1),'Second Earner'!$C$60&lt;=DATE('Second Earner'!$C$10,12,31)),'Second Earner'!$C$60,999999),IF(AND('Second Earner'!$C$61&gt;MAX($B$6:$B29),'Second Earner'!$C$61&gt;=DATE('Second Earner'!$C$10,1,1),'Second Earner'!$C$61&lt;=DATE('Second Earner'!$C$10,12,31)),'Second Earner'!$C$61,999999),IF(AND('Second Earner'!$C$62&gt;MAX($B$6:$B29),'Second Earner'!$C$62&gt;=DATE('Second Earner'!$C$10,1,1),'Second Earner'!$C$62&lt;=DATE('Second Earner'!$C$10,12,31)),'Second Earner'!$C$62,999999),IF(AND('Second Earner'!$C$63&gt;MAX($B$6:$B29),'Second Earner'!$C$63&gt;=DATE('Second Earner'!$C$10,1,1),'Second Earner'!$C$63&lt;=DATE('Second Earner'!$C$10,12,31)),'Second Earner'!$C$63,999999),IF(AND('Second Earner'!$C$64&gt;MAX($B$6:$B29),'Second Earner'!$C$64&gt;=DATE('Second Earner'!$C$10,1,1),'Second Earner'!$C$64&lt;=DATE('Second Earner'!$C$10,12,31)),'Second Earner'!$C$64,999999),IF(AND('Second Earner'!$C$65&gt;MAX($B$6:$B29),'Second Earner'!$C$65&gt;=DATE('Second Earner'!$C$10,1,1),'Second Earner'!$C$65&lt;=DATE('Second Earner'!$C$10,12,31)),'Second Earner'!$C$65,999999),IF(AND('Second Earner'!$C$66&gt;MAX($B$6:$B29),'Second Earner'!$C$66&gt;=DATE('Second Earner'!$C$10,1,1),'Second Earner'!$C$66&lt;=DATE('Second Earner'!$C$10,12,31)),'Second Earner'!$C$66,999999),IF(AND('Second Earner'!$C$67&gt;MAX($B$6:$B29),'Second Earner'!$C$67&gt;=DATE('Second Earner'!$C$10,1,1),'Second Earner'!$C$67&lt;=DATE('Second Earner'!$C$10,12,31)),'Second Earner'!$C$67,999999)))</f>
      </c>
      <c r="CF30">
        <f>IF($B30="","",IF($D30=0,$Y30,""))</f>
      </c>
    </row>
    <row r="31">
      <c r="A31" t="n">
        <v>26</v>
      </c>
      <c r="B31" s="21">
        <f>IF(AND($CD31="",$CE31=""),"",IF($CE31="",$CD31,IF($CD31="",$CE31,MIN($CD31,$CE31))))</f>
      </c>
      <c r="C31" s="7">
        <f>IF($B31="","",IF($BF31=0,0,IF('Second Earner'!$C$4="Annual salary",ROUND($AK31/IF(AND('Second Earner'!$C$88="Actual paydays",MONTH('Second Earner'!$C$9)=1),MAX(1,MAX($BE$6:$BE$68)),'Second Earner'!$C$8),2),$AK31)))</f>
      </c>
      <c r="D31" s="7">
        <f>IF($B31="","",SUMIF('Second Earner'!$C$58:$C$67,$B31,'Second Earner'!$D$58:$D$67))</f>
      </c>
      <c r="E31" s="7">
        <f>IF($B31="","",ROUND(MAX(0,MIN(IF($AL31="Percent",$AM31*($C31+$D31),$AM31),MAX(0,'Second Earner'!$C$34-$AC30))),2))</f>
      </c>
      <c r="F31" s="7">
        <f>IF($B31="","",ROUND(MAX(0,MIN(IF('Second Earner'!$C$32="Percent",'Second Earner'!$D$32*($C31+$D31),'Second Earner'!$D$32),MAX(0,'Second Earner'!$C$34-$AC30-$E31))),2))</f>
      </c>
      <c r="G31" s="7">
        <f>IF($B31="","",IF($BF31=0,0,ROUND(MAX(0,MIN($BL31,'Second Earner'!$C$37-'Second Earner'!$C$54-$BI30)),2)))</f>
      </c>
      <c r="H31" s="7">
        <f>IF($B31="","",IF(OR($BF31=0,$BQ31=1),0,ROUND(MAX(0,MIN(IF($BS31=1,ROUND(MAX(0,MIN($BJ31,'How This Works &amp; Sources'!$C$13)-$BG30)/MAX(1,MAX($BE$6:$BE$68)-($BE30)),2),ROUND(MIN($BJ31,'How This Works &amp; Sources'!$C$13)/'Second Earner'!$C$8,2)),MIN($BJ31,'How This Works &amp; Sources'!$C$13)-$BG30)),2)))</f>
      </c>
      <c r="I31" s="7">
        <f>IF($B31="","",IF(OR($BF31=0,$BR31=1),0,ROUND(MAX(0,MIN(IF($BT31=1,ROUND(MAX(0,MIN($BK31,IF('Second Earner'!$C$12="MFJ",'How This Works &amp; Sources'!$C$14,'How This Works &amp; Sources'!$C$15))-$BH30)/MAX(1,MAX($BE$6:$BE$68)-($BE30)),2),ROUND(MIN($BK31,IF('Second Earner'!$C$12="MFJ",'How This Works &amp; Sources'!$C$14,'How This Works &amp; Sources'!$C$15))/'Second Earner'!$C$8,2)),MIN($BK31,IF('Second Earner'!$C$12="MFJ",'How This Works &amp; Sources'!$C$14,'How This Works &amp; Sources'!$C$15))-$BH30)),2)))</f>
      </c>
      <c r="J31" s="7">
        <f>IF($B31="","",IF($BF31=0,0,$BM31))</f>
      </c>
      <c r="K31" s="7">
        <f>IF($B31="","",IF($BF31=0,0,$BN31+$BO31))</f>
      </c>
      <c r="L31" s="7">
        <f>IF($B31="","",IF($BF31=0,0,'Second Earner'!$D$46))</f>
      </c>
      <c r="M31" s="7">
        <f>IF($B31="","",$C31+$D31+$L31-$E31-$G31-$H31-$I31-$J31-$K31)</f>
      </c>
      <c r="N31" s="7">
        <f>IF($B31="","",$C31+$D31+$L31-$G31-$H31-$I31-$J31-$K31)</f>
      </c>
      <c r="O31" s="7">
        <f>IF($B31="","",$C31+$D31+$L31-$E31-$H31-$I31-$J31-$K31-IF(OR($AN31="CA",$AN31="NJ"),0,$G31))</f>
      </c>
      <c r="P31" s="7">
        <f>IF($B31="","",IF('Second Earner'!$C$18,0,ROUND(MAX(0,IF('Second Earner'!$C$13,SUMPRODUCT(($AH31&gt;INDEX('How This Works &amp; Sources'!$B$29:$J$36,0,IF('Second Earner'!$C$12="MFJ",1,IF('Second Earner'!$C$12="HoH",7,4))))*($AH31-INDEX('How This Works &amp; Sources'!$B$29:$J$36,0,IF('Second Earner'!$C$12="MFJ",1,IF('Second Earner'!$C$12="HoH",7,4))))*INDEX('How This Works &amp; Sources'!$B$29:$J$36,0,IF('Second Earner'!$C$12="MFJ",1,IF('Second Earner'!$C$12="HoH",7,4))+2)),SUMPRODUCT(($AH31&gt;INDEX('How This Works &amp; Sources'!$B$19:$J$26,0,IF('Second Earner'!$C$12="MFJ",1,IF('Second Earner'!$C$12="HoH",7,4))))*($AH31-INDEX('How This Works &amp; Sources'!$B$19:$J$26,0,IF('Second Earner'!$C$12="MFJ",1,IF('Second Earner'!$C$12="HoH",7,4))))*INDEX('How This Works &amp; Sources'!$B$19:$J$26,0,IF('Second Earner'!$C$12="MFJ",1,IF('Second Earner'!$C$12="HoH",7,4))+2)))/'Second Earner'!$C$8-$AO31/'Second Earner'!$C$8)+$AR31+IF('Second Earner'!$C$89="Aggregate",MAX(0,IF('Second Earner'!$C$13,SUMPRODUCT((($AH31+$D31)&gt;INDEX('How This Works &amp; Sources'!$B$29:$J$36,0,IF('Second Earner'!$C$12="MFJ",1,IF('Second Earner'!$C$12="HoH",7,4))))*(($AH31+$D31)-INDEX('How This Works &amp; Sources'!$B$29:$J$36,0,IF('Second Earner'!$C$12="MFJ",1,IF('Second Earner'!$C$12="HoH",7,4))))*INDEX('How This Works &amp; Sources'!$B$29:$J$36,0,IF('Second Earner'!$C$12="MFJ",1,IF('Second Earner'!$C$12="HoH",7,4))+2)),SUMPRODUCT((($AH31+$D31)&gt;INDEX('How This Works &amp; Sources'!$B$19:$J$26,0,IF('Second Earner'!$C$12="MFJ",1,IF('Second Earner'!$C$12="HoH",7,4))))*(($AH31+$D31)-INDEX('How This Works &amp; Sources'!$B$19:$J$26,0,IF('Second Earner'!$C$12="MFJ",1,IF('Second Earner'!$C$12="HoH",7,4))))*INDEX('How This Works &amp; Sources'!$B$19:$J$26,0,IF('Second Earner'!$C$12="MFJ",1,IF('Second Earner'!$C$12="HoH",7,4))+2)))-IF('Second Earner'!$C$13,SUMPRODUCT(($AH31&gt;INDEX('How This Works &amp; Sources'!$B$29:$J$36,0,IF('Second Earner'!$C$12="MFJ",1,IF('Second Earner'!$C$12="HoH",7,4))))*($AH31-INDEX('How This Works &amp; Sources'!$B$29:$J$36,0,IF('Second Earner'!$C$12="MFJ",1,IF('Second Earner'!$C$12="HoH",7,4))))*INDEX('How This Works &amp; Sources'!$B$29:$J$36,0,IF('Second Earner'!$C$12="MFJ",1,IF('Second Earner'!$C$12="HoH",7,4))+2)),SUMPRODUCT(($AH31&gt;INDEX('How This Works &amp; Sources'!$B$19:$J$26,0,IF('Second Earner'!$C$12="MFJ",1,IF('Second Earner'!$C$12="HoH",7,4))))*($AH31-INDEX('How This Works &amp; Sources'!$B$19:$J$26,0,IF('Second Earner'!$C$12="MFJ",1,IF('Second Earner'!$C$12="HoH",7,4))))*INDEX('How This Works &amp; Sources'!$B$19:$J$26,0,IF('Second Earner'!$C$12="MFJ",1,IF('Second Earner'!$C$12="HoH",7,4))+2)))),'How This Works &amp; Sources'!$C$10*$D31),2)))</f>
      </c>
      <c r="Q31" s="7">
        <f>IF($B31="","",ROUND('How This Works &amp; Sources'!$C$4*MIN($N31,MAX(0,'How This Works &amp; Sources'!$C$3-($AX31+$AB30-$AW31))),2))</f>
      </c>
      <c r="R31" s="7">
        <f>IF($B31="","",ROUND('How This Works &amp; Sources'!$C$5*$N31,2))</f>
      </c>
      <c r="S31" s="7">
        <f>IF($B31="","",ROUND('How This Works &amp; Sources'!$C$6*MAX(0,MIN($N31,$AG30+$N31-'How This Works &amp; Sources'!$C$7)),2))</f>
      </c>
      <c r="T31" s="7">
        <f>IF($B31="","",IF('Second Earner'!$C$26,0,IF($AN31="CA",ROUND(IF($AI31&lt;=IF(($AS31+$AT31)&gt;=2,VLOOKUP($AN31,StateTables!$A$6:$AB$56,10,FALSE),VLOOKUP($AN31,StateTables!$A$6:$AB$56,9,FALSE)),0,MAX(0,SUMPRODUCT(($AJ31&gt;INDEX('How This Works &amp; Sources'!$B$39:$J$48,0,IF($AU31="Married",4,IF($AU31="Head of household",7,1))))*($AJ31-INDEX('How This Works &amp; Sources'!$B$39:$J$48,0,IF($AU31="Married",4,IF($AU31="Head of household",7,1))))*INDEX('How This Works &amp; Sources'!$B$39:$J$48,0,IF($AU31="Married",4,IF($AU31="Head of household",7,1))+2))-VLOOKUP($AN31,StateTables!$A$6:$AB$56,11,FALSE)*$AS31)/'Second Earner'!$C$8)+'Second Earner'!$C$25+VLOOKUP($AN31,StateTables!$A$6:$AB$56,13,FALSE)*$D31,2),IF(VLOOKUP($AN31,StateTables!$A$6:$AB$56,4,FALSE)="None",0,IF(ISNUMBER(SEARCH("MANUAL",VLOOKUP($AN31,StateTables!$A$6:$AB$56,5,FALSE))),'Second Earner'!$C$28,ROUND(MAX(0,$BA31+$BB31)/'Second Earner'!$C$8+'Second Earner'!$C$25+$BC31,2))))))</f>
      </c>
      <c r="U31" s="7">
        <f>IF($B31="","",IF(VLOOKUP($AN31,StateTables!$A$6:$AB$56,24,FALSE)="flatq",IF(OR(MONTH($B31)=1,MONTH($B31)=4,MONTH($B31)=7,MONTH($B31)=10),VLOOKUP($AN31,StateTables!$A$6:$AB$56,25,FALSE),0),IF(VLOOKUP($AN31,StateTables!$A$6:$AB$56,24,FALSE)="dbl",MIN(ROUND(0.005*$N31,2),ROUND(0.6*52/'Second Earner'!$C$8,2)),IF(OR(VLOOKUP($AN31,StateTables!$A$6:$AB$56,15,FALSE)="",VLOOKUP($AN31,StateTables!$A$6:$AB$56,15,FALSE)=0),0,ROUND(VLOOKUP($AN31,StateTables!$A$6:$AB$56,15,FALSE)*IF(OR(VLOOKUP($AN31,StateTables!$A$6:$AB$56,16,FALSE)="",VLOOKUP($AN31,StateTables!$A$6:$AB$56,16,FALSE)=0),$N31,MIN($N31,MAX(0,VLOOKUP($AN31,StateTables!$A$6:$AB$56,16,FALSE)-($AX31+$AB30-$AW31)))),2))))+IF(VLOOKUP($AN31,StateTables!$A$6:$AB$56,27,FALSE)="flatq",IF(OR(MONTH($B31)=1,MONTH($B31)=4,MONTH($B31)=7,MONTH($B31)=10),VLOOKUP($AN31,StateTables!$A$6:$AB$56,28,FALSE),0),IF(VLOOKUP($AN31,StateTables!$A$6:$AB$56,27,FALSE)="dbl",MIN(ROUND(0.005*$N31,2),ROUND(0.6*52/'Second Earner'!$C$8,2)),IF(OR(VLOOKUP($AN31,StateTables!$A$6:$AB$56,18,FALSE)="",VLOOKUP($AN31,StateTables!$A$6:$AB$56,18,FALSE)=0),0,ROUND(VLOOKUP($AN31,StateTables!$A$6:$AB$56,18,FALSE)*IF(OR(VLOOKUP($AN31,StateTables!$A$6:$AB$56,19,FALSE)="",VLOOKUP($AN31,StateTables!$A$6:$AB$56,19,FALSE)=0),$N31,MIN($N31,MAX(0,VLOOKUP($AN31,StateTables!$A$6:$AB$56,19,FALSE)-($AX31+$AB30-$AW31)))),2)))))</f>
      </c>
      <c r="V31" s="7">
        <f>IF($B31="","",IF($AN31="NY",IF('Second Earner'!$C$78,ROUND(SUMPRODUCT((MAX(0,($O31-$D31)*'Second Earner'!$C$8-(IF($AU31="Married",5500,5000)+1000*$AS31))&gt;INDEX('How This Works &amp; Sources'!$B$184:$J$198,0,4))*(MAX(0,($O31-$D31)*'Second Earner'!$C$8-(IF($AU31="Married",5500,5000)+1000*$AS31))-INDEX('How This Works &amp; Sources'!$B$184:$J$198,0,4))*INDEX('How This Works &amp; Sources'!$B$184:$J$198,0,4+2))/'Second Earner'!$C$8+0.0425*$D31,2),0)+IF('Second Earner'!$C$79="Resident",ROUND(0.1675*$T31,2),IF('Second Earner'!$C$79="Nonresident",ROUND(0.005*MAX(0,($O31-$D31)-(IF($AU31="Married",7950,7400)+1000*$AS31)/'Second Earner'!$C$8),2),0)),IF($AN31="PA",IF('Second Earner'!$C$80="None",'Second Earner'!$C$27+ROUND('Second Earner'!$C$81*($C31+$D31),2),ROUND(IF('Second Earner'!$C$80="Resident",IF($B31&lt;DATE(2026,7,1),0.0374,0.03735),IF($B31&lt;DATE(2026,7,1),0.0343,0.03425))*($C31+$D31),2)),IF($BF31=0,ROUND('Second Earner'!$C$81*($C31+$D31),2),'Second Earner'!$C$27+ROUND('Second Earner'!$C$81*($C31+$D31),2)))))</f>
      </c>
      <c r="W31" s="7">
        <f>IF($B31="","",IF($BF31=0,0,$BP31))</f>
      </c>
      <c r="X31" s="7">
        <f>IF($B31="","",SUM($E31:$K31)+$P31+$Q31+$R31+$S31+$T31+$U31+$V31+$W31)</f>
      </c>
      <c r="Y31" s="22">
        <f>IF($B31="","",$C31+$D31-$X31)</f>
      </c>
      <c r="Z31" s="7">
        <f>IF($B31="","",$Z30+$C31+$D31)</f>
      </c>
      <c r="AA31" s="7">
        <f>IF($B31="","",$AA30+$Y31)</f>
      </c>
      <c r="AB31" s="7">
        <f>IF($B31="","",$AB30+MIN($N31,MAX(0,'How This Works &amp; Sources'!$C$3-($AX31+$AB30-$AW31))))</f>
      </c>
      <c r="AC31" s="7">
        <f>IF($B31="","",$AC30+$E31+$F31)</f>
      </c>
      <c r="AD31" s="3">
        <f>IF($B31="","",IF(AND($AB30&lt;'How This Works &amp; Sources'!$C$3,$AB31&gt;='How This Works &amp; Sources'!$C$3),"★ Social Security maxed on this check — from the next check your net rises by about $"&amp;TEXT(ROUND('How This Works &amp; Sources'!$C$4*$N31,2),"#,##0.00")&amp;". ","")&amp;IF(AND($AC30&lt;'Second Earner'!$C$34,$AC31&gt;='Second Earner'!$C$34),"★ 401(k) reaches the $"&amp;TEXT('Second Earner'!$C$34,"#,##0")&amp;" cap on this check — deferrals stop and net pay rises. ","")&amp;IF(AND($AG30&lt;'How This Works &amp; Sources'!$C$7,$AG31&gt;='How This Works &amp; Sources'!$C$7),"★ Wages pass $200,000 — the 0.9% Additional Medicare Tax starts here. ","")&amp;IF(AND($BJ31&gt;0,$H31&gt;0,$BG30&lt;MIN($BJ31,'How This Works &amp; Sources'!$C$13),$BG30+$H31&gt;=MIN($BJ31,'How This Works &amp; Sources'!$C$13)),"★ Health FSA election is now fully deferred for the year. ",""))</f>
      </c>
      <c r="AE31" s="41" t="n"/>
      <c r="AF31" s="7">
        <f>IF(OR($B31="",$AE31=""),"",$AE31-$Y31)</f>
      </c>
      <c r="AG31" s="7">
        <f>IF($B31="","",$AG30+$N31)</f>
      </c>
      <c r="AH31" s="7">
        <f>IF($B31="","",MAX(0,($M31-$D31)*'Second Earner'!$C$8+$AP31-$AQ31-IF('Second Earner'!$C$13,0,IF('Second Earner'!$C$12="MFJ",'How This Works &amp; Sources'!$C$8,'How This Works &amp; Sources'!$C$9))))</f>
      </c>
      <c r="AI31" s="7">
        <f>IF($B31="","",$O31*'Second Earner'!$C$8)</f>
      </c>
      <c r="AJ31" s="7">
        <f>IF($B31="","",MAX(0,$AI31-VLOOKUP($AN31,StateTables!$A$6:$AB$56,12,FALSE)*$AT31-IF(($AS31+$AT31)&gt;=2,VLOOKUP($AN31,StateTables!$A$6:$AB$56,8,FALSE),VLOOKUP($AN31,StateTables!$A$6:$AB$56,7,FALSE))))</f>
      </c>
      <c r="AK31" s="7">
        <f>IF($B31="","",IFERROR(LOOKUP(2,1/(('Changes — Earner 2'!$C$6:$C$17="Salary change")*('Changes — Earner 2'!$B$6:$B$17&lt;=$B31)*('Changes — Earner 2'!$B$6:$B$17&lt;&gt;"")),'Changes — Earner 2'!$D$6:$D$17),IF('Second Earner'!$C$4="Annual salary",'Second Earner'!$C$5,'Second Earner'!$C$6)))</f>
      </c>
      <c r="AL31">
        <f>IF($B31="","",IFERROR(LOOKUP(2,1/(('Changes — Earner 2'!$C$6:$C$17="401(k) change")*('Changes — Earner 2'!$B$6:$B$17&lt;=$B31)*('Changes — Earner 2'!$B$6:$B$17&lt;&gt;"")),'Changes — Earner 2'!$D$6:$D$17),'Second Earner'!$C$30))</f>
      </c>
      <c r="AM31" s="7">
        <f>IF($B31="","",IFERROR(LOOKUP(2,1/(('Changes — Earner 2'!$C$6:$C$17="401(k) change")*('Changes — Earner 2'!$B$6:$B$17&lt;=$B31)*('Changes — Earner 2'!$B$6:$B$17&lt;&gt;"")),'Changes — Earner 2'!$E$6:$E$17),'Second Earner'!$D$31))</f>
      </c>
      <c r="AN31">
        <f>IF($B31="","",IFERROR(LOOKUP(2,1/(('Changes — Earner 2'!$C$6:$C$17="State move")*('Changes — Earner 2'!$B$6:$B$17&lt;=$B31)*('Changes — Earner 2'!$B$6:$B$17&lt;&gt;"")),'Changes — Earner 2'!$D$6:$D$17),'Second Earner'!$C$21))</f>
      </c>
      <c r="AO31" s="7">
        <f>IF($B31="","",IFERROR(LOOKUP(2,1/(('Changes — Earner 2'!$C$6:$C$17="W-4 change")*('Changes — Earner 2'!$B$6:$B$17&lt;=$B31)*('Changes — Earner 2'!$B$6:$B$17&lt;&gt;"")),'Changes — Earner 2'!$D$6:$D$17),'Second Earner'!$C$14))</f>
      </c>
      <c r="AP31" s="7">
        <f>IF($B31="","",IFERROR(LOOKUP(2,1/(('Changes — Earner 2'!$C$6:$C$17="W-4 change")*('Changes — Earner 2'!$B$6:$B$17&lt;=$B31)*('Changes — Earner 2'!$B$6:$B$17&lt;&gt;"")),'Changes — Earner 2'!$E$6:$E$17),'Second Earner'!$C$15))</f>
      </c>
      <c r="AQ31" s="7">
        <f>IF($B31="","",IFERROR(LOOKUP(2,1/(('Changes — Earner 2'!$C$6:$C$17="W-4 change")*('Changes — Earner 2'!$B$6:$B$17&lt;=$B31)*('Changes — Earner 2'!$B$6:$B$17&lt;&gt;"")),'Changes — Earner 2'!$F$6:$F$17),'Second Earner'!$C$16))</f>
      </c>
      <c r="AR31" s="7">
        <f>IF($B31="","",IFERROR(LOOKUP(2,1/(('Changes — Earner 2'!$C$6:$C$17="W-4 change")*('Changes — Earner 2'!$B$6:$B$17&lt;=$B31)*('Changes — Earner 2'!$B$6:$B$17&lt;&gt;"")),'Changes — Earner 2'!$G$6:$G$17),'Second Earner'!$C$17))</f>
      </c>
      <c r="AS31" s="6">
        <f>IF($B31="","",IFERROR(LOOKUP(2,1/((('Changes — Earner 2'!$C$6:$C$17="State move")+('Changes — Earner 2'!$C$6:$C$17="State cert change"))*('Changes — Earner 2'!$B$6:$B$17&lt;=$B31)*('Changes — Earner 2'!$B$6:$B$17&lt;&gt;"")),'Changes — Earner 2'!$F$6:$F$17),'Second Earner'!$C$23))</f>
      </c>
      <c r="AT31" s="6">
        <f>IF($B31="","",IFERROR(LOOKUP(2,1/((('Changes — Earner 2'!$C$6:$C$17="State move")+('Changes — Earner 2'!$C$6:$C$17="State cert change"))*('Changes — Earner 2'!$B$6:$B$17&lt;=$B31)*('Changes — Earner 2'!$B$6:$B$17&lt;&gt;"")),'Changes — Earner 2'!$G$6:$G$17),'Second Earner'!$C$24))</f>
      </c>
      <c r="AU31">
        <f>IF($B31="","",IFERROR(LOOKUP(2,1/(('Changes — Earner 2'!$C$6:$C$17="State move")*('Changes — Earner 2'!$B$6:$B$17&lt;=$B31)*('Changes — Earner 2'!$B$6:$B$17&lt;&gt;"")),'Changes — Earner 2'!$E$6:$E$17),'Second Earner'!$C$22))</f>
      </c>
      <c r="AV31" s="6">
        <f>IF($B31="","",1+COUNTIFS('Changes — Earner 2'!$C$6:$C$17,"Employer change",'Changes — Earner 2'!$B$6:$B$17,"&lt;="&amp;$B31,'Changes — Earner 2'!$B$6:$B$17,"&lt;&gt;"))</f>
      </c>
      <c r="AW31" s="7">
        <f>IF($B31="","",IF($AV31=1,'Second Earner'!$C$49,IF(IFERROR(MATCH(IFERROR(LOOKUP(2,1/(('Changes — Earner 2'!$C$6:$C$17="Employer change")*('Changes — Earner 2'!$B$6:$B$17&lt;=$B31)*('Changes — Earner 2'!$B$6:$B$17&lt;&gt;"")),'Changes — Earner 2'!$B$6:$B$17),""),$B$6:$B$68,1),1)&lt;=1,'Second Earner'!$C$49,INDEX($AB$6:$AB$68,MATCH(IFERROR(LOOKUP(2,1/(('Changes — Earner 2'!$C$6:$C$17="Employer change")*('Changes — Earner 2'!$B$6:$B$17&lt;=$B31)*('Changes — Earner 2'!$B$6:$B$17&lt;&gt;"")),'Changes — Earner 2'!$B$6:$B$17),""),$B$6:$B$68,1)-1))))</f>
      </c>
      <c r="AX31" s="7">
        <f>IF($B31="","",IF($AV31=1,'Second Earner'!$C$49,IFERROR(LOOKUP(2,1/(('Changes — Earner 2'!$C$6:$C$17="Employer change")*('Changes — Earner 2'!$B$6:$B$17&lt;=$B31)*('Changes — Earner 2'!$B$6:$B$17&lt;&gt;"")),'Changes — Earner 2'!$D$6:$D$17),0)))</f>
      </c>
      <c r="AY31" s="7">
        <f>IF($B31="","",($O31-$D31)*'Second Earner'!$C$8)</f>
      </c>
      <c r="AZ31" s="7">
        <f>IF($B31="","",IF($AN31="AL",MAX(0,$AY31-IF($AU31="Married",IF($AY31&lt;=25999,8500,MAX(5000,8500-175*CEILING(($AY31-25999)/500,1))),IF($AU31="Head of household",IF($AY31&lt;=25999,5200,MAX(2500,5200-135*CEILING(($AY31-25999)/500,1))),IF($AY31&lt;=25999,3000,MAX(2500,3000-25*CEILING(($AY31-25999)/500,1)))))-($P31-'How This Works &amp; Sources'!$C$10*$D31)*'Second Earner'!$C$8-IF(OR($AU31="Married",$AU31="Head of household"),3000,1500)-$AT31*IF($AY31&lt;=50000,1000,IF($AY31&lt;=100000,500,300))),IF($AN31="AR",IF(MAX(0,$AY31-2470)&lt;97701,INT(MAX(0,$AY31-2470)/100)*100+50,MAX(0,$AY31-2470)),IF($AN31="DE",MAX(0,$AI31-3250),IF($AN31="HI",MAX(0,$AI31-1144*$AS31-4350),IF($AN31="KS",MAX(0,$AI31-(9160*IF($AU31="Married",2,1)+2320*$AT31+IF($AU31="Head of household",2320,0))),IF($AN31="MD",MAX(0,$AI31-3400-3200*$AS31),IF($AN31="MN",MAX(0,$AY31-5300*$AS31),IF($AN31="MO",MAX(0,$AI31-IF($AU31="Head of household",24150,IF($AU31="Married",IF('Second Earner'!$C$83,16100,32200),16100))),IF($AN31="MT",$AY31,IF($AN31="ND",($C31+$L31)*'Second Earner'!$C$8,IF($AN31="NE",MAX(0,$AY31-2440*$AS31),IF($AN31="NJ",MAX(0,$AY31-1000*$AS31),IF($AN31="NY",MAX(0,$AY31-(IF($AU31="Married",7950,7400)+1000*$AS31)),IF($AN31="OH",MAX(0,$AY31-650*$AS31),IF($AN31="OK",MAX(0,$AY31-1000*$AS31),IF($AN31="RI",MAX(0,$AI31-1000*$AS31),IF($AN31="SC",MAX(0,$AI31-5000*$AS31-IF($AS31=0,0,MIN(0.1*$AI31,7500))),IF($AN31="VA",MAX(0,$AI31-IF($AU31="Married",17500,8750)-930*$AS31-800*$AT31),IF($AN31="VT",MAX(0,$AI31-5400*$AS31),IF($AN31="WI",MAX(0,$AI31-MAX(0,IF($AU31="Married",9461-0.2*MAX(0,$AI31-25727),6702-0.12*MAX(0,$AI31-17780)))-400*$AS31),IF($AN31="WV",MAX(0,$AI31-2000*$AS31),$AI31))))))))))))))))))))))</f>
      </c>
      <c r="BA31" s="7">
        <f>IF($B31="","",IF($BW31&lt;&gt;"",$BW31,IF($BX31&lt;&gt;"",$BX31,IF($BY31&lt;&gt;"",$BY31,0))))</f>
      </c>
      <c r="BB31" s="7">
        <f>IF($B31="","",IF($AN31="AR",-29*$AS31,IF($AN31="DE",-110*$AS31,IF($AN31="MD",$AZ31*'Second Earner'!$C$74,IF($AN31="AZ",'Second Earner'!$C$82*($M31-$D31)*'Second Earner'!$C$8,IF($AN31="CO",0.044*MAX(0,$AY31-IF($AU31="Married",10000,5000)),IF($AN31="IA",MAX(0,0.038*MAX(0,$AY31-IF($AU31="Head of household",19500,IF($AU31="Married",26000,13000)))-40*$AS31),IF($AN31="ID",0.053*MAX(0,$AY31-IF($AU31="Married",32000,16094)),IF($AN31="IL",0.0495*MAX(0,$AY31-(2925*$AS31+1000*$AT31)),IF($AN31="IN",(0.0295+'Second Earner'!$C$76)*MAX(0,$AY31-(1000*$AS31+1500*$AT31+3000*'Second Earner'!$C$86)),IF($AN31="KY",0.035*MAX(0,$AI31-3360),IF($AN31="LA",IF('Second Earner'!$C$84="0",0.0309*$AI31,0.0309*MAX(0,$AI31-IF('Second Earner'!$C$84="2",25750,12875))),IF($AN31="MA",0.05*MIN(MAX(0,$AY31-MIN(($BD30+$Q31+$R31+$S31),2000)-IF($AS31=0,0,IF($AS31=1,4400,1000*$AS31+3400))),1107750)+0.09*MAX(0,MAX(0,$AY31-MIN(($BD30+$Q31+$R31+$S31),2000)-IF($AS31=0,0,IF($AS31=1,4400,1000*$AS31+3400)))-1107750)-IF($AU31="Head of household",120,0)-110*'Second Earner'!$C$75,IF($AN31="MI",0.0425*MAX(0,$AY31-5900*$AS31),IF($AN31="MS",0.04*MAX(0,$AI31-IF($AU31="Head of household",3400,IF($AU31="Married",4600,2300))-'Second Earner'!$C$85-10000),IF($AN31="OR",IF(OR($AU31="Married",AND($AU31="Single",$AS31&gt;=3)),SUMPRODUCT((MAX(0,$AY31-MIN(($P31-'How This Works &amp; Sources'!$C$10*$D31)*'Second Earner'!$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Sources'!$B$211:$J$214,0,4))*(MAX(0,$AY31-MIN(($P31-'How This Works &amp; Sources'!$C$10*$D31)*'Second Earner'!$C$8,IF(OR($AU31="Married",AND($AU31="Single",$AS31&gt;=3)),IF($AY31&lt;250000,8750,IF($AY31&lt;260000,7000,IF($AY31&lt;270000,5250,IF($AY31&lt;280000,3500,IF($AY31&lt;290000,1750,0))))),IF($AY31&lt;125000,8750,IF($AY31&lt;130000,7000,IF($AY31&lt;135000,5250,IF($AY31&lt;140000,3500,IF($AY31&lt;145000,1750,0)))))))-IF(OR($AU31="Married",AND($AU31="Single",$AS31&gt;=3)),5820,2910))-INDEX('How This Works &amp; Sources'!$B$211:$J$214,0,4))*INDEX('How This Works &amp; Sources'!$B$211:$J$214,0,4+2)),SUMPRODUCT((MAX(0,$AY31-MIN(($P31-'How This Works &amp; Sources'!$C$10*$D31)*'Second Earner'!$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Sources'!$B$211:$J$214,0,1))*(MAX(0,$AY31-MIN(($P31-'How This Works &amp; Sources'!$C$10*$D31)*'Second Earner'!$C$8,IF(OR($AU31="Married",AND($AU31="Single",$AS31&gt;=3)),IF($AY31&lt;250000,8750,IF($AY31&lt;260000,7000,IF($AY31&lt;270000,5250,IF($AY31&lt;280000,3500,IF($AY31&lt;290000,1750,0))))),IF($AY31&lt;125000,8750,IF($AY31&lt;130000,7000,IF($AY31&lt;135000,5250,IF($AY31&lt;140000,3500,IF($AY31&lt;145000,1750,0)))))))-IF(OR($AU31="Married",AND($AU31="Single",$AS31&gt;=3)),5820,2910))-INDEX('How This Works &amp; Sources'!$B$211:$J$214,0,1))*INDEX('How This Works &amp; Sources'!$B$211:$J$214,0,1+2)))+263-263*IF(IF($AU31="Married",$AY31&gt;200000,$AY31&gt;100000),0,$AS31),IF($AN31="PA",0.0307*(($O31+$E31+$G31)*'Second Earner'!$C$8),IF($AN31="NY",IF($AU31="Married",IF($AZ31&gt;=2155350,0,IF($AZ31&gt;=1077550,0.48,IF($AZ31&gt;=373200,1.21,IF($AZ31&gt;=323200,0.21,IF($AZ31&gt;=211550,-0.19,IF($AZ31&gt;=157650,-2.8,IF($AZ31&gt;=107650,-0.8,IF($AZ31&gt;=96800,0.05,IF($AZ31&gt;=80650,-0.1,IF($AZ31&gt;=13900,0.4,IF($AZ31&gt;=11700,-0.3,IF($AZ31&gt;=8500,0.5,0)))))))))))),IF($AZ31&gt;=1077550,0,IF($AZ31&gt;=265400,4.29,IF($AZ31&gt;=215400,2.29,IF($AZ31&gt;=157650,2.29,IF($AZ31&gt;=107650,0.29,IF($AZ31&gt;=96800,0.05,IF($AZ31&gt;=80650,-0.1,IF($AZ31&gt;=13900,0.4,IF($AZ31&gt;=11700,-0.3,IF($AZ31&gt;=8500,0.5,0))))))))))),0))))))))))))))))))</f>
      </c>
      <c r="BC31" s="7">
        <f>IF($B31="","",IF($AN31="AL",0.05*$D31,IF($AN31="AR",0.039*$D31,IF($AN31="ID",0.053*$D31,IF($AN31="IN",(0.0295+'Second Earner'!$C$76)*$D31,IF($AN31="KS",0.05*$D31,IF($AN31="MA",0.09*MIN($D31,MAX(0,MAX(0,$AY31-MIN(($BD30+$Q31+$R31+$S31),2000)-IF($AS31=0,0,IF($AS31=1,4400,1000*$AS31+3400)))+$D31-1107750))+0.05*($D31-MIN($D31,MAX(0,MAX(0,$AY31-MIN(($BD30+$Q31+$R31+$S31),2000)-IF($AS31=0,0,IF($AS31=1,4400,1000*$AS31+3400)))+$D31-1107750))),IF($AN31="MD",(0.065+'Second Earner'!$C$74)*$D31,IF($AN31="MI",0.0425*$D31,IF($AN31="MN",0.0625*$D31,IF($AN31="MO",0.047*$D31,IF($AN31="MT",0.05*$D31,IF($AN31="ND",0.015*$D31,IF($AN31="NE",0.035*$D31,IF($AN31="NJ",IF('Second Earner'!$C$77="B",SUMPRODUCT(($D31*'Second Earner'!$C$8&gt;INDEX('How This Works &amp; Sources'!$B$155:$J$162,0,4))*($D31*'Second Earner'!$C$8-INDEX('How This Works &amp; Sources'!$B$155:$J$162,0,4))*INDEX('How This Works &amp; Sources'!$B$155:$J$162,0,4+2)),IF('Second Earner'!$C$77="C",SUMPRODUCT(($D31*'Second Earner'!$C$8&gt;INDEX('How This Works &amp; Sources'!$B$155:$J$162,0,7))*($D31*'Second Earner'!$C$8-INDEX('How This Works &amp; Sources'!$B$155:$J$162,0,7))*INDEX('How This Works &amp; Sources'!$B$155:$J$162,0,7+2)),IF('Second Earner'!$C$77="D",SUMPRODUCT(($D31*'Second Earner'!$C$8&gt;INDEX('How This Works &amp; Sources'!$B$167:$J$179,0,1))*($D31*'Second Earner'!$C$8-INDEX('How This Works &amp; Sources'!$B$167:$J$179,0,1))*INDEX('How This Works &amp; Sources'!$B$167:$J$179,0,1+2)),IF('Second Earner'!$C$77="E",SUMPRODUCT(($D31*'Second Earner'!$C$8&gt;INDEX('How This Works &amp; Sources'!$B$167:$J$179,0,4))*($D31*'Second Earner'!$C$8-INDEX('How This Works &amp; Sources'!$B$167:$J$179,0,4))*INDEX('How This Works &amp; Sources'!$B$167:$J$179,0,4+2)),SUMPRODUCT(($D31*'Second Earner'!$C$8&gt;INDEX('How This Works &amp; Sources'!$B$155:$J$162,0,1))*($D31*'Second Earner'!$C$8-INDEX('How This Works &amp; Sources'!$B$155:$J$162,0,1))*INDEX('How This Works &amp; Sources'!$B$155:$J$162,0,1+2))))))/'Second Earner'!$C$8,IF($AN31="NY",0.117*$D31,IF($AN31="OH",0.0275*$D31,IF($AN31="OK",0.045*$D31,IF($AN31="OR",0.08*$D31,IF($AN31="WI",IF($AY31&lt;12760,0.0354,IF($AY31&lt;25520,0.0465,IF($AY31&lt;280950,0.053,0.0765)))*$D31,0))))))))))))))))))))</f>
      </c>
      <c r="BD31" s="7">
        <f>IF($B31="","",$BD30+$Q31+$R31+$S31)</f>
      </c>
      <c r="BE31" s="6">
        <f>IF($B31="",$BE30,$BE30+$BF31)</f>
      </c>
      <c r="BF31" s="6">
        <f>IF($B31="","",IF(AND(IF(YEAR(IF('Second Earner'!$C$7="Weekly",'Second Earner'!$C$9+7*(($BE30+1)-1),IF('Second Earner'!$C$7="Biweekly",'Second Earner'!$C$9+14*(($BE30+1)-1),IF('Second Earner'!$C$7="Semimonthly",DATE(YEAR('Second Earner'!$C$9),MONTH('Second Earner'!$C$9)+INT((($BE30+1)-1)/2),MIN(DAY('Second Earner'!$C$9),DAY(EOMONTH(DATE(YEAR('Second Earner'!$C$9),MONTH('Second Earner'!$C$9)+INT((($BE30+1)-1)/2),1),0))))+IF(MOD(($BE30+1)-1,2)=1,15,0),EDATE('Second Earner'!$C$9,($BE30+1)-1)))))&lt;&gt;'Second Earner'!$C$10,"",IF('Second Earner'!$C$7="Weekly",'Second Earner'!$C$9+7*(($BE30+1)-1),IF('Second Earner'!$C$7="Biweekly",'Second Earner'!$C$9+14*(($BE30+1)-1),IF('Second Earner'!$C$7="Semimonthly",DATE(YEAR('Second Earner'!$C$9),MONTH('Second Earner'!$C$9)+INT((($BE30+1)-1)/2),MIN(DAY('Second Earner'!$C$9),DAY(EOMONTH(DATE(YEAR('Second Earner'!$C$9),MONTH('Second Earner'!$C$9)+INT((($BE30+1)-1)/2),1),0))))+IF(MOD(($BE30+1)-1,2)=1,15,0),EDATE('Second Earner'!$C$9,($BE30+1)-1)))))&lt;&gt;"",$B31=IF(YEAR(IF('Second Earner'!$C$7="Weekly",'Second Earner'!$C$9+7*(($BE30+1)-1),IF('Second Earner'!$C$7="Biweekly",'Second Earner'!$C$9+14*(($BE30+1)-1),IF('Second Earner'!$C$7="Semimonthly",DATE(YEAR('Second Earner'!$C$9),MONTH('Second Earner'!$C$9)+INT((($BE30+1)-1)/2),MIN(DAY('Second Earner'!$C$9),DAY(EOMONTH(DATE(YEAR('Second Earner'!$C$9),MONTH('Second Earner'!$C$9)+INT((($BE30+1)-1)/2),1),0))))+IF(MOD(($BE30+1)-1,2)=1,15,0),EDATE('Second Earner'!$C$9,($BE30+1)-1)))))&lt;&gt;'Second Earner'!$C$10,"",IF('Second Earner'!$C$7="Weekly",'Second Earner'!$C$9+7*(($BE30+1)-1),IF('Second Earner'!$C$7="Biweekly",'Second Earner'!$C$9+14*(($BE30+1)-1),IF('Second Earner'!$C$7="Semimonthly",DATE(YEAR('Second Earner'!$C$9),MONTH('Second Earner'!$C$9)+INT((($BE30+1)-1)/2),MIN(DAY('Second Earner'!$C$9),DAY(EOMONTH(DATE(YEAR('Second Earner'!$C$9),MONTH('Second Earner'!$C$9)+INT((($BE30+1)-1)/2),1),0))))+IF(MOD(($BE30+1)-1,2)=1,15,0),EDATE('Second Earner'!$C$9,($BE30+1)-1)))))),1,0))</f>
      </c>
      <c r="BG31" s="7">
        <f>IF($B31="","",$BG30+$H31)</f>
      </c>
      <c r="BH31" s="7">
        <f>IF($B31="","",$BH30+$I31)</f>
      </c>
      <c r="BI31" s="7">
        <f>IF($B31="","",$BI30+$G31)</f>
      </c>
      <c r="BJ31" s="7">
        <f>IF($B31="","",IFERROR(LOOKUP(2,1/(((('Changes — Earner 2'!$C$6:$C$17="Deduction start"))*('Changes — Earner 2'!$D$6:$D$17="Health FSA"))*('Changes — Earner 2'!$B$6:$B$17&lt;=$B31)*('Changes — Earner 2'!$B$6:$B$17&lt;&gt;"")),'Changes — Earner 2'!$E$6:$E$17),'Second Earner'!$D$38))</f>
      </c>
      <c r="BK31" s="7">
        <f>IF($B31="","",IFERROR(LOOKUP(2,1/(((('Changes — Earner 2'!$C$6:$C$17="Deduction start"))*('Changes — Earner 2'!$D$6:$D$17="Dependent-care FSA"))*('Changes — Earner 2'!$B$6:$B$17&lt;=$B31)*('Changes — Earner 2'!$B$6:$B$17&lt;&gt;"")),'Changes — Earner 2'!$E$6:$E$17),'Second Earner'!$D$39))</f>
      </c>
      <c r="BL31" s="7">
        <f>IF($B31="","",IFERROR(LOOKUP(2,1/(((('Changes — Earner 2'!$C$6:$C$17="Deduction start")+('Changes — Earner 2'!$C$6:$C$17="Deduction stop"))*('Changes — Earner 2'!$D$6:$D$17="HSA"))*('Changes — Earner 2'!$B$6:$B$17&lt;=$B31)*('Changes — Earner 2'!$B$6:$B$17&lt;&gt;"")),'Changes — Earner 2'!$I$6:$I$17),'Second Earner'!$D$35))</f>
      </c>
      <c r="BM31" s="7">
        <f>IF($B31="","",IFERROR(LOOKUP(2,1/(((('Changes — Earner 2'!$C$6:$C$17="Deduction start")+('Changes — Earner 2'!$C$6:$C$17="Deduction stop"))*('Changes — Earner 2'!$D$6:$D$17="Premiums"))*('Changes — Earner 2'!$B$6:$B$17&lt;=$B31)*('Changes — Earner 2'!$B$6:$B$17&lt;&gt;"")),'Changes — Earner 2'!$I$6:$I$17),'Second Earner'!$D$40+'Second Earner'!$D$41+'Second Earner'!$D$42))</f>
      </c>
      <c r="BN31" s="7">
        <f>IF($B31="","",IFERROR(LOOKUP(2,1/(((('Changes — Earner 2'!$C$6:$C$17="Deduction start")+('Changes — Earner 2'!$C$6:$C$17="Deduction stop"))*('Changes — Earner 2'!$D$6:$D$17="Commuter"))*('Changes — Earner 2'!$B$6:$B$17&lt;=$B31)*('Changes — Earner 2'!$B$6:$B$17&lt;&gt;"")),'Changes — Earner 2'!$I$6:$I$17),'Second Earner'!$D$43))</f>
      </c>
      <c r="BO31" s="7">
        <f>IF($B31="","",IFERROR(LOOKUP(2,1/(((('Changes — Earner 2'!$C$6:$C$17="Deduction start")+('Changes — Earner 2'!$C$6:$C$17="Deduction stop"))*('Changes — Earner 2'!$D$6:$D$17="Other pre-tax"))*('Changes — Earner 2'!$B$6:$B$17&lt;=$B31)*('Changes — Earner 2'!$B$6:$B$17&lt;&gt;"")),'Changes — Earner 2'!$I$6:$I$17),'Second Earner'!$D$44))</f>
      </c>
      <c r="BP31" s="7">
        <f>IF($B31="","",IFERROR(LOOKUP(2,1/(((('Changes — Earner 2'!$C$6:$C$17="Deduction start")+('Changes — Earner 2'!$C$6:$C$17="Deduction stop"))*('Changes — Earner 2'!$D$6:$D$17="Other post-tax"))*('Changes — Earner 2'!$B$6:$B$17&lt;=$B31)*('Changes — Earner 2'!$B$6:$B$17&lt;&gt;"")),'Changes — Earner 2'!$I$6:$I$17),'Second Earner'!$D$45))</f>
      </c>
      <c r="BQ31" s="6">
        <f>IF($B31="","",IFERROR(LOOKUP(2,1/(((('Changes — Earner 2'!$C$6:$C$17="Deduction start")+('Changes — Earner 2'!$C$6:$C$17="Deduction stop"))*('Changes — Earner 2'!$D$6:$D$17="Health FSA"))*('Changes — Earner 2'!$B$6:$B$17&lt;=$B31)*('Changes — Earner 2'!$B$6:$B$17&lt;&gt;"")),'Changes — Earner 2'!$J$6:$J$17),0))</f>
      </c>
      <c r="BR31" s="6">
        <f>IF($B31="","",IFERROR(LOOKUP(2,1/(((('Changes — Earner 2'!$C$6:$C$17="Deduction start")+('Changes — Earner 2'!$C$6:$C$17="Deduction stop"))*('Changes — Earner 2'!$D$6:$D$17="Dependent-care FSA"))*('Changes — Earner 2'!$B$6:$B$17&lt;=$B31)*('Changes — Earner 2'!$B$6:$B$17&lt;&gt;"")),'Changes — Earner 2'!$J$6:$J$17),0))</f>
      </c>
      <c r="BS31" s="6">
        <f>IF($B31="","",IF(SUMPRODUCT(('Changes — Earner 2'!$C$6:$C$17="Deduction start")*('Changes — Earner 2'!$B$6:$B$17&lt;=$B31)*('Changes — Earner 2'!$B$6:$B$17&lt;&gt;"")*('Changes — Earner 2'!$D$6:$D$17="Health FSA"))&gt;0,1,0))</f>
      </c>
      <c r="BT31" s="6">
        <f>IF($B31="","",IF(SUMPRODUCT(('Changes — Earner 2'!$C$6:$C$17="Deduction start")*('Changes — Earner 2'!$B$6:$B$17&lt;=$B31)*('Changes — Earner 2'!$B$6:$B$17&lt;&gt;"")*('Changes — Earner 2'!$D$6:$D$17="Dependent-care FSA"))&gt;0,1,0))</f>
      </c>
      <c r="BU31" s="24">
        <f>IF($B31="","",IF('Second Earner'!$C$13,SUMPRODUCT(($AH31&gt;=INDEX('How This Works &amp; Sources'!$B$29:$J$36,0,IF('Second Earner'!$C$12="MFJ",1,IF('Second Earner'!$C$12="HoH",7,4))))*INDEX('How This Works &amp; Sources'!$B$29:$J$36,0,IF('Second Earner'!$C$12="MFJ",1,IF('Second Earner'!$C$12="HoH",7,4))+2)),SUMPRODUCT(($AH31&gt;=INDEX('How This Works &amp; Sources'!$B$19:$J$26,0,IF('Second Earner'!$C$12="MFJ",1,IF('Second Earner'!$C$12="HoH",7,4))))*INDEX('How This Works &amp; Sources'!$B$19:$J$26,0,IF('Second Earner'!$C$12="MFJ",1,IF('Second Earner'!$C$12="HoH",7,4))+2))))</f>
      </c>
      <c r="BV31" s="24">
        <f>IF($B31="","",IF($BZ31&lt;&gt;"",$BZ31,IF($CA31&lt;&gt;"",$CA31,IF($CB31&lt;&gt;"",$CB31,IF($CC31&lt;&gt;"",$CC31,0)))))</f>
      </c>
      <c r="BW31" s="7">
        <f>IF($B31="","",IF($AN31="AR",SUMPRODUCT(($AZ31&gt;INDEX('How This Works &amp; Sources'!$B$82:$J$86,0,7))*($AZ31-INDEX('How This Works &amp; Sources'!$B$82:$J$86,0,7))*INDEX('How This Works &amp; Sources'!$B$82:$J$86,0,7+2)),IF($AN31="MD",IF(OR($AU31="Married",$AU31="Head of household"),SUMPRODUCT(($AZ31&gt;INDEX('How This Works &amp; Sources'!$B$114:$J$120,0,1))*($AZ31-INDEX('How This Works &amp; Sources'!$B$114:$J$120,0,1))*INDEX('How This Works &amp; Sources'!$B$114:$J$120,0,1+2)),SUMPRODUCT(($AZ31&gt;INDEX('How This Works &amp; Sources'!$B$103:$J$109,0,7))*($AZ31-INDEX('How This Works &amp; Sources'!$B$103:$J$109,0,7))*INDEX('How This Works &amp; Sources'!$B$103:$J$109,0,7+2))),IF($AN31="MT",IF($AU31="Head of household",SUMPRODUCT(($AZ31&gt;INDEX('How This Works &amp; Sources'!$B$137:$J$139,0,1))*($AZ31-INDEX('How This Works &amp; Sources'!$B$137:$J$139,0,1))*INDEX('How This Works &amp; Sources'!$B$137:$J$139,0,1+2)),IF($AU31="Married",SUMPRODUCT(($AZ31&gt;INDEX('How This Works &amp; Sources'!$B$125:$J$132,0,7))*($AZ31-INDEX('How This Works &amp; Sources'!$B$125:$J$132,0,7))*INDEX('How This Works &amp; Sources'!$B$125:$J$132,0,7+2)),SUMPRODUCT(($AZ31&gt;INDEX('How This Works &amp; Sources'!$B$125:$J$132,0,4))*($AZ31-INDEX('How This Works &amp; Sources'!$B$125:$J$132,0,4))*INDEX('How This Works &amp; Sources'!$B$125:$J$132,0,4+2)))),IF($AN31="ND",IF($AU31="Head of household",SUMPRODUCT(($AZ31&gt;INDEX('How This Works &amp; Sources'!$B$144:$J$150,0,1))*($AZ31-INDEX('How This Works &amp; Sources'!$B$144:$J$150,0,1))*INDEX('How This Works &amp; Sources'!$B$144:$J$150,0,1+2)),IF($AU31="Married",SUMPRODUCT(($AZ31&gt;INDEX('How This Works &amp; Sources'!$B$137:$J$139,0,7))*($AZ31-INDEX('How This Works &amp; Sources'!$B$137:$J$139,0,7))*INDEX('How This Works &amp; Sources'!$B$137:$J$139,0,7+2)),SUMPRODUCT(($AZ31&gt;INDEX('How This Works &amp; Sources'!$B$137:$J$139,0,4))*($AZ31-INDEX('How This Works &amp; Sources'!$B$137:$J$139,0,4))*INDEX('How This Works &amp; Sources'!$B$137:$J$139,0,4+2)))),IF($AN31="NJ",IF('Second Earner'!$C$77="B",SUMPRODUCT(($AZ31&gt;INDEX('How This Works &amp; Sources'!$B$155:$J$162,0,4))*($AZ31-INDEX('How This Works &amp; Sources'!$B$155:$J$162,0,4))*INDEX('How This Works &amp; Sources'!$B$155:$J$162,0,4+2)),IF('Second Earner'!$C$77="C",SUMPRODUCT(($AZ31&gt;INDEX('How This Works &amp; Sources'!$B$155:$J$162,0,7))*($AZ31-INDEX('How This Works &amp; Sources'!$B$155:$J$162,0,7))*INDEX('How This Works &amp; Sources'!$B$155:$J$162,0,7+2)),IF('Second Earner'!$C$77="D",SUMPRODUCT(($AZ31&gt;INDEX('How This Works &amp; Sources'!$B$167:$J$179,0,1))*($AZ31-INDEX('How This Works &amp; Sources'!$B$167:$J$179,0,1))*INDEX('How This Works &amp; Sources'!$B$167:$J$179,0,1+2)),IF('Second Earner'!$C$77="E",SUMPRODUCT(($AZ31&gt;INDEX('How This Works &amp; Sources'!$B$167:$J$179,0,4))*($AZ31-INDEX('How This Works &amp; Sources'!$B$167:$J$179,0,4))*INDEX('How This Works &amp; Sources'!$B$167:$J$179,0,4+2)),SUMPRODUCT(($AZ31&gt;INDEX('How This Works &amp; Sources'!$B$155:$J$162,0,1))*($AZ31-INDEX('How This Works &amp; Sources'!$B$155:$J$162,0,1))*INDEX('How This Works &amp; Sources'!$B$155:$J$162,0,1+2)))))),IF($AN31="NY",IF($AU31="Married",IF($AZ31&gt;=2155350,$AZ31*IF($AZ31&gt;25000000,0.117,IF($AZ31&gt;5000000,0.111,0.1045)),SUMPRODUCT(($AZ31&gt;INDEX('How This Works &amp; Sources'!$B$184:$J$198,0,1))*($AZ31-INDEX('How This Works &amp; Sources'!$B$184:$J$198,0,1))*INDEX('How This Works &amp; Sources'!$B$184:$J$198,0,1+2))),IF($AZ31&gt;=1077550,$AZ31*IF($AZ31&gt;25000000,0.117,IF($AZ31&gt;5000000,0.111,0.1045)),SUMPRODUCT(($AZ31&gt;INDEX('How This Works &amp; Sources'!$B$167:$J$179,0,7))*($AZ31-INDEX('How This Works &amp; Sources'!$B$167:$J$179,0,7))*INDEX('How This Works &amp; Sources'!$B$167:$J$179,0,7+2)))),"")))))))</f>
      </c>
      <c r="BX31" s="7">
        <f>IF($B31="","",IF($AN31="AL",IF(OR($AU31="Married",$AU31="Head of household"),SUMPRODUCT(($AZ31&gt;INDEX('How This Works &amp; Sources'!$B$82:$J$86,0,4))*($AZ31-INDEX('How This Works &amp; Sources'!$B$82:$J$86,0,4))*INDEX('How This Works &amp; Sources'!$B$82:$J$86,0,4+2)),SUMPRODUCT(($AZ31&gt;INDEX('How This Works &amp; Sources'!$B$82:$J$86,0,1))*($AZ31-INDEX('How This Works &amp; Sources'!$B$82:$J$86,0,1))*INDEX('How This Works &amp; Sources'!$B$82:$J$86,0,1+2))),IF($AN31="KS",IF($AU31="Married",SUMPRODUCT(($AZ31&gt;INDEX('How This Works &amp; Sources'!$B$103:$J$109,0,4))*($AZ31-INDEX('How This Works &amp; Sources'!$B$103:$J$109,0,4))*INDEX('How This Works &amp; Sources'!$B$103:$J$109,0,4+2)),SUMPRODUCT(($AZ31&gt;INDEX('How This Works &amp; Sources'!$B$103:$J$109,0,1))*($AZ31-INDEX('How This Works &amp; Sources'!$B$103:$J$109,0,1))*INDEX('How This Works &amp; Sources'!$B$103:$J$109,0,1+2))),IF($AN31="MN",IF($AU31="Married",SUMPRODUCT(($AZ31&gt;INDEX('How This Works &amp; Sources'!$B$114:$J$120,0,7))*($AZ31-INDEX('How This Works &amp; Sources'!$B$114:$J$120,0,7))*INDEX('How This Works &amp; Sources'!$B$114:$J$120,0,7+2)),SUMPRODUCT(($AZ31&gt;INDEX('How This Works &amp; Sources'!$B$114:$J$120,0,4))*($AZ31-INDEX('How This Works &amp; Sources'!$B$114:$J$120,0,4))*INDEX('How This Works &amp; Sources'!$B$114:$J$120,0,4+2))),IF($AN31="MO",SUMPRODUCT(($AZ31&gt;INDEX('How This Works &amp; Sources'!$B$125:$J$132,0,1))*($AZ31-INDEX('How This Works &amp; Sources'!$B$125:$J$132,0,1))*INDEX('How This Works &amp; Sources'!$B$125:$J$132,0,1+2)),IF($AN31="NE",MAX(IF($AU31="Married",SUMPRODUCT(($AZ31&gt;INDEX('How This Works &amp; Sources'!$B$144:$J$150,0,7))*($AZ31-INDEX('How This Works &amp; Sources'!$B$144:$J$150,0,7))*INDEX('How This Works &amp; Sources'!$B$144:$J$150,0,7+2)),SUMPRODUCT(($AZ31&gt;INDEX('How This Works &amp; Sources'!$B$144:$J$150,0,4))*($AZ31-INDEX('How This Works &amp; Sources'!$B$144:$J$150,0,4))*INDEX('How This Works &amp; Sources'!$B$144:$J$150,0,4+2))),0.015*$AZ31),IF($AN31="OH",IF($B31&gt;=DATE(2026,8,1),SUMPRODUCT(($AZ31&gt;INDEX('How This Works &amp; Sources'!$B$203:$J$206,0,1))*($AZ31-INDEX('How This Works &amp; Sources'!$B$203:$J$206,0,1))*INDEX('How This Works &amp; Sources'!$B$203:$J$206,0,1+2)),SUMPRODUCT(($AZ31&gt;INDEX('How This Works &amp; Sources'!$B$184:$J$198,0,7))*($AZ31-INDEX('How This Works &amp; Sources'!$B$184:$J$198,0,7))*INDEX('How This Works &amp; Sources'!$B$184:$J$198,0,7+2))),IF($AN31="OK",IF($AU31="Married",SUMPRODUCT(($AZ31&gt;INDEX('How This Works &amp; Sources'!$B$203:$J$206,0,7))*($AZ31-INDEX('How This Works &amp; Sources'!$B$203:$J$206,0,7))*INDEX('How This Works &amp; Sources'!$B$203:$J$206,0,7+2)),SUMPRODUCT(($AZ31&gt;INDEX('How This Works &amp; Sources'!$B$203:$J$206,0,4))*($AZ31-INDEX('How This Works &amp; Sources'!$B$203:$J$206,0,4))*INDEX('How This Works &amp; Sources'!$B$203:$J$206,0,4+2))),IF($AN31="VT",IF($AU31="Married",SUMPRODUCT(($AZ31&gt;INDEX('How This Works &amp; Sources'!$B$228:$J$232,0,1))*($AZ31-INDEX('How This Works &amp; Sources'!$B$228:$J$232,0,1))*INDEX('How This Works &amp; Sources'!$B$228:$J$232,0,1+2)),SUMPRODUCT(($AZ31&gt;INDEX('How This Works &amp; Sources'!$B$219:$J$223,0,7))*($AZ31-INDEX('How This Works &amp; Sources'!$B$219:$J$223,0,7))*INDEX('How This Works &amp; Sources'!$B$219:$J$223,0,7+2))),IF($AN31="WV",IF($AU31="Married",SUMPRODUCT(($AZ31&gt;INDEX('How This Works &amp; Sources'!$B$237:$J$241,0,7))*($AZ31-INDEX('How This Works &amp; Sources'!$B$237:$J$241,0,7))*INDEX('How This Works &amp; Sources'!$B$237:$J$241,0,7+2)),SUMPRODUCT(($AZ31&gt;INDEX('How This Works &amp; Sources'!$B$228:$J$232,0,7))*($AZ31-INDEX('How This Works &amp; Sources'!$B$228:$J$232,0,7))*INDEX('How This Works &amp; Sources'!$B$228:$J$232,0,7+2))),""))))))))))</f>
      </c>
      <c r="BY31" s="7">
        <f>IF($B31="","",IF($AN31="DE",SUMPRODUCT(($AZ31&gt;INDEX('How This Works &amp; Sources'!$B$91:$J$98,0,1))*($AZ31-INDEX('How This Works &amp; Sources'!$B$91:$J$98,0,1))*INDEX('How This Works &amp; Sources'!$B$91:$J$98,0,1+2)),IF($AN31="HI",IF($AU31="Married",SUMPRODUCT(($AZ31&gt;INDEX('How This Works &amp; Sources'!$B$91:$J$98,0,7))*($AZ31-INDEX('How This Works &amp; Sources'!$B$91:$J$98,0,7))*INDEX('How This Works &amp; Sources'!$B$91:$J$98,0,7+2)),SUMPRODUCT(($AZ31&gt;INDEX('How This Works &amp; Sources'!$B$91:$J$98,0,4))*($AZ31-INDEX('How This Works &amp; Sources'!$B$91:$J$98,0,4))*INDEX('How This Works &amp; Sources'!$B$91:$J$98,0,4+2))),IF($AN31="RI",SUMPRODUCT(($AZ31&gt;INDEX('How This Works &amp; Sources'!$B$211:$J$214,0,7))*($AZ31-INDEX('How This Works &amp; Sources'!$B$211:$J$214,0,7))*INDEX('How This Works &amp; Sources'!$B$211:$J$214,0,7+2)),IF($AN31="SC",SUMPRODUCT(($AZ31&gt;INDEX('How This Works &amp; Sources'!$B$219:$J$223,0,1))*($AZ31-INDEX('How This Works &amp; Sources'!$B$219:$J$223,0,1))*INDEX('How This Works &amp; Sources'!$B$219:$J$223,0,1+2)),IF($AN31="VA",SUMPRODUCT(($AZ31&gt;INDEX('How This Works &amp; Sources'!$B$219:$J$223,0,4))*($AZ31-INDEX('How This Works &amp; Sources'!$B$219:$J$223,0,4))*INDEX('How This Works &amp; Sources'!$B$219:$J$223,0,4+2)),IF($AN31="WI",SUMPRODUCT(($AZ31&gt;INDEX('How This Works &amp; Sources'!$B$228:$J$232,0,4))*($AZ31-INDEX('How This Works &amp; Sources'!$B$228:$J$232,0,4))*INDEX('How This Works &amp; Sources'!$B$228:$J$232,0,4+2)),"")))))))</f>
      </c>
      <c r="BZ31" s="24">
        <f>IF($B31="","",IF($AN31="KS",IF($AU31="Married",SUMPRODUCT(($AZ31&gt;=INDEX('How This Works &amp; Sources'!$B$103:$J$109,0,4))*INDEX('How This Works &amp; Sources'!$B$103:$J$109,0,4+2)),SUMPRODUCT(($AZ31&gt;=INDEX('How This Works &amp; Sources'!$B$103:$J$109,0,1))*INDEX('How This Works &amp; Sources'!$B$103:$J$109,0,1+2))),IF($AN31="MT",IF($AU31="Head of household",SUMPRODUCT(($AZ31&gt;=INDEX('How This Works &amp; Sources'!$B$137:$J$139,0,1))*INDEX('How This Works &amp; Sources'!$B$137:$J$139,0,1+2)),IF($AU31="Married",SUMPRODUCT(($AZ31&gt;=INDEX('How This Works &amp; Sources'!$B$125:$J$132,0,7))*INDEX('How This Works &amp; Sources'!$B$125:$J$132,0,7+2)),SUMPRODUCT(($AZ31&gt;=INDEX('How This Works &amp; Sources'!$B$125:$J$132,0,4))*INDEX('How This Works &amp; Sources'!$B$125:$J$132,0,4+2)))),IF($AN31="OR",IF(OR($AU31="Married",AND($AU31="Single",$AS31&gt;=3)),SUMPRODUCT((MAX(0,$AY31-MIN(($P31-'How This Works &amp; Sources'!$C$10*$D31)*'Second Earner'!$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Sources'!$B$211:$J$214,0,4))*INDEX('How This Works &amp; Sources'!$B$211:$J$214,0,4+2)),SUMPRODUCT((MAX(0,$AY31-MIN(($P31-'How This Works &amp; Sources'!$C$10*$D31)*'Second Earner'!$C$8,IF(OR($AU31="Married",AND($AU31="Single",$AS31&gt;=3)),IF($AY31&lt;250000,8750,IF($AY31&lt;260000,7000,IF($AY31&lt;270000,5250,IF($AY31&lt;280000,3500,IF($AY31&lt;290000,1750,0))))),IF($AY31&lt;125000,8750,IF($AY31&lt;130000,7000,IF($AY31&lt;135000,5250,IF($AY31&lt;140000,3500,IF($AY31&lt;145000,1750,0)))))))-IF(OR($AU31="Married",AND($AU31="Single",$AS31&gt;=3)),5820,2910))&gt;=INDEX('How This Works &amp; Sources'!$B$211:$J$214,0,1))*INDEX('How This Works &amp; Sources'!$B$211:$J$214,0,1+2)))*IF(($P31-'How This Works &amp; Sources'!$C$10*$D31)*'Second Earner'!$C$8&gt;=IF(OR($AU31="Married",AND($AU31="Single",$AS31&gt;=3)),IF($AY31&lt;250000,8750,IF($AY31&lt;260000,7000,IF($AY31&lt;270000,5250,IF($AY31&lt;280000,3500,IF($AY31&lt;290000,1750,0))))),IF($AY31&lt;125000,8750,IF($AY31&lt;130000,7000,IF($AY31&lt;135000,5250,IF($AY31&lt;140000,3500,IF($AY31&lt;145000,1750,0)))))),1,1-IF('Second Earner'!$C$13,SUMPRODUCT(($AH31&gt;=INDEX('How This Works &amp; Sources'!$B$29:$J$36,0,IF('Second Earner'!$C$12="MFJ",1,IF('Second Earner'!$C$12="HoH",7,4))))*INDEX('How This Works &amp; Sources'!$B$29:$J$36,0,IF('Second Earner'!$C$12="MFJ",1,IF('Second Earner'!$C$12="HoH",7,4))+2)),SUMPRODUCT(($AH31&gt;=INDEX('How This Works &amp; Sources'!$B$19:$J$26,0,IF('Second Earner'!$C$12="MFJ",1,IF('Second Earner'!$C$12="HoH",7,4))))*INDEX('How This Works &amp; Sources'!$B$19:$J$26,0,IF('Second Earner'!$C$12="MFJ",1,IF('Second Earner'!$C$12="HoH",7,4))+2)))),""))))</f>
      </c>
      <c r="CA31" s="24">
        <f>IF($B31="","",IF($AN31="CA",SUMPRODUCT(($AJ31&gt;=INDEX('How This Works &amp; Sources'!$B$39:$J$48,0,IF($AU31="Married",4,IF($AU31="Head of household",7,1))))*INDEX('How This Works &amp; Sources'!$B$39:$J$48,0,IF($AU31="Married",4,IF($AU31="Head of household",7,1))+2)),IF($AN31="AL",IF(OR($AU31="Married",$AU31="Head of household"),SUMPRODUCT(($AZ31&gt;=INDEX('How This Works &amp; Sources'!$B$82:$J$86,0,4))*INDEX('How This Works &amp; Sources'!$B$82:$J$86,0,4+2)),SUMPRODUCT(($AZ31&gt;=INDEX('How This Works &amp; Sources'!$B$82:$J$86,0,1))*INDEX('How This Works &amp; Sources'!$B$82:$J$86,0,1+2)))*(1-IF('Second Earner'!$C$13,SUMPRODUCT(($AH31&gt;=INDEX('How This Works &amp; Sources'!$B$29:$J$36,0,IF('Second Earner'!$C$12="MFJ",1,IF('Second Earner'!$C$12="HoH",7,4))))*INDEX('How This Works &amp; Sources'!$B$29:$J$36,0,IF('Second Earner'!$C$12="MFJ",1,IF('Second Earner'!$C$12="HoH",7,4))+2)),SUMPRODUCT(($AH31&gt;=INDEX('How This Works &amp; Sources'!$B$19:$J$26,0,IF('Second Earner'!$C$12="MFJ",1,IF('Second Earner'!$C$12="HoH",7,4))))*INDEX('How This Works &amp; Sources'!$B$19:$J$26,0,IF('Second Earner'!$C$12="MFJ",1,IF('Second Earner'!$C$12="HoH",7,4))+2)))),IF($AN31="ND",IF($AU31="Head of household",SUMPRODUCT(($AZ31&gt;=INDEX('How This Works &amp; Sources'!$B$144:$J$150,0,1))*INDEX('How This Works &amp; Sources'!$B$144:$J$150,0,1+2)),IF($AU31="Married",SUMPRODUCT(($AZ31&gt;=INDEX('How This Works &amp; Sources'!$B$137:$J$139,0,7))*INDEX('How This Works &amp; Sources'!$B$137:$J$139,0,7+2)),SUMPRODUCT(($AZ31&gt;=INDEX('How This Works &amp; Sources'!$B$137:$J$139,0,4))*INDEX('How This Works &amp; Sources'!$B$137:$J$139,0,4+2)))),IF($AN31="NJ",IF('Second Earner'!$C$77="B",SUMPRODUCT(($AZ31&gt;=INDEX('How This Works &amp; Sources'!$B$155:$J$162,0,4))*INDEX('How This Works &amp; Sources'!$B$155:$J$162,0,4+2)),IF('Second Earner'!$C$77="C",SUMPRODUCT(($AZ31&gt;=INDEX('How This Works &amp; Sources'!$B$155:$J$162,0,7))*INDEX('How This Works &amp; Sources'!$B$155:$J$162,0,7+2)),IF('Second Earner'!$C$77="D",SUMPRODUCT(($AZ31&gt;=INDEX('How This Works &amp; Sources'!$B$167:$J$179,0,1))*INDEX('How This Works &amp; Sources'!$B$167:$J$179,0,1+2)),IF('Second Earner'!$C$77="E",SUMPRODUCT(($AZ31&gt;=INDEX('How This Works &amp; Sources'!$B$167:$J$179,0,4))*INDEX('How This Works &amp; Sources'!$B$167:$J$179,0,4+2)),SUMPRODUCT(($AZ31&gt;=INDEX('How This Works &amp; Sources'!$B$155:$J$162,0,1))*INDEX('How This Works &amp; Sources'!$B$155:$J$162,0,1+2)))))),IF($AN31="NY",IF($AU31="Married",IF($AZ31&gt;=2155350,IF($AZ31&gt;25000000,0.117,IF($AZ31&gt;5000000,0.111,0.1045)),SUMPRODUCT(($AZ31&gt;=INDEX('How This Works &amp; Sources'!$B$184:$J$198,0,1))*INDEX('How This Works &amp; Sources'!$B$184:$J$198,0,1+2))),IF($AZ31&gt;=1077550,IF($AZ31&gt;25000000,0.117,IF($AZ31&gt;5000000,0.111,0.1045)),SUMPRODUCT(($AZ31&gt;=INDEX('How This Works &amp; Sources'!$B$167:$J$179,0,7))*INDEX('How This Works &amp; Sources'!$B$167:$J$179,0,7+2)))),IF($AN31="LA",0.0309,"")))))))</f>
      </c>
      <c r="CB31" s="24">
        <f>IF($B31="","",IF($AN31="HI",IF($AU31="Married",SUMPRODUCT(($AZ31&gt;=INDEX('How This Works &amp; Sources'!$B$91:$J$98,0,7))*INDEX('How This Works &amp; Sources'!$B$91:$J$98,0,7+2)),SUMPRODUCT(($AZ31&gt;=INDEX('How This Works &amp; Sources'!$B$91:$J$98,0,4))*INDEX('How This Works &amp; Sources'!$B$91:$J$98,0,4+2))),IF($AN31="MD",IF(OR($AU31="Married",$AU31="Head of household"),SUMPRODUCT(($AZ31&gt;=INDEX('How This Works &amp; Sources'!$B$114:$J$120,0,1))*INDEX('How This Works &amp; Sources'!$B$114:$J$120,0,1+2)),SUMPRODUCT(($AZ31&gt;=INDEX('How This Works &amp; Sources'!$B$103:$J$109,0,7))*INDEX('How This Works &amp; Sources'!$B$103:$J$109,0,7+2)))+'Second Earner'!$C$74,IF($AN31="MN",IF($AU31="Married",SUMPRODUCT(($AZ31&gt;=INDEX('How This Works &amp; Sources'!$B$114:$J$120,0,7))*INDEX('How This Works &amp; Sources'!$B$114:$J$120,0,7+2)),SUMPRODUCT(($AZ31&gt;=INDEX('How This Works &amp; Sources'!$B$114:$J$120,0,4))*INDEX('How This Works &amp; Sources'!$B$114:$J$120,0,4+2))),IF($AN31="MO",SUMPRODUCT(($AZ31&gt;=INDEX('How This Works &amp; Sources'!$B$125:$J$132,0,1))*INDEX('How This Works &amp; Sources'!$B$125:$J$132,0,1+2)),IF($AN31="NE",MAX(IF($AU31="Married",SUMPRODUCT(($AZ31&gt;=INDEX('How This Works &amp; Sources'!$B$144:$J$150,0,7))*INDEX('How This Works &amp; Sources'!$B$144:$J$150,0,7+2)),SUMPRODUCT(($AZ31&gt;=INDEX('How This Works &amp; Sources'!$B$144:$J$150,0,4))*INDEX('How This Works &amp; Sources'!$B$144:$J$150,0,4+2))),0.015),IF($AN31="OH",IF($B31&gt;=DATE(2026,8,1),SUMPRODUCT(($AZ31&gt;=INDEX('How This Works &amp; Sources'!$B$203:$J$206,0,1))*INDEX('How This Works &amp; Sources'!$B$203:$J$206,0,1+2)),SUMPRODUCT(($AZ31&gt;=INDEX('How This Works &amp; Sources'!$B$184:$J$198,0,7))*INDEX('How This Works &amp; Sources'!$B$184:$J$198,0,7+2))),IF($AN31="OK",IF($AU31="Married",SUMPRODUCT(($AZ31&gt;=INDEX('How This Works &amp; Sources'!$B$203:$J$206,0,7))*INDEX('How This Works &amp; Sources'!$B$203:$J$206,0,7+2)),SUMPRODUCT(($AZ31&gt;=INDEX('How This Works &amp; Sources'!$B$203:$J$206,0,4))*INDEX('How This Works &amp; Sources'!$B$203:$J$206,0,4+2))),IF($AN31="RI",SUMPRODUCT(($AZ31&gt;=INDEX('How This Works &amp; Sources'!$B$211:$J$214,0,7))*INDEX('How This Works &amp; Sources'!$B$211:$J$214,0,7+2)),IF($AN31="VT",IF($AU31="Married",SUMPRODUCT(($AZ31&gt;=INDEX('How This Works &amp; Sources'!$B$228:$J$232,0,1))*INDEX('How This Works &amp; Sources'!$B$228:$J$232,0,1+2)),SUMPRODUCT(($AZ31&gt;=INDEX('How This Works &amp; Sources'!$B$219:$J$223,0,7))*INDEX('How This Works &amp; Sources'!$B$219:$J$223,0,7+2))),IF($AN31="WV",IF($AU31="Married",SUMPRODUCT(($AZ31&gt;=INDEX('How This Works &amp; Sources'!$B$237:$J$241,0,7))*INDEX('How This Works &amp; Sources'!$B$237:$J$241,0,7+2)),SUMPRODUCT(($AZ31&gt;=INDEX('How This Works &amp; Sources'!$B$228:$J$232,0,7))*INDEX('How This Works &amp; Sources'!$B$228:$J$232,0,7+2))),IF($AN31="AZ",'Second Earner'!$C$82,IF($AN31="ID",IF($AY31&gt;IF($AU31="Married",32000,16094),0.053,0),"")))))))))))))</f>
      </c>
      <c r="CC31" s="24">
        <f>IF($B31="","",IF($AN31="AR",SUMPRODUCT(($AZ31&gt;=INDEX('How This Works &amp; Sources'!$B$82:$J$86,0,7))*INDEX('How This Works &amp; Sources'!$B$82:$J$86,0,7+2)),IF($AN31="DE",SUMPRODUCT(($AZ31&gt;=INDEX('How This Works &amp; Sources'!$B$91:$J$98,0,1))*INDEX('How This Works &amp; Sources'!$B$91:$J$98,0,1+2)),IF($AN31="SC",SUMPRODUCT(($AZ31&gt;=INDEX('How This Works &amp; Sources'!$B$219:$J$223,0,1))*INDEX('How This Works &amp; Sources'!$B$219:$J$223,0,1+2)),IF($AN31="VA",SUMPRODUCT(($AZ31&gt;=INDEX('How This Works &amp; Sources'!$B$219:$J$223,0,4))*INDEX('How This Works &amp; Sources'!$B$219:$J$223,0,4+2)),IF($AN31="WI",SUMPRODUCT(($AZ31&gt;=INDEX('How This Works &amp; Sources'!$B$228:$J$232,0,4))*INDEX('How This Works &amp; Sources'!$B$228:$J$232,0,4+2)),IF($AN31="CO",IF($AY31&gt;IF($AU31="Married",10000,5000),0.044,0),IF($AN31="IA",IF($AY31&gt;IF($AU31="Head of household",19500,IF($AU31="Married",26000,13000)),0.038,0),IF($AN31="IL",IF($AY31&gt;(2925*$AS31+1000*$AT31),0.0495,0),IF($AN31="IN",(0.0295+'Second Earner'!$C$76),IF($AN31="KY",IF($AI31&gt;3360,0.035,0),IF($AN31="MA",IF(MAX(0,$AY31-MIN(($BD30+$Q31+$R31+$S31),2000)-IF($AS31=0,0,IF($AS31=1,4400,1000*$AS31+3400)))&gt;=1107750,0.09,0.05),IF($AN31="MI",IF($AY31&gt;5900*$AS31,0.0425,0),IF($AN31="MS",IF($AI31-IF($AU31="Head of household",3400,IF($AU31="Married",4600,2300))-'Second Earner'!$C$85&gt;10000,0.04,0),IF($AN31="PA",0.0307,"")))))))))))))))</f>
      </c>
      <c r="CD31" s="21">
        <f>IF(YEAR(IF('Second Earner'!$C$7="Weekly",'Second Earner'!$C$9+7*(($BE30+1)-1),IF('Second Earner'!$C$7="Biweekly",'Second Earner'!$C$9+14*(($BE30+1)-1),IF('Second Earner'!$C$7="Semimonthly",DATE(YEAR('Second Earner'!$C$9),MONTH('Second Earner'!$C$9)+INT((($BE30+1)-1)/2),MIN(DAY('Second Earner'!$C$9),DAY(EOMONTH(DATE(YEAR('Second Earner'!$C$9),MONTH('Second Earner'!$C$9)+INT((($BE30+1)-1)/2),1),0))))+IF(MOD(($BE30+1)-1,2)=1,15,0),EDATE('Second Earner'!$C$9,($BE30+1)-1)))))&lt;&gt;'Second Earner'!$C$10,"",IF('Second Earner'!$C$7="Weekly",'Second Earner'!$C$9+7*(($BE30+1)-1),IF('Second Earner'!$C$7="Biweekly",'Second Earner'!$C$9+14*(($BE30+1)-1),IF('Second Earner'!$C$7="Semimonthly",DATE(YEAR('Second Earner'!$C$9),MONTH('Second Earner'!$C$9)+INT((($BE30+1)-1)/2),MIN(DAY('Second Earner'!$C$9),DAY(EOMONTH(DATE(YEAR('Second Earner'!$C$9),MONTH('Second Earner'!$C$9)+INT((($BE30+1)-1)/2),1),0))))+IF(MOD(($BE30+1)-1,2)=1,15,0),EDATE('Second Earner'!$C$9,($BE30+1)-1)))))</f>
      </c>
      <c r="CE31" s="21">
        <f>IF(MIN(IF(AND('Second Earner'!$C$58&gt;MAX($B$6:$B30),'Second Earner'!$C$58&gt;=DATE('Second Earner'!$C$10,1,1),'Second Earner'!$C$58&lt;=DATE('Second Earner'!$C$10,12,31)),'Second Earner'!$C$58,999999),IF(AND('Second Earner'!$C$59&gt;MAX($B$6:$B30),'Second Earner'!$C$59&gt;=DATE('Second Earner'!$C$10,1,1),'Second Earner'!$C$59&lt;=DATE('Second Earner'!$C$10,12,31)),'Second Earner'!$C$59,999999),IF(AND('Second Earner'!$C$60&gt;MAX($B$6:$B30),'Second Earner'!$C$60&gt;=DATE('Second Earner'!$C$10,1,1),'Second Earner'!$C$60&lt;=DATE('Second Earner'!$C$10,12,31)),'Second Earner'!$C$60,999999),IF(AND('Second Earner'!$C$61&gt;MAX($B$6:$B30),'Second Earner'!$C$61&gt;=DATE('Second Earner'!$C$10,1,1),'Second Earner'!$C$61&lt;=DATE('Second Earner'!$C$10,12,31)),'Second Earner'!$C$61,999999),IF(AND('Second Earner'!$C$62&gt;MAX($B$6:$B30),'Second Earner'!$C$62&gt;=DATE('Second Earner'!$C$10,1,1),'Second Earner'!$C$62&lt;=DATE('Second Earner'!$C$10,12,31)),'Second Earner'!$C$62,999999),IF(AND('Second Earner'!$C$63&gt;MAX($B$6:$B30),'Second Earner'!$C$63&gt;=DATE('Second Earner'!$C$10,1,1),'Second Earner'!$C$63&lt;=DATE('Second Earner'!$C$10,12,31)),'Second Earner'!$C$63,999999),IF(AND('Second Earner'!$C$64&gt;MAX($B$6:$B30),'Second Earner'!$C$64&gt;=DATE('Second Earner'!$C$10,1,1),'Second Earner'!$C$64&lt;=DATE('Second Earner'!$C$10,12,31)),'Second Earner'!$C$64,999999),IF(AND('Second Earner'!$C$65&gt;MAX($B$6:$B30),'Second Earner'!$C$65&gt;=DATE('Second Earner'!$C$10,1,1),'Second Earner'!$C$65&lt;=DATE('Second Earner'!$C$10,12,31)),'Second Earner'!$C$65,999999),IF(AND('Second Earner'!$C$66&gt;MAX($B$6:$B30),'Second Earner'!$C$66&gt;=DATE('Second Earner'!$C$10,1,1),'Second Earner'!$C$66&lt;=DATE('Second Earner'!$C$10,12,31)),'Second Earner'!$C$66,999999),IF(AND('Second Earner'!$C$67&gt;MAX($B$6:$B30),'Second Earner'!$C$67&gt;=DATE('Second Earner'!$C$10,1,1),'Second Earner'!$C$67&lt;=DATE('Second Earner'!$C$10,12,31)),'Second Earner'!$C$67,999999))=999999,"",MIN(IF(AND('Second Earner'!$C$58&gt;MAX($B$6:$B30),'Second Earner'!$C$58&gt;=DATE('Second Earner'!$C$10,1,1),'Second Earner'!$C$58&lt;=DATE('Second Earner'!$C$10,12,31)),'Second Earner'!$C$58,999999),IF(AND('Second Earner'!$C$59&gt;MAX($B$6:$B30),'Second Earner'!$C$59&gt;=DATE('Second Earner'!$C$10,1,1),'Second Earner'!$C$59&lt;=DATE('Second Earner'!$C$10,12,31)),'Second Earner'!$C$59,999999),IF(AND('Second Earner'!$C$60&gt;MAX($B$6:$B30),'Second Earner'!$C$60&gt;=DATE('Second Earner'!$C$10,1,1),'Second Earner'!$C$60&lt;=DATE('Second Earner'!$C$10,12,31)),'Second Earner'!$C$60,999999),IF(AND('Second Earner'!$C$61&gt;MAX($B$6:$B30),'Second Earner'!$C$61&gt;=DATE('Second Earner'!$C$10,1,1),'Second Earner'!$C$61&lt;=DATE('Second Earner'!$C$10,12,31)),'Second Earner'!$C$61,999999),IF(AND('Second Earner'!$C$62&gt;MAX($B$6:$B30),'Second Earner'!$C$62&gt;=DATE('Second Earner'!$C$10,1,1),'Second Earner'!$C$62&lt;=DATE('Second Earner'!$C$10,12,31)),'Second Earner'!$C$62,999999),IF(AND('Second Earner'!$C$63&gt;MAX($B$6:$B30),'Second Earner'!$C$63&gt;=DATE('Second Earner'!$C$10,1,1),'Second Earner'!$C$63&lt;=DATE('Second Earner'!$C$10,12,31)),'Second Earner'!$C$63,999999),IF(AND('Second Earner'!$C$64&gt;MAX($B$6:$B30),'Second Earner'!$C$64&gt;=DATE('Second Earner'!$C$10,1,1),'Second Earner'!$C$64&lt;=DATE('Second Earner'!$C$10,12,31)),'Second Earner'!$C$64,999999),IF(AND('Second Earner'!$C$65&gt;MAX($B$6:$B30),'Second Earner'!$C$65&gt;=DATE('Second Earner'!$C$10,1,1),'Second Earner'!$C$65&lt;=DATE('Second Earner'!$C$10,12,31)),'Second Earner'!$C$65,999999),IF(AND('Second Earner'!$C$66&gt;MAX($B$6:$B30),'Second Earner'!$C$66&gt;=DATE('Second Earner'!$C$10,1,1),'Second Earner'!$C$66&lt;=DATE('Second Earner'!$C$10,12,31)),'Second Earner'!$C$66,999999),IF(AND('Second Earner'!$C$67&gt;MAX($B$6:$B30),'Second Earner'!$C$67&gt;=DATE('Second Earner'!$C$10,1,1),'Second Earner'!$C$67&lt;=DATE('Second Earner'!$C$10,12,31)),'Second Earner'!$C$67,999999)))</f>
      </c>
      <c r="CF31">
        <f>IF($B31="","",IF($D31=0,$Y31,""))</f>
      </c>
    </row>
    <row r="32">
      <c r="A32" t="n">
        <v>27</v>
      </c>
      <c r="B32" s="21">
        <f>IF(AND($CD32="",$CE32=""),"",IF($CE32="",$CD32,IF($CD32="",$CE32,MIN($CD32,$CE32))))</f>
      </c>
      <c r="C32" s="7">
        <f>IF($B32="","",IF($BF32=0,0,IF('Second Earner'!$C$4="Annual salary",ROUND($AK32/IF(AND('Second Earner'!$C$88="Actual paydays",MONTH('Second Earner'!$C$9)=1),MAX(1,MAX($BE$6:$BE$68)),'Second Earner'!$C$8),2),$AK32)))</f>
      </c>
      <c r="D32" s="7">
        <f>IF($B32="","",SUMIF('Second Earner'!$C$58:$C$67,$B32,'Second Earner'!$D$58:$D$67))</f>
      </c>
      <c r="E32" s="7">
        <f>IF($B32="","",ROUND(MAX(0,MIN(IF($AL32="Percent",$AM32*($C32+$D32),$AM32),MAX(0,'Second Earner'!$C$34-$AC31))),2))</f>
      </c>
      <c r="F32" s="7">
        <f>IF($B32="","",ROUND(MAX(0,MIN(IF('Second Earner'!$C$32="Percent",'Second Earner'!$D$32*($C32+$D32),'Second Earner'!$D$32),MAX(0,'Second Earner'!$C$34-$AC31-$E32))),2))</f>
      </c>
      <c r="G32" s="7">
        <f>IF($B32="","",IF($BF32=0,0,ROUND(MAX(0,MIN($BL32,'Second Earner'!$C$37-'Second Earner'!$C$54-$BI31)),2)))</f>
      </c>
      <c r="H32" s="7">
        <f>IF($B32="","",IF(OR($BF32=0,$BQ32=1),0,ROUND(MAX(0,MIN(IF($BS32=1,ROUND(MAX(0,MIN($BJ32,'How This Works &amp; Sources'!$C$13)-$BG31)/MAX(1,MAX($BE$6:$BE$68)-($BE31)),2),ROUND(MIN($BJ32,'How This Works &amp; Sources'!$C$13)/'Second Earner'!$C$8,2)),MIN($BJ32,'How This Works &amp; Sources'!$C$13)-$BG31)),2)))</f>
      </c>
      <c r="I32" s="7">
        <f>IF($B32="","",IF(OR($BF32=0,$BR32=1),0,ROUND(MAX(0,MIN(IF($BT32=1,ROUND(MAX(0,MIN($BK32,IF('Second Earner'!$C$12="MFJ",'How This Works &amp; Sources'!$C$14,'How This Works &amp; Sources'!$C$15))-$BH31)/MAX(1,MAX($BE$6:$BE$68)-($BE31)),2),ROUND(MIN($BK32,IF('Second Earner'!$C$12="MFJ",'How This Works &amp; Sources'!$C$14,'How This Works &amp; Sources'!$C$15))/'Second Earner'!$C$8,2)),MIN($BK32,IF('Second Earner'!$C$12="MFJ",'How This Works &amp; Sources'!$C$14,'How This Works &amp; Sources'!$C$15))-$BH31)),2)))</f>
      </c>
      <c r="J32" s="7">
        <f>IF($B32="","",IF($BF32=0,0,$BM32))</f>
      </c>
      <c r="K32" s="7">
        <f>IF($B32="","",IF($BF32=0,0,$BN32+$BO32))</f>
      </c>
      <c r="L32" s="7">
        <f>IF($B32="","",IF($BF32=0,0,'Second Earner'!$D$46))</f>
      </c>
      <c r="M32" s="7">
        <f>IF($B32="","",$C32+$D32+$L32-$E32-$G32-$H32-$I32-$J32-$K32)</f>
      </c>
      <c r="N32" s="7">
        <f>IF($B32="","",$C32+$D32+$L32-$G32-$H32-$I32-$J32-$K32)</f>
      </c>
      <c r="O32" s="7">
        <f>IF($B32="","",$C32+$D32+$L32-$E32-$H32-$I32-$J32-$K32-IF(OR($AN32="CA",$AN32="NJ"),0,$G32))</f>
      </c>
      <c r="P32" s="7">
        <f>IF($B32="","",IF('Second Earner'!$C$18,0,ROUND(MAX(0,IF('Second Earner'!$C$13,SUMPRODUCT(($AH32&gt;INDEX('How This Works &amp; Sources'!$B$29:$J$36,0,IF('Second Earner'!$C$12="MFJ",1,IF('Second Earner'!$C$12="HoH",7,4))))*($AH32-INDEX('How This Works &amp; Sources'!$B$29:$J$36,0,IF('Second Earner'!$C$12="MFJ",1,IF('Second Earner'!$C$12="HoH",7,4))))*INDEX('How This Works &amp; Sources'!$B$29:$J$36,0,IF('Second Earner'!$C$12="MFJ",1,IF('Second Earner'!$C$12="HoH",7,4))+2)),SUMPRODUCT(($AH32&gt;INDEX('How This Works &amp; Sources'!$B$19:$J$26,0,IF('Second Earner'!$C$12="MFJ",1,IF('Second Earner'!$C$12="HoH",7,4))))*($AH32-INDEX('How This Works &amp; Sources'!$B$19:$J$26,0,IF('Second Earner'!$C$12="MFJ",1,IF('Second Earner'!$C$12="HoH",7,4))))*INDEX('How This Works &amp; Sources'!$B$19:$J$26,0,IF('Second Earner'!$C$12="MFJ",1,IF('Second Earner'!$C$12="HoH",7,4))+2)))/'Second Earner'!$C$8-$AO32/'Second Earner'!$C$8)+$AR32+IF('Second Earner'!$C$89="Aggregate",MAX(0,IF('Second Earner'!$C$13,SUMPRODUCT((($AH32+$D32)&gt;INDEX('How This Works &amp; Sources'!$B$29:$J$36,0,IF('Second Earner'!$C$12="MFJ",1,IF('Second Earner'!$C$12="HoH",7,4))))*(($AH32+$D32)-INDEX('How This Works &amp; Sources'!$B$29:$J$36,0,IF('Second Earner'!$C$12="MFJ",1,IF('Second Earner'!$C$12="HoH",7,4))))*INDEX('How This Works &amp; Sources'!$B$29:$J$36,0,IF('Second Earner'!$C$12="MFJ",1,IF('Second Earner'!$C$12="HoH",7,4))+2)),SUMPRODUCT((($AH32+$D32)&gt;INDEX('How This Works &amp; Sources'!$B$19:$J$26,0,IF('Second Earner'!$C$12="MFJ",1,IF('Second Earner'!$C$12="HoH",7,4))))*(($AH32+$D32)-INDEX('How This Works &amp; Sources'!$B$19:$J$26,0,IF('Second Earner'!$C$12="MFJ",1,IF('Second Earner'!$C$12="HoH",7,4))))*INDEX('How This Works &amp; Sources'!$B$19:$J$26,0,IF('Second Earner'!$C$12="MFJ",1,IF('Second Earner'!$C$12="HoH",7,4))+2)))-IF('Second Earner'!$C$13,SUMPRODUCT(($AH32&gt;INDEX('How This Works &amp; Sources'!$B$29:$J$36,0,IF('Second Earner'!$C$12="MFJ",1,IF('Second Earner'!$C$12="HoH",7,4))))*($AH32-INDEX('How This Works &amp; Sources'!$B$29:$J$36,0,IF('Second Earner'!$C$12="MFJ",1,IF('Second Earner'!$C$12="HoH",7,4))))*INDEX('How This Works &amp; Sources'!$B$29:$J$36,0,IF('Second Earner'!$C$12="MFJ",1,IF('Second Earner'!$C$12="HoH",7,4))+2)),SUMPRODUCT(($AH32&gt;INDEX('How This Works &amp; Sources'!$B$19:$J$26,0,IF('Second Earner'!$C$12="MFJ",1,IF('Second Earner'!$C$12="HoH",7,4))))*($AH32-INDEX('How This Works &amp; Sources'!$B$19:$J$26,0,IF('Second Earner'!$C$12="MFJ",1,IF('Second Earner'!$C$12="HoH",7,4))))*INDEX('How This Works &amp; Sources'!$B$19:$J$26,0,IF('Second Earner'!$C$12="MFJ",1,IF('Second Earner'!$C$12="HoH",7,4))+2)))),'How This Works &amp; Sources'!$C$10*$D32),2)))</f>
      </c>
      <c r="Q32" s="7">
        <f>IF($B32="","",ROUND('How This Works &amp; Sources'!$C$4*MIN($N32,MAX(0,'How This Works &amp; Sources'!$C$3-($AX32+$AB31-$AW32))),2))</f>
      </c>
      <c r="R32" s="7">
        <f>IF($B32="","",ROUND('How This Works &amp; Sources'!$C$5*$N32,2))</f>
      </c>
      <c r="S32" s="7">
        <f>IF($B32="","",ROUND('How This Works &amp; Sources'!$C$6*MAX(0,MIN($N32,$AG31+$N32-'How This Works &amp; Sources'!$C$7)),2))</f>
      </c>
      <c r="T32" s="7">
        <f>IF($B32="","",IF('Second Earner'!$C$26,0,IF($AN32="CA",ROUND(IF($AI32&lt;=IF(($AS32+$AT32)&gt;=2,VLOOKUP($AN32,StateTables!$A$6:$AB$56,10,FALSE),VLOOKUP($AN32,StateTables!$A$6:$AB$56,9,FALSE)),0,MAX(0,SUMPRODUCT(($AJ32&gt;INDEX('How This Works &amp; Sources'!$B$39:$J$48,0,IF($AU32="Married",4,IF($AU32="Head of household",7,1))))*($AJ32-INDEX('How This Works &amp; Sources'!$B$39:$J$48,0,IF($AU32="Married",4,IF($AU32="Head of household",7,1))))*INDEX('How This Works &amp; Sources'!$B$39:$J$48,0,IF($AU32="Married",4,IF($AU32="Head of household",7,1))+2))-VLOOKUP($AN32,StateTables!$A$6:$AB$56,11,FALSE)*$AS32)/'Second Earner'!$C$8)+'Second Earner'!$C$25+VLOOKUP($AN32,StateTables!$A$6:$AB$56,13,FALSE)*$D32,2),IF(VLOOKUP($AN32,StateTables!$A$6:$AB$56,4,FALSE)="None",0,IF(ISNUMBER(SEARCH("MANUAL",VLOOKUP($AN32,StateTables!$A$6:$AB$56,5,FALSE))),'Second Earner'!$C$28,ROUND(MAX(0,$BA32+$BB32)/'Second Earner'!$C$8+'Second Earner'!$C$25+$BC32,2))))))</f>
      </c>
      <c r="U32" s="7">
        <f>IF($B32="","",IF(VLOOKUP($AN32,StateTables!$A$6:$AB$56,24,FALSE)="flatq",IF(OR(MONTH($B32)=1,MONTH($B32)=4,MONTH($B32)=7,MONTH($B32)=10),VLOOKUP($AN32,StateTables!$A$6:$AB$56,25,FALSE),0),IF(VLOOKUP($AN32,StateTables!$A$6:$AB$56,24,FALSE)="dbl",MIN(ROUND(0.005*$N32,2),ROUND(0.6*52/'Second Earner'!$C$8,2)),IF(OR(VLOOKUP($AN32,StateTables!$A$6:$AB$56,15,FALSE)="",VLOOKUP($AN32,StateTables!$A$6:$AB$56,15,FALSE)=0),0,ROUND(VLOOKUP($AN32,StateTables!$A$6:$AB$56,15,FALSE)*IF(OR(VLOOKUP($AN32,StateTables!$A$6:$AB$56,16,FALSE)="",VLOOKUP($AN32,StateTables!$A$6:$AB$56,16,FALSE)=0),$N32,MIN($N32,MAX(0,VLOOKUP($AN32,StateTables!$A$6:$AB$56,16,FALSE)-($AX32+$AB31-$AW32)))),2))))+IF(VLOOKUP($AN32,StateTables!$A$6:$AB$56,27,FALSE)="flatq",IF(OR(MONTH($B32)=1,MONTH($B32)=4,MONTH($B32)=7,MONTH($B32)=10),VLOOKUP($AN32,StateTables!$A$6:$AB$56,28,FALSE),0),IF(VLOOKUP($AN32,StateTables!$A$6:$AB$56,27,FALSE)="dbl",MIN(ROUND(0.005*$N32,2),ROUND(0.6*52/'Second Earner'!$C$8,2)),IF(OR(VLOOKUP($AN32,StateTables!$A$6:$AB$56,18,FALSE)="",VLOOKUP($AN32,StateTables!$A$6:$AB$56,18,FALSE)=0),0,ROUND(VLOOKUP($AN32,StateTables!$A$6:$AB$56,18,FALSE)*IF(OR(VLOOKUP($AN32,StateTables!$A$6:$AB$56,19,FALSE)="",VLOOKUP($AN32,StateTables!$A$6:$AB$56,19,FALSE)=0),$N32,MIN($N32,MAX(0,VLOOKUP($AN32,StateTables!$A$6:$AB$56,19,FALSE)-($AX32+$AB31-$AW32)))),2)))))</f>
      </c>
      <c r="V32" s="7">
        <f>IF($B32="","",IF($AN32="NY",IF('Second Earner'!$C$78,ROUND(SUMPRODUCT((MAX(0,($O32-$D32)*'Second Earner'!$C$8-(IF($AU32="Married",5500,5000)+1000*$AS32))&gt;INDEX('How This Works &amp; Sources'!$B$184:$J$198,0,4))*(MAX(0,($O32-$D32)*'Second Earner'!$C$8-(IF($AU32="Married",5500,5000)+1000*$AS32))-INDEX('How This Works &amp; Sources'!$B$184:$J$198,0,4))*INDEX('How This Works &amp; Sources'!$B$184:$J$198,0,4+2))/'Second Earner'!$C$8+0.0425*$D32,2),0)+IF('Second Earner'!$C$79="Resident",ROUND(0.1675*$T32,2),IF('Second Earner'!$C$79="Nonresident",ROUND(0.005*MAX(0,($O32-$D32)-(IF($AU32="Married",7950,7400)+1000*$AS32)/'Second Earner'!$C$8),2),0)),IF($AN32="PA",IF('Second Earner'!$C$80="None",'Second Earner'!$C$27+ROUND('Second Earner'!$C$81*($C32+$D32),2),ROUND(IF('Second Earner'!$C$80="Resident",IF($B32&lt;DATE(2026,7,1),0.0374,0.03735),IF($B32&lt;DATE(2026,7,1),0.0343,0.03425))*($C32+$D32),2)),IF($BF32=0,ROUND('Second Earner'!$C$81*($C32+$D32),2),'Second Earner'!$C$27+ROUND('Second Earner'!$C$81*($C32+$D32),2)))))</f>
      </c>
      <c r="W32" s="7">
        <f>IF($B32="","",IF($BF32=0,0,$BP32))</f>
      </c>
      <c r="X32" s="7">
        <f>IF($B32="","",SUM($E32:$K32)+$P32+$Q32+$R32+$S32+$T32+$U32+$V32+$W32)</f>
      </c>
      <c r="Y32" s="22">
        <f>IF($B32="","",$C32+$D32-$X32)</f>
      </c>
      <c r="Z32" s="7">
        <f>IF($B32="","",$Z31+$C32+$D32)</f>
      </c>
      <c r="AA32" s="7">
        <f>IF($B32="","",$AA31+$Y32)</f>
      </c>
      <c r="AB32" s="7">
        <f>IF($B32="","",$AB31+MIN($N32,MAX(0,'How This Works &amp; Sources'!$C$3-($AX32+$AB31-$AW32))))</f>
      </c>
      <c r="AC32" s="7">
        <f>IF($B32="","",$AC31+$E32+$F32)</f>
      </c>
      <c r="AD32" s="3">
        <f>IF($B32="","",IF(AND($AB31&lt;'How This Works &amp; Sources'!$C$3,$AB32&gt;='How This Works &amp; Sources'!$C$3),"★ Social Security maxed on this check — from the next check your net rises by about $"&amp;TEXT(ROUND('How This Works &amp; Sources'!$C$4*$N32,2),"#,##0.00")&amp;". ","")&amp;IF(AND($AC31&lt;'Second Earner'!$C$34,$AC32&gt;='Second Earner'!$C$34),"★ 401(k) reaches the $"&amp;TEXT('Second Earner'!$C$34,"#,##0")&amp;" cap on this check — deferrals stop and net pay rises. ","")&amp;IF(AND($AG31&lt;'How This Works &amp; Sources'!$C$7,$AG32&gt;='How This Works &amp; Sources'!$C$7),"★ Wages pass $200,000 — the 0.9% Additional Medicare Tax starts here. ","")&amp;IF(AND($BJ32&gt;0,$H32&gt;0,$BG31&lt;MIN($BJ32,'How This Works &amp; Sources'!$C$13),$BG31+$H32&gt;=MIN($BJ32,'How This Works &amp; Sources'!$C$13)),"★ Health FSA election is now fully deferred for the year. ",""))</f>
      </c>
      <c r="AE32" s="41" t="n"/>
      <c r="AF32" s="7">
        <f>IF(OR($B32="",$AE32=""),"",$AE32-$Y32)</f>
      </c>
      <c r="AG32" s="7">
        <f>IF($B32="","",$AG31+$N32)</f>
      </c>
      <c r="AH32" s="7">
        <f>IF($B32="","",MAX(0,($M32-$D32)*'Second Earner'!$C$8+$AP32-$AQ32-IF('Second Earner'!$C$13,0,IF('Second Earner'!$C$12="MFJ",'How This Works &amp; Sources'!$C$8,'How This Works &amp; Sources'!$C$9))))</f>
      </c>
      <c r="AI32" s="7">
        <f>IF($B32="","",$O32*'Second Earner'!$C$8)</f>
      </c>
      <c r="AJ32" s="7">
        <f>IF($B32="","",MAX(0,$AI32-VLOOKUP($AN32,StateTables!$A$6:$AB$56,12,FALSE)*$AT32-IF(($AS32+$AT32)&gt;=2,VLOOKUP($AN32,StateTables!$A$6:$AB$56,8,FALSE),VLOOKUP($AN32,StateTables!$A$6:$AB$56,7,FALSE))))</f>
      </c>
      <c r="AK32" s="7">
        <f>IF($B32="","",IFERROR(LOOKUP(2,1/(('Changes — Earner 2'!$C$6:$C$17="Salary change")*('Changes — Earner 2'!$B$6:$B$17&lt;=$B32)*('Changes — Earner 2'!$B$6:$B$17&lt;&gt;"")),'Changes — Earner 2'!$D$6:$D$17),IF('Second Earner'!$C$4="Annual salary",'Second Earner'!$C$5,'Second Earner'!$C$6)))</f>
      </c>
      <c r="AL32">
        <f>IF($B32="","",IFERROR(LOOKUP(2,1/(('Changes — Earner 2'!$C$6:$C$17="401(k) change")*('Changes — Earner 2'!$B$6:$B$17&lt;=$B32)*('Changes — Earner 2'!$B$6:$B$17&lt;&gt;"")),'Changes — Earner 2'!$D$6:$D$17),'Second Earner'!$C$30))</f>
      </c>
      <c r="AM32" s="7">
        <f>IF($B32="","",IFERROR(LOOKUP(2,1/(('Changes — Earner 2'!$C$6:$C$17="401(k) change")*('Changes — Earner 2'!$B$6:$B$17&lt;=$B32)*('Changes — Earner 2'!$B$6:$B$17&lt;&gt;"")),'Changes — Earner 2'!$E$6:$E$17),'Second Earner'!$D$31))</f>
      </c>
      <c r="AN32">
        <f>IF($B32="","",IFERROR(LOOKUP(2,1/(('Changes — Earner 2'!$C$6:$C$17="State move")*('Changes — Earner 2'!$B$6:$B$17&lt;=$B32)*('Changes — Earner 2'!$B$6:$B$17&lt;&gt;"")),'Changes — Earner 2'!$D$6:$D$17),'Second Earner'!$C$21))</f>
      </c>
      <c r="AO32" s="7">
        <f>IF($B32="","",IFERROR(LOOKUP(2,1/(('Changes — Earner 2'!$C$6:$C$17="W-4 change")*('Changes — Earner 2'!$B$6:$B$17&lt;=$B32)*('Changes — Earner 2'!$B$6:$B$17&lt;&gt;"")),'Changes — Earner 2'!$D$6:$D$17),'Second Earner'!$C$14))</f>
      </c>
      <c r="AP32" s="7">
        <f>IF($B32="","",IFERROR(LOOKUP(2,1/(('Changes — Earner 2'!$C$6:$C$17="W-4 change")*('Changes — Earner 2'!$B$6:$B$17&lt;=$B32)*('Changes — Earner 2'!$B$6:$B$17&lt;&gt;"")),'Changes — Earner 2'!$E$6:$E$17),'Second Earner'!$C$15))</f>
      </c>
      <c r="AQ32" s="7">
        <f>IF($B32="","",IFERROR(LOOKUP(2,1/(('Changes — Earner 2'!$C$6:$C$17="W-4 change")*('Changes — Earner 2'!$B$6:$B$17&lt;=$B32)*('Changes — Earner 2'!$B$6:$B$17&lt;&gt;"")),'Changes — Earner 2'!$F$6:$F$17),'Second Earner'!$C$16))</f>
      </c>
      <c r="AR32" s="7">
        <f>IF($B32="","",IFERROR(LOOKUP(2,1/(('Changes — Earner 2'!$C$6:$C$17="W-4 change")*('Changes — Earner 2'!$B$6:$B$17&lt;=$B32)*('Changes — Earner 2'!$B$6:$B$17&lt;&gt;"")),'Changes — Earner 2'!$G$6:$G$17),'Second Earner'!$C$17))</f>
      </c>
      <c r="AS32" s="6">
        <f>IF($B32="","",IFERROR(LOOKUP(2,1/((('Changes — Earner 2'!$C$6:$C$17="State move")+('Changes — Earner 2'!$C$6:$C$17="State cert change"))*('Changes — Earner 2'!$B$6:$B$17&lt;=$B32)*('Changes — Earner 2'!$B$6:$B$17&lt;&gt;"")),'Changes — Earner 2'!$F$6:$F$17),'Second Earner'!$C$23))</f>
      </c>
      <c r="AT32" s="6">
        <f>IF($B32="","",IFERROR(LOOKUP(2,1/((('Changes — Earner 2'!$C$6:$C$17="State move")+('Changes — Earner 2'!$C$6:$C$17="State cert change"))*('Changes — Earner 2'!$B$6:$B$17&lt;=$B32)*('Changes — Earner 2'!$B$6:$B$17&lt;&gt;"")),'Changes — Earner 2'!$G$6:$G$17),'Second Earner'!$C$24))</f>
      </c>
      <c r="AU32">
        <f>IF($B32="","",IFERROR(LOOKUP(2,1/(('Changes — Earner 2'!$C$6:$C$17="State move")*('Changes — Earner 2'!$B$6:$B$17&lt;=$B32)*('Changes — Earner 2'!$B$6:$B$17&lt;&gt;"")),'Changes — Earner 2'!$E$6:$E$17),'Second Earner'!$C$22))</f>
      </c>
      <c r="AV32" s="6">
        <f>IF($B32="","",1+COUNTIFS('Changes — Earner 2'!$C$6:$C$17,"Employer change",'Changes — Earner 2'!$B$6:$B$17,"&lt;="&amp;$B32,'Changes — Earner 2'!$B$6:$B$17,"&lt;&gt;"))</f>
      </c>
      <c r="AW32" s="7">
        <f>IF($B32="","",IF($AV32=1,'Second Earner'!$C$49,IF(IFERROR(MATCH(IFERROR(LOOKUP(2,1/(('Changes — Earner 2'!$C$6:$C$17="Employer change")*('Changes — Earner 2'!$B$6:$B$17&lt;=$B32)*('Changes — Earner 2'!$B$6:$B$17&lt;&gt;"")),'Changes — Earner 2'!$B$6:$B$17),""),$B$6:$B$68,1),1)&lt;=1,'Second Earner'!$C$49,INDEX($AB$6:$AB$68,MATCH(IFERROR(LOOKUP(2,1/(('Changes — Earner 2'!$C$6:$C$17="Employer change")*('Changes — Earner 2'!$B$6:$B$17&lt;=$B32)*('Changes — Earner 2'!$B$6:$B$17&lt;&gt;"")),'Changes — Earner 2'!$B$6:$B$17),""),$B$6:$B$68,1)-1))))</f>
      </c>
      <c r="AX32" s="7">
        <f>IF($B32="","",IF($AV32=1,'Second Earner'!$C$49,IFERROR(LOOKUP(2,1/(('Changes — Earner 2'!$C$6:$C$17="Employer change")*('Changes — Earner 2'!$B$6:$B$17&lt;=$B32)*('Changes — Earner 2'!$B$6:$B$17&lt;&gt;"")),'Changes — Earner 2'!$D$6:$D$17),0)))</f>
      </c>
      <c r="AY32" s="7">
        <f>IF($B32="","",($O32-$D32)*'Second Earner'!$C$8)</f>
      </c>
      <c r="AZ32" s="7">
        <f>IF($B32="","",IF($AN32="AL",MAX(0,$AY32-IF($AU32="Married",IF($AY32&lt;=25999,8500,MAX(5000,8500-175*CEILING(($AY32-25999)/500,1))),IF($AU32="Head of household",IF($AY32&lt;=25999,5200,MAX(2500,5200-135*CEILING(($AY32-25999)/500,1))),IF($AY32&lt;=25999,3000,MAX(2500,3000-25*CEILING(($AY32-25999)/500,1)))))-($P32-'How This Works &amp; Sources'!$C$10*$D32)*'Second Earner'!$C$8-IF(OR($AU32="Married",$AU32="Head of household"),3000,1500)-$AT32*IF($AY32&lt;=50000,1000,IF($AY32&lt;=100000,500,300))),IF($AN32="AR",IF(MAX(0,$AY32-2470)&lt;97701,INT(MAX(0,$AY32-2470)/100)*100+50,MAX(0,$AY32-2470)),IF($AN32="DE",MAX(0,$AI32-3250),IF($AN32="HI",MAX(0,$AI32-1144*$AS32-4350),IF($AN32="KS",MAX(0,$AI32-(9160*IF($AU32="Married",2,1)+2320*$AT32+IF($AU32="Head of household",2320,0))),IF($AN32="MD",MAX(0,$AI32-3400-3200*$AS32),IF($AN32="MN",MAX(0,$AY32-5300*$AS32),IF($AN32="MO",MAX(0,$AI32-IF($AU32="Head of household",24150,IF($AU32="Married",IF('Second Earner'!$C$83,16100,32200),16100))),IF($AN32="MT",$AY32,IF($AN32="ND",($C32+$L32)*'Second Earner'!$C$8,IF($AN32="NE",MAX(0,$AY32-2440*$AS32),IF($AN32="NJ",MAX(0,$AY32-1000*$AS32),IF($AN32="NY",MAX(0,$AY32-(IF($AU32="Married",7950,7400)+1000*$AS32)),IF($AN32="OH",MAX(0,$AY32-650*$AS32),IF($AN32="OK",MAX(0,$AY32-1000*$AS32),IF($AN32="RI",MAX(0,$AI32-1000*$AS32),IF($AN32="SC",MAX(0,$AI32-5000*$AS32-IF($AS32=0,0,MIN(0.1*$AI32,7500))),IF($AN32="VA",MAX(0,$AI32-IF($AU32="Married",17500,8750)-930*$AS32-800*$AT32),IF($AN32="VT",MAX(0,$AI32-5400*$AS32),IF($AN32="WI",MAX(0,$AI32-MAX(0,IF($AU32="Married",9461-0.2*MAX(0,$AI32-25727),6702-0.12*MAX(0,$AI32-17780)))-400*$AS32),IF($AN32="WV",MAX(0,$AI32-2000*$AS32),$AI32))))))))))))))))))))))</f>
      </c>
      <c r="BA32" s="7">
        <f>IF($B32="","",IF($BW32&lt;&gt;"",$BW32,IF($BX32&lt;&gt;"",$BX32,IF($BY32&lt;&gt;"",$BY32,0))))</f>
      </c>
      <c r="BB32" s="7">
        <f>IF($B32="","",IF($AN32="AR",-29*$AS32,IF($AN32="DE",-110*$AS32,IF($AN32="MD",$AZ32*'Second Earner'!$C$74,IF($AN32="AZ",'Second Earner'!$C$82*($M32-$D32)*'Second Earner'!$C$8,IF($AN32="CO",0.044*MAX(0,$AY32-IF($AU32="Married",10000,5000)),IF($AN32="IA",MAX(0,0.038*MAX(0,$AY32-IF($AU32="Head of household",19500,IF($AU32="Married",26000,13000)))-40*$AS32),IF($AN32="ID",0.053*MAX(0,$AY32-IF($AU32="Married",32000,16094)),IF($AN32="IL",0.0495*MAX(0,$AY32-(2925*$AS32+1000*$AT32)),IF($AN32="IN",(0.0295+'Second Earner'!$C$76)*MAX(0,$AY32-(1000*$AS32+1500*$AT32+3000*'Second Earner'!$C$86)),IF($AN32="KY",0.035*MAX(0,$AI32-3360),IF($AN32="LA",IF('Second Earner'!$C$84="0",0.0309*$AI32,0.0309*MAX(0,$AI32-IF('Second Earner'!$C$84="2",25750,12875))),IF($AN32="MA",0.05*MIN(MAX(0,$AY32-MIN(($BD31+$Q32+$R32+$S32),2000)-IF($AS32=0,0,IF($AS32=1,4400,1000*$AS32+3400))),1107750)+0.09*MAX(0,MAX(0,$AY32-MIN(($BD31+$Q32+$R32+$S32),2000)-IF($AS32=0,0,IF($AS32=1,4400,1000*$AS32+3400)))-1107750)-IF($AU32="Head of household",120,0)-110*'Second Earner'!$C$75,IF($AN32="MI",0.0425*MAX(0,$AY32-5900*$AS32),IF($AN32="MS",0.04*MAX(0,$AI32-IF($AU32="Head of household",3400,IF($AU32="Married",4600,2300))-'Second Earner'!$C$85-10000),IF($AN32="OR",IF(OR($AU32="Married",AND($AU32="Single",$AS32&gt;=3)),SUMPRODUCT((MAX(0,$AY32-MIN(($P32-'How This Works &amp; Sources'!$C$10*$D32)*'Second Earner'!$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Sources'!$B$211:$J$214,0,4))*(MAX(0,$AY32-MIN(($P32-'How This Works &amp; Sources'!$C$10*$D32)*'Second Earner'!$C$8,IF(OR($AU32="Married",AND($AU32="Single",$AS32&gt;=3)),IF($AY32&lt;250000,8750,IF($AY32&lt;260000,7000,IF($AY32&lt;270000,5250,IF($AY32&lt;280000,3500,IF($AY32&lt;290000,1750,0))))),IF($AY32&lt;125000,8750,IF($AY32&lt;130000,7000,IF($AY32&lt;135000,5250,IF($AY32&lt;140000,3500,IF($AY32&lt;145000,1750,0)))))))-IF(OR($AU32="Married",AND($AU32="Single",$AS32&gt;=3)),5820,2910))-INDEX('How This Works &amp; Sources'!$B$211:$J$214,0,4))*INDEX('How This Works &amp; Sources'!$B$211:$J$214,0,4+2)),SUMPRODUCT((MAX(0,$AY32-MIN(($P32-'How This Works &amp; Sources'!$C$10*$D32)*'Second Earner'!$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Sources'!$B$211:$J$214,0,1))*(MAX(0,$AY32-MIN(($P32-'How This Works &amp; Sources'!$C$10*$D32)*'Second Earner'!$C$8,IF(OR($AU32="Married",AND($AU32="Single",$AS32&gt;=3)),IF($AY32&lt;250000,8750,IF($AY32&lt;260000,7000,IF($AY32&lt;270000,5250,IF($AY32&lt;280000,3500,IF($AY32&lt;290000,1750,0))))),IF($AY32&lt;125000,8750,IF($AY32&lt;130000,7000,IF($AY32&lt;135000,5250,IF($AY32&lt;140000,3500,IF($AY32&lt;145000,1750,0)))))))-IF(OR($AU32="Married",AND($AU32="Single",$AS32&gt;=3)),5820,2910))-INDEX('How This Works &amp; Sources'!$B$211:$J$214,0,1))*INDEX('How This Works &amp; Sources'!$B$211:$J$214,0,1+2)))+263-263*IF(IF($AU32="Married",$AY32&gt;200000,$AY32&gt;100000),0,$AS32),IF($AN32="PA",0.0307*(($O32+$E32+$G32)*'Second Earner'!$C$8),IF($AN32="NY",IF($AU32="Married",IF($AZ32&gt;=2155350,0,IF($AZ32&gt;=1077550,0.48,IF($AZ32&gt;=373200,1.21,IF($AZ32&gt;=323200,0.21,IF($AZ32&gt;=211550,-0.19,IF($AZ32&gt;=157650,-2.8,IF($AZ32&gt;=107650,-0.8,IF($AZ32&gt;=96800,0.05,IF($AZ32&gt;=80650,-0.1,IF($AZ32&gt;=13900,0.4,IF($AZ32&gt;=11700,-0.3,IF($AZ32&gt;=8500,0.5,0)))))))))))),IF($AZ32&gt;=1077550,0,IF($AZ32&gt;=265400,4.29,IF($AZ32&gt;=215400,2.29,IF($AZ32&gt;=157650,2.29,IF($AZ32&gt;=107650,0.29,IF($AZ32&gt;=96800,0.05,IF($AZ32&gt;=80650,-0.1,IF($AZ32&gt;=13900,0.4,IF($AZ32&gt;=11700,-0.3,IF($AZ32&gt;=8500,0.5,0))))))))))),0))))))))))))))))))</f>
      </c>
      <c r="BC32" s="7">
        <f>IF($B32="","",IF($AN32="AL",0.05*$D32,IF($AN32="AR",0.039*$D32,IF($AN32="ID",0.053*$D32,IF($AN32="IN",(0.0295+'Second Earner'!$C$76)*$D32,IF($AN32="KS",0.05*$D32,IF($AN32="MA",0.09*MIN($D32,MAX(0,MAX(0,$AY32-MIN(($BD31+$Q32+$R32+$S32),2000)-IF($AS32=0,0,IF($AS32=1,4400,1000*$AS32+3400)))+$D32-1107750))+0.05*($D32-MIN($D32,MAX(0,MAX(0,$AY32-MIN(($BD31+$Q32+$R32+$S32),2000)-IF($AS32=0,0,IF($AS32=1,4400,1000*$AS32+3400)))+$D32-1107750))),IF($AN32="MD",(0.065+'Second Earner'!$C$74)*$D32,IF($AN32="MI",0.0425*$D32,IF($AN32="MN",0.0625*$D32,IF($AN32="MO",0.047*$D32,IF($AN32="MT",0.05*$D32,IF($AN32="ND",0.015*$D32,IF($AN32="NE",0.035*$D32,IF($AN32="NJ",IF('Second Earner'!$C$77="B",SUMPRODUCT(($D32*'Second Earner'!$C$8&gt;INDEX('How This Works &amp; Sources'!$B$155:$J$162,0,4))*($D32*'Second Earner'!$C$8-INDEX('How This Works &amp; Sources'!$B$155:$J$162,0,4))*INDEX('How This Works &amp; Sources'!$B$155:$J$162,0,4+2)),IF('Second Earner'!$C$77="C",SUMPRODUCT(($D32*'Second Earner'!$C$8&gt;INDEX('How This Works &amp; Sources'!$B$155:$J$162,0,7))*($D32*'Second Earner'!$C$8-INDEX('How This Works &amp; Sources'!$B$155:$J$162,0,7))*INDEX('How This Works &amp; Sources'!$B$155:$J$162,0,7+2)),IF('Second Earner'!$C$77="D",SUMPRODUCT(($D32*'Second Earner'!$C$8&gt;INDEX('How This Works &amp; Sources'!$B$167:$J$179,0,1))*($D32*'Second Earner'!$C$8-INDEX('How This Works &amp; Sources'!$B$167:$J$179,0,1))*INDEX('How This Works &amp; Sources'!$B$167:$J$179,0,1+2)),IF('Second Earner'!$C$77="E",SUMPRODUCT(($D32*'Second Earner'!$C$8&gt;INDEX('How This Works &amp; Sources'!$B$167:$J$179,0,4))*($D32*'Second Earner'!$C$8-INDEX('How This Works &amp; Sources'!$B$167:$J$179,0,4))*INDEX('How This Works &amp; Sources'!$B$167:$J$179,0,4+2)),SUMPRODUCT(($D32*'Second Earner'!$C$8&gt;INDEX('How This Works &amp; Sources'!$B$155:$J$162,0,1))*($D32*'Second Earner'!$C$8-INDEX('How This Works &amp; Sources'!$B$155:$J$162,0,1))*INDEX('How This Works &amp; Sources'!$B$155:$J$162,0,1+2))))))/'Second Earner'!$C$8,IF($AN32="NY",0.117*$D32,IF($AN32="OH",0.0275*$D32,IF($AN32="OK",0.045*$D32,IF($AN32="OR",0.08*$D32,IF($AN32="WI",IF($AY32&lt;12760,0.0354,IF($AY32&lt;25520,0.0465,IF($AY32&lt;280950,0.053,0.0765)))*$D32,0))))))))))))))))))))</f>
      </c>
      <c r="BD32" s="7">
        <f>IF($B32="","",$BD31+$Q32+$R32+$S32)</f>
      </c>
      <c r="BE32" s="6">
        <f>IF($B32="",$BE31,$BE31+$BF32)</f>
      </c>
      <c r="BF32" s="6">
        <f>IF($B32="","",IF(AND(IF(YEAR(IF('Second Earner'!$C$7="Weekly",'Second Earner'!$C$9+7*(($BE31+1)-1),IF('Second Earner'!$C$7="Biweekly",'Second Earner'!$C$9+14*(($BE31+1)-1),IF('Second Earner'!$C$7="Semimonthly",DATE(YEAR('Second Earner'!$C$9),MONTH('Second Earner'!$C$9)+INT((($BE31+1)-1)/2),MIN(DAY('Second Earner'!$C$9),DAY(EOMONTH(DATE(YEAR('Second Earner'!$C$9),MONTH('Second Earner'!$C$9)+INT((($BE31+1)-1)/2),1),0))))+IF(MOD(($BE31+1)-1,2)=1,15,0),EDATE('Second Earner'!$C$9,($BE31+1)-1)))))&lt;&gt;'Second Earner'!$C$10,"",IF('Second Earner'!$C$7="Weekly",'Second Earner'!$C$9+7*(($BE31+1)-1),IF('Second Earner'!$C$7="Biweekly",'Second Earner'!$C$9+14*(($BE31+1)-1),IF('Second Earner'!$C$7="Semimonthly",DATE(YEAR('Second Earner'!$C$9),MONTH('Second Earner'!$C$9)+INT((($BE31+1)-1)/2),MIN(DAY('Second Earner'!$C$9),DAY(EOMONTH(DATE(YEAR('Second Earner'!$C$9),MONTH('Second Earner'!$C$9)+INT((($BE31+1)-1)/2),1),0))))+IF(MOD(($BE31+1)-1,2)=1,15,0),EDATE('Second Earner'!$C$9,($BE31+1)-1)))))&lt;&gt;"",$B32=IF(YEAR(IF('Second Earner'!$C$7="Weekly",'Second Earner'!$C$9+7*(($BE31+1)-1),IF('Second Earner'!$C$7="Biweekly",'Second Earner'!$C$9+14*(($BE31+1)-1),IF('Second Earner'!$C$7="Semimonthly",DATE(YEAR('Second Earner'!$C$9),MONTH('Second Earner'!$C$9)+INT((($BE31+1)-1)/2),MIN(DAY('Second Earner'!$C$9),DAY(EOMONTH(DATE(YEAR('Second Earner'!$C$9),MONTH('Second Earner'!$C$9)+INT((($BE31+1)-1)/2),1),0))))+IF(MOD(($BE31+1)-1,2)=1,15,0),EDATE('Second Earner'!$C$9,($BE31+1)-1)))))&lt;&gt;'Second Earner'!$C$10,"",IF('Second Earner'!$C$7="Weekly",'Second Earner'!$C$9+7*(($BE31+1)-1),IF('Second Earner'!$C$7="Biweekly",'Second Earner'!$C$9+14*(($BE31+1)-1),IF('Second Earner'!$C$7="Semimonthly",DATE(YEAR('Second Earner'!$C$9),MONTH('Second Earner'!$C$9)+INT((($BE31+1)-1)/2),MIN(DAY('Second Earner'!$C$9),DAY(EOMONTH(DATE(YEAR('Second Earner'!$C$9),MONTH('Second Earner'!$C$9)+INT((($BE31+1)-1)/2),1),0))))+IF(MOD(($BE31+1)-1,2)=1,15,0),EDATE('Second Earner'!$C$9,($BE31+1)-1)))))),1,0))</f>
      </c>
      <c r="BG32" s="7">
        <f>IF($B32="","",$BG31+$H32)</f>
      </c>
      <c r="BH32" s="7">
        <f>IF($B32="","",$BH31+$I32)</f>
      </c>
      <c r="BI32" s="7">
        <f>IF($B32="","",$BI31+$G32)</f>
      </c>
      <c r="BJ32" s="7">
        <f>IF($B32="","",IFERROR(LOOKUP(2,1/(((('Changes — Earner 2'!$C$6:$C$17="Deduction start"))*('Changes — Earner 2'!$D$6:$D$17="Health FSA"))*('Changes — Earner 2'!$B$6:$B$17&lt;=$B32)*('Changes — Earner 2'!$B$6:$B$17&lt;&gt;"")),'Changes — Earner 2'!$E$6:$E$17),'Second Earner'!$D$38))</f>
      </c>
      <c r="BK32" s="7">
        <f>IF($B32="","",IFERROR(LOOKUP(2,1/(((('Changes — Earner 2'!$C$6:$C$17="Deduction start"))*('Changes — Earner 2'!$D$6:$D$17="Dependent-care FSA"))*('Changes — Earner 2'!$B$6:$B$17&lt;=$B32)*('Changes — Earner 2'!$B$6:$B$17&lt;&gt;"")),'Changes — Earner 2'!$E$6:$E$17),'Second Earner'!$D$39))</f>
      </c>
      <c r="BL32" s="7">
        <f>IF($B32="","",IFERROR(LOOKUP(2,1/(((('Changes — Earner 2'!$C$6:$C$17="Deduction start")+('Changes — Earner 2'!$C$6:$C$17="Deduction stop"))*('Changes — Earner 2'!$D$6:$D$17="HSA"))*('Changes — Earner 2'!$B$6:$B$17&lt;=$B32)*('Changes — Earner 2'!$B$6:$B$17&lt;&gt;"")),'Changes — Earner 2'!$I$6:$I$17),'Second Earner'!$D$35))</f>
      </c>
      <c r="BM32" s="7">
        <f>IF($B32="","",IFERROR(LOOKUP(2,1/(((('Changes — Earner 2'!$C$6:$C$17="Deduction start")+('Changes — Earner 2'!$C$6:$C$17="Deduction stop"))*('Changes — Earner 2'!$D$6:$D$17="Premiums"))*('Changes — Earner 2'!$B$6:$B$17&lt;=$B32)*('Changes — Earner 2'!$B$6:$B$17&lt;&gt;"")),'Changes — Earner 2'!$I$6:$I$17),'Second Earner'!$D$40+'Second Earner'!$D$41+'Second Earner'!$D$42))</f>
      </c>
      <c r="BN32" s="7">
        <f>IF($B32="","",IFERROR(LOOKUP(2,1/(((('Changes — Earner 2'!$C$6:$C$17="Deduction start")+('Changes — Earner 2'!$C$6:$C$17="Deduction stop"))*('Changes — Earner 2'!$D$6:$D$17="Commuter"))*('Changes — Earner 2'!$B$6:$B$17&lt;=$B32)*('Changes — Earner 2'!$B$6:$B$17&lt;&gt;"")),'Changes — Earner 2'!$I$6:$I$17),'Second Earner'!$D$43))</f>
      </c>
      <c r="BO32" s="7">
        <f>IF($B32="","",IFERROR(LOOKUP(2,1/(((('Changes — Earner 2'!$C$6:$C$17="Deduction start")+('Changes — Earner 2'!$C$6:$C$17="Deduction stop"))*('Changes — Earner 2'!$D$6:$D$17="Other pre-tax"))*('Changes — Earner 2'!$B$6:$B$17&lt;=$B32)*('Changes — Earner 2'!$B$6:$B$17&lt;&gt;"")),'Changes — Earner 2'!$I$6:$I$17),'Second Earner'!$D$44))</f>
      </c>
      <c r="BP32" s="7">
        <f>IF($B32="","",IFERROR(LOOKUP(2,1/(((('Changes — Earner 2'!$C$6:$C$17="Deduction start")+('Changes — Earner 2'!$C$6:$C$17="Deduction stop"))*('Changes — Earner 2'!$D$6:$D$17="Other post-tax"))*('Changes — Earner 2'!$B$6:$B$17&lt;=$B32)*('Changes — Earner 2'!$B$6:$B$17&lt;&gt;"")),'Changes — Earner 2'!$I$6:$I$17),'Second Earner'!$D$45))</f>
      </c>
      <c r="BQ32" s="6">
        <f>IF($B32="","",IFERROR(LOOKUP(2,1/(((('Changes — Earner 2'!$C$6:$C$17="Deduction start")+('Changes — Earner 2'!$C$6:$C$17="Deduction stop"))*('Changes — Earner 2'!$D$6:$D$17="Health FSA"))*('Changes — Earner 2'!$B$6:$B$17&lt;=$B32)*('Changes — Earner 2'!$B$6:$B$17&lt;&gt;"")),'Changes — Earner 2'!$J$6:$J$17),0))</f>
      </c>
      <c r="BR32" s="6">
        <f>IF($B32="","",IFERROR(LOOKUP(2,1/(((('Changes — Earner 2'!$C$6:$C$17="Deduction start")+('Changes — Earner 2'!$C$6:$C$17="Deduction stop"))*('Changes — Earner 2'!$D$6:$D$17="Dependent-care FSA"))*('Changes — Earner 2'!$B$6:$B$17&lt;=$B32)*('Changes — Earner 2'!$B$6:$B$17&lt;&gt;"")),'Changes — Earner 2'!$J$6:$J$17),0))</f>
      </c>
      <c r="BS32" s="6">
        <f>IF($B32="","",IF(SUMPRODUCT(('Changes — Earner 2'!$C$6:$C$17="Deduction start")*('Changes — Earner 2'!$B$6:$B$17&lt;=$B32)*('Changes — Earner 2'!$B$6:$B$17&lt;&gt;"")*('Changes — Earner 2'!$D$6:$D$17="Health FSA"))&gt;0,1,0))</f>
      </c>
      <c r="BT32" s="6">
        <f>IF($B32="","",IF(SUMPRODUCT(('Changes — Earner 2'!$C$6:$C$17="Deduction start")*('Changes — Earner 2'!$B$6:$B$17&lt;=$B32)*('Changes — Earner 2'!$B$6:$B$17&lt;&gt;"")*('Changes — Earner 2'!$D$6:$D$17="Dependent-care FSA"))&gt;0,1,0))</f>
      </c>
      <c r="BU32" s="24">
        <f>IF($B32="","",IF('Second Earner'!$C$13,SUMPRODUCT(($AH32&gt;=INDEX('How This Works &amp; Sources'!$B$29:$J$36,0,IF('Second Earner'!$C$12="MFJ",1,IF('Second Earner'!$C$12="HoH",7,4))))*INDEX('How This Works &amp; Sources'!$B$29:$J$36,0,IF('Second Earner'!$C$12="MFJ",1,IF('Second Earner'!$C$12="HoH",7,4))+2)),SUMPRODUCT(($AH32&gt;=INDEX('How This Works &amp; Sources'!$B$19:$J$26,0,IF('Second Earner'!$C$12="MFJ",1,IF('Second Earner'!$C$12="HoH",7,4))))*INDEX('How This Works &amp; Sources'!$B$19:$J$26,0,IF('Second Earner'!$C$12="MFJ",1,IF('Second Earner'!$C$12="HoH",7,4))+2))))</f>
      </c>
      <c r="BV32" s="24">
        <f>IF($B32="","",IF($BZ32&lt;&gt;"",$BZ32,IF($CA32&lt;&gt;"",$CA32,IF($CB32&lt;&gt;"",$CB32,IF($CC32&lt;&gt;"",$CC32,0)))))</f>
      </c>
      <c r="BW32" s="7">
        <f>IF($B32="","",IF($AN32="AR",SUMPRODUCT(($AZ32&gt;INDEX('How This Works &amp; Sources'!$B$82:$J$86,0,7))*($AZ32-INDEX('How This Works &amp; Sources'!$B$82:$J$86,0,7))*INDEX('How This Works &amp; Sources'!$B$82:$J$86,0,7+2)),IF($AN32="MD",IF(OR($AU32="Married",$AU32="Head of household"),SUMPRODUCT(($AZ32&gt;INDEX('How This Works &amp; Sources'!$B$114:$J$120,0,1))*($AZ32-INDEX('How This Works &amp; Sources'!$B$114:$J$120,0,1))*INDEX('How This Works &amp; Sources'!$B$114:$J$120,0,1+2)),SUMPRODUCT(($AZ32&gt;INDEX('How This Works &amp; Sources'!$B$103:$J$109,0,7))*($AZ32-INDEX('How This Works &amp; Sources'!$B$103:$J$109,0,7))*INDEX('How This Works &amp; Sources'!$B$103:$J$109,0,7+2))),IF($AN32="MT",IF($AU32="Head of household",SUMPRODUCT(($AZ32&gt;INDEX('How This Works &amp; Sources'!$B$137:$J$139,0,1))*($AZ32-INDEX('How This Works &amp; Sources'!$B$137:$J$139,0,1))*INDEX('How This Works &amp; Sources'!$B$137:$J$139,0,1+2)),IF($AU32="Married",SUMPRODUCT(($AZ32&gt;INDEX('How This Works &amp; Sources'!$B$125:$J$132,0,7))*($AZ32-INDEX('How This Works &amp; Sources'!$B$125:$J$132,0,7))*INDEX('How This Works &amp; Sources'!$B$125:$J$132,0,7+2)),SUMPRODUCT(($AZ32&gt;INDEX('How This Works &amp; Sources'!$B$125:$J$132,0,4))*($AZ32-INDEX('How This Works &amp; Sources'!$B$125:$J$132,0,4))*INDEX('How This Works &amp; Sources'!$B$125:$J$132,0,4+2)))),IF($AN32="ND",IF($AU32="Head of household",SUMPRODUCT(($AZ32&gt;INDEX('How This Works &amp; Sources'!$B$144:$J$150,0,1))*($AZ32-INDEX('How This Works &amp; Sources'!$B$144:$J$150,0,1))*INDEX('How This Works &amp; Sources'!$B$144:$J$150,0,1+2)),IF($AU32="Married",SUMPRODUCT(($AZ32&gt;INDEX('How This Works &amp; Sources'!$B$137:$J$139,0,7))*($AZ32-INDEX('How This Works &amp; Sources'!$B$137:$J$139,0,7))*INDEX('How This Works &amp; Sources'!$B$137:$J$139,0,7+2)),SUMPRODUCT(($AZ32&gt;INDEX('How This Works &amp; Sources'!$B$137:$J$139,0,4))*($AZ32-INDEX('How This Works &amp; Sources'!$B$137:$J$139,0,4))*INDEX('How This Works &amp; Sources'!$B$137:$J$139,0,4+2)))),IF($AN32="NJ",IF('Second Earner'!$C$77="B",SUMPRODUCT(($AZ32&gt;INDEX('How This Works &amp; Sources'!$B$155:$J$162,0,4))*($AZ32-INDEX('How This Works &amp; Sources'!$B$155:$J$162,0,4))*INDEX('How This Works &amp; Sources'!$B$155:$J$162,0,4+2)),IF('Second Earner'!$C$77="C",SUMPRODUCT(($AZ32&gt;INDEX('How This Works &amp; Sources'!$B$155:$J$162,0,7))*($AZ32-INDEX('How This Works &amp; Sources'!$B$155:$J$162,0,7))*INDEX('How This Works &amp; Sources'!$B$155:$J$162,0,7+2)),IF('Second Earner'!$C$77="D",SUMPRODUCT(($AZ32&gt;INDEX('How This Works &amp; Sources'!$B$167:$J$179,0,1))*($AZ32-INDEX('How This Works &amp; Sources'!$B$167:$J$179,0,1))*INDEX('How This Works &amp; Sources'!$B$167:$J$179,0,1+2)),IF('Second Earner'!$C$77="E",SUMPRODUCT(($AZ32&gt;INDEX('How This Works &amp; Sources'!$B$167:$J$179,0,4))*($AZ32-INDEX('How This Works &amp; Sources'!$B$167:$J$179,0,4))*INDEX('How This Works &amp; Sources'!$B$167:$J$179,0,4+2)),SUMPRODUCT(($AZ32&gt;INDEX('How This Works &amp; Sources'!$B$155:$J$162,0,1))*($AZ32-INDEX('How This Works &amp; Sources'!$B$155:$J$162,0,1))*INDEX('How This Works &amp; Sources'!$B$155:$J$162,0,1+2)))))),IF($AN32="NY",IF($AU32="Married",IF($AZ32&gt;=2155350,$AZ32*IF($AZ32&gt;25000000,0.117,IF($AZ32&gt;5000000,0.111,0.1045)),SUMPRODUCT(($AZ32&gt;INDEX('How This Works &amp; Sources'!$B$184:$J$198,0,1))*($AZ32-INDEX('How This Works &amp; Sources'!$B$184:$J$198,0,1))*INDEX('How This Works &amp; Sources'!$B$184:$J$198,0,1+2))),IF($AZ32&gt;=1077550,$AZ32*IF($AZ32&gt;25000000,0.117,IF($AZ32&gt;5000000,0.111,0.1045)),SUMPRODUCT(($AZ32&gt;INDEX('How This Works &amp; Sources'!$B$167:$J$179,0,7))*($AZ32-INDEX('How This Works &amp; Sources'!$B$167:$J$179,0,7))*INDEX('How This Works &amp; Sources'!$B$167:$J$179,0,7+2)))),"")))))))</f>
      </c>
      <c r="BX32" s="7">
        <f>IF($B32="","",IF($AN32="AL",IF(OR($AU32="Married",$AU32="Head of household"),SUMPRODUCT(($AZ32&gt;INDEX('How This Works &amp; Sources'!$B$82:$J$86,0,4))*($AZ32-INDEX('How This Works &amp; Sources'!$B$82:$J$86,0,4))*INDEX('How This Works &amp; Sources'!$B$82:$J$86,0,4+2)),SUMPRODUCT(($AZ32&gt;INDEX('How This Works &amp; Sources'!$B$82:$J$86,0,1))*($AZ32-INDEX('How This Works &amp; Sources'!$B$82:$J$86,0,1))*INDEX('How This Works &amp; Sources'!$B$82:$J$86,0,1+2))),IF($AN32="KS",IF($AU32="Married",SUMPRODUCT(($AZ32&gt;INDEX('How This Works &amp; Sources'!$B$103:$J$109,0,4))*($AZ32-INDEX('How This Works &amp; Sources'!$B$103:$J$109,0,4))*INDEX('How This Works &amp; Sources'!$B$103:$J$109,0,4+2)),SUMPRODUCT(($AZ32&gt;INDEX('How This Works &amp; Sources'!$B$103:$J$109,0,1))*($AZ32-INDEX('How This Works &amp; Sources'!$B$103:$J$109,0,1))*INDEX('How This Works &amp; Sources'!$B$103:$J$109,0,1+2))),IF($AN32="MN",IF($AU32="Married",SUMPRODUCT(($AZ32&gt;INDEX('How This Works &amp; Sources'!$B$114:$J$120,0,7))*($AZ32-INDEX('How This Works &amp; Sources'!$B$114:$J$120,0,7))*INDEX('How This Works &amp; Sources'!$B$114:$J$120,0,7+2)),SUMPRODUCT(($AZ32&gt;INDEX('How This Works &amp; Sources'!$B$114:$J$120,0,4))*($AZ32-INDEX('How This Works &amp; Sources'!$B$114:$J$120,0,4))*INDEX('How This Works &amp; Sources'!$B$114:$J$120,0,4+2))),IF($AN32="MO",SUMPRODUCT(($AZ32&gt;INDEX('How This Works &amp; Sources'!$B$125:$J$132,0,1))*($AZ32-INDEX('How This Works &amp; Sources'!$B$125:$J$132,0,1))*INDEX('How This Works &amp; Sources'!$B$125:$J$132,0,1+2)),IF($AN32="NE",MAX(IF($AU32="Married",SUMPRODUCT(($AZ32&gt;INDEX('How This Works &amp; Sources'!$B$144:$J$150,0,7))*($AZ32-INDEX('How This Works &amp; Sources'!$B$144:$J$150,0,7))*INDEX('How This Works &amp; Sources'!$B$144:$J$150,0,7+2)),SUMPRODUCT(($AZ32&gt;INDEX('How This Works &amp; Sources'!$B$144:$J$150,0,4))*($AZ32-INDEX('How This Works &amp; Sources'!$B$144:$J$150,0,4))*INDEX('How This Works &amp; Sources'!$B$144:$J$150,0,4+2))),0.015*$AZ32),IF($AN32="OH",IF($B32&gt;=DATE(2026,8,1),SUMPRODUCT(($AZ32&gt;INDEX('How This Works &amp; Sources'!$B$203:$J$206,0,1))*($AZ32-INDEX('How This Works &amp; Sources'!$B$203:$J$206,0,1))*INDEX('How This Works &amp; Sources'!$B$203:$J$206,0,1+2)),SUMPRODUCT(($AZ32&gt;INDEX('How This Works &amp; Sources'!$B$184:$J$198,0,7))*($AZ32-INDEX('How This Works &amp; Sources'!$B$184:$J$198,0,7))*INDEX('How This Works &amp; Sources'!$B$184:$J$198,0,7+2))),IF($AN32="OK",IF($AU32="Married",SUMPRODUCT(($AZ32&gt;INDEX('How This Works &amp; Sources'!$B$203:$J$206,0,7))*($AZ32-INDEX('How This Works &amp; Sources'!$B$203:$J$206,0,7))*INDEX('How This Works &amp; Sources'!$B$203:$J$206,0,7+2)),SUMPRODUCT(($AZ32&gt;INDEX('How This Works &amp; Sources'!$B$203:$J$206,0,4))*($AZ32-INDEX('How This Works &amp; Sources'!$B$203:$J$206,0,4))*INDEX('How This Works &amp; Sources'!$B$203:$J$206,0,4+2))),IF($AN32="VT",IF($AU32="Married",SUMPRODUCT(($AZ32&gt;INDEX('How This Works &amp; Sources'!$B$228:$J$232,0,1))*($AZ32-INDEX('How This Works &amp; Sources'!$B$228:$J$232,0,1))*INDEX('How This Works &amp; Sources'!$B$228:$J$232,0,1+2)),SUMPRODUCT(($AZ32&gt;INDEX('How This Works &amp; Sources'!$B$219:$J$223,0,7))*($AZ32-INDEX('How This Works &amp; Sources'!$B$219:$J$223,0,7))*INDEX('How This Works &amp; Sources'!$B$219:$J$223,0,7+2))),IF($AN32="WV",IF($AU32="Married",SUMPRODUCT(($AZ32&gt;INDEX('How This Works &amp; Sources'!$B$237:$J$241,0,7))*($AZ32-INDEX('How This Works &amp; Sources'!$B$237:$J$241,0,7))*INDEX('How This Works &amp; Sources'!$B$237:$J$241,0,7+2)),SUMPRODUCT(($AZ32&gt;INDEX('How This Works &amp; Sources'!$B$228:$J$232,0,7))*($AZ32-INDEX('How This Works &amp; Sources'!$B$228:$J$232,0,7))*INDEX('How This Works &amp; Sources'!$B$228:$J$232,0,7+2))),""))))))))))</f>
      </c>
      <c r="BY32" s="7">
        <f>IF($B32="","",IF($AN32="DE",SUMPRODUCT(($AZ32&gt;INDEX('How This Works &amp; Sources'!$B$91:$J$98,0,1))*($AZ32-INDEX('How This Works &amp; Sources'!$B$91:$J$98,0,1))*INDEX('How This Works &amp; Sources'!$B$91:$J$98,0,1+2)),IF($AN32="HI",IF($AU32="Married",SUMPRODUCT(($AZ32&gt;INDEX('How This Works &amp; Sources'!$B$91:$J$98,0,7))*($AZ32-INDEX('How This Works &amp; Sources'!$B$91:$J$98,0,7))*INDEX('How This Works &amp; Sources'!$B$91:$J$98,0,7+2)),SUMPRODUCT(($AZ32&gt;INDEX('How This Works &amp; Sources'!$B$91:$J$98,0,4))*($AZ32-INDEX('How This Works &amp; Sources'!$B$91:$J$98,0,4))*INDEX('How This Works &amp; Sources'!$B$91:$J$98,0,4+2))),IF($AN32="RI",SUMPRODUCT(($AZ32&gt;INDEX('How This Works &amp; Sources'!$B$211:$J$214,0,7))*($AZ32-INDEX('How This Works &amp; Sources'!$B$211:$J$214,0,7))*INDEX('How This Works &amp; Sources'!$B$211:$J$214,0,7+2)),IF($AN32="SC",SUMPRODUCT(($AZ32&gt;INDEX('How This Works &amp; Sources'!$B$219:$J$223,0,1))*($AZ32-INDEX('How This Works &amp; Sources'!$B$219:$J$223,0,1))*INDEX('How This Works &amp; Sources'!$B$219:$J$223,0,1+2)),IF($AN32="VA",SUMPRODUCT(($AZ32&gt;INDEX('How This Works &amp; Sources'!$B$219:$J$223,0,4))*($AZ32-INDEX('How This Works &amp; Sources'!$B$219:$J$223,0,4))*INDEX('How This Works &amp; Sources'!$B$219:$J$223,0,4+2)),IF($AN32="WI",SUMPRODUCT(($AZ32&gt;INDEX('How This Works &amp; Sources'!$B$228:$J$232,0,4))*($AZ32-INDEX('How This Works &amp; Sources'!$B$228:$J$232,0,4))*INDEX('How This Works &amp; Sources'!$B$228:$J$232,0,4+2)),"")))))))</f>
      </c>
      <c r="BZ32" s="24">
        <f>IF($B32="","",IF($AN32="KS",IF($AU32="Married",SUMPRODUCT(($AZ32&gt;=INDEX('How This Works &amp; Sources'!$B$103:$J$109,0,4))*INDEX('How This Works &amp; Sources'!$B$103:$J$109,0,4+2)),SUMPRODUCT(($AZ32&gt;=INDEX('How This Works &amp; Sources'!$B$103:$J$109,0,1))*INDEX('How This Works &amp; Sources'!$B$103:$J$109,0,1+2))),IF($AN32="MT",IF($AU32="Head of household",SUMPRODUCT(($AZ32&gt;=INDEX('How This Works &amp; Sources'!$B$137:$J$139,0,1))*INDEX('How This Works &amp; Sources'!$B$137:$J$139,0,1+2)),IF($AU32="Married",SUMPRODUCT(($AZ32&gt;=INDEX('How This Works &amp; Sources'!$B$125:$J$132,0,7))*INDEX('How This Works &amp; Sources'!$B$125:$J$132,0,7+2)),SUMPRODUCT(($AZ32&gt;=INDEX('How This Works &amp; Sources'!$B$125:$J$132,0,4))*INDEX('How This Works &amp; Sources'!$B$125:$J$132,0,4+2)))),IF($AN32="OR",IF(OR($AU32="Married",AND($AU32="Single",$AS32&gt;=3)),SUMPRODUCT((MAX(0,$AY32-MIN(($P32-'How This Works &amp; Sources'!$C$10*$D32)*'Second Earner'!$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Sources'!$B$211:$J$214,0,4))*INDEX('How This Works &amp; Sources'!$B$211:$J$214,0,4+2)),SUMPRODUCT((MAX(0,$AY32-MIN(($P32-'How This Works &amp; Sources'!$C$10*$D32)*'Second Earner'!$C$8,IF(OR($AU32="Married",AND($AU32="Single",$AS32&gt;=3)),IF($AY32&lt;250000,8750,IF($AY32&lt;260000,7000,IF($AY32&lt;270000,5250,IF($AY32&lt;280000,3500,IF($AY32&lt;290000,1750,0))))),IF($AY32&lt;125000,8750,IF($AY32&lt;130000,7000,IF($AY32&lt;135000,5250,IF($AY32&lt;140000,3500,IF($AY32&lt;145000,1750,0)))))))-IF(OR($AU32="Married",AND($AU32="Single",$AS32&gt;=3)),5820,2910))&gt;=INDEX('How This Works &amp; Sources'!$B$211:$J$214,0,1))*INDEX('How This Works &amp; Sources'!$B$211:$J$214,0,1+2)))*IF(($P32-'How This Works &amp; Sources'!$C$10*$D32)*'Second Earner'!$C$8&gt;=IF(OR($AU32="Married",AND($AU32="Single",$AS32&gt;=3)),IF($AY32&lt;250000,8750,IF($AY32&lt;260000,7000,IF($AY32&lt;270000,5250,IF($AY32&lt;280000,3500,IF($AY32&lt;290000,1750,0))))),IF($AY32&lt;125000,8750,IF($AY32&lt;130000,7000,IF($AY32&lt;135000,5250,IF($AY32&lt;140000,3500,IF($AY32&lt;145000,1750,0)))))),1,1-IF('Second Earner'!$C$13,SUMPRODUCT(($AH32&gt;=INDEX('How This Works &amp; Sources'!$B$29:$J$36,0,IF('Second Earner'!$C$12="MFJ",1,IF('Second Earner'!$C$12="HoH",7,4))))*INDEX('How This Works &amp; Sources'!$B$29:$J$36,0,IF('Second Earner'!$C$12="MFJ",1,IF('Second Earner'!$C$12="HoH",7,4))+2)),SUMPRODUCT(($AH32&gt;=INDEX('How This Works &amp; Sources'!$B$19:$J$26,0,IF('Second Earner'!$C$12="MFJ",1,IF('Second Earner'!$C$12="HoH",7,4))))*INDEX('How This Works &amp; Sources'!$B$19:$J$26,0,IF('Second Earner'!$C$12="MFJ",1,IF('Second Earner'!$C$12="HoH",7,4))+2)))),""))))</f>
      </c>
      <c r="CA32" s="24">
        <f>IF($B32="","",IF($AN32="CA",SUMPRODUCT(($AJ32&gt;=INDEX('How This Works &amp; Sources'!$B$39:$J$48,0,IF($AU32="Married",4,IF($AU32="Head of household",7,1))))*INDEX('How This Works &amp; Sources'!$B$39:$J$48,0,IF($AU32="Married",4,IF($AU32="Head of household",7,1))+2)),IF($AN32="AL",IF(OR($AU32="Married",$AU32="Head of household"),SUMPRODUCT(($AZ32&gt;=INDEX('How This Works &amp; Sources'!$B$82:$J$86,0,4))*INDEX('How This Works &amp; Sources'!$B$82:$J$86,0,4+2)),SUMPRODUCT(($AZ32&gt;=INDEX('How This Works &amp; Sources'!$B$82:$J$86,0,1))*INDEX('How This Works &amp; Sources'!$B$82:$J$86,0,1+2)))*(1-IF('Second Earner'!$C$13,SUMPRODUCT(($AH32&gt;=INDEX('How This Works &amp; Sources'!$B$29:$J$36,0,IF('Second Earner'!$C$12="MFJ",1,IF('Second Earner'!$C$12="HoH",7,4))))*INDEX('How This Works &amp; Sources'!$B$29:$J$36,0,IF('Second Earner'!$C$12="MFJ",1,IF('Second Earner'!$C$12="HoH",7,4))+2)),SUMPRODUCT(($AH32&gt;=INDEX('How This Works &amp; Sources'!$B$19:$J$26,0,IF('Second Earner'!$C$12="MFJ",1,IF('Second Earner'!$C$12="HoH",7,4))))*INDEX('How This Works &amp; Sources'!$B$19:$J$26,0,IF('Second Earner'!$C$12="MFJ",1,IF('Second Earner'!$C$12="HoH",7,4))+2)))),IF($AN32="ND",IF($AU32="Head of household",SUMPRODUCT(($AZ32&gt;=INDEX('How This Works &amp; Sources'!$B$144:$J$150,0,1))*INDEX('How This Works &amp; Sources'!$B$144:$J$150,0,1+2)),IF($AU32="Married",SUMPRODUCT(($AZ32&gt;=INDEX('How This Works &amp; Sources'!$B$137:$J$139,0,7))*INDEX('How This Works &amp; Sources'!$B$137:$J$139,0,7+2)),SUMPRODUCT(($AZ32&gt;=INDEX('How This Works &amp; Sources'!$B$137:$J$139,0,4))*INDEX('How This Works &amp; Sources'!$B$137:$J$139,0,4+2)))),IF($AN32="NJ",IF('Second Earner'!$C$77="B",SUMPRODUCT(($AZ32&gt;=INDEX('How This Works &amp; Sources'!$B$155:$J$162,0,4))*INDEX('How This Works &amp; Sources'!$B$155:$J$162,0,4+2)),IF('Second Earner'!$C$77="C",SUMPRODUCT(($AZ32&gt;=INDEX('How This Works &amp; Sources'!$B$155:$J$162,0,7))*INDEX('How This Works &amp; Sources'!$B$155:$J$162,0,7+2)),IF('Second Earner'!$C$77="D",SUMPRODUCT(($AZ32&gt;=INDEX('How This Works &amp; Sources'!$B$167:$J$179,0,1))*INDEX('How This Works &amp; Sources'!$B$167:$J$179,0,1+2)),IF('Second Earner'!$C$77="E",SUMPRODUCT(($AZ32&gt;=INDEX('How This Works &amp; Sources'!$B$167:$J$179,0,4))*INDEX('How This Works &amp; Sources'!$B$167:$J$179,0,4+2)),SUMPRODUCT(($AZ32&gt;=INDEX('How This Works &amp; Sources'!$B$155:$J$162,0,1))*INDEX('How This Works &amp; Sources'!$B$155:$J$162,0,1+2)))))),IF($AN32="NY",IF($AU32="Married",IF($AZ32&gt;=2155350,IF($AZ32&gt;25000000,0.117,IF($AZ32&gt;5000000,0.111,0.1045)),SUMPRODUCT(($AZ32&gt;=INDEX('How This Works &amp; Sources'!$B$184:$J$198,0,1))*INDEX('How This Works &amp; Sources'!$B$184:$J$198,0,1+2))),IF($AZ32&gt;=1077550,IF($AZ32&gt;25000000,0.117,IF($AZ32&gt;5000000,0.111,0.1045)),SUMPRODUCT(($AZ32&gt;=INDEX('How This Works &amp; Sources'!$B$167:$J$179,0,7))*INDEX('How This Works &amp; Sources'!$B$167:$J$179,0,7+2)))),IF($AN32="LA",0.0309,"")))))))</f>
      </c>
      <c r="CB32" s="24">
        <f>IF($B32="","",IF($AN32="HI",IF($AU32="Married",SUMPRODUCT(($AZ32&gt;=INDEX('How This Works &amp; Sources'!$B$91:$J$98,0,7))*INDEX('How This Works &amp; Sources'!$B$91:$J$98,0,7+2)),SUMPRODUCT(($AZ32&gt;=INDEX('How This Works &amp; Sources'!$B$91:$J$98,0,4))*INDEX('How This Works &amp; Sources'!$B$91:$J$98,0,4+2))),IF($AN32="MD",IF(OR($AU32="Married",$AU32="Head of household"),SUMPRODUCT(($AZ32&gt;=INDEX('How This Works &amp; Sources'!$B$114:$J$120,0,1))*INDEX('How This Works &amp; Sources'!$B$114:$J$120,0,1+2)),SUMPRODUCT(($AZ32&gt;=INDEX('How This Works &amp; Sources'!$B$103:$J$109,0,7))*INDEX('How This Works &amp; Sources'!$B$103:$J$109,0,7+2)))+'Second Earner'!$C$74,IF($AN32="MN",IF($AU32="Married",SUMPRODUCT(($AZ32&gt;=INDEX('How This Works &amp; Sources'!$B$114:$J$120,0,7))*INDEX('How This Works &amp; Sources'!$B$114:$J$120,0,7+2)),SUMPRODUCT(($AZ32&gt;=INDEX('How This Works &amp; Sources'!$B$114:$J$120,0,4))*INDEX('How This Works &amp; Sources'!$B$114:$J$120,0,4+2))),IF($AN32="MO",SUMPRODUCT(($AZ32&gt;=INDEX('How This Works &amp; Sources'!$B$125:$J$132,0,1))*INDEX('How This Works &amp; Sources'!$B$125:$J$132,0,1+2)),IF($AN32="NE",MAX(IF($AU32="Married",SUMPRODUCT(($AZ32&gt;=INDEX('How This Works &amp; Sources'!$B$144:$J$150,0,7))*INDEX('How This Works &amp; Sources'!$B$144:$J$150,0,7+2)),SUMPRODUCT(($AZ32&gt;=INDEX('How This Works &amp; Sources'!$B$144:$J$150,0,4))*INDEX('How This Works &amp; Sources'!$B$144:$J$150,0,4+2))),0.015),IF($AN32="OH",IF($B32&gt;=DATE(2026,8,1),SUMPRODUCT(($AZ32&gt;=INDEX('How This Works &amp; Sources'!$B$203:$J$206,0,1))*INDEX('How This Works &amp; Sources'!$B$203:$J$206,0,1+2)),SUMPRODUCT(($AZ32&gt;=INDEX('How This Works &amp; Sources'!$B$184:$J$198,0,7))*INDEX('How This Works &amp; Sources'!$B$184:$J$198,0,7+2))),IF($AN32="OK",IF($AU32="Married",SUMPRODUCT(($AZ32&gt;=INDEX('How This Works &amp; Sources'!$B$203:$J$206,0,7))*INDEX('How This Works &amp; Sources'!$B$203:$J$206,0,7+2)),SUMPRODUCT(($AZ32&gt;=INDEX('How This Works &amp; Sources'!$B$203:$J$206,0,4))*INDEX('How This Works &amp; Sources'!$B$203:$J$206,0,4+2))),IF($AN32="RI",SUMPRODUCT(($AZ32&gt;=INDEX('How This Works &amp; Sources'!$B$211:$J$214,0,7))*INDEX('How This Works &amp; Sources'!$B$211:$J$214,0,7+2)),IF($AN32="VT",IF($AU32="Married",SUMPRODUCT(($AZ32&gt;=INDEX('How This Works &amp; Sources'!$B$228:$J$232,0,1))*INDEX('How This Works &amp; Sources'!$B$228:$J$232,0,1+2)),SUMPRODUCT(($AZ32&gt;=INDEX('How This Works &amp; Sources'!$B$219:$J$223,0,7))*INDEX('How This Works &amp; Sources'!$B$219:$J$223,0,7+2))),IF($AN32="WV",IF($AU32="Married",SUMPRODUCT(($AZ32&gt;=INDEX('How This Works &amp; Sources'!$B$237:$J$241,0,7))*INDEX('How This Works &amp; Sources'!$B$237:$J$241,0,7+2)),SUMPRODUCT(($AZ32&gt;=INDEX('How This Works &amp; Sources'!$B$228:$J$232,0,7))*INDEX('How This Works &amp; Sources'!$B$228:$J$232,0,7+2))),IF($AN32="AZ",'Second Earner'!$C$82,IF($AN32="ID",IF($AY32&gt;IF($AU32="Married",32000,16094),0.053,0),"")))))))))))))</f>
      </c>
      <c r="CC32" s="24">
        <f>IF($B32="","",IF($AN32="AR",SUMPRODUCT(($AZ32&gt;=INDEX('How This Works &amp; Sources'!$B$82:$J$86,0,7))*INDEX('How This Works &amp; Sources'!$B$82:$J$86,0,7+2)),IF($AN32="DE",SUMPRODUCT(($AZ32&gt;=INDEX('How This Works &amp; Sources'!$B$91:$J$98,0,1))*INDEX('How This Works &amp; Sources'!$B$91:$J$98,0,1+2)),IF($AN32="SC",SUMPRODUCT(($AZ32&gt;=INDEX('How This Works &amp; Sources'!$B$219:$J$223,0,1))*INDEX('How This Works &amp; Sources'!$B$219:$J$223,0,1+2)),IF($AN32="VA",SUMPRODUCT(($AZ32&gt;=INDEX('How This Works &amp; Sources'!$B$219:$J$223,0,4))*INDEX('How This Works &amp; Sources'!$B$219:$J$223,0,4+2)),IF($AN32="WI",SUMPRODUCT(($AZ32&gt;=INDEX('How This Works &amp; Sources'!$B$228:$J$232,0,4))*INDEX('How This Works &amp; Sources'!$B$228:$J$232,0,4+2)),IF($AN32="CO",IF($AY32&gt;IF($AU32="Married",10000,5000),0.044,0),IF($AN32="IA",IF($AY32&gt;IF($AU32="Head of household",19500,IF($AU32="Married",26000,13000)),0.038,0),IF($AN32="IL",IF($AY32&gt;(2925*$AS32+1000*$AT32),0.0495,0),IF($AN32="IN",(0.0295+'Second Earner'!$C$76),IF($AN32="KY",IF($AI32&gt;3360,0.035,0),IF($AN32="MA",IF(MAX(0,$AY32-MIN(($BD31+$Q32+$R32+$S32),2000)-IF($AS32=0,0,IF($AS32=1,4400,1000*$AS32+3400)))&gt;=1107750,0.09,0.05),IF($AN32="MI",IF($AY32&gt;5900*$AS32,0.0425,0),IF($AN32="MS",IF($AI32-IF($AU32="Head of household",3400,IF($AU32="Married",4600,2300))-'Second Earner'!$C$85&gt;10000,0.04,0),IF($AN32="PA",0.0307,"")))))))))))))))</f>
      </c>
      <c r="CD32" s="21">
        <f>IF(YEAR(IF('Second Earner'!$C$7="Weekly",'Second Earner'!$C$9+7*(($BE31+1)-1),IF('Second Earner'!$C$7="Biweekly",'Second Earner'!$C$9+14*(($BE31+1)-1),IF('Second Earner'!$C$7="Semimonthly",DATE(YEAR('Second Earner'!$C$9),MONTH('Second Earner'!$C$9)+INT((($BE31+1)-1)/2),MIN(DAY('Second Earner'!$C$9),DAY(EOMONTH(DATE(YEAR('Second Earner'!$C$9),MONTH('Second Earner'!$C$9)+INT((($BE31+1)-1)/2),1),0))))+IF(MOD(($BE31+1)-1,2)=1,15,0),EDATE('Second Earner'!$C$9,($BE31+1)-1)))))&lt;&gt;'Second Earner'!$C$10,"",IF('Second Earner'!$C$7="Weekly",'Second Earner'!$C$9+7*(($BE31+1)-1),IF('Second Earner'!$C$7="Biweekly",'Second Earner'!$C$9+14*(($BE31+1)-1),IF('Second Earner'!$C$7="Semimonthly",DATE(YEAR('Second Earner'!$C$9),MONTH('Second Earner'!$C$9)+INT((($BE31+1)-1)/2),MIN(DAY('Second Earner'!$C$9),DAY(EOMONTH(DATE(YEAR('Second Earner'!$C$9),MONTH('Second Earner'!$C$9)+INT((($BE31+1)-1)/2),1),0))))+IF(MOD(($BE31+1)-1,2)=1,15,0),EDATE('Second Earner'!$C$9,($BE31+1)-1)))))</f>
      </c>
      <c r="CE32" s="21">
        <f>IF(MIN(IF(AND('Second Earner'!$C$58&gt;MAX($B$6:$B31),'Second Earner'!$C$58&gt;=DATE('Second Earner'!$C$10,1,1),'Second Earner'!$C$58&lt;=DATE('Second Earner'!$C$10,12,31)),'Second Earner'!$C$58,999999),IF(AND('Second Earner'!$C$59&gt;MAX($B$6:$B31),'Second Earner'!$C$59&gt;=DATE('Second Earner'!$C$10,1,1),'Second Earner'!$C$59&lt;=DATE('Second Earner'!$C$10,12,31)),'Second Earner'!$C$59,999999),IF(AND('Second Earner'!$C$60&gt;MAX($B$6:$B31),'Second Earner'!$C$60&gt;=DATE('Second Earner'!$C$10,1,1),'Second Earner'!$C$60&lt;=DATE('Second Earner'!$C$10,12,31)),'Second Earner'!$C$60,999999),IF(AND('Second Earner'!$C$61&gt;MAX($B$6:$B31),'Second Earner'!$C$61&gt;=DATE('Second Earner'!$C$10,1,1),'Second Earner'!$C$61&lt;=DATE('Second Earner'!$C$10,12,31)),'Second Earner'!$C$61,999999),IF(AND('Second Earner'!$C$62&gt;MAX($B$6:$B31),'Second Earner'!$C$62&gt;=DATE('Second Earner'!$C$10,1,1),'Second Earner'!$C$62&lt;=DATE('Second Earner'!$C$10,12,31)),'Second Earner'!$C$62,999999),IF(AND('Second Earner'!$C$63&gt;MAX($B$6:$B31),'Second Earner'!$C$63&gt;=DATE('Second Earner'!$C$10,1,1),'Second Earner'!$C$63&lt;=DATE('Second Earner'!$C$10,12,31)),'Second Earner'!$C$63,999999),IF(AND('Second Earner'!$C$64&gt;MAX($B$6:$B31),'Second Earner'!$C$64&gt;=DATE('Second Earner'!$C$10,1,1),'Second Earner'!$C$64&lt;=DATE('Second Earner'!$C$10,12,31)),'Second Earner'!$C$64,999999),IF(AND('Second Earner'!$C$65&gt;MAX($B$6:$B31),'Second Earner'!$C$65&gt;=DATE('Second Earner'!$C$10,1,1),'Second Earner'!$C$65&lt;=DATE('Second Earner'!$C$10,12,31)),'Second Earner'!$C$65,999999),IF(AND('Second Earner'!$C$66&gt;MAX($B$6:$B31),'Second Earner'!$C$66&gt;=DATE('Second Earner'!$C$10,1,1),'Second Earner'!$C$66&lt;=DATE('Second Earner'!$C$10,12,31)),'Second Earner'!$C$66,999999),IF(AND('Second Earner'!$C$67&gt;MAX($B$6:$B31),'Second Earner'!$C$67&gt;=DATE('Second Earner'!$C$10,1,1),'Second Earner'!$C$67&lt;=DATE('Second Earner'!$C$10,12,31)),'Second Earner'!$C$67,999999))=999999,"",MIN(IF(AND('Second Earner'!$C$58&gt;MAX($B$6:$B31),'Second Earner'!$C$58&gt;=DATE('Second Earner'!$C$10,1,1),'Second Earner'!$C$58&lt;=DATE('Second Earner'!$C$10,12,31)),'Second Earner'!$C$58,999999),IF(AND('Second Earner'!$C$59&gt;MAX($B$6:$B31),'Second Earner'!$C$59&gt;=DATE('Second Earner'!$C$10,1,1),'Second Earner'!$C$59&lt;=DATE('Second Earner'!$C$10,12,31)),'Second Earner'!$C$59,999999),IF(AND('Second Earner'!$C$60&gt;MAX($B$6:$B31),'Second Earner'!$C$60&gt;=DATE('Second Earner'!$C$10,1,1),'Second Earner'!$C$60&lt;=DATE('Second Earner'!$C$10,12,31)),'Second Earner'!$C$60,999999),IF(AND('Second Earner'!$C$61&gt;MAX($B$6:$B31),'Second Earner'!$C$61&gt;=DATE('Second Earner'!$C$10,1,1),'Second Earner'!$C$61&lt;=DATE('Second Earner'!$C$10,12,31)),'Second Earner'!$C$61,999999),IF(AND('Second Earner'!$C$62&gt;MAX($B$6:$B31),'Second Earner'!$C$62&gt;=DATE('Second Earner'!$C$10,1,1),'Second Earner'!$C$62&lt;=DATE('Second Earner'!$C$10,12,31)),'Second Earner'!$C$62,999999),IF(AND('Second Earner'!$C$63&gt;MAX($B$6:$B31),'Second Earner'!$C$63&gt;=DATE('Second Earner'!$C$10,1,1),'Second Earner'!$C$63&lt;=DATE('Second Earner'!$C$10,12,31)),'Second Earner'!$C$63,999999),IF(AND('Second Earner'!$C$64&gt;MAX($B$6:$B31),'Second Earner'!$C$64&gt;=DATE('Second Earner'!$C$10,1,1),'Second Earner'!$C$64&lt;=DATE('Second Earner'!$C$10,12,31)),'Second Earner'!$C$64,999999),IF(AND('Second Earner'!$C$65&gt;MAX($B$6:$B31),'Second Earner'!$C$65&gt;=DATE('Second Earner'!$C$10,1,1),'Second Earner'!$C$65&lt;=DATE('Second Earner'!$C$10,12,31)),'Second Earner'!$C$65,999999),IF(AND('Second Earner'!$C$66&gt;MAX($B$6:$B31),'Second Earner'!$C$66&gt;=DATE('Second Earner'!$C$10,1,1),'Second Earner'!$C$66&lt;=DATE('Second Earner'!$C$10,12,31)),'Second Earner'!$C$66,999999),IF(AND('Second Earner'!$C$67&gt;MAX($B$6:$B31),'Second Earner'!$C$67&gt;=DATE('Second Earner'!$C$10,1,1),'Second Earner'!$C$67&lt;=DATE('Second Earner'!$C$10,12,31)),'Second Earner'!$C$67,999999)))</f>
      </c>
      <c r="CF32">
        <f>IF($B32="","",IF($D32=0,$Y32,""))</f>
      </c>
    </row>
    <row r="33">
      <c r="A33" t="n">
        <v>28</v>
      </c>
      <c r="B33" s="21">
        <f>IF(AND($CD33="",$CE33=""),"",IF($CE33="",$CD33,IF($CD33="",$CE33,MIN($CD33,$CE33))))</f>
      </c>
      <c r="C33" s="7">
        <f>IF($B33="","",IF($BF33=0,0,IF('Second Earner'!$C$4="Annual salary",ROUND($AK33/IF(AND('Second Earner'!$C$88="Actual paydays",MONTH('Second Earner'!$C$9)=1),MAX(1,MAX($BE$6:$BE$68)),'Second Earner'!$C$8),2),$AK33)))</f>
      </c>
      <c r="D33" s="7">
        <f>IF($B33="","",SUMIF('Second Earner'!$C$58:$C$67,$B33,'Second Earner'!$D$58:$D$67))</f>
      </c>
      <c r="E33" s="7">
        <f>IF($B33="","",ROUND(MAX(0,MIN(IF($AL33="Percent",$AM33*($C33+$D33),$AM33),MAX(0,'Second Earner'!$C$34-$AC32))),2))</f>
      </c>
      <c r="F33" s="7">
        <f>IF($B33="","",ROUND(MAX(0,MIN(IF('Second Earner'!$C$32="Percent",'Second Earner'!$D$32*($C33+$D33),'Second Earner'!$D$32),MAX(0,'Second Earner'!$C$34-$AC32-$E33))),2))</f>
      </c>
      <c r="G33" s="7">
        <f>IF($B33="","",IF($BF33=0,0,ROUND(MAX(0,MIN($BL33,'Second Earner'!$C$37-'Second Earner'!$C$54-$BI32)),2)))</f>
      </c>
      <c r="H33" s="7">
        <f>IF($B33="","",IF(OR($BF33=0,$BQ33=1),0,ROUND(MAX(0,MIN(IF($BS33=1,ROUND(MAX(0,MIN($BJ33,'How This Works &amp; Sources'!$C$13)-$BG32)/MAX(1,MAX($BE$6:$BE$68)-($BE32)),2),ROUND(MIN($BJ33,'How This Works &amp; Sources'!$C$13)/'Second Earner'!$C$8,2)),MIN($BJ33,'How This Works &amp; Sources'!$C$13)-$BG32)),2)))</f>
      </c>
      <c r="I33" s="7">
        <f>IF($B33="","",IF(OR($BF33=0,$BR33=1),0,ROUND(MAX(0,MIN(IF($BT33=1,ROUND(MAX(0,MIN($BK33,IF('Second Earner'!$C$12="MFJ",'How This Works &amp; Sources'!$C$14,'How This Works &amp; Sources'!$C$15))-$BH32)/MAX(1,MAX($BE$6:$BE$68)-($BE32)),2),ROUND(MIN($BK33,IF('Second Earner'!$C$12="MFJ",'How This Works &amp; Sources'!$C$14,'How This Works &amp; Sources'!$C$15))/'Second Earner'!$C$8,2)),MIN($BK33,IF('Second Earner'!$C$12="MFJ",'How This Works &amp; Sources'!$C$14,'How This Works &amp; Sources'!$C$15))-$BH32)),2)))</f>
      </c>
      <c r="J33" s="7">
        <f>IF($B33="","",IF($BF33=0,0,$BM33))</f>
      </c>
      <c r="K33" s="7">
        <f>IF($B33="","",IF($BF33=0,0,$BN33+$BO33))</f>
      </c>
      <c r="L33" s="7">
        <f>IF($B33="","",IF($BF33=0,0,'Second Earner'!$D$46))</f>
      </c>
      <c r="M33" s="7">
        <f>IF($B33="","",$C33+$D33+$L33-$E33-$G33-$H33-$I33-$J33-$K33)</f>
      </c>
      <c r="N33" s="7">
        <f>IF($B33="","",$C33+$D33+$L33-$G33-$H33-$I33-$J33-$K33)</f>
      </c>
      <c r="O33" s="7">
        <f>IF($B33="","",$C33+$D33+$L33-$E33-$H33-$I33-$J33-$K33-IF(OR($AN33="CA",$AN33="NJ"),0,$G33))</f>
      </c>
      <c r="P33" s="7">
        <f>IF($B33="","",IF('Second Earner'!$C$18,0,ROUND(MAX(0,IF('Second Earner'!$C$13,SUMPRODUCT(($AH33&gt;INDEX('How This Works &amp; Sources'!$B$29:$J$36,0,IF('Second Earner'!$C$12="MFJ",1,IF('Second Earner'!$C$12="HoH",7,4))))*($AH33-INDEX('How This Works &amp; Sources'!$B$29:$J$36,0,IF('Second Earner'!$C$12="MFJ",1,IF('Second Earner'!$C$12="HoH",7,4))))*INDEX('How This Works &amp; Sources'!$B$29:$J$36,0,IF('Second Earner'!$C$12="MFJ",1,IF('Second Earner'!$C$12="HoH",7,4))+2)),SUMPRODUCT(($AH33&gt;INDEX('How This Works &amp; Sources'!$B$19:$J$26,0,IF('Second Earner'!$C$12="MFJ",1,IF('Second Earner'!$C$12="HoH",7,4))))*($AH33-INDEX('How This Works &amp; Sources'!$B$19:$J$26,0,IF('Second Earner'!$C$12="MFJ",1,IF('Second Earner'!$C$12="HoH",7,4))))*INDEX('How This Works &amp; Sources'!$B$19:$J$26,0,IF('Second Earner'!$C$12="MFJ",1,IF('Second Earner'!$C$12="HoH",7,4))+2)))/'Second Earner'!$C$8-$AO33/'Second Earner'!$C$8)+$AR33+IF('Second Earner'!$C$89="Aggregate",MAX(0,IF('Second Earner'!$C$13,SUMPRODUCT((($AH33+$D33)&gt;INDEX('How This Works &amp; Sources'!$B$29:$J$36,0,IF('Second Earner'!$C$12="MFJ",1,IF('Second Earner'!$C$12="HoH",7,4))))*(($AH33+$D33)-INDEX('How This Works &amp; Sources'!$B$29:$J$36,0,IF('Second Earner'!$C$12="MFJ",1,IF('Second Earner'!$C$12="HoH",7,4))))*INDEX('How This Works &amp; Sources'!$B$29:$J$36,0,IF('Second Earner'!$C$12="MFJ",1,IF('Second Earner'!$C$12="HoH",7,4))+2)),SUMPRODUCT((($AH33+$D33)&gt;INDEX('How This Works &amp; Sources'!$B$19:$J$26,0,IF('Second Earner'!$C$12="MFJ",1,IF('Second Earner'!$C$12="HoH",7,4))))*(($AH33+$D33)-INDEX('How This Works &amp; Sources'!$B$19:$J$26,0,IF('Second Earner'!$C$12="MFJ",1,IF('Second Earner'!$C$12="HoH",7,4))))*INDEX('How This Works &amp; Sources'!$B$19:$J$26,0,IF('Second Earner'!$C$12="MFJ",1,IF('Second Earner'!$C$12="HoH",7,4))+2)))-IF('Second Earner'!$C$13,SUMPRODUCT(($AH33&gt;INDEX('How This Works &amp; Sources'!$B$29:$J$36,0,IF('Second Earner'!$C$12="MFJ",1,IF('Second Earner'!$C$12="HoH",7,4))))*($AH33-INDEX('How This Works &amp; Sources'!$B$29:$J$36,0,IF('Second Earner'!$C$12="MFJ",1,IF('Second Earner'!$C$12="HoH",7,4))))*INDEX('How This Works &amp; Sources'!$B$29:$J$36,0,IF('Second Earner'!$C$12="MFJ",1,IF('Second Earner'!$C$12="HoH",7,4))+2)),SUMPRODUCT(($AH33&gt;INDEX('How This Works &amp; Sources'!$B$19:$J$26,0,IF('Second Earner'!$C$12="MFJ",1,IF('Second Earner'!$C$12="HoH",7,4))))*($AH33-INDEX('How This Works &amp; Sources'!$B$19:$J$26,0,IF('Second Earner'!$C$12="MFJ",1,IF('Second Earner'!$C$12="HoH",7,4))))*INDEX('How This Works &amp; Sources'!$B$19:$J$26,0,IF('Second Earner'!$C$12="MFJ",1,IF('Second Earner'!$C$12="HoH",7,4))+2)))),'How This Works &amp; Sources'!$C$10*$D33),2)))</f>
      </c>
      <c r="Q33" s="7">
        <f>IF($B33="","",ROUND('How This Works &amp; Sources'!$C$4*MIN($N33,MAX(0,'How This Works &amp; Sources'!$C$3-($AX33+$AB32-$AW33))),2))</f>
      </c>
      <c r="R33" s="7">
        <f>IF($B33="","",ROUND('How This Works &amp; Sources'!$C$5*$N33,2))</f>
      </c>
      <c r="S33" s="7">
        <f>IF($B33="","",ROUND('How This Works &amp; Sources'!$C$6*MAX(0,MIN($N33,$AG32+$N33-'How This Works &amp; Sources'!$C$7)),2))</f>
      </c>
      <c r="T33" s="7">
        <f>IF($B33="","",IF('Second Earner'!$C$26,0,IF($AN33="CA",ROUND(IF($AI33&lt;=IF(($AS33+$AT33)&gt;=2,VLOOKUP($AN33,StateTables!$A$6:$AB$56,10,FALSE),VLOOKUP($AN33,StateTables!$A$6:$AB$56,9,FALSE)),0,MAX(0,SUMPRODUCT(($AJ33&gt;INDEX('How This Works &amp; Sources'!$B$39:$J$48,0,IF($AU33="Married",4,IF($AU33="Head of household",7,1))))*($AJ33-INDEX('How This Works &amp; Sources'!$B$39:$J$48,0,IF($AU33="Married",4,IF($AU33="Head of household",7,1))))*INDEX('How This Works &amp; Sources'!$B$39:$J$48,0,IF($AU33="Married",4,IF($AU33="Head of household",7,1))+2))-VLOOKUP($AN33,StateTables!$A$6:$AB$56,11,FALSE)*$AS33)/'Second Earner'!$C$8)+'Second Earner'!$C$25+VLOOKUP($AN33,StateTables!$A$6:$AB$56,13,FALSE)*$D33,2),IF(VLOOKUP($AN33,StateTables!$A$6:$AB$56,4,FALSE)="None",0,IF(ISNUMBER(SEARCH("MANUAL",VLOOKUP($AN33,StateTables!$A$6:$AB$56,5,FALSE))),'Second Earner'!$C$28,ROUND(MAX(0,$BA33+$BB33)/'Second Earner'!$C$8+'Second Earner'!$C$25+$BC33,2))))))</f>
      </c>
      <c r="U33" s="7">
        <f>IF($B33="","",IF(VLOOKUP($AN33,StateTables!$A$6:$AB$56,24,FALSE)="flatq",IF(OR(MONTH($B33)=1,MONTH($B33)=4,MONTH($B33)=7,MONTH($B33)=10),VLOOKUP($AN33,StateTables!$A$6:$AB$56,25,FALSE),0),IF(VLOOKUP($AN33,StateTables!$A$6:$AB$56,24,FALSE)="dbl",MIN(ROUND(0.005*$N33,2),ROUND(0.6*52/'Second Earner'!$C$8,2)),IF(OR(VLOOKUP($AN33,StateTables!$A$6:$AB$56,15,FALSE)="",VLOOKUP($AN33,StateTables!$A$6:$AB$56,15,FALSE)=0),0,ROUND(VLOOKUP($AN33,StateTables!$A$6:$AB$56,15,FALSE)*IF(OR(VLOOKUP($AN33,StateTables!$A$6:$AB$56,16,FALSE)="",VLOOKUP($AN33,StateTables!$A$6:$AB$56,16,FALSE)=0),$N33,MIN($N33,MAX(0,VLOOKUP($AN33,StateTables!$A$6:$AB$56,16,FALSE)-($AX33+$AB32-$AW33)))),2))))+IF(VLOOKUP($AN33,StateTables!$A$6:$AB$56,27,FALSE)="flatq",IF(OR(MONTH($B33)=1,MONTH($B33)=4,MONTH($B33)=7,MONTH($B33)=10),VLOOKUP($AN33,StateTables!$A$6:$AB$56,28,FALSE),0),IF(VLOOKUP($AN33,StateTables!$A$6:$AB$56,27,FALSE)="dbl",MIN(ROUND(0.005*$N33,2),ROUND(0.6*52/'Second Earner'!$C$8,2)),IF(OR(VLOOKUP($AN33,StateTables!$A$6:$AB$56,18,FALSE)="",VLOOKUP($AN33,StateTables!$A$6:$AB$56,18,FALSE)=0),0,ROUND(VLOOKUP($AN33,StateTables!$A$6:$AB$56,18,FALSE)*IF(OR(VLOOKUP($AN33,StateTables!$A$6:$AB$56,19,FALSE)="",VLOOKUP($AN33,StateTables!$A$6:$AB$56,19,FALSE)=0),$N33,MIN($N33,MAX(0,VLOOKUP($AN33,StateTables!$A$6:$AB$56,19,FALSE)-($AX33+$AB32-$AW33)))),2)))))</f>
      </c>
      <c r="V33" s="7">
        <f>IF($B33="","",IF($AN33="NY",IF('Second Earner'!$C$78,ROUND(SUMPRODUCT((MAX(0,($O33-$D33)*'Second Earner'!$C$8-(IF($AU33="Married",5500,5000)+1000*$AS33))&gt;INDEX('How This Works &amp; Sources'!$B$184:$J$198,0,4))*(MAX(0,($O33-$D33)*'Second Earner'!$C$8-(IF($AU33="Married",5500,5000)+1000*$AS33))-INDEX('How This Works &amp; Sources'!$B$184:$J$198,0,4))*INDEX('How This Works &amp; Sources'!$B$184:$J$198,0,4+2))/'Second Earner'!$C$8+0.0425*$D33,2),0)+IF('Second Earner'!$C$79="Resident",ROUND(0.1675*$T33,2),IF('Second Earner'!$C$79="Nonresident",ROUND(0.005*MAX(0,($O33-$D33)-(IF($AU33="Married",7950,7400)+1000*$AS33)/'Second Earner'!$C$8),2),0)),IF($AN33="PA",IF('Second Earner'!$C$80="None",'Second Earner'!$C$27+ROUND('Second Earner'!$C$81*($C33+$D33),2),ROUND(IF('Second Earner'!$C$80="Resident",IF($B33&lt;DATE(2026,7,1),0.0374,0.03735),IF($B33&lt;DATE(2026,7,1),0.0343,0.03425))*($C33+$D33),2)),IF($BF33=0,ROUND('Second Earner'!$C$81*($C33+$D33),2),'Second Earner'!$C$27+ROUND('Second Earner'!$C$81*($C33+$D33),2)))))</f>
      </c>
      <c r="W33" s="7">
        <f>IF($B33="","",IF($BF33=0,0,$BP33))</f>
      </c>
      <c r="X33" s="7">
        <f>IF($B33="","",SUM($E33:$K33)+$P33+$Q33+$R33+$S33+$T33+$U33+$V33+$W33)</f>
      </c>
      <c r="Y33" s="22">
        <f>IF($B33="","",$C33+$D33-$X33)</f>
      </c>
      <c r="Z33" s="7">
        <f>IF($B33="","",$Z32+$C33+$D33)</f>
      </c>
      <c r="AA33" s="7">
        <f>IF($B33="","",$AA32+$Y33)</f>
      </c>
      <c r="AB33" s="7">
        <f>IF($B33="","",$AB32+MIN($N33,MAX(0,'How This Works &amp; Sources'!$C$3-($AX33+$AB32-$AW33))))</f>
      </c>
      <c r="AC33" s="7">
        <f>IF($B33="","",$AC32+$E33+$F33)</f>
      </c>
      <c r="AD33" s="3">
        <f>IF($B33="","",IF(AND($AB32&lt;'How This Works &amp; Sources'!$C$3,$AB33&gt;='How This Works &amp; Sources'!$C$3),"★ Social Security maxed on this check — from the next check your net rises by about $"&amp;TEXT(ROUND('How This Works &amp; Sources'!$C$4*$N33,2),"#,##0.00")&amp;". ","")&amp;IF(AND($AC32&lt;'Second Earner'!$C$34,$AC33&gt;='Second Earner'!$C$34),"★ 401(k) reaches the $"&amp;TEXT('Second Earner'!$C$34,"#,##0")&amp;" cap on this check — deferrals stop and net pay rises. ","")&amp;IF(AND($AG32&lt;'How This Works &amp; Sources'!$C$7,$AG33&gt;='How This Works &amp; Sources'!$C$7),"★ Wages pass $200,000 — the 0.9% Additional Medicare Tax starts here. ","")&amp;IF(AND($BJ33&gt;0,$H33&gt;0,$BG32&lt;MIN($BJ33,'How This Works &amp; Sources'!$C$13),$BG32+$H33&gt;=MIN($BJ33,'How This Works &amp; Sources'!$C$13)),"★ Health FSA election is now fully deferred for the year. ",""))</f>
      </c>
      <c r="AE33" s="41" t="n"/>
      <c r="AF33" s="7">
        <f>IF(OR($B33="",$AE33=""),"",$AE33-$Y33)</f>
      </c>
      <c r="AG33" s="7">
        <f>IF($B33="","",$AG32+$N33)</f>
      </c>
      <c r="AH33" s="7">
        <f>IF($B33="","",MAX(0,($M33-$D33)*'Second Earner'!$C$8+$AP33-$AQ33-IF('Second Earner'!$C$13,0,IF('Second Earner'!$C$12="MFJ",'How This Works &amp; Sources'!$C$8,'How This Works &amp; Sources'!$C$9))))</f>
      </c>
      <c r="AI33" s="7">
        <f>IF($B33="","",$O33*'Second Earner'!$C$8)</f>
      </c>
      <c r="AJ33" s="7">
        <f>IF($B33="","",MAX(0,$AI33-VLOOKUP($AN33,StateTables!$A$6:$AB$56,12,FALSE)*$AT33-IF(($AS33+$AT33)&gt;=2,VLOOKUP($AN33,StateTables!$A$6:$AB$56,8,FALSE),VLOOKUP($AN33,StateTables!$A$6:$AB$56,7,FALSE))))</f>
      </c>
      <c r="AK33" s="7">
        <f>IF($B33="","",IFERROR(LOOKUP(2,1/(('Changes — Earner 2'!$C$6:$C$17="Salary change")*('Changes — Earner 2'!$B$6:$B$17&lt;=$B33)*('Changes — Earner 2'!$B$6:$B$17&lt;&gt;"")),'Changes — Earner 2'!$D$6:$D$17),IF('Second Earner'!$C$4="Annual salary",'Second Earner'!$C$5,'Second Earner'!$C$6)))</f>
      </c>
      <c r="AL33">
        <f>IF($B33="","",IFERROR(LOOKUP(2,1/(('Changes — Earner 2'!$C$6:$C$17="401(k) change")*('Changes — Earner 2'!$B$6:$B$17&lt;=$B33)*('Changes — Earner 2'!$B$6:$B$17&lt;&gt;"")),'Changes — Earner 2'!$D$6:$D$17),'Second Earner'!$C$30))</f>
      </c>
      <c r="AM33" s="7">
        <f>IF($B33="","",IFERROR(LOOKUP(2,1/(('Changes — Earner 2'!$C$6:$C$17="401(k) change")*('Changes — Earner 2'!$B$6:$B$17&lt;=$B33)*('Changes — Earner 2'!$B$6:$B$17&lt;&gt;"")),'Changes — Earner 2'!$E$6:$E$17),'Second Earner'!$D$31))</f>
      </c>
      <c r="AN33">
        <f>IF($B33="","",IFERROR(LOOKUP(2,1/(('Changes — Earner 2'!$C$6:$C$17="State move")*('Changes — Earner 2'!$B$6:$B$17&lt;=$B33)*('Changes — Earner 2'!$B$6:$B$17&lt;&gt;"")),'Changes — Earner 2'!$D$6:$D$17),'Second Earner'!$C$21))</f>
      </c>
      <c r="AO33" s="7">
        <f>IF($B33="","",IFERROR(LOOKUP(2,1/(('Changes — Earner 2'!$C$6:$C$17="W-4 change")*('Changes — Earner 2'!$B$6:$B$17&lt;=$B33)*('Changes — Earner 2'!$B$6:$B$17&lt;&gt;"")),'Changes — Earner 2'!$D$6:$D$17),'Second Earner'!$C$14))</f>
      </c>
      <c r="AP33" s="7">
        <f>IF($B33="","",IFERROR(LOOKUP(2,1/(('Changes — Earner 2'!$C$6:$C$17="W-4 change")*('Changes — Earner 2'!$B$6:$B$17&lt;=$B33)*('Changes — Earner 2'!$B$6:$B$17&lt;&gt;"")),'Changes — Earner 2'!$E$6:$E$17),'Second Earner'!$C$15))</f>
      </c>
      <c r="AQ33" s="7">
        <f>IF($B33="","",IFERROR(LOOKUP(2,1/(('Changes — Earner 2'!$C$6:$C$17="W-4 change")*('Changes — Earner 2'!$B$6:$B$17&lt;=$B33)*('Changes — Earner 2'!$B$6:$B$17&lt;&gt;"")),'Changes — Earner 2'!$F$6:$F$17),'Second Earner'!$C$16))</f>
      </c>
      <c r="AR33" s="7">
        <f>IF($B33="","",IFERROR(LOOKUP(2,1/(('Changes — Earner 2'!$C$6:$C$17="W-4 change")*('Changes — Earner 2'!$B$6:$B$17&lt;=$B33)*('Changes — Earner 2'!$B$6:$B$17&lt;&gt;"")),'Changes — Earner 2'!$G$6:$G$17),'Second Earner'!$C$17))</f>
      </c>
      <c r="AS33" s="6">
        <f>IF($B33="","",IFERROR(LOOKUP(2,1/((('Changes — Earner 2'!$C$6:$C$17="State move")+('Changes — Earner 2'!$C$6:$C$17="State cert change"))*('Changes — Earner 2'!$B$6:$B$17&lt;=$B33)*('Changes — Earner 2'!$B$6:$B$17&lt;&gt;"")),'Changes — Earner 2'!$F$6:$F$17),'Second Earner'!$C$23))</f>
      </c>
      <c r="AT33" s="6">
        <f>IF($B33="","",IFERROR(LOOKUP(2,1/((('Changes — Earner 2'!$C$6:$C$17="State move")+('Changes — Earner 2'!$C$6:$C$17="State cert change"))*('Changes — Earner 2'!$B$6:$B$17&lt;=$B33)*('Changes — Earner 2'!$B$6:$B$17&lt;&gt;"")),'Changes — Earner 2'!$G$6:$G$17),'Second Earner'!$C$24))</f>
      </c>
      <c r="AU33">
        <f>IF($B33="","",IFERROR(LOOKUP(2,1/(('Changes — Earner 2'!$C$6:$C$17="State move")*('Changes — Earner 2'!$B$6:$B$17&lt;=$B33)*('Changes — Earner 2'!$B$6:$B$17&lt;&gt;"")),'Changes — Earner 2'!$E$6:$E$17),'Second Earner'!$C$22))</f>
      </c>
      <c r="AV33" s="6">
        <f>IF($B33="","",1+COUNTIFS('Changes — Earner 2'!$C$6:$C$17,"Employer change",'Changes — Earner 2'!$B$6:$B$17,"&lt;="&amp;$B33,'Changes — Earner 2'!$B$6:$B$17,"&lt;&gt;"))</f>
      </c>
      <c r="AW33" s="7">
        <f>IF($B33="","",IF($AV33=1,'Second Earner'!$C$49,IF(IFERROR(MATCH(IFERROR(LOOKUP(2,1/(('Changes — Earner 2'!$C$6:$C$17="Employer change")*('Changes — Earner 2'!$B$6:$B$17&lt;=$B33)*('Changes — Earner 2'!$B$6:$B$17&lt;&gt;"")),'Changes — Earner 2'!$B$6:$B$17),""),$B$6:$B$68,1),1)&lt;=1,'Second Earner'!$C$49,INDEX($AB$6:$AB$68,MATCH(IFERROR(LOOKUP(2,1/(('Changes — Earner 2'!$C$6:$C$17="Employer change")*('Changes — Earner 2'!$B$6:$B$17&lt;=$B33)*('Changes — Earner 2'!$B$6:$B$17&lt;&gt;"")),'Changes — Earner 2'!$B$6:$B$17),""),$B$6:$B$68,1)-1))))</f>
      </c>
      <c r="AX33" s="7">
        <f>IF($B33="","",IF($AV33=1,'Second Earner'!$C$49,IFERROR(LOOKUP(2,1/(('Changes — Earner 2'!$C$6:$C$17="Employer change")*('Changes — Earner 2'!$B$6:$B$17&lt;=$B33)*('Changes — Earner 2'!$B$6:$B$17&lt;&gt;"")),'Changes — Earner 2'!$D$6:$D$17),0)))</f>
      </c>
      <c r="AY33" s="7">
        <f>IF($B33="","",($O33-$D33)*'Second Earner'!$C$8)</f>
      </c>
      <c r="AZ33" s="7">
        <f>IF($B33="","",IF($AN33="AL",MAX(0,$AY33-IF($AU33="Married",IF($AY33&lt;=25999,8500,MAX(5000,8500-175*CEILING(($AY33-25999)/500,1))),IF($AU33="Head of household",IF($AY33&lt;=25999,5200,MAX(2500,5200-135*CEILING(($AY33-25999)/500,1))),IF($AY33&lt;=25999,3000,MAX(2500,3000-25*CEILING(($AY33-25999)/500,1)))))-($P33-'How This Works &amp; Sources'!$C$10*$D33)*'Second Earner'!$C$8-IF(OR($AU33="Married",$AU33="Head of household"),3000,1500)-$AT33*IF($AY33&lt;=50000,1000,IF($AY33&lt;=100000,500,300))),IF($AN33="AR",IF(MAX(0,$AY33-2470)&lt;97701,INT(MAX(0,$AY33-2470)/100)*100+50,MAX(0,$AY33-2470)),IF($AN33="DE",MAX(0,$AI33-3250),IF($AN33="HI",MAX(0,$AI33-1144*$AS33-4350),IF($AN33="KS",MAX(0,$AI33-(9160*IF($AU33="Married",2,1)+2320*$AT33+IF($AU33="Head of household",2320,0))),IF($AN33="MD",MAX(0,$AI33-3400-3200*$AS33),IF($AN33="MN",MAX(0,$AY33-5300*$AS33),IF($AN33="MO",MAX(0,$AI33-IF($AU33="Head of household",24150,IF($AU33="Married",IF('Second Earner'!$C$83,16100,32200),16100))),IF($AN33="MT",$AY33,IF($AN33="ND",($C33+$L33)*'Second Earner'!$C$8,IF($AN33="NE",MAX(0,$AY33-2440*$AS33),IF($AN33="NJ",MAX(0,$AY33-1000*$AS33),IF($AN33="NY",MAX(0,$AY33-(IF($AU33="Married",7950,7400)+1000*$AS33)),IF($AN33="OH",MAX(0,$AY33-650*$AS33),IF($AN33="OK",MAX(0,$AY33-1000*$AS33),IF($AN33="RI",MAX(0,$AI33-1000*$AS33),IF($AN33="SC",MAX(0,$AI33-5000*$AS33-IF($AS33=0,0,MIN(0.1*$AI33,7500))),IF($AN33="VA",MAX(0,$AI33-IF($AU33="Married",17500,8750)-930*$AS33-800*$AT33),IF($AN33="VT",MAX(0,$AI33-5400*$AS33),IF($AN33="WI",MAX(0,$AI33-MAX(0,IF($AU33="Married",9461-0.2*MAX(0,$AI33-25727),6702-0.12*MAX(0,$AI33-17780)))-400*$AS33),IF($AN33="WV",MAX(0,$AI33-2000*$AS33),$AI33))))))))))))))))))))))</f>
      </c>
      <c r="BA33" s="7">
        <f>IF($B33="","",IF($BW33&lt;&gt;"",$BW33,IF($BX33&lt;&gt;"",$BX33,IF($BY33&lt;&gt;"",$BY33,0))))</f>
      </c>
      <c r="BB33" s="7">
        <f>IF($B33="","",IF($AN33="AR",-29*$AS33,IF($AN33="DE",-110*$AS33,IF($AN33="MD",$AZ33*'Second Earner'!$C$74,IF($AN33="AZ",'Second Earner'!$C$82*($M33-$D33)*'Second Earner'!$C$8,IF($AN33="CO",0.044*MAX(0,$AY33-IF($AU33="Married",10000,5000)),IF($AN33="IA",MAX(0,0.038*MAX(0,$AY33-IF($AU33="Head of household",19500,IF($AU33="Married",26000,13000)))-40*$AS33),IF($AN33="ID",0.053*MAX(0,$AY33-IF($AU33="Married",32000,16094)),IF($AN33="IL",0.0495*MAX(0,$AY33-(2925*$AS33+1000*$AT33)),IF($AN33="IN",(0.0295+'Second Earner'!$C$76)*MAX(0,$AY33-(1000*$AS33+1500*$AT33+3000*'Second Earner'!$C$86)),IF($AN33="KY",0.035*MAX(0,$AI33-3360),IF($AN33="LA",IF('Second Earner'!$C$84="0",0.0309*$AI33,0.0309*MAX(0,$AI33-IF('Second Earner'!$C$84="2",25750,12875))),IF($AN33="MA",0.05*MIN(MAX(0,$AY33-MIN(($BD32+$Q33+$R33+$S33),2000)-IF($AS33=0,0,IF($AS33=1,4400,1000*$AS33+3400))),1107750)+0.09*MAX(0,MAX(0,$AY33-MIN(($BD32+$Q33+$R33+$S33),2000)-IF($AS33=0,0,IF($AS33=1,4400,1000*$AS33+3400)))-1107750)-IF($AU33="Head of household",120,0)-110*'Second Earner'!$C$75,IF($AN33="MI",0.0425*MAX(0,$AY33-5900*$AS33),IF($AN33="MS",0.04*MAX(0,$AI33-IF($AU33="Head of household",3400,IF($AU33="Married",4600,2300))-'Second Earner'!$C$85-10000),IF($AN33="OR",IF(OR($AU33="Married",AND($AU33="Single",$AS33&gt;=3)),SUMPRODUCT((MAX(0,$AY33-MIN(($P33-'How This Works &amp; Sources'!$C$10*$D33)*'Second Earner'!$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Sources'!$B$211:$J$214,0,4))*(MAX(0,$AY33-MIN(($P33-'How This Works &amp; Sources'!$C$10*$D33)*'Second Earner'!$C$8,IF(OR($AU33="Married",AND($AU33="Single",$AS33&gt;=3)),IF($AY33&lt;250000,8750,IF($AY33&lt;260000,7000,IF($AY33&lt;270000,5250,IF($AY33&lt;280000,3500,IF($AY33&lt;290000,1750,0))))),IF($AY33&lt;125000,8750,IF($AY33&lt;130000,7000,IF($AY33&lt;135000,5250,IF($AY33&lt;140000,3500,IF($AY33&lt;145000,1750,0)))))))-IF(OR($AU33="Married",AND($AU33="Single",$AS33&gt;=3)),5820,2910))-INDEX('How This Works &amp; Sources'!$B$211:$J$214,0,4))*INDEX('How This Works &amp; Sources'!$B$211:$J$214,0,4+2)),SUMPRODUCT((MAX(0,$AY33-MIN(($P33-'How This Works &amp; Sources'!$C$10*$D33)*'Second Earner'!$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Sources'!$B$211:$J$214,0,1))*(MAX(0,$AY33-MIN(($P33-'How This Works &amp; Sources'!$C$10*$D33)*'Second Earner'!$C$8,IF(OR($AU33="Married",AND($AU33="Single",$AS33&gt;=3)),IF($AY33&lt;250000,8750,IF($AY33&lt;260000,7000,IF($AY33&lt;270000,5250,IF($AY33&lt;280000,3500,IF($AY33&lt;290000,1750,0))))),IF($AY33&lt;125000,8750,IF($AY33&lt;130000,7000,IF($AY33&lt;135000,5250,IF($AY33&lt;140000,3500,IF($AY33&lt;145000,1750,0)))))))-IF(OR($AU33="Married",AND($AU33="Single",$AS33&gt;=3)),5820,2910))-INDEX('How This Works &amp; Sources'!$B$211:$J$214,0,1))*INDEX('How This Works &amp; Sources'!$B$211:$J$214,0,1+2)))+263-263*IF(IF($AU33="Married",$AY33&gt;200000,$AY33&gt;100000),0,$AS33),IF($AN33="PA",0.0307*(($O33+$E33+$G33)*'Second Earner'!$C$8),IF($AN33="NY",IF($AU33="Married",IF($AZ33&gt;=2155350,0,IF($AZ33&gt;=1077550,0.48,IF($AZ33&gt;=373200,1.21,IF($AZ33&gt;=323200,0.21,IF($AZ33&gt;=211550,-0.19,IF($AZ33&gt;=157650,-2.8,IF($AZ33&gt;=107650,-0.8,IF($AZ33&gt;=96800,0.05,IF($AZ33&gt;=80650,-0.1,IF($AZ33&gt;=13900,0.4,IF($AZ33&gt;=11700,-0.3,IF($AZ33&gt;=8500,0.5,0)))))))))))),IF($AZ33&gt;=1077550,0,IF($AZ33&gt;=265400,4.29,IF($AZ33&gt;=215400,2.29,IF($AZ33&gt;=157650,2.29,IF($AZ33&gt;=107650,0.29,IF($AZ33&gt;=96800,0.05,IF($AZ33&gt;=80650,-0.1,IF($AZ33&gt;=13900,0.4,IF($AZ33&gt;=11700,-0.3,IF($AZ33&gt;=8500,0.5,0))))))))))),0))))))))))))))))))</f>
      </c>
      <c r="BC33" s="7">
        <f>IF($B33="","",IF($AN33="AL",0.05*$D33,IF($AN33="AR",0.039*$D33,IF($AN33="ID",0.053*$D33,IF($AN33="IN",(0.0295+'Second Earner'!$C$76)*$D33,IF($AN33="KS",0.05*$D33,IF($AN33="MA",0.09*MIN($D33,MAX(0,MAX(0,$AY33-MIN(($BD32+$Q33+$R33+$S33),2000)-IF($AS33=0,0,IF($AS33=1,4400,1000*$AS33+3400)))+$D33-1107750))+0.05*($D33-MIN($D33,MAX(0,MAX(0,$AY33-MIN(($BD32+$Q33+$R33+$S33),2000)-IF($AS33=0,0,IF($AS33=1,4400,1000*$AS33+3400)))+$D33-1107750))),IF($AN33="MD",(0.065+'Second Earner'!$C$74)*$D33,IF($AN33="MI",0.0425*$D33,IF($AN33="MN",0.0625*$D33,IF($AN33="MO",0.047*$D33,IF($AN33="MT",0.05*$D33,IF($AN33="ND",0.015*$D33,IF($AN33="NE",0.035*$D33,IF($AN33="NJ",IF('Second Earner'!$C$77="B",SUMPRODUCT(($D33*'Second Earner'!$C$8&gt;INDEX('How This Works &amp; Sources'!$B$155:$J$162,0,4))*($D33*'Second Earner'!$C$8-INDEX('How This Works &amp; Sources'!$B$155:$J$162,0,4))*INDEX('How This Works &amp; Sources'!$B$155:$J$162,0,4+2)),IF('Second Earner'!$C$77="C",SUMPRODUCT(($D33*'Second Earner'!$C$8&gt;INDEX('How This Works &amp; Sources'!$B$155:$J$162,0,7))*($D33*'Second Earner'!$C$8-INDEX('How This Works &amp; Sources'!$B$155:$J$162,0,7))*INDEX('How This Works &amp; Sources'!$B$155:$J$162,0,7+2)),IF('Second Earner'!$C$77="D",SUMPRODUCT(($D33*'Second Earner'!$C$8&gt;INDEX('How This Works &amp; Sources'!$B$167:$J$179,0,1))*($D33*'Second Earner'!$C$8-INDEX('How This Works &amp; Sources'!$B$167:$J$179,0,1))*INDEX('How This Works &amp; Sources'!$B$167:$J$179,0,1+2)),IF('Second Earner'!$C$77="E",SUMPRODUCT(($D33*'Second Earner'!$C$8&gt;INDEX('How This Works &amp; Sources'!$B$167:$J$179,0,4))*($D33*'Second Earner'!$C$8-INDEX('How This Works &amp; Sources'!$B$167:$J$179,0,4))*INDEX('How This Works &amp; Sources'!$B$167:$J$179,0,4+2)),SUMPRODUCT(($D33*'Second Earner'!$C$8&gt;INDEX('How This Works &amp; Sources'!$B$155:$J$162,0,1))*($D33*'Second Earner'!$C$8-INDEX('How This Works &amp; Sources'!$B$155:$J$162,0,1))*INDEX('How This Works &amp; Sources'!$B$155:$J$162,0,1+2))))))/'Second Earner'!$C$8,IF($AN33="NY",0.117*$D33,IF($AN33="OH",0.0275*$D33,IF($AN33="OK",0.045*$D33,IF($AN33="OR",0.08*$D33,IF($AN33="WI",IF($AY33&lt;12760,0.0354,IF($AY33&lt;25520,0.0465,IF($AY33&lt;280950,0.053,0.0765)))*$D33,0))))))))))))))))))))</f>
      </c>
      <c r="BD33" s="7">
        <f>IF($B33="","",$BD32+$Q33+$R33+$S33)</f>
      </c>
      <c r="BE33" s="6">
        <f>IF($B33="",$BE32,$BE32+$BF33)</f>
      </c>
      <c r="BF33" s="6">
        <f>IF($B33="","",IF(AND(IF(YEAR(IF('Second Earner'!$C$7="Weekly",'Second Earner'!$C$9+7*(($BE32+1)-1),IF('Second Earner'!$C$7="Biweekly",'Second Earner'!$C$9+14*(($BE32+1)-1),IF('Second Earner'!$C$7="Semimonthly",DATE(YEAR('Second Earner'!$C$9),MONTH('Second Earner'!$C$9)+INT((($BE32+1)-1)/2),MIN(DAY('Second Earner'!$C$9),DAY(EOMONTH(DATE(YEAR('Second Earner'!$C$9),MONTH('Second Earner'!$C$9)+INT((($BE32+1)-1)/2),1),0))))+IF(MOD(($BE32+1)-1,2)=1,15,0),EDATE('Second Earner'!$C$9,($BE32+1)-1)))))&lt;&gt;'Second Earner'!$C$10,"",IF('Second Earner'!$C$7="Weekly",'Second Earner'!$C$9+7*(($BE32+1)-1),IF('Second Earner'!$C$7="Biweekly",'Second Earner'!$C$9+14*(($BE32+1)-1),IF('Second Earner'!$C$7="Semimonthly",DATE(YEAR('Second Earner'!$C$9),MONTH('Second Earner'!$C$9)+INT((($BE32+1)-1)/2),MIN(DAY('Second Earner'!$C$9),DAY(EOMONTH(DATE(YEAR('Second Earner'!$C$9),MONTH('Second Earner'!$C$9)+INT((($BE32+1)-1)/2),1),0))))+IF(MOD(($BE32+1)-1,2)=1,15,0),EDATE('Second Earner'!$C$9,($BE32+1)-1)))))&lt;&gt;"",$B33=IF(YEAR(IF('Second Earner'!$C$7="Weekly",'Second Earner'!$C$9+7*(($BE32+1)-1),IF('Second Earner'!$C$7="Biweekly",'Second Earner'!$C$9+14*(($BE32+1)-1),IF('Second Earner'!$C$7="Semimonthly",DATE(YEAR('Second Earner'!$C$9),MONTH('Second Earner'!$C$9)+INT((($BE32+1)-1)/2),MIN(DAY('Second Earner'!$C$9),DAY(EOMONTH(DATE(YEAR('Second Earner'!$C$9),MONTH('Second Earner'!$C$9)+INT((($BE32+1)-1)/2),1),0))))+IF(MOD(($BE32+1)-1,2)=1,15,0),EDATE('Second Earner'!$C$9,($BE32+1)-1)))))&lt;&gt;'Second Earner'!$C$10,"",IF('Second Earner'!$C$7="Weekly",'Second Earner'!$C$9+7*(($BE32+1)-1),IF('Second Earner'!$C$7="Biweekly",'Second Earner'!$C$9+14*(($BE32+1)-1),IF('Second Earner'!$C$7="Semimonthly",DATE(YEAR('Second Earner'!$C$9),MONTH('Second Earner'!$C$9)+INT((($BE32+1)-1)/2),MIN(DAY('Second Earner'!$C$9),DAY(EOMONTH(DATE(YEAR('Second Earner'!$C$9),MONTH('Second Earner'!$C$9)+INT((($BE32+1)-1)/2),1),0))))+IF(MOD(($BE32+1)-1,2)=1,15,0),EDATE('Second Earner'!$C$9,($BE32+1)-1)))))),1,0))</f>
      </c>
      <c r="BG33" s="7">
        <f>IF($B33="","",$BG32+$H33)</f>
      </c>
      <c r="BH33" s="7">
        <f>IF($B33="","",$BH32+$I33)</f>
      </c>
      <c r="BI33" s="7">
        <f>IF($B33="","",$BI32+$G33)</f>
      </c>
      <c r="BJ33" s="7">
        <f>IF($B33="","",IFERROR(LOOKUP(2,1/(((('Changes — Earner 2'!$C$6:$C$17="Deduction start"))*('Changes — Earner 2'!$D$6:$D$17="Health FSA"))*('Changes — Earner 2'!$B$6:$B$17&lt;=$B33)*('Changes — Earner 2'!$B$6:$B$17&lt;&gt;"")),'Changes — Earner 2'!$E$6:$E$17),'Second Earner'!$D$38))</f>
      </c>
      <c r="BK33" s="7">
        <f>IF($B33="","",IFERROR(LOOKUP(2,1/(((('Changes — Earner 2'!$C$6:$C$17="Deduction start"))*('Changes — Earner 2'!$D$6:$D$17="Dependent-care FSA"))*('Changes — Earner 2'!$B$6:$B$17&lt;=$B33)*('Changes — Earner 2'!$B$6:$B$17&lt;&gt;"")),'Changes — Earner 2'!$E$6:$E$17),'Second Earner'!$D$39))</f>
      </c>
      <c r="BL33" s="7">
        <f>IF($B33="","",IFERROR(LOOKUP(2,1/(((('Changes — Earner 2'!$C$6:$C$17="Deduction start")+('Changes — Earner 2'!$C$6:$C$17="Deduction stop"))*('Changes — Earner 2'!$D$6:$D$17="HSA"))*('Changes — Earner 2'!$B$6:$B$17&lt;=$B33)*('Changes — Earner 2'!$B$6:$B$17&lt;&gt;"")),'Changes — Earner 2'!$I$6:$I$17),'Second Earner'!$D$35))</f>
      </c>
      <c r="BM33" s="7">
        <f>IF($B33="","",IFERROR(LOOKUP(2,1/(((('Changes — Earner 2'!$C$6:$C$17="Deduction start")+('Changes — Earner 2'!$C$6:$C$17="Deduction stop"))*('Changes — Earner 2'!$D$6:$D$17="Premiums"))*('Changes — Earner 2'!$B$6:$B$17&lt;=$B33)*('Changes — Earner 2'!$B$6:$B$17&lt;&gt;"")),'Changes — Earner 2'!$I$6:$I$17),'Second Earner'!$D$40+'Second Earner'!$D$41+'Second Earner'!$D$42))</f>
      </c>
      <c r="BN33" s="7">
        <f>IF($B33="","",IFERROR(LOOKUP(2,1/(((('Changes — Earner 2'!$C$6:$C$17="Deduction start")+('Changes — Earner 2'!$C$6:$C$17="Deduction stop"))*('Changes — Earner 2'!$D$6:$D$17="Commuter"))*('Changes — Earner 2'!$B$6:$B$17&lt;=$B33)*('Changes — Earner 2'!$B$6:$B$17&lt;&gt;"")),'Changes — Earner 2'!$I$6:$I$17),'Second Earner'!$D$43))</f>
      </c>
      <c r="BO33" s="7">
        <f>IF($B33="","",IFERROR(LOOKUP(2,1/(((('Changes — Earner 2'!$C$6:$C$17="Deduction start")+('Changes — Earner 2'!$C$6:$C$17="Deduction stop"))*('Changes — Earner 2'!$D$6:$D$17="Other pre-tax"))*('Changes — Earner 2'!$B$6:$B$17&lt;=$B33)*('Changes — Earner 2'!$B$6:$B$17&lt;&gt;"")),'Changes — Earner 2'!$I$6:$I$17),'Second Earner'!$D$44))</f>
      </c>
      <c r="BP33" s="7">
        <f>IF($B33="","",IFERROR(LOOKUP(2,1/(((('Changes — Earner 2'!$C$6:$C$17="Deduction start")+('Changes — Earner 2'!$C$6:$C$17="Deduction stop"))*('Changes — Earner 2'!$D$6:$D$17="Other post-tax"))*('Changes — Earner 2'!$B$6:$B$17&lt;=$B33)*('Changes — Earner 2'!$B$6:$B$17&lt;&gt;"")),'Changes — Earner 2'!$I$6:$I$17),'Second Earner'!$D$45))</f>
      </c>
      <c r="BQ33" s="6">
        <f>IF($B33="","",IFERROR(LOOKUP(2,1/(((('Changes — Earner 2'!$C$6:$C$17="Deduction start")+('Changes — Earner 2'!$C$6:$C$17="Deduction stop"))*('Changes — Earner 2'!$D$6:$D$17="Health FSA"))*('Changes — Earner 2'!$B$6:$B$17&lt;=$B33)*('Changes — Earner 2'!$B$6:$B$17&lt;&gt;"")),'Changes — Earner 2'!$J$6:$J$17),0))</f>
      </c>
      <c r="BR33" s="6">
        <f>IF($B33="","",IFERROR(LOOKUP(2,1/(((('Changes — Earner 2'!$C$6:$C$17="Deduction start")+('Changes — Earner 2'!$C$6:$C$17="Deduction stop"))*('Changes — Earner 2'!$D$6:$D$17="Dependent-care FSA"))*('Changes — Earner 2'!$B$6:$B$17&lt;=$B33)*('Changes — Earner 2'!$B$6:$B$17&lt;&gt;"")),'Changes — Earner 2'!$J$6:$J$17),0))</f>
      </c>
      <c r="BS33" s="6">
        <f>IF($B33="","",IF(SUMPRODUCT(('Changes — Earner 2'!$C$6:$C$17="Deduction start")*('Changes — Earner 2'!$B$6:$B$17&lt;=$B33)*('Changes — Earner 2'!$B$6:$B$17&lt;&gt;"")*('Changes — Earner 2'!$D$6:$D$17="Health FSA"))&gt;0,1,0))</f>
      </c>
      <c r="BT33" s="6">
        <f>IF($B33="","",IF(SUMPRODUCT(('Changes — Earner 2'!$C$6:$C$17="Deduction start")*('Changes — Earner 2'!$B$6:$B$17&lt;=$B33)*('Changes — Earner 2'!$B$6:$B$17&lt;&gt;"")*('Changes — Earner 2'!$D$6:$D$17="Dependent-care FSA"))&gt;0,1,0))</f>
      </c>
      <c r="BU33" s="24">
        <f>IF($B33="","",IF('Second Earner'!$C$13,SUMPRODUCT(($AH33&gt;=INDEX('How This Works &amp; Sources'!$B$29:$J$36,0,IF('Second Earner'!$C$12="MFJ",1,IF('Second Earner'!$C$12="HoH",7,4))))*INDEX('How This Works &amp; Sources'!$B$29:$J$36,0,IF('Second Earner'!$C$12="MFJ",1,IF('Second Earner'!$C$12="HoH",7,4))+2)),SUMPRODUCT(($AH33&gt;=INDEX('How This Works &amp; Sources'!$B$19:$J$26,0,IF('Second Earner'!$C$12="MFJ",1,IF('Second Earner'!$C$12="HoH",7,4))))*INDEX('How This Works &amp; Sources'!$B$19:$J$26,0,IF('Second Earner'!$C$12="MFJ",1,IF('Second Earner'!$C$12="HoH",7,4))+2))))</f>
      </c>
      <c r="BV33" s="24">
        <f>IF($B33="","",IF($BZ33&lt;&gt;"",$BZ33,IF($CA33&lt;&gt;"",$CA33,IF($CB33&lt;&gt;"",$CB33,IF($CC33&lt;&gt;"",$CC33,0)))))</f>
      </c>
      <c r="BW33" s="7">
        <f>IF($B33="","",IF($AN33="AR",SUMPRODUCT(($AZ33&gt;INDEX('How This Works &amp; Sources'!$B$82:$J$86,0,7))*($AZ33-INDEX('How This Works &amp; Sources'!$B$82:$J$86,0,7))*INDEX('How This Works &amp; Sources'!$B$82:$J$86,0,7+2)),IF($AN33="MD",IF(OR($AU33="Married",$AU33="Head of household"),SUMPRODUCT(($AZ33&gt;INDEX('How This Works &amp; Sources'!$B$114:$J$120,0,1))*($AZ33-INDEX('How This Works &amp; Sources'!$B$114:$J$120,0,1))*INDEX('How This Works &amp; Sources'!$B$114:$J$120,0,1+2)),SUMPRODUCT(($AZ33&gt;INDEX('How This Works &amp; Sources'!$B$103:$J$109,0,7))*($AZ33-INDEX('How This Works &amp; Sources'!$B$103:$J$109,0,7))*INDEX('How This Works &amp; Sources'!$B$103:$J$109,0,7+2))),IF($AN33="MT",IF($AU33="Head of household",SUMPRODUCT(($AZ33&gt;INDEX('How This Works &amp; Sources'!$B$137:$J$139,0,1))*($AZ33-INDEX('How This Works &amp; Sources'!$B$137:$J$139,0,1))*INDEX('How This Works &amp; Sources'!$B$137:$J$139,0,1+2)),IF($AU33="Married",SUMPRODUCT(($AZ33&gt;INDEX('How This Works &amp; Sources'!$B$125:$J$132,0,7))*($AZ33-INDEX('How This Works &amp; Sources'!$B$125:$J$132,0,7))*INDEX('How This Works &amp; Sources'!$B$125:$J$132,0,7+2)),SUMPRODUCT(($AZ33&gt;INDEX('How This Works &amp; Sources'!$B$125:$J$132,0,4))*($AZ33-INDEX('How This Works &amp; Sources'!$B$125:$J$132,0,4))*INDEX('How This Works &amp; Sources'!$B$125:$J$132,0,4+2)))),IF($AN33="ND",IF($AU33="Head of household",SUMPRODUCT(($AZ33&gt;INDEX('How This Works &amp; Sources'!$B$144:$J$150,0,1))*($AZ33-INDEX('How This Works &amp; Sources'!$B$144:$J$150,0,1))*INDEX('How This Works &amp; Sources'!$B$144:$J$150,0,1+2)),IF($AU33="Married",SUMPRODUCT(($AZ33&gt;INDEX('How This Works &amp; Sources'!$B$137:$J$139,0,7))*($AZ33-INDEX('How This Works &amp; Sources'!$B$137:$J$139,0,7))*INDEX('How This Works &amp; Sources'!$B$137:$J$139,0,7+2)),SUMPRODUCT(($AZ33&gt;INDEX('How This Works &amp; Sources'!$B$137:$J$139,0,4))*($AZ33-INDEX('How This Works &amp; Sources'!$B$137:$J$139,0,4))*INDEX('How This Works &amp; Sources'!$B$137:$J$139,0,4+2)))),IF($AN33="NJ",IF('Second Earner'!$C$77="B",SUMPRODUCT(($AZ33&gt;INDEX('How This Works &amp; Sources'!$B$155:$J$162,0,4))*($AZ33-INDEX('How This Works &amp; Sources'!$B$155:$J$162,0,4))*INDEX('How This Works &amp; Sources'!$B$155:$J$162,0,4+2)),IF('Second Earner'!$C$77="C",SUMPRODUCT(($AZ33&gt;INDEX('How This Works &amp; Sources'!$B$155:$J$162,0,7))*($AZ33-INDEX('How This Works &amp; Sources'!$B$155:$J$162,0,7))*INDEX('How This Works &amp; Sources'!$B$155:$J$162,0,7+2)),IF('Second Earner'!$C$77="D",SUMPRODUCT(($AZ33&gt;INDEX('How This Works &amp; Sources'!$B$167:$J$179,0,1))*($AZ33-INDEX('How This Works &amp; Sources'!$B$167:$J$179,0,1))*INDEX('How This Works &amp; Sources'!$B$167:$J$179,0,1+2)),IF('Second Earner'!$C$77="E",SUMPRODUCT(($AZ33&gt;INDEX('How This Works &amp; Sources'!$B$167:$J$179,0,4))*($AZ33-INDEX('How This Works &amp; Sources'!$B$167:$J$179,0,4))*INDEX('How This Works &amp; Sources'!$B$167:$J$179,0,4+2)),SUMPRODUCT(($AZ33&gt;INDEX('How This Works &amp; Sources'!$B$155:$J$162,0,1))*($AZ33-INDEX('How This Works &amp; Sources'!$B$155:$J$162,0,1))*INDEX('How This Works &amp; Sources'!$B$155:$J$162,0,1+2)))))),IF($AN33="NY",IF($AU33="Married",IF($AZ33&gt;=2155350,$AZ33*IF($AZ33&gt;25000000,0.117,IF($AZ33&gt;5000000,0.111,0.1045)),SUMPRODUCT(($AZ33&gt;INDEX('How This Works &amp; Sources'!$B$184:$J$198,0,1))*($AZ33-INDEX('How This Works &amp; Sources'!$B$184:$J$198,0,1))*INDEX('How This Works &amp; Sources'!$B$184:$J$198,0,1+2))),IF($AZ33&gt;=1077550,$AZ33*IF($AZ33&gt;25000000,0.117,IF($AZ33&gt;5000000,0.111,0.1045)),SUMPRODUCT(($AZ33&gt;INDEX('How This Works &amp; Sources'!$B$167:$J$179,0,7))*($AZ33-INDEX('How This Works &amp; Sources'!$B$167:$J$179,0,7))*INDEX('How This Works &amp; Sources'!$B$167:$J$179,0,7+2)))),"")))))))</f>
      </c>
      <c r="BX33" s="7">
        <f>IF($B33="","",IF($AN33="AL",IF(OR($AU33="Married",$AU33="Head of household"),SUMPRODUCT(($AZ33&gt;INDEX('How This Works &amp; Sources'!$B$82:$J$86,0,4))*($AZ33-INDEX('How This Works &amp; Sources'!$B$82:$J$86,0,4))*INDEX('How This Works &amp; Sources'!$B$82:$J$86,0,4+2)),SUMPRODUCT(($AZ33&gt;INDEX('How This Works &amp; Sources'!$B$82:$J$86,0,1))*($AZ33-INDEX('How This Works &amp; Sources'!$B$82:$J$86,0,1))*INDEX('How This Works &amp; Sources'!$B$82:$J$86,0,1+2))),IF($AN33="KS",IF($AU33="Married",SUMPRODUCT(($AZ33&gt;INDEX('How This Works &amp; Sources'!$B$103:$J$109,0,4))*($AZ33-INDEX('How This Works &amp; Sources'!$B$103:$J$109,0,4))*INDEX('How This Works &amp; Sources'!$B$103:$J$109,0,4+2)),SUMPRODUCT(($AZ33&gt;INDEX('How This Works &amp; Sources'!$B$103:$J$109,0,1))*($AZ33-INDEX('How This Works &amp; Sources'!$B$103:$J$109,0,1))*INDEX('How This Works &amp; Sources'!$B$103:$J$109,0,1+2))),IF($AN33="MN",IF($AU33="Married",SUMPRODUCT(($AZ33&gt;INDEX('How This Works &amp; Sources'!$B$114:$J$120,0,7))*($AZ33-INDEX('How This Works &amp; Sources'!$B$114:$J$120,0,7))*INDEX('How This Works &amp; Sources'!$B$114:$J$120,0,7+2)),SUMPRODUCT(($AZ33&gt;INDEX('How This Works &amp; Sources'!$B$114:$J$120,0,4))*($AZ33-INDEX('How This Works &amp; Sources'!$B$114:$J$120,0,4))*INDEX('How This Works &amp; Sources'!$B$114:$J$120,0,4+2))),IF($AN33="MO",SUMPRODUCT(($AZ33&gt;INDEX('How This Works &amp; Sources'!$B$125:$J$132,0,1))*($AZ33-INDEX('How This Works &amp; Sources'!$B$125:$J$132,0,1))*INDEX('How This Works &amp; Sources'!$B$125:$J$132,0,1+2)),IF($AN33="NE",MAX(IF($AU33="Married",SUMPRODUCT(($AZ33&gt;INDEX('How This Works &amp; Sources'!$B$144:$J$150,0,7))*($AZ33-INDEX('How This Works &amp; Sources'!$B$144:$J$150,0,7))*INDEX('How This Works &amp; Sources'!$B$144:$J$150,0,7+2)),SUMPRODUCT(($AZ33&gt;INDEX('How This Works &amp; Sources'!$B$144:$J$150,0,4))*($AZ33-INDEX('How This Works &amp; Sources'!$B$144:$J$150,0,4))*INDEX('How This Works &amp; Sources'!$B$144:$J$150,0,4+2))),0.015*$AZ33),IF($AN33="OH",IF($B33&gt;=DATE(2026,8,1),SUMPRODUCT(($AZ33&gt;INDEX('How This Works &amp; Sources'!$B$203:$J$206,0,1))*($AZ33-INDEX('How This Works &amp; Sources'!$B$203:$J$206,0,1))*INDEX('How This Works &amp; Sources'!$B$203:$J$206,0,1+2)),SUMPRODUCT(($AZ33&gt;INDEX('How This Works &amp; Sources'!$B$184:$J$198,0,7))*($AZ33-INDEX('How This Works &amp; Sources'!$B$184:$J$198,0,7))*INDEX('How This Works &amp; Sources'!$B$184:$J$198,0,7+2))),IF($AN33="OK",IF($AU33="Married",SUMPRODUCT(($AZ33&gt;INDEX('How This Works &amp; Sources'!$B$203:$J$206,0,7))*($AZ33-INDEX('How This Works &amp; Sources'!$B$203:$J$206,0,7))*INDEX('How This Works &amp; Sources'!$B$203:$J$206,0,7+2)),SUMPRODUCT(($AZ33&gt;INDEX('How This Works &amp; Sources'!$B$203:$J$206,0,4))*($AZ33-INDEX('How This Works &amp; Sources'!$B$203:$J$206,0,4))*INDEX('How This Works &amp; Sources'!$B$203:$J$206,0,4+2))),IF($AN33="VT",IF($AU33="Married",SUMPRODUCT(($AZ33&gt;INDEX('How This Works &amp; Sources'!$B$228:$J$232,0,1))*($AZ33-INDEX('How This Works &amp; Sources'!$B$228:$J$232,0,1))*INDEX('How This Works &amp; Sources'!$B$228:$J$232,0,1+2)),SUMPRODUCT(($AZ33&gt;INDEX('How This Works &amp; Sources'!$B$219:$J$223,0,7))*($AZ33-INDEX('How This Works &amp; Sources'!$B$219:$J$223,0,7))*INDEX('How This Works &amp; Sources'!$B$219:$J$223,0,7+2))),IF($AN33="WV",IF($AU33="Married",SUMPRODUCT(($AZ33&gt;INDEX('How This Works &amp; Sources'!$B$237:$J$241,0,7))*($AZ33-INDEX('How This Works &amp; Sources'!$B$237:$J$241,0,7))*INDEX('How This Works &amp; Sources'!$B$237:$J$241,0,7+2)),SUMPRODUCT(($AZ33&gt;INDEX('How This Works &amp; Sources'!$B$228:$J$232,0,7))*($AZ33-INDEX('How This Works &amp; Sources'!$B$228:$J$232,0,7))*INDEX('How This Works &amp; Sources'!$B$228:$J$232,0,7+2))),""))))))))))</f>
      </c>
      <c r="BY33" s="7">
        <f>IF($B33="","",IF($AN33="DE",SUMPRODUCT(($AZ33&gt;INDEX('How This Works &amp; Sources'!$B$91:$J$98,0,1))*($AZ33-INDEX('How This Works &amp; Sources'!$B$91:$J$98,0,1))*INDEX('How This Works &amp; Sources'!$B$91:$J$98,0,1+2)),IF($AN33="HI",IF($AU33="Married",SUMPRODUCT(($AZ33&gt;INDEX('How This Works &amp; Sources'!$B$91:$J$98,0,7))*($AZ33-INDEX('How This Works &amp; Sources'!$B$91:$J$98,0,7))*INDEX('How This Works &amp; Sources'!$B$91:$J$98,0,7+2)),SUMPRODUCT(($AZ33&gt;INDEX('How This Works &amp; Sources'!$B$91:$J$98,0,4))*($AZ33-INDEX('How This Works &amp; Sources'!$B$91:$J$98,0,4))*INDEX('How This Works &amp; Sources'!$B$91:$J$98,0,4+2))),IF($AN33="RI",SUMPRODUCT(($AZ33&gt;INDEX('How This Works &amp; Sources'!$B$211:$J$214,0,7))*($AZ33-INDEX('How This Works &amp; Sources'!$B$211:$J$214,0,7))*INDEX('How This Works &amp; Sources'!$B$211:$J$214,0,7+2)),IF($AN33="SC",SUMPRODUCT(($AZ33&gt;INDEX('How This Works &amp; Sources'!$B$219:$J$223,0,1))*($AZ33-INDEX('How This Works &amp; Sources'!$B$219:$J$223,0,1))*INDEX('How This Works &amp; Sources'!$B$219:$J$223,0,1+2)),IF($AN33="VA",SUMPRODUCT(($AZ33&gt;INDEX('How This Works &amp; Sources'!$B$219:$J$223,0,4))*($AZ33-INDEX('How This Works &amp; Sources'!$B$219:$J$223,0,4))*INDEX('How This Works &amp; Sources'!$B$219:$J$223,0,4+2)),IF($AN33="WI",SUMPRODUCT(($AZ33&gt;INDEX('How This Works &amp; Sources'!$B$228:$J$232,0,4))*($AZ33-INDEX('How This Works &amp; Sources'!$B$228:$J$232,0,4))*INDEX('How This Works &amp; Sources'!$B$228:$J$232,0,4+2)),"")))))))</f>
      </c>
      <c r="BZ33" s="24">
        <f>IF($B33="","",IF($AN33="KS",IF($AU33="Married",SUMPRODUCT(($AZ33&gt;=INDEX('How This Works &amp; Sources'!$B$103:$J$109,0,4))*INDEX('How This Works &amp; Sources'!$B$103:$J$109,0,4+2)),SUMPRODUCT(($AZ33&gt;=INDEX('How This Works &amp; Sources'!$B$103:$J$109,0,1))*INDEX('How This Works &amp; Sources'!$B$103:$J$109,0,1+2))),IF($AN33="MT",IF($AU33="Head of household",SUMPRODUCT(($AZ33&gt;=INDEX('How This Works &amp; Sources'!$B$137:$J$139,0,1))*INDEX('How This Works &amp; Sources'!$B$137:$J$139,0,1+2)),IF($AU33="Married",SUMPRODUCT(($AZ33&gt;=INDEX('How This Works &amp; Sources'!$B$125:$J$132,0,7))*INDEX('How This Works &amp; Sources'!$B$125:$J$132,0,7+2)),SUMPRODUCT(($AZ33&gt;=INDEX('How This Works &amp; Sources'!$B$125:$J$132,0,4))*INDEX('How This Works &amp; Sources'!$B$125:$J$132,0,4+2)))),IF($AN33="OR",IF(OR($AU33="Married",AND($AU33="Single",$AS33&gt;=3)),SUMPRODUCT((MAX(0,$AY33-MIN(($P33-'How This Works &amp; Sources'!$C$10*$D33)*'Second Earner'!$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Sources'!$B$211:$J$214,0,4))*INDEX('How This Works &amp; Sources'!$B$211:$J$214,0,4+2)),SUMPRODUCT((MAX(0,$AY33-MIN(($P33-'How This Works &amp; Sources'!$C$10*$D33)*'Second Earner'!$C$8,IF(OR($AU33="Married",AND($AU33="Single",$AS33&gt;=3)),IF($AY33&lt;250000,8750,IF($AY33&lt;260000,7000,IF($AY33&lt;270000,5250,IF($AY33&lt;280000,3500,IF($AY33&lt;290000,1750,0))))),IF($AY33&lt;125000,8750,IF($AY33&lt;130000,7000,IF($AY33&lt;135000,5250,IF($AY33&lt;140000,3500,IF($AY33&lt;145000,1750,0)))))))-IF(OR($AU33="Married",AND($AU33="Single",$AS33&gt;=3)),5820,2910))&gt;=INDEX('How This Works &amp; Sources'!$B$211:$J$214,0,1))*INDEX('How This Works &amp; Sources'!$B$211:$J$214,0,1+2)))*IF(($P33-'How This Works &amp; Sources'!$C$10*$D33)*'Second Earner'!$C$8&gt;=IF(OR($AU33="Married",AND($AU33="Single",$AS33&gt;=3)),IF($AY33&lt;250000,8750,IF($AY33&lt;260000,7000,IF($AY33&lt;270000,5250,IF($AY33&lt;280000,3500,IF($AY33&lt;290000,1750,0))))),IF($AY33&lt;125000,8750,IF($AY33&lt;130000,7000,IF($AY33&lt;135000,5250,IF($AY33&lt;140000,3500,IF($AY33&lt;145000,1750,0)))))),1,1-IF('Second Earner'!$C$13,SUMPRODUCT(($AH33&gt;=INDEX('How This Works &amp; Sources'!$B$29:$J$36,0,IF('Second Earner'!$C$12="MFJ",1,IF('Second Earner'!$C$12="HoH",7,4))))*INDEX('How This Works &amp; Sources'!$B$29:$J$36,0,IF('Second Earner'!$C$12="MFJ",1,IF('Second Earner'!$C$12="HoH",7,4))+2)),SUMPRODUCT(($AH33&gt;=INDEX('How This Works &amp; Sources'!$B$19:$J$26,0,IF('Second Earner'!$C$12="MFJ",1,IF('Second Earner'!$C$12="HoH",7,4))))*INDEX('How This Works &amp; Sources'!$B$19:$J$26,0,IF('Second Earner'!$C$12="MFJ",1,IF('Second Earner'!$C$12="HoH",7,4))+2)))),""))))</f>
      </c>
      <c r="CA33" s="24">
        <f>IF($B33="","",IF($AN33="CA",SUMPRODUCT(($AJ33&gt;=INDEX('How This Works &amp; Sources'!$B$39:$J$48,0,IF($AU33="Married",4,IF($AU33="Head of household",7,1))))*INDEX('How This Works &amp; Sources'!$B$39:$J$48,0,IF($AU33="Married",4,IF($AU33="Head of household",7,1))+2)),IF($AN33="AL",IF(OR($AU33="Married",$AU33="Head of household"),SUMPRODUCT(($AZ33&gt;=INDEX('How This Works &amp; Sources'!$B$82:$J$86,0,4))*INDEX('How This Works &amp; Sources'!$B$82:$J$86,0,4+2)),SUMPRODUCT(($AZ33&gt;=INDEX('How This Works &amp; Sources'!$B$82:$J$86,0,1))*INDEX('How This Works &amp; Sources'!$B$82:$J$86,0,1+2)))*(1-IF('Second Earner'!$C$13,SUMPRODUCT(($AH33&gt;=INDEX('How This Works &amp; Sources'!$B$29:$J$36,0,IF('Second Earner'!$C$12="MFJ",1,IF('Second Earner'!$C$12="HoH",7,4))))*INDEX('How This Works &amp; Sources'!$B$29:$J$36,0,IF('Second Earner'!$C$12="MFJ",1,IF('Second Earner'!$C$12="HoH",7,4))+2)),SUMPRODUCT(($AH33&gt;=INDEX('How This Works &amp; Sources'!$B$19:$J$26,0,IF('Second Earner'!$C$12="MFJ",1,IF('Second Earner'!$C$12="HoH",7,4))))*INDEX('How This Works &amp; Sources'!$B$19:$J$26,0,IF('Second Earner'!$C$12="MFJ",1,IF('Second Earner'!$C$12="HoH",7,4))+2)))),IF($AN33="ND",IF($AU33="Head of household",SUMPRODUCT(($AZ33&gt;=INDEX('How This Works &amp; Sources'!$B$144:$J$150,0,1))*INDEX('How This Works &amp; Sources'!$B$144:$J$150,0,1+2)),IF($AU33="Married",SUMPRODUCT(($AZ33&gt;=INDEX('How This Works &amp; Sources'!$B$137:$J$139,0,7))*INDEX('How This Works &amp; Sources'!$B$137:$J$139,0,7+2)),SUMPRODUCT(($AZ33&gt;=INDEX('How This Works &amp; Sources'!$B$137:$J$139,0,4))*INDEX('How This Works &amp; Sources'!$B$137:$J$139,0,4+2)))),IF($AN33="NJ",IF('Second Earner'!$C$77="B",SUMPRODUCT(($AZ33&gt;=INDEX('How This Works &amp; Sources'!$B$155:$J$162,0,4))*INDEX('How This Works &amp; Sources'!$B$155:$J$162,0,4+2)),IF('Second Earner'!$C$77="C",SUMPRODUCT(($AZ33&gt;=INDEX('How This Works &amp; Sources'!$B$155:$J$162,0,7))*INDEX('How This Works &amp; Sources'!$B$155:$J$162,0,7+2)),IF('Second Earner'!$C$77="D",SUMPRODUCT(($AZ33&gt;=INDEX('How This Works &amp; Sources'!$B$167:$J$179,0,1))*INDEX('How This Works &amp; Sources'!$B$167:$J$179,0,1+2)),IF('Second Earner'!$C$77="E",SUMPRODUCT(($AZ33&gt;=INDEX('How This Works &amp; Sources'!$B$167:$J$179,0,4))*INDEX('How This Works &amp; Sources'!$B$167:$J$179,0,4+2)),SUMPRODUCT(($AZ33&gt;=INDEX('How This Works &amp; Sources'!$B$155:$J$162,0,1))*INDEX('How This Works &amp; Sources'!$B$155:$J$162,0,1+2)))))),IF($AN33="NY",IF($AU33="Married",IF($AZ33&gt;=2155350,IF($AZ33&gt;25000000,0.117,IF($AZ33&gt;5000000,0.111,0.1045)),SUMPRODUCT(($AZ33&gt;=INDEX('How This Works &amp; Sources'!$B$184:$J$198,0,1))*INDEX('How This Works &amp; Sources'!$B$184:$J$198,0,1+2))),IF($AZ33&gt;=1077550,IF($AZ33&gt;25000000,0.117,IF($AZ33&gt;5000000,0.111,0.1045)),SUMPRODUCT(($AZ33&gt;=INDEX('How This Works &amp; Sources'!$B$167:$J$179,0,7))*INDEX('How This Works &amp; Sources'!$B$167:$J$179,0,7+2)))),IF($AN33="LA",0.0309,"")))))))</f>
      </c>
      <c r="CB33" s="24">
        <f>IF($B33="","",IF($AN33="HI",IF($AU33="Married",SUMPRODUCT(($AZ33&gt;=INDEX('How This Works &amp; Sources'!$B$91:$J$98,0,7))*INDEX('How This Works &amp; Sources'!$B$91:$J$98,0,7+2)),SUMPRODUCT(($AZ33&gt;=INDEX('How This Works &amp; Sources'!$B$91:$J$98,0,4))*INDEX('How This Works &amp; Sources'!$B$91:$J$98,0,4+2))),IF($AN33="MD",IF(OR($AU33="Married",$AU33="Head of household"),SUMPRODUCT(($AZ33&gt;=INDEX('How This Works &amp; Sources'!$B$114:$J$120,0,1))*INDEX('How This Works &amp; Sources'!$B$114:$J$120,0,1+2)),SUMPRODUCT(($AZ33&gt;=INDEX('How This Works &amp; Sources'!$B$103:$J$109,0,7))*INDEX('How This Works &amp; Sources'!$B$103:$J$109,0,7+2)))+'Second Earner'!$C$74,IF($AN33="MN",IF($AU33="Married",SUMPRODUCT(($AZ33&gt;=INDEX('How This Works &amp; Sources'!$B$114:$J$120,0,7))*INDEX('How This Works &amp; Sources'!$B$114:$J$120,0,7+2)),SUMPRODUCT(($AZ33&gt;=INDEX('How This Works &amp; Sources'!$B$114:$J$120,0,4))*INDEX('How This Works &amp; Sources'!$B$114:$J$120,0,4+2))),IF($AN33="MO",SUMPRODUCT(($AZ33&gt;=INDEX('How This Works &amp; Sources'!$B$125:$J$132,0,1))*INDEX('How This Works &amp; Sources'!$B$125:$J$132,0,1+2)),IF($AN33="NE",MAX(IF($AU33="Married",SUMPRODUCT(($AZ33&gt;=INDEX('How This Works &amp; Sources'!$B$144:$J$150,0,7))*INDEX('How This Works &amp; Sources'!$B$144:$J$150,0,7+2)),SUMPRODUCT(($AZ33&gt;=INDEX('How This Works &amp; Sources'!$B$144:$J$150,0,4))*INDEX('How This Works &amp; Sources'!$B$144:$J$150,0,4+2))),0.015),IF($AN33="OH",IF($B33&gt;=DATE(2026,8,1),SUMPRODUCT(($AZ33&gt;=INDEX('How This Works &amp; Sources'!$B$203:$J$206,0,1))*INDEX('How This Works &amp; Sources'!$B$203:$J$206,0,1+2)),SUMPRODUCT(($AZ33&gt;=INDEX('How This Works &amp; Sources'!$B$184:$J$198,0,7))*INDEX('How This Works &amp; Sources'!$B$184:$J$198,0,7+2))),IF($AN33="OK",IF($AU33="Married",SUMPRODUCT(($AZ33&gt;=INDEX('How This Works &amp; Sources'!$B$203:$J$206,0,7))*INDEX('How This Works &amp; Sources'!$B$203:$J$206,0,7+2)),SUMPRODUCT(($AZ33&gt;=INDEX('How This Works &amp; Sources'!$B$203:$J$206,0,4))*INDEX('How This Works &amp; Sources'!$B$203:$J$206,0,4+2))),IF($AN33="RI",SUMPRODUCT(($AZ33&gt;=INDEX('How This Works &amp; Sources'!$B$211:$J$214,0,7))*INDEX('How This Works &amp; Sources'!$B$211:$J$214,0,7+2)),IF($AN33="VT",IF($AU33="Married",SUMPRODUCT(($AZ33&gt;=INDEX('How This Works &amp; Sources'!$B$228:$J$232,0,1))*INDEX('How This Works &amp; Sources'!$B$228:$J$232,0,1+2)),SUMPRODUCT(($AZ33&gt;=INDEX('How This Works &amp; Sources'!$B$219:$J$223,0,7))*INDEX('How This Works &amp; Sources'!$B$219:$J$223,0,7+2))),IF($AN33="WV",IF($AU33="Married",SUMPRODUCT(($AZ33&gt;=INDEX('How This Works &amp; Sources'!$B$237:$J$241,0,7))*INDEX('How This Works &amp; Sources'!$B$237:$J$241,0,7+2)),SUMPRODUCT(($AZ33&gt;=INDEX('How This Works &amp; Sources'!$B$228:$J$232,0,7))*INDEX('How This Works &amp; Sources'!$B$228:$J$232,0,7+2))),IF($AN33="AZ",'Second Earner'!$C$82,IF($AN33="ID",IF($AY33&gt;IF($AU33="Married",32000,16094),0.053,0),"")))))))))))))</f>
      </c>
      <c r="CC33" s="24">
        <f>IF($B33="","",IF($AN33="AR",SUMPRODUCT(($AZ33&gt;=INDEX('How This Works &amp; Sources'!$B$82:$J$86,0,7))*INDEX('How This Works &amp; Sources'!$B$82:$J$86,0,7+2)),IF($AN33="DE",SUMPRODUCT(($AZ33&gt;=INDEX('How This Works &amp; Sources'!$B$91:$J$98,0,1))*INDEX('How This Works &amp; Sources'!$B$91:$J$98,0,1+2)),IF($AN33="SC",SUMPRODUCT(($AZ33&gt;=INDEX('How This Works &amp; Sources'!$B$219:$J$223,0,1))*INDEX('How This Works &amp; Sources'!$B$219:$J$223,0,1+2)),IF($AN33="VA",SUMPRODUCT(($AZ33&gt;=INDEX('How This Works &amp; Sources'!$B$219:$J$223,0,4))*INDEX('How This Works &amp; Sources'!$B$219:$J$223,0,4+2)),IF($AN33="WI",SUMPRODUCT(($AZ33&gt;=INDEX('How This Works &amp; Sources'!$B$228:$J$232,0,4))*INDEX('How This Works &amp; Sources'!$B$228:$J$232,0,4+2)),IF($AN33="CO",IF($AY33&gt;IF($AU33="Married",10000,5000),0.044,0),IF($AN33="IA",IF($AY33&gt;IF($AU33="Head of household",19500,IF($AU33="Married",26000,13000)),0.038,0),IF($AN33="IL",IF($AY33&gt;(2925*$AS33+1000*$AT33),0.0495,0),IF($AN33="IN",(0.0295+'Second Earner'!$C$76),IF($AN33="KY",IF($AI33&gt;3360,0.035,0),IF($AN33="MA",IF(MAX(0,$AY33-MIN(($BD32+$Q33+$R33+$S33),2000)-IF($AS33=0,0,IF($AS33=1,4400,1000*$AS33+3400)))&gt;=1107750,0.09,0.05),IF($AN33="MI",IF($AY33&gt;5900*$AS33,0.0425,0),IF($AN33="MS",IF($AI33-IF($AU33="Head of household",3400,IF($AU33="Married",4600,2300))-'Second Earner'!$C$85&gt;10000,0.04,0),IF($AN33="PA",0.0307,"")))))))))))))))</f>
      </c>
      <c r="CD33" s="21">
        <f>IF(YEAR(IF('Second Earner'!$C$7="Weekly",'Second Earner'!$C$9+7*(($BE32+1)-1),IF('Second Earner'!$C$7="Biweekly",'Second Earner'!$C$9+14*(($BE32+1)-1),IF('Second Earner'!$C$7="Semimonthly",DATE(YEAR('Second Earner'!$C$9),MONTH('Second Earner'!$C$9)+INT((($BE32+1)-1)/2),MIN(DAY('Second Earner'!$C$9),DAY(EOMONTH(DATE(YEAR('Second Earner'!$C$9),MONTH('Second Earner'!$C$9)+INT((($BE32+1)-1)/2),1),0))))+IF(MOD(($BE32+1)-1,2)=1,15,0),EDATE('Second Earner'!$C$9,($BE32+1)-1)))))&lt;&gt;'Second Earner'!$C$10,"",IF('Second Earner'!$C$7="Weekly",'Second Earner'!$C$9+7*(($BE32+1)-1),IF('Second Earner'!$C$7="Biweekly",'Second Earner'!$C$9+14*(($BE32+1)-1),IF('Second Earner'!$C$7="Semimonthly",DATE(YEAR('Second Earner'!$C$9),MONTH('Second Earner'!$C$9)+INT((($BE32+1)-1)/2),MIN(DAY('Second Earner'!$C$9),DAY(EOMONTH(DATE(YEAR('Second Earner'!$C$9),MONTH('Second Earner'!$C$9)+INT((($BE32+1)-1)/2),1),0))))+IF(MOD(($BE32+1)-1,2)=1,15,0),EDATE('Second Earner'!$C$9,($BE32+1)-1)))))</f>
      </c>
      <c r="CE33" s="21">
        <f>IF(MIN(IF(AND('Second Earner'!$C$58&gt;MAX($B$6:$B32),'Second Earner'!$C$58&gt;=DATE('Second Earner'!$C$10,1,1),'Second Earner'!$C$58&lt;=DATE('Second Earner'!$C$10,12,31)),'Second Earner'!$C$58,999999),IF(AND('Second Earner'!$C$59&gt;MAX($B$6:$B32),'Second Earner'!$C$59&gt;=DATE('Second Earner'!$C$10,1,1),'Second Earner'!$C$59&lt;=DATE('Second Earner'!$C$10,12,31)),'Second Earner'!$C$59,999999),IF(AND('Second Earner'!$C$60&gt;MAX($B$6:$B32),'Second Earner'!$C$60&gt;=DATE('Second Earner'!$C$10,1,1),'Second Earner'!$C$60&lt;=DATE('Second Earner'!$C$10,12,31)),'Second Earner'!$C$60,999999),IF(AND('Second Earner'!$C$61&gt;MAX($B$6:$B32),'Second Earner'!$C$61&gt;=DATE('Second Earner'!$C$10,1,1),'Second Earner'!$C$61&lt;=DATE('Second Earner'!$C$10,12,31)),'Second Earner'!$C$61,999999),IF(AND('Second Earner'!$C$62&gt;MAX($B$6:$B32),'Second Earner'!$C$62&gt;=DATE('Second Earner'!$C$10,1,1),'Second Earner'!$C$62&lt;=DATE('Second Earner'!$C$10,12,31)),'Second Earner'!$C$62,999999),IF(AND('Second Earner'!$C$63&gt;MAX($B$6:$B32),'Second Earner'!$C$63&gt;=DATE('Second Earner'!$C$10,1,1),'Second Earner'!$C$63&lt;=DATE('Second Earner'!$C$10,12,31)),'Second Earner'!$C$63,999999),IF(AND('Second Earner'!$C$64&gt;MAX($B$6:$B32),'Second Earner'!$C$64&gt;=DATE('Second Earner'!$C$10,1,1),'Second Earner'!$C$64&lt;=DATE('Second Earner'!$C$10,12,31)),'Second Earner'!$C$64,999999),IF(AND('Second Earner'!$C$65&gt;MAX($B$6:$B32),'Second Earner'!$C$65&gt;=DATE('Second Earner'!$C$10,1,1),'Second Earner'!$C$65&lt;=DATE('Second Earner'!$C$10,12,31)),'Second Earner'!$C$65,999999),IF(AND('Second Earner'!$C$66&gt;MAX($B$6:$B32),'Second Earner'!$C$66&gt;=DATE('Second Earner'!$C$10,1,1),'Second Earner'!$C$66&lt;=DATE('Second Earner'!$C$10,12,31)),'Second Earner'!$C$66,999999),IF(AND('Second Earner'!$C$67&gt;MAX($B$6:$B32),'Second Earner'!$C$67&gt;=DATE('Second Earner'!$C$10,1,1),'Second Earner'!$C$67&lt;=DATE('Second Earner'!$C$10,12,31)),'Second Earner'!$C$67,999999))=999999,"",MIN(IF(AND('Second Earner'!$C$58&gt;MAX($B$6:$B32),'Second Earner'!$C$58&gt;=DATE('Second Earner'!$C$10,1,1),'Second Earner'!$C$58&lt;=DATE('Second Earner'!$C$10,12,31)),'Second Earner'!$C$58,999999),IF(AND('Second Earner'!$C$59&gt;MAX($B$6:$B32),'Second Earner'!$C$59&gt;=DATE('Second Earner'!$C$10,1,1),'Second Earner'!$C$59&lt;=DATE('Second Earner'!$C$10,12,31)),'Second Earner'!$C$59,999999),IF(AND('Second Earner'!$C$60&gt;MAX($B$6:$B32),'Second Earner'!$C$60&gt;=DATE('Second Earner'!$C$10,1,1),'Second Earner'!$C$60&lt;=DATE('Second Earner'!$C$10,12,31)),'Second Earner'!$C$60,999999),IF(AND('Second Earner'!$C$61&gt;MAX($B$6:$B32),'Second Earner'!$C$61&gt;=DATE('Second Earner'!$C$10,1,1),'Second Earner'!$C$61&lt;=DATE('Second Earner'!$C$10,12,31)),'Second Earner'!$C$61,999999),IF(AND('Second Earner'!$C$62&gt;MAX($B$6:$B32),'Second Earner'!$C$62&gt;=DATE('Second Earner'!$C$10,1,1),'Second Earner'!$C$62&lt;=DATE('Second Earner'!$C$10,12,31)),'Second Earner'!$C$62,999999),IF(AND('Second Earner'!$C$63&gt;MAX($B$6:$B32),'Second Earner'!$C$63&gt;=DATE('Second Earner'!$C$10,1,1),'Second Earner'!$C$63&lt;=DATE('Second Earner'!$C$10,12,31)),'Second Earner'!$C$63,999999),IF(AND('Second Earner'!$C$64&gt;MAX($B$6:$B32),'Second Earner'!$C$64&gt;=DATE('Second Earner'!$C$10,1,1),'Second Earner'!$C$64&lt;=DATE('Second Earner'!$C$10,12,31)),'Second Earner'!$C$64,999999),IF(AND('Second Earner'!$C$65&gt;MAX($B$6:$B32),'Second Earner'!$C$65&gt;=DATE('Second Earner'!$C$10,1,1),'Second Earner'!$C$65&lt;=DATE('Second Earner'!$C$10,12,31)),'Second Earner'!$C$65,999999),IF(AND('Second Earner'!$C$66&gt;MAX($B$6:$B32),'Second Earner'!$C$66&gt;=DATE('Second Earner'!$C$10,1,1),'Second Earner'!$C$66&lt;=DATE('Second Earner'!$C$10,12,31)),'Second Earner'!$C$66,999999),IF(AND('Second Earner'!$C$67&gt;MAX($B$6:$B32),'Second Earner'!$C$67&gt;=DATE('Second Earner'!$C$10,1,1),'Second Earner'!$C$67&lt;=DATE('Second Earner'!$C$10,12,31)),'Second Earner'!$C$67,999999)))</f>
      </c>
      <c r="CF33">
        <f>IF($B33="","",IF($D33=0,$Y33,""))</f>
      </c>
    </row>
    <row r="34">
      <c r="A34" t="n">
        <v>29</v>
      </c>
      <c r="B34" s="21">
        <f>IF(AND($CD34="",$CE34=""),"",IF($CE34="",$CD34,IF($CD34="",$CE34,MIN($CD34,$CE34))))</f>
      </c>
      <c r="C34" s="7">
        <f>IF($B34="","",IF($BF34=0,0,IF('Second Earner'!$C$4="Annual salary",ROUND($AK34/IF(AND('Second Earner'!$C$88="Actual paydays",MONTH('Second Earner'!$C$9)=1),MAX(1,MAX($BE$6:$BE$68)),'Second Earner'!$C$8),2),$AK34)))</f>
      </c>
      <c r="D34" s="7">
        <f>IF($B34="","",SUMIF('Second Earner'!$C$58:$C$67,$B34,'Second Earner'!$D$58:$D$67))</f>
      </c>
      <c r="E34" s="7">
        <f>IF($B34="","",ROUND(MAX(0,MIN(IF($AL34="Percent",$AM34*($C34+$D34),$AM34),MAX(0,'Second Earner'!$C$34-$AC33))),2))</f>
      </c>
      <c r="F34" s="7">
        <f>IF($B34="","",ROUND(MAX(0,MIN(IF('Second Earner'!$C$32="Percent",'Second Earner'!$D$32*($C34+$D34),'Second Earner'!$D$32),MAX(0,'Second Earner'!$C$34-$AC33-$E34))),2))</f>
      </c>
      <c r="G34" s="7">
        <f>IF($B34="","",IF($BF34=0,0,ROUND(MAX(0,MIN($BL34,'Second Earner'!$C$37-'Second Earner'!$C$54-$BI33)),2)))</f>
      </c>
      <c r="H34" s="7">
        <f>IF($B34="","",IF(OR($BF34=0,$BQ34=1),0,ROUND(MAX(0,MIN(IF($BS34=1,ROUND(MAX(0,MIN($BJ34,'How This Works &amp; Sources'!$C$13)-$BG33)/MAX(1,MAX($BE$6:$BE$68)-($BE33)),2),ROUND(MIN($BJ34,'How This Works &amp; Sources'!$C$13)/'Second Earner'!$C$8,2)),MIN($BJ34,'How This Works &amp; Sources'!$C$13)-$BG33)),2)))</f>
      </c>
      <c r="I34" s="7">
        <f>IF($B34="","",IF(OR($BF34=0,$BR34=1),0,ROUND(MAX(0,MIN(IF($BT34=1,ROUND(MAX(0,MIN($BK34,IF('Second Earner'!$C$12="MFJ",'How This Works &amp; Sources'!$C$14,'How This Works &amp; Sources'!$C$15))-$BH33)/MAX(1,MAX($BE$6:$BE$68)-($BE33)),2),ROUND(MIN($BK34,IF('Second Earner'!$C$12="MFJ",'How This Works &amp; Sources'!$C$14,'How This Works &amp; Sources'!$C$15))/'Second Earner'!$C$8,2)),MIN($BK34,IF('Second Earner'!$C$12="MFJ",'How This Works &amp; Sources'!$C$14,'How This Works &amp; Sources'!$C$15))-$BH33)),2)))</f>
      </c>
      <c r="J34" s="7">
        <f>IF($B34="","",IF($BF34=0,0,$BM34))</f>
      </c>
      <c r="K34" s="7">
        <f>IF($B34="","",IF($BF34=0,0,$BN34+$BO34))</f>
      </c>
      <c r="L34" s="7">
        <f>IF($B34="","",IF($BF34=0,0,'Second Earner'!$D$46))</f>
      </c>
      <c r="M34" s="7">
        <f>IF($B34="","",$C34+$D34+$L34-$E34-$G34-$H34-$I34-$J34-$K34)</f>
      </c>
      <c r="N34" s="7">
        <f>IF($B34="","",$C34+$D34+$L34-$G34-$H34-$I34-$J34-$K34)</f>
      </c>
      <c r="O34" s="7">
        <f>IF($B34="","",$C34+$D34+$L34-$E34-$H34-$I34-$J34-$K34-IF(OR($AN34="CA",$AN34="NJ"),0,$G34))</f>
      </c>
      <c r="P34" s="7">
        <f>IF($B34="","",IF('Second Earner'!$C$18,0,ROUND(MAX(0,IF('Second Earner'!$C$13,SUMPRODUCT(($AH34&gt;INDEX('How This Works &amp; Sources'!$B$29:$J$36,0,IF('Second Earner'!$C$12="MFJ",1,IF('Second Earner'!$C$12="HoH",7,4))))*($AH34-INDEX('How This Works &amp; Sources'!$B$29:$J$36,0,IF('Second Earner'!$C$12="MFJ",1,IF('Second Earner'!$C$12="HoH",7,4))))*INDEX('How This Works &amp; Sources'!$B$29:$J$36,0,IF('Second Earner'!$C$12="MFJ",1,IF('Second Earner'!$C$12="HoH",7,4))+2)),SUMPRODUCT(($AH34&gt;INDEX('How This Works &amp; Sources'!$B$19:$J$26,0,IF('Second Earner'!$C$12="MFJ",1,IF('Second Earner'!$C$12="HoH",7,4))))*($AH34-INDEX('How This Works &amp; Sources'!$B$19:$J$26,0,IF('Second Earner'!$C$12="MFJ",1,IF('Second Earner'!$C$12="HoH",7,4))))*INDEX('How This Works &amp; Sources'!$B$19:$J$26,0,IF('Second Earner'!$C$12="MFJ",1,IF('Second Earner'!$C$12="HoH",7,4))+2)))/'Second Earner'!$C$8-$AO34/'Second Earner'!$C$8)+$AR34+IF('Second Earner'!$C$89="Aggregate",MAX(0,IF('Second Earner'!$C$13,SUMPRODUCT((($AH34+$D34)&gt;INDEX('How This Works &amp; Sources'!$B$29:$J$36,0,IF('Second Earner'!$C$12="MFJ",1,IF('Second Earner'!$C$12="HoH",7,4))))*(($AH34+$D34)-INDEX('How This Works &amp; Sources'!$B$29:$J$36,0,IF('Second Earner'!$C$12="MFJ",1,IF('Second Earner'!$C$12="HoH",7,4))))*INDEX('How This Works &amp; Sources'!$B$29:$J$36,0,IF('Second Earner'!$C$12="MFJ",1,IF('Second Earner'!$C$12="HoH",7,4))+2)),SUMPRODUCT((($AH34+$D34)&gt;INDEX('How This Works &amp; Sources'!$B$19:$J$26,0,IF('Second Earner'!$C$12="MFJ",1,IF('Second Earner'!$C$12="HoH",7,4))))*(($AH34+$D34)-INDEX('How This Works &amp; Sources'!$B$19:$J$26,0,IF('Second Earner'!$C$12="MFJ",1,IF('Second Earner'!$C$12="HoH",7,4))))*INDEX('How This Works &amp; Sources'!$B$19:$J$26,0,IF('Second Earner'!$C$12="MFJ",1,IF('Second Earner'!$C$12="HoH",7,4))+2)))-IF('Second Earner'!$C$13,SUMPRODUCT(($AH34&gt;INDEX('How This Works &amp; Sources'!$B$29:$J$36,0,IF('Second Earner'!$C$12="MFJ",1,IF('Second Earner'!$C$12="HoH",7,4))))*($AH34-INDEX('How This Works &amp; Sources'!$B$29:$J$36,0,IF('Second Earner'!$C$12="MFJ",1,IF('Second Earner'!$C$12="HoH",7,4))))*INDEX('How This Works &amp; Sources'!$B$29:$J$36,0,IF('Second Earner'!$C$12="MFJ",1,IF('Second Earner'!$C$12="HoH",7,4))+2)),SUMPRODUCT(($AH34&gt;INDEX('How This Works &amp; Sources'!$B$19:$J$26,0,IF('Second Earner'!$C$12="MFJ",1,IF('Second Earner'!$C$12="HoH",7,4))))*($AH34-INDEX('How This Works &amp; Sources'!$B$19:$J$26,0,IF('Second Earner'!$C$12="MFJ",1,IF('Second Earner'!$C$12="HoH",7,4))))*INDEX('How This Works &amp; Sources'!$B$19:$J$26,0,IF('Second Earner'!$C$12="MFJ",1,IF('Second Earner'!$C$12="HoH",7,4))+2)))),'How This Works &amp; Sources'!$C$10*$D34),2)))</f>
      </c>
      <c r="Q34" s="7">
        <f>IF($B34="","",ROUND('How This Works &amp; Sources'!$C$4*MIN($N34,MAX(0,'How This Works &amp; Sources'!$C$3-($AX34+$AB33-$AW34))),2))</f>
      </c>
      <c r="R34" s="7">
        <f>IF($B34="","",ROUND('How This Works &amp; Sources'!$C$5*$N34,2))</f>
      </c>
      <c r="S34" s="7">
        <f>IF($B34="","",ROUND('How This Works &amp; Sources'!$C$6*MAX(0,MIN($N34,$AG33+$N34-'How This Works &amp; Sources'!$C$7)),2))</f>
      </c>
      <c r="T34" s="7">
        <f>IF($B34="","",IF('Second Earner'!$C$26,0,IF($AN34="CA",ROUND(IF($AI34&lt;=IF(($AS34+$AT34)&gt;=2,VLOOKUP($AN34,StateTables!$A$6:$AB$56,10,FALSE),VLOOKUP($AN34,StateTables!$A$6:$AB$56,9,FALSE)),0,MAX(0,SUMPRODUCT(($AJ34&gt;INDEX('How This Works &amp; Sources'!$B$39:$J$48,0,IF($AU34="Married",4,IF($AU34="Head of household",7,1))))*($AJ34-INDEX('How This Works &amp; Sources'!$B$39:$J$48,0,IF($AU34="Married",4,IF($AU34="Head of household",7,1))))*INDEX('How This Works &amp; Sources'!$B$39:$J$48,0,IF($AU34="Married",4,IF($AU34="Head of household",7,1))+2))-VLOOKUP($AN34,StateTables!$A$6:$AB$56,11,FALSE)*$AS34)/'Second Earner'!$C$8)+'Second Earner'!$C$25+VLOOKUP($AN34,StateTables!$A$6:$AB$56,13,FALSE)*$D34,2),IF(VLOOKUP($AN34,StateTables!$A$6:$AB$56,4,FALSE)="None",0,IF(ISNUMBER(SEARCH("MANUAL",VLOOKUP($AN34,StateTables!$A$6:$AB$56,5,FALSE))),'Second Earner'!$C$28,ROUND(MAX(0,$BA34+$BB34)/'Second Earner'!$C$8+'Second Earner'!$C$25+$BC34,2))))))</f>
      </c>
      <c r="U34" s="7">
        <f>IF($B34="","",IF(VLOOKUP($AN34,StateTables!$A$6:$AB$56,24,FALSE)="flatq",IF(OR(MONTH($B34)=1,MONTH($B34)=4,MONTH($B34)=7,MONTH($B34)=10),VLOOKUP($AN34,StateTables!$A$6:$AB$56,25,FALSE),0),IF(VLOOKUP($AN34,StateTables!$A$6:$AB$56,24,FALSE)="dbl",MIN(ROUND(0.005*$N34,2),ROUND(0.6*52/'Second Earner'!$C$8,2)),IF(OR(VLOOKUP($AN34,StateTables!$A$6:$AB$56,15,FALSE)="",VLOOKUP($AN34,StateTables!$A$6:$AB$56,15,FALSE)=0),0,ROUND(VLOOKUP($AN34,StateTables!$A$6:$AB$56,15,FALSE)*IF(OR(VLOOKUP($AN34,StateTables!$A$6:$AB$56,16,FALSE)="",VLOOKUP($AN34,StateTables!$A$6:$AB$56,16,FALSE)=0),$N34,MIN($N34,MAX(0,VLOOKUP($AN34,StateTables!$A$6:$AB$56,16,FALSE)-($AX34+$AB33-$AW34)))),2))))+IF(VLOOKUP($AN34,StateTables!$A$6:$AB$56,27,FALSE)="flatq",IF(OR(MONTH($B34)=1,MONTH($B34)=4,MONTH($B34)=7,MONTH($B34)=10),VLOOKUP($AN34,StateTables!$A$6:$AB$56,28,FALSE),0),IF(VLOOKUP($AN34,StateTables!$A$6:$AB$56,27,FALSE)="dbl",MIN(ROUND(0.005*$N34,2),ROUND(0.6*52/'Second Earner'!$C$8,2)),IF(OR(VLOOKUP($AN34,StateTables!$A$6:$AB$56,18,FALSE)="",VLOOKUP($AN34,StateTables!$A$6:$AB$56,18,FALSE)=0),0,ROUND(VLOOKUP($AN34,StateTables!$A$6:$AB$56,18,FALSE)*IF(OR(VLOOKUP($AN34,StateTables!$A$6:$AB$56,19,FALSE)="",VLOOKUP($AN34,StateTables!$A$6:$AB$56,19,FALSE)=0),$N34,MIN($N34,MAX(0,VLOOKUP($AN34,StateTables!$A$6:$AB$56,19,FALSE)-($AX34+$AB33-$AW34)))),2)))))</f>
      </c>
      <c r="V34" s="7">
        <f>IF($B34="","",IF($AN34="NY",IF('Second Earner'!$C$78,ROUND(SUMPRODUCT((MAX(0,($O34-$D34)*'Second Earner'!$C$8-(IF($AU34="Married",5500,5000)+1000*$AS34))&gt;INDEX('How This Works &amp; Sources'!$B$184:$J$198,0,4))*(MAX(0,($O34-$D34)*'Second Earner'!$C$8-(IF($AU34="Married",5500,5000)+1000*$AS34))-INDEX('How This Works &amp; Sources'!$B$184:$J$198,0,4))*INDEX('How This Works &amp; Sources'!$B$184:$J$198,0,4+2))/'Second Earner'!$C$8+0.0425*$D34,2),0)+IF('Second Earner'!$C$79="Resident",ROUND(0.1675*$T34,2),IF('Second Earner'!$C$79="Nonresident",ROUND(0.005*MAX(0,($O34-$D34)-(IF($AU34="Married",7950,7400)+1000*$AS34)/'Second Earner'!$C$8),2),0)),IF($AN34="PA",IF('Second Earner'!$C$80="None",'Second Earner'!$C$27+ROUND('Second Earner'!$C$81*($C34+$D34),2),ROUND(IF('Second Earner'!$C$80="Resident",IF($B34&lt;DATE(2026,7,1),0.0374,0.03735),IF($B34&lt;DATE(2026,7,1),0.0343,0.03425))*($C34+$D34),2)),IF($BF34=0,ROUND('Second Earner'!$C$81*($C34+$D34),2),'Second Earner'!$C$27+ROUND('Second Earner'!$C$81*($C34+$D34),2)))))</f>
      </c>
      <c r="W34" s="7">
        <f>IF($B34="","",IF($BF34=0,0,$BP34))</f>
      </c>
      <c r="X34" s="7">
        <f>IF($B34="","",SUM($E34:$K34)+$P34+$Q34+$R34+$S34+$T34+$U34+$V34+$W34)</f>
      </c>
      <c r="Y34" s="22">
        <f>IF($B34="","",$C34+$D34-$X34)</f>
      </c>
      <c r="Z34" s="7">
        <f>IF($B34="","",$Z33+$C34+$D34)</f>
      </c>
      <c r="AA34" s="7">
        <f>IF($B34="","",$AA33+$Y34)</f>
      </c>
      <c r="AB34" s="7">
        <f>IF($B34="","",$AB33+MIN($N34,MAX(0,'How This Works &amp; Sources'!$C$3-($AX34+$AB33-$AW34))))</f>
      </c>
      <c r="AC34" s="7">
        <f>IF($B34="","",$AC33+$E34+$F34)</f>
      </c>
      <c r="AD34" s="3">
        <f>IF($B34="","",IF(AND($AB33&lt;'How This Works &amp; Sources'!$C$3,$AB34&gt;='How This Works &amp; Sources'!$C$3),"★ Social Security maxed on this check — from the next check your net rises by about $"&amp;TEXT(ROUND('How This Works &amp; Sources'!$C$4*$N34,2),"#,##0.00")&amp;". ","")&amp;IF(AND($AC33&lt;'Second Earner'!$C$34,$AC34&gt;='Second Earner'!$C$34),"★ 401(k) reaches the $"&amp;TEXT('Second Earner'!$C$34,"#,##0")&amp;" cap on this check — deferrals stop and net pay rises. ","")&amp;IF(AND($AG33&lt;'How This Works &amp; Sources'!$C$7,$AG34&gt;='How This Works &amp; Sources'!$C$7),"★ Wages pass $200,000 — the 0.9% Additional Medicare Tax starts here. ","")&amp;IF(AND($BJ34&gt;0,$H34&gt;0,$BG33&lt;MIN($BJ34,'How This Works &amp; Sources'!$C$13),$BG33+$H34&gt;=MIN($BJ34,'How This Works &amp; Sources'!$C$13)),"★ Health FSA election is now fully deferred for the year. ",""))</f>
      </c>
      <c r="AE34" s="41" t="n"/>
      <c r="AF34" s="7">
        <f>IF(OR($B34="",$AE34=""),"",$AE34-$Y34)</f>
      </c>
      <c r="AG34" s="7">
        <f>IF($B34="","",$AG33+$N34)</f>
      </c>
      <c r="AH34" s="7">
        <f>IF($B34="","",MAX(0,($M34-$D34)*'Second Earner'!$C$8+$AP34-$AQ34-IF('Second Earner'!$C$13,0,IF('Second Earner'!$C$12="MFJ",'How This Works &amp; Sources'!$C$8,'How This Works &amp; Sources'!$C$9))))</f>
      </c>
      <c r="AI34" s="7">
        <f>IF($B34="","",$O34*'Second Earner'!$C$8)</f>
      </c>
      <c r="AJ34" s="7">
        <f>IF($B34="","",MAX(0,$AI34-VLOOKUP($AN34,StateTables!$A$6:$AB$56,12,FALSE)*$AT34-IF(($AS34+$AT34)&gt;=2,VLOOKUP($AN34,StateTables!$A$6:$AB$56,8,FALSE),VLOOKUP($AN34,StateTables!$A$6:$AB$56,7,FALSE))))</f>
      </c>
      <c r="AK34" s="7">
        <f>IF($B34="","",IFERROR(LOOKUP(2,1/(('Changes — Earner 2'!$C$6:$C$17="Salary change")*('Changes — Earner 2'!$B$6:$B$17&lt;=$B34)*('Changes — Earner 2'!$B$6:$B$17&lt;&gt;"")),'Changes — Earner 2'!$D$6:$D$17),IF('Second Earner'!$C$4="Annual salary",'Second Earner'!$C$5,'Second Earner'!$C$6)))</f>
      </c>
      <c r="AL34">
        <f>IF($B34="","",IFERROR(LOOKUP(2,1/(('Changes — Earner 2'!$C$6:$C$17="401(k) change")*('Changes — Earner 2'!$B$6:$B$17&lt;=$B34)*('Changes — Earner 2'!$B$6:$B$17&lt;&gt;"")),'Changes — Earner 2'!$D$6:$D$17),'Second Earner'!$C$30))</f>
      </c>
      <c r="AM34" s="7">
        <f>IF($B34="","",IFERROR(LOOKUP(2,1/(('Changes — Earner 2'!$C$6:$C$17="401(k) change")*('Changes — Earner 2'!$B$6:$B$17&lt;=$B34)*('Changes — Earner 2'!$B$6:$B$17&lt;&gt;"")),'Changes — Earner 2'!$E$6:$E$17),'Second Earner'!$D$31))</f>
      </c>
      <c r="AN34">
        <f>IF($B34="","",IFERROR(LOOKUP(2,1/(('Changes — Earner 2'!$C$6:$C$17="State move")*('Changes — Earner 2'!$B$6:$B$17&lt;=$B34)*('Changes — Earner 2'!$B$6:$B$17&lt;&gt;"")),'Changes — Earner 2'!$D$6:$D$17),'Second Earner'!$C$21))</f>
      </c>
      <c r="AO34" s="7">
        <f>IF($B34="","",IFERROR(LOOKUP(2,1/(('Changes — Earner 2'!$C$6:$C$17="W-4 change")*('Changes — Earner 2'!$B$6:$B$17&lt;=$B34)*('Changes — Earner 2'!$B$6:$B$17&lt;&gt;"")),'Changes — Earner 2'!$D$6:$D$17),'Second Earner'!$C$14))</f>
      </c>
      <c r="AP34" s="7">
        <f>IF($B34="","",IFERROR(LOOKUP(2,1/(('Changes — Earner 2'!$C$6:$C$17="W-4 change")*('Changes — Earner 2'!$B$6:$B$17&lt;=$B34)*('Changes — Earner 2'!$B$6:$B$17&lt;&gt;"")),'Changes — Earner 2'!$E$6:$E$17),'Second Earner'!$C$15))</f>
      </c>
      <c r="AQ34" s="7">
        <f>IF($B34="","",IFERROR(LOOKUP(2,1/(('Changes — Earner 2'!$C$6:$C$17="W-4 change")*('Changes — Earner 2'!$B$6:$B$17&lt;=$B34)*('Changes — Earner 2'!$B$6:$B$17&lt;&gt;"")),'Changes — Earner 2'!$F$6:$F$17),'Second Earner'!$C$16))</f>
      </c>
      <c r="AR34" s="7">
        <f>IF($B34="","",IFERROR(LOOKUP(2,1/(('Changes — Earner 2'!$C$6:$C$17="W-4 change")*('Changes — Earner 2'!$B$6:$B$17&lt;=$B34)*('Changes — Earner 2'!$B$6:$B$17&lt;&gt;"")),'Changes — Earner 2'!$G$6:$G$17),'Second Earner'!$C$17))</f>
      </c>
      <c r="AS34" s="6">
        <f>IF($B34="","",IFERROR(LOOKUP(2,1/((('Changes — Earner 2'!$C$6:$C$17="State move")+('Changes — Earner 2'!$C$6:$C$17="State cert change"))*('Changes — Earner 2'!$B$6:$B$17&lt;=$B34)*('Changes — Earner 2'!$B$6:$B$17&lt;&gt;"")),'Changes — Earner 2'!$F$6:$F$17),'Second Earner'!$C$23))</f>
      </c>
      <c r="AT34" s="6">
        <f>IF($B34="","",IFERROR(LOOKUP(2,1/((('Changes — Earner 2'!$C$6:$C$17="State move")+('Changes — Earner 2'!$C$6:$C$17="State cert change"))*('Changes — Earner 2'!$B$6:$B$17&lt;=$B34)*('Changes — Earner 2'!$B$6:$B$17&lt;&gt;"")),'Changes — Earner 2'!$G$6:$G$17),'Second Earner'!$C$24))</f>
      </c>
      <c r="AU34">
        <f>IF($B34="","",IFERROR(LOOKUP(2,1/(('Changes — Earner 2'!$C$6:$C$17="State move")*('Changes — Earner 2'!$B$6:$B$17&lt;=$B34)*('Changes — Earner 2'!$B$6:$B$17&lt;&gt;"")),'Changes — Earner 2'!$E$6:$E$17),'Second Earner'!$C$22))</f>
      </c>
      <c r="AV34" s="6">
        <f>IF($B34="","",1+COUNTIFS('Changes — Earner 2'!$C$6:$C$17,"Employer change",'Changes — Earner 2'!$B$6:$B$17,"&lt;="&amp;$B34,'Changes — Earner 2'!$B$6:$B$17,"&lt;&gt;"))</f>
      </c>
      <c r="AW34" s="7">
        <f>IF($B34="","",IF($AV34=1,'Second Earner'!$C$49,IF(IFERROR(MATCH(IFERROR(LOOKUP(2,1/(('Changes — Earner 2'!$C$6:$C$17="Employer change")*('Changes — Earner 2'!$B$6:$B$17&lt;=$B34)*('Changes — Earner 2'!$B$6:$B$17&lt;&gt;"")),'Changes — Earner 2'!$B$6:$B$17),""),$B$6:$B$68,1),1)&lt;=1,'Second Earner'!$C$49,INDEX($AB$6:$AB$68,MATCH(IFERROR(LOOKUP(2,1/(('Changes — Earner 2'!$C$6:$C$17="Employer change")*('Changes — Earner 2'!$B$6:$B$17&lt;=$B34)*('Changes — Earner 2'!$B$6:$B$17&lt;&gt;"")),'Changes — Earner 2'!$B$6:$B$17),""),$B$6:$B$68,1)-1))))</f>
      </c>
      <c r="AX34" s="7">
        <f>IF($B34="","",IF($AV34=1,'Second Earner'!$C$49,IFERROR(LOOKUP(2,1/(('Changes — Earner 2'!$C$6:$C$17="Employer change")*('Changes — Earner 2'!$B$6:$B$17&lt;=$B34)*('Changes — Earner 2'!$B$6:$B$17&lt;&gt;"")),'Changes — Earner 2'!$D$6:$D$17),0)))</f>
      </c>
      <c r="AY34" s="7">
        <f>IF($B34="","",($O34-$D34)*'Second Earner'!$C$8)</f>
      </c>
      <c r="AZ34" s="7">
        <f>IF($B34="","",IF($AN34="AL",MAX(0,$AY34-IF($AU34="Married",IF($AY34&lt;=25999,8500,MAX(5000,8500-175*CEILING(($AY34-25999)/500,1))),IF($AU34="Head of household",IF($AY34&lt;=25999,5200,MAX(2500,5200-135*CEILING(($AY34-25999)/500,1))),IF($AY34&lt;=25999,3000,MAX(2500,3000-25*CEILING(($AY34-25999)/500,1)))))-($P34-'How This Works &amp; Sources'!$C$10*$D34)*'Second Earner'!$C$8-IF(OR($AU34="Married",$AU34="Head of household"),3000,1500)-$AT34*IF($AY34&lt;=50000,1000,IF($AY34&lt;=100000,500,300))),IF($AN34="AR",IF(MAX(0,$AY34-2470)&lt;97701,INT(MAX(0,$AY34-2470)/100)*100+50,MAX(0,$AY34-2470)),IF($AN34="DE",MAX(0,$AI34-3250),IF($AN34="HI",MAX(0,$AI34-1144*$AS34-4350),IF($AN34="KS",MAX(0,$AI34-(9160*IF($AU34="Married",2,1)+2320*$AT34+IF($AU34="Head of household",2320,0))),IF($AN34="MD",MAX(0,$AI34-3400-3200*$AS34),IF($AN34="MN",MAX(0,$AY34-5300*$AS34),IF($AN34="MO",MAX(0,$AI34-IF($AU34="Head of household",24150,IF($AU34="Married",IF('Second Earner'!$C$83,16100,32200),16100))),IF($AN34="MT",$AY34,IF($AN34="ND",($C34+$L34)*'Second Earner'!$C$8,IF($AN34="NE",MAX(0,$AY34-2440*$AS34),IF($AN34="NJ",MAX(0,$AY34-1000*$AS34),IF($AN34="NY",MAX(0,$AY34-(IF($AU34="Married",7950,7400)+1000*$AS34)),IF($AN34="OH",MAX(0,$AY34-650*$AS34),IF($AN34="OK",MAX(0,$AY34-1000*$AS34),IF($AN34="RI",MAX(0,$AI34-1000*$AS34),IF($AN34="SC",MAX(0,$AI34-5000*$AS34-IF($AS34=0,0,MIN(0.1*$AI34,7500))),IF($AN34="VA",MAX(0,$AI34-IF($AU34="Married",17500,8750)-930*$AS34-800*$AT34),IF($AN34="VT",MAX(0,$AI34-5400*$AS34),IF($AN34="WI",MAX(0,$AI34-MAX(0,IF($AU34="Married",9461-0.2*MAX(0,$AI34-25727),6702-0.12*MAX(0,$AI34-17780)))-400*$AS34),IF($AN34="WV",MAX(0,$AI34-2000*$AS34),$AI34))))))))))))))))))))))</f>
      </c>
      <c r="BA34" s="7">
        <f>IF($B34="","",IF($BW34&lt;&gt;"",$BW34,IF($BX34&lt;&gt;"",$BX34,IF($BY34&lt;&gt;"",$BY34,0))))</f>
      </c>
      <c r="BB34" s="7">
        <f>IF($B34="","",IF($AN34="AR",-29*$AS34,IF($AN34="DE",-110*$AS34,IF($AN34="MD",$AZ34*'Second Earner'!$C$74,IF($AN34="AZ",'Second Earner'!$C$82*($M34-$D34)*'Second Earner'!$C$8,IF($AN34="CO",0.044*MAX(0,$AY34-IF($AU34="Married",10000,5000)),IF($AN34="IA",MAX(0,0.038*MAX(0,$AY34-IF($AU34="Head of household",19500,IF($AU34="Married",26000,13000)))-40*$AS34),IF($AN34="ID",0.053*MAX(0,$AY34-IF($AU34="Married",32000,16094)),IF($AN34="IL",0.0495*MAX(0,$AY34-(2925*$AS34+1000*$AT34)),IF($AN34="IN",(0.0295+'Second Earner'!$C$76)*MAX(0,$AY34-(1000*$AS34+1500*$AT34+3000*'Second Earner'!$C$86)),IF($AN34="KY",0.035*MAX(0,$AI34-3360),IF($AN34="LA",IF('Second Earner'!$C$84="0",0.0309*$AI34,0.0309*MAX(0,$AI34-IF('Second Earner'!$C$84="2",25750,12875))),IF($AN34="MA",0.05*MIN(MAX(0,$AY34-MIN(($BD33+$Q34+$R34+$S34),2000)-IF($AS34=0,0,IF($AS34=1,4400,1000*$AS34+3400))),1107750)+0.09*MAX(0,MAX(0,$AY34-MIN(($BD33+$Q34+$R34+$S34),2000)-IF($AS34=0,0,IF($AS34=1,4400,1000*$AS34+3400)))-1107750)-IF($AU34="Head of household",120,0)-110*'Second Earner'!$C$75,IF($AN34="MI",0.0425*MAX(0,$AY34-5900*$AS34),IF($AN34="MS",0.04*MAX(0,$AI34-IF($AU34="Head of household",3400,IF($AU34="Married",4600,2300))-'Second Earner'!$C$85-10000),IF($AN34="OR",IF(OR($AU34="Married",AND($AU34="Single",$AS34&gt;=3)),SUMPRODUCT((MAX(0,$AY34-MIN(($P34-'How This Works &amp; Sources'!$C$10*$D34)*'Second Earner'!$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Sources'!$B$211:$J$214,0,4))*(MAX(0,$AY34-MIN(($P34-'How This Works &amp; Sources'!$C$10*$D34)*'Second Earner'!$C$8,IF(OR($AU34="Married",AND($AU34="Single",$AS34&gt;=3)),IF($AY34&lt;250000,8750,IF($AY34&lt;260000,7000,IF($AY34&lt;270000,5250,IF($AY34&lt;280000,3500,IF($AY34&lt;290000,1750,0))))),IF($AY34&lt;125000,8750,IF($AY34&lt;130000,7000,IF($AY34&lt;135000,5250,IF($AY34&lt;140000,3500,IF($AY34&lt;145000,1750,0)))))))-IF(OR($AU34="Married",AND($AU34="Single",$AS34&gt;=3)),5820,2910))-INDEX('How This Works &amp; Sources'!$B$211:$J$214,0,4))*INDEX('How This Works &amp; Sources'!$B$211:$J$214,0,4+2)),SUMPRODUCT((MAX(0,$AY34-MIN(($P34-'How This Works &amp; Sources'!$C$10*$D34)*'Second Earner'!$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Sources'!$B$211:$J$214,0,1))*(MAX(0,$AY34-MIN(($P34-'How This Works &amp; Sources'!$C$10*$D34)*'Second Earner'!$C$8,IF(OR($AU34="Married",AND($AU34="Single",$AS34&gt;=3)),IF($AY34&lt;250000,8750,IF($AY34&lt;260000,7000,IF($AY34&lt;270000,5250,IF($AY34&lt;280000,3500,IF($AY34&lt;290000,1750,0))))),IF($AY34&lt;125000,8750,IF($AY34&lt;130000,7000,IF($AY34&lt;135000,5250,IF($AY34&lt;140000,3500,IF($AY34&lt;145000,1750,0)))))))-IF(OR($AU34="Married",AND($AU34="Single",$AS34&gt;=3)),5820,2910))-INDEX('How This Works &amp; Sources'!$B$211:$J$214,0,1))*INDEX('How This Works &amp; Sources'!$B$211:$J$214,0,1+2)))+263-263*IF(IF($AU34="Married",$AY34&gt;200000,$AY34&gt;100000),0,$AS34),IF($AN34="PA",0.0307*(($O34+$E34+$G34)*'Second Earner'!$C$8),IF($AN34="NY",IF($AU34="Married",IF($AZ34&gt;=2155350,0,IF($AZ34&gt;=1077550,0.48,IF($AZ34&gt;=373200,1.21,IF($AZ34&gt;=323200,0.21,IF($AZ34&gt;=211550,-0.19,IF($AZ34&gt;=157650,-2.8,IF($AZ34&gt;=107650,-0.8,IF($AZ34&gt;=96800,0.05,IF($AZ34&gt;=80650,-0.1,IF($AZ34&gt;=13900,0.4,IF($AZ34&gt;=11700,-0.3,IF($AZ34&gt;=8500,0.5,0)))))))))))),IF($AZ34&gt;=1077550,0,IF($AZ34&gt;=265400,4.29,IF($AZ34&gt;=215400,2.29,IF($AZ34&gt;=157650,2.29,IF($AZ34&gt;=107650,0.29,IF($AZ34&gt;=96800,0.05,IF($AZ34&gt;=80650,-0.1,IF($AZ34&gt;=13900,0.4,IF($AZ34&gt;=11700,-0.3,IF($AZ34&gt;=8500,0.5,0))))))))))),0))))))))))))))))))</f>
      </c>
      <c r="BC34" s="7">
        <f>IF($B34="","",IF($AN34="AL",0.05*$D34,IF($AN34="AR",0.039*$D34,IF($AN34="ID",0.053*$D34,IF($AN34="IN",(0.0295+'Second Earner'!$C$76)*$D34,IF($AN34="KS",0.05*$D34,IF($AN34="MA",0.09*MIN($D34,MAX(0,MAX(0,$AY34-MIN(($BD33+$Q34+$R34+$S34),2000)-IF($AS34=0,0,IF($AS34=1,4400,1000*$AS34+3400)))+$D34-1107750))+0.05*($D34-MIN($D34,MAX(0,MAX(0,$AY34-MIN(($BD33+$Q34+$R34+$S34),2000)-IF($AS34=0,0,IF($AS34=1,4400,1000*$AS34+3400)))+$D34-1107750))),IF($AN34="MD",(0.065+'Second Earner'!$C$74)*$D34,IF($AN34="MI",0.0425*$D34,IF($AN34="MN",0.0625*$D34,IF($AN34="MO",0.047*$D34,IF($AN34="MT",0.05*$D34,IF($AN34="ND",0.015*$D34,IF($AN34="NE",0.035*$D34,IF($AN34="NJ",IF('Second Earner'!$C$77="B",SUMPRODUCT(($D34*'Second Earner'!$C$8&gt;INDEX('How This Works &amp; Sources'!$B$155:$J$162,0,4))*($D34*'Second Earner'!$C$8-INDEX('How This Works &amp; Sources'!$B$155:$J$162,0,4))*INDEX('How This Works &amp; Sources'!$B$155:$J$162,0,4+2)),IF('Second Earner'!$C$77="C",SUMPRODUCT(($D34*'Second Earner'!$C$8&gt;INDEX('How This Works &amp; Sources'!$B$155:$J$162,0,7))*($D34*'Second Earner'!$C$8-INDEX('How This Works &amp; Sources'!$B$155:$J$162,0,7))*INDEX('How This Works &amp; Sources'!$B$155:$J$162,0,7+2)),IF('Second Earner'!$C$77="D",SUMPRODUCT(($D34*'Second Earner'!$C$8&gt;INDEX('How This Works &amp; Sources'!$B$167:$J$179,0,1))*($D34*'Second Earner'!$C$8-INDEX('How This Works &amp; Sources'!$B$167:$J$179,0,1))*INDEX('How This Works &amp; Sources'!$B$167:$J$179,0,1+2)),IF('Second Earner'!$C$77="E",SUMPRODUCT(($D34*'Second Earner'!$C$8&gt;INDEX('How This Works &amp; Sources'!$B$167:$J$179,0,4))*($D34*'Second Earner'!$C$8-INDEX('How This Works &amp; Sources'!$B$167:$J$179,0,4))*INDEX('How This Works &amp; Sources'!$B$167:$J$179,0,4+2)),SUMPRODUCT(($D34*'Second Earner'!$C$8&gt;INDEX('How This Works &amp; Sources'!$B$155:$J$162,0,1))*($D34*'Second Earner'!$C$8-INDEX('How This Works &amp; Sources'!$B$155:$J$162,0,1))*INDEX('How This Works &amp; Sources'!$B$155:$J$162,0,1+2))))))/'Second Earner'!$C$8,IF($AN34="NY",0.117*$D34,IF($AN34="OH",0.0275*$D34,IF($AN34="OK",0.045*$D34,IF($AN34="OR",0.08*$D34,IF($AN34="WI",IF($AY34&lt;12760,0.0354,IF($AY34&lt;25520,0.0465,IF($AY34&lt;280950,0.053,0.0765)))*$D34,0))))))))))))))))))))</f>
      </c>
      <c r="BD34" s="7">
        <f>IF($B34="","",$BD33+$Q34+$R34+$S34)</f>
      </c>
      <c r="BE34" s="6">
        <f>IF($B34="",$BE33,$BE33+$BF34)</f>
      </c>
      <c r="BF34" s="6">
        <f>IF($B34="","",IF(AND(IF(YEAR(IF('Second Earner'!$C$7="Weekly",'Second Earner'!$C$9+7*(($BE33+1)-1),IF('Second Earner'!$C$7="Biweekly",'Second Earner'!$C$9+14*(($BE33+1)-1),IF('Second Earner'!$C$7="Semimonthly",DATE(YEAR('Second Earner'!$C$9),MONTH('Second Earner'!$C$9)+INT((($BE33+1)-1)/2),MIN(DAY('Second Earner'!$C$9),DAY(EOMONTH(DATE(YEAR('Second Earner'!$C$9),MONTH('Second Earner'!$C$9)+INT((($BE33+1)-1)/2),1),0))))+IF(MOD(($BE33+1)-1,2)=1,15,0),EDATE('Second Earner'!$C$9,($BE33+1)-1)))))&lt;&gt;'Second Earner'!$C$10,"",IF('Second Earner'!$C$7="Weekly",'Second Earner'!$C$9+7*(($BE33+1)-1),IF('Second Earner'!$C$7="Biweekly",'Second Earner'!$C$9+14*(($BE33+1)-1),IF('Second Earner'!$C$7="Semimonthly",DATE(YEAR('Second Earner'!$C$9),MONTH('Second Earner'!$C$9)+INT((($BE33+1)-1)/2),MIN(DAY('Second Earner'!$C$9),DAY(EOMONTH(DATE(YEAR('Second Earner'!$C$9),MONTH('Second Earner'!$C$9)+INT((($BE33+1)-1)/2),1),0))))+IF(MOD(($BE33+1)-1,2)=1,15,0),EDATE('Second Earner'!$C$9,($BE33+1)-1)))))&lt;&gt;"",$B34=IF(YEAR(IF('Second Earner'!$C$7="Weekly",'Second Earner'!$C$9+7*(($BE33+1)-1),IF('Second Earner'!$C$7="Biweekly",'Second Earner'!$C$9+14*(($BE33+1)-1),IF('Second Earner'!$C$7="Semimonthly",DATE(YEAR('Second Earner'!$C$9),MONTH('Second Earner'!$C$9)+INT((($BE33+1)-1)/2),MIN(DAY('Second Earner'!$C$9),DAY(EOMONTH(DATE(YEAR('Second Earner'!$C$9),MONTH('Second Earner'!$C$9)+INT((($BE33+1)-1)/2),1),0))))+IF(MOD(($BE33+1)-1,2)=1,15,0),EDATE('Second Earner'!$C$9,($BE33+1)-1)))))&lt;&gt;'Second Earner'!$C$10,"",IF('Second Earner'!$C$7="Weekly",'Second Earner'!$C$9+7*(($BE33+1)-1),IF('Second Earner'!$C$7="Biweekly",'Second Earner'!$C$9+14*(($BE33+1)-1),IF('Second Earner'!$C$7="Semimonthly",DATE(YEAR('Second Earner'!$C$9),MONTH('Second Earner'!$C$9)+INT((($BE33+1)-1)/2),MIN(DAY('Second Earner'!$C$9),DAY(EOMONTH(DATE(YEAR('Second Earner'!$C$9),MONTH('Second Earner'!$C$9)+INT((($BE33+1)-1)/2),1),0))))+IF(MOD(($BE33+1)-1,2)=1,15,0),EDATE('Second Earner'!$C$9,($BE33+1)-1)))))),1,0))</f>
      </c>
      <c r="BG34" s="7">
        <f>IF($B34="","",$BG33+$H34)</f>
      </c>
      <c r="BH34" s="7">
        <f>IF($B34="","",$BH33+$I34)</f>
      </c>
      <c r="BI34" s="7">
        <f>IF($B34="","",$BI33+$G34)</f>
      </c>
      <c r="BJ34" s="7">
        <f>IF($B34="","",IFERROR(LOOKUP(2,1/(((('Changes — Earner 2'!$C$6:$C$17="Deduction start"))*('Changes — Earner 2'!$D$6:$D$17="Health FSA"))*('Changes — Earner 2'!$B$6:$B$17&lt;=$B34)*('Changes — Earner 2'!$B$6:$B$17&lt;&gt;"")),'Changes — Earner 2'!$E$6:$E$17),'Second Earner'!$D$38))</f>
      </c>
      <c r="BK34" s="7">
        <f>IF($B34="","",IFERROR(LOOKUP(2,1/(((('Changes — Earner 2'!$C$6:$C$17="Deduction start"))*('Changes — Earner 2'!$D$6:$D$17="Dependent-care FSA"))*('Changes — Earner 2'!$B$6:$B$17&lt;=$B34)*('Changes — Earner 2'!$B$6:$B$17&lt;&gt;"")),'Changes — Earner 2'!$E$6:$E$17),'Second Earner'!$D$39))</f>
      </c>
      <c r="BL34" s="7">
        <f>IF($B34="","",IFERROR(LOOKUP(2,1/(((('Changes — Earner 2'!$C$6:$C$17="Deduction start")+('Changes — Earner 2'!$C$6:$C$17="Deduction stop"))*('Changes — Earner 2'!$D$6:$D$17="HSA"))*('Changes — Earner 2'!$B$6:$B$17&lt;=$B34)*('Changes — Earner 2'!$B$6:$B$17&lt;&gt;"")),'Changes — Earner 2'!$I$6:$I$17),'Second Earner'!$D$35))</f>
      </c>
      <c r="BM34" s="7">
        <f>IF($B34="","",IFERROR(LOOKUP(2,1/(((('Changes — Earner 2'!$C$6:$C$17="Deduction start")+('Changes — Earner 2'!$C$6:$C$17="Deduction stop"))*('Changes — Earner 2'!$D$6:$D$17="Premiums"))*('Changes — Earner 2'!$B$6:$B$17&lt;=$B34)*('Changes — Earner 2'!$B$6:$B$17&lt;&gt;"")),'Changes — Earner 2'!$I$6:$I$17),'Second Earner'!$D$40+'Second Earner'!$D$41+'Second Earner'!$D$42))</f>
      </c>
      <c r="BN34" s="7">
        <f>IF($B34="","",IFERROR(LOOKUP(2,1/(((('Changes — Earner 2'!$C$6:$C$17="Deduction start")+('Changes — Earner 2'!$C$6:$C$17="Deduction stop"))*('Changes — Earner 2'!$D$6:$D$17="Commuter"))*('Changes — Earner 2'!$B$6:$B$17&lt;=$B34)*('Changes — Earner 2'!$B$6:$B$17&lt;&gt;"")),'Changes — Earner 2'!$I$6:$I$17),'Second Earner'!$D$43))</f>
      </c>
      <c r="BO34" s="7">
        <f>IF($B34="","",IFERROR(LOOKUP(2,1/(((('Changes — Earner 2'!$C$6:$C$17="Deduction start")+('Changes — Earner 2'!$C$6:$C$17="Deduction stop"))*('Changes — Earner 2'!$D$6:$D$17="Other pre-tax"))*('Changes — Earner 2'!$B$6:$B$17&lt;=$B34)*('Changes — Earner 2'!$B$6:$B$17&lt;&gt;"")),'Changes — Earner 2'!$I$6:$I$17),'Second Earner'!$D$44))</f>
      </c>
      <c r="BP34" s="7">
        <f>IF($B34="","",IFERROR(LOOKUP(2,1/(((('Changes — Earner 2'!$C$6:$C$17="Deduction start")+('Changes — Earner 2'!$C$6:$C$17="Deduction stop"))*('Changes — Earner 2'!$D$6:$D$17="Other post-tax"))*('Changes — Earner 2'!$B$6:$B$17&lt;=$B34)*('Changes — Earner 2'!$B$6:$B$17&lt;&gt;"")),'Changes — Earner 2'!$I$6:$I$17),'Second Earner'!$D$45))</f>
      </c>
      <c r="BQ34" s="6">
        <f>IF($B34="","",IFERROR(LOOKUP(2,1/(((('Changes — Earner 2'!$C$6:$C$17="Deduction start")+('Changes — Earner 2'!$C$6:$C$17="Deduction stop"))*('Changes — Earner 2'!$D$6:$D$17="Health FSA"))*('Changes — Earner 2'!$B$6:$B$17&lt;=$B34)*('Changes — Earner 2'!$B$6:$B$17&lt;&gt;"")),'Changes — Earner 2'!$J$6:$J$17),0))</f>
      </c>
      <c r="BR34" s="6">
        <f>IF($B34="","",IFERROR(LOOKUP(2,1/(((('Changes — Earner 2'!$C$6:$C$17="Deduction start")+('Changes — Earner 2'!$C$6:$C$17="Deduction stop"))*('Changes — Earner 2'!$D$6:$D$17="Dependent-care FSA"))*('Changes — Earner 2'!$B$6:$B$17&lt;=$B34)*('Changes — Earner 2'!$B$6:$B$17&lt;&gt;"")),'Changes — Earner 2'!$J$6:$J$17),0))</f>
      </c>
      <c r="BS34" s="6">
        <f>IF($B34="","",IF(SUMPRODUCT(('Changes — Earner 2'!$C$6:$C$17="Deduction start")*('Changes — Earner 2'!$B$6:$B$17&lt;=$B34)*('Changes — Earner 2'!$B$6:$B$17&lt;&gt;"")*('Changes — Earner 2'!$D$6:$D$17="Health FSA"))&gt;0,1,0))</f>
      </c>
      <c r="BT34" s="6">
        <f>IF($B34="","",IF(SUMPRODUCT(('Changes — Earner 2'!$C$6:$C$17="Deduction start")*('Changes — Earner 2'!$B$6:$B$17&lt;=$B34)*('Changes — Earner 2'!$B$6:$B$17&lt;&gt;"")*('Changes — Earner 2'!$D$6:$D$17="Dependent-care FSA"))&gt;0,1,0))</f>
      </c>
      <c r="BU34" s="24">
        <f>IF($B34="","",IF('Second Earner'!$C$13,SUMPRODUCT(($AH34&gt;=INDEX('How This Works &amp; Sources'!$B$29:$J$36,0,IF('Second Earner'!$C$12="MFJ",1,IF('Second Earner'!$C$12="HoH",7,4))))*INDEX('How This Works &amp; Sources'!$B$29:$J$36,0,IF('Second Earner'!$C$12="MFJ",1,IF('Second Earner'!$C$12="HoH",7,4))+2)),SUMPRODUCT(($AH34&gt;=INDEX('How This Works &amp; Sources'!$B$19:$J$26,0,IF('Second Earner'!$C$12="MFJ",1,IF('Second Earner'!$C$12="HoH",7,4))))*INDEX('How This Works &amp; Sources'!$B$19:$J$26,0,IF('Second Earner'!$C$12="MFJ",1,IF('Second Earner'!$C$12="HoH",7,4))+2))))</f>
      </c>
      <c r="BV34" s="24">
        <f>IF($B34="","",IF($BZ34&lt;&gt;"",$BZ34,IF($CA34&lt;&gt;"",$CA34,IF($CB34&lt;&gt;"",$CB34,IF($CC34&lt;&gt;"",$CC34,0)))))</f>
      </c>
      <c r="BW34" s="7">
        <f>IF($B34="","",IF($AN34="AR",SUMPRODUCT(($AZ34&gt;INDEX('How This Works &amp; Sources'!$B$82:$J$86,0,7))*($AZ34-INDEX('How This Works &amp; Sources'!$B$82:$J$86,0,7))*INDEX('How This Works &amp; Sources'!$B$82:$J$86,0,7+2)),IF($AN34="MD",IF(OR($AU34="Married",$AU34="Head of household"),SUMPRODUCT(($AZ34&gt;INDEX('How This Works &amp; Sources'!$B$114:$J$120,0,1))*($AZ34-INDEX('How This Works &amp; Sources'!$B$114:$J$120,0,1))*INDEX('How This Works &amp; Sources'!$B$114:$J$120,0,1+2)),SUMPRODUCT(($AZ34&gt;INDEX('How This Works &amp; Sources'!$B$103:$J$109,0,7))*($AZ34-INDEX('How This Works &amp; Sources'!$B$103:$J$109,0,7))*INDEX('How This Works &amp; Sources'!$B$103:$J$109,0,7+2))),IF($AN34="MT",IF($AU34="Head of household",SUMPRODUCT(($AZ34&gt;INDEX('How This Works &amp; Sources'!$B$137:$J$139,0,1))*($AZ34-INDEX('How This Works &amp; Sources'!$B$137:$J$139,0,1))*INDEX('How This Works &amp; Sources'!$B$137:$J$139,0,1+2)),IF($AU34="Married",SUMPRODUCT(($AZ34&gt;INDEX('How This Works &amp; Sources'!$B$125:$J$132,0,7))*($AZ34-INDEX('How This Works &amp; Sources'!$B$125:$J$132,0,7))*INDEX('How This Works &amp; Sources'!$B$125:$J$132,0,7+2)),SUMPRODUCT(($AZ34&gt;INDEX('How This Works &amp; Sources'!$B$125:$J$132,0,4))*($AZ34-INDEX('How This Works &amp; Sources'!$B$125:$J$132,0,4))*INDEX('How This Works &amp; Sources'!$B$125:$J$132,0,4+2)))),IF($AN34="ND",IF($AU34="Head of household",SUMPRODUCT(($AZ34&gt;INDEX('How This Works &amp; Sources'!$B$144:$J$150,0,1))*($AZ34-INDEX('How This Works &amp; Sources'!$B$144:$J$150,0,1))*INDEX('How This Works &amp; Sources'!$B$144:$J$150,0,1+2)),IF($AU34="Married",SUMPRODUCT(($AZ34&gt;INDEX('How This Works &amp; Sources'!$B$137:$J$139,0,7))*($AZ34-INDEX('How This Works &amp; Sources'!$B$137:$J$139,0,7))*INDEX('How This Works &amp; Sources'!$B$137:$J$139,0,7+2)),SUMPRODUCT(($AZ34&gt;INDEX('How This Works &amp; Sources'!$B$137:$J$139,0,4))*($AZ34-INDEX('How This Works &amp; Sources'!$B$137:$J$139,0,4))*INDEX('How This Works &amp; Sources'!$B$137:$J$139,0,4+2)))),IF($AN34="NJ",IF('Second Earner'!$C$77="B",SUMPRODUCT(($AZ34&gt;INDEX('How This Works &amp; Sources'!$B$155:$J$162,0,4))*($AZ34-INDEX('How This Works &amp; Sources'!$B$155:$J$162,0,4))*INDEX('How This Works &amp; Sources'!$B$155:$J$162,0,4+2)),IF('Second Earner'!$C$77="C",SUMPRODUCT(($AZ34&gt;INDEX('How This Works &amp; Sources'!$B$155:$J$162,0,7))*($AZ34-INDEX('How This Works &amp; Sources'!$B$155:$J$162,0,7))*INDEX('How This Works &amp; Sources'!$B$155:$J$162,0,7+2)),IF('Second Earner'!$C$77="D",SUMPRODUCT(($AZ34&gt;INDEX('How This Works &amp; Sources'!$B$167:$J$179,0,1))*($AZ34-INDEX('How This Works &amp; Sources'!$B$167:$J$179,0,1))*INDEX('How This Works &amp; Sources'!$B$167:$J$179,0,1+2)),IF('Second Earner'!$C$77="E",SUMPRODUCT(($AZ34&gt;INDEX('How This Works &amp; Sources'!$B$167:$J$179,0,4))*($AZ34-INDEX('How This Works &amp; Sources'!$B$167:$J$179,0,4))*INDEX('How This Works &amp; Sources'!$B$167:$J$179,0,4+2)),SUMPRODUCT(($AZ34&gt;INDEX('How This Works &amp; Sources'!$B$155:$J$162,0,1))*($AZ34-INDEX('How This Works &amp; Sources'!$B$155:$J$162,0,1))*INDEX('How This Works &amp; Sources'!$B$155:$J$162,0,1+2)))))),IF($AN34="NY",IF($AU34="Married",IF($AZ34&gt;=2155350,$AZ34*IF($AZ34&gt;25000000,0.117,IF($AZ34&gt;5000000,0.111,0.1045)),SUMPRODUCT(($AZ34&gt;INDEX('How This Works &amp; Sources'!$B$184:$J$198,0,1))*($AZ34-INDEX('How This Works &amp; Sources'!$B$184:$J$198,0,1))*INDEX('How This Works &amp; Sources'!$B$184:$J$198,0,1+2))),IF($AZ34&gt;=1077550,$AZ34*IF($AZ34&gt;25000000,0.117,IF($AZ34&gt;5000000,0.111,0.1045)),SUMPRODUCT(($AZ34&gt;INDEX('How This Works &amp; Sources'!$B$167:$J$179,0,7))*($AZ34-INDEX('How This Works &amp; Sources'!$B$167:$J$179,0,7))*INDEX('How This Works &amp; Sources'!$B$167:$J$179,0,7+2)))),"")))))))</f>
      </c>
      <c r="BX34" s="7">
        <f>IF($B34="","",IF($AN34="AL",IF(OR($AU34="Married",$AU34="Head of household"),SUMPRODUCT(($AZ34&gt;INDEX('How This Works &amp; Sources'!$B$82:$J$86,0,4))*($AZ34-INDEX('How This Works &amp; Sources'!$B$82:$J$86,0,4))*INDEX('How This Works &amp; Sources'!$B$82:$J$86,0,4+2)),SUMPRODUCT(($AZ34&gt;INDEX('How This Works &amp; Sources'!$B$82:$J$86,0,1))*($AZ34-INDEX('How This Works &amp; Sources'!$B$82:$J$86,0,1))*INDEX('How This Works &amp; Sources'!$B$82:$J$86,0,1+2))),IF($AN34="KS",IF($AU34="Married",SUMPRODUCT(($AZ34&gt;INDEX('How This Works &amp; Sources'!$B$103:$J$109,0,4))*($AZ34-INDEX('How This Works &amp; Sources'!$B$103:$J$109,0,4))*INDEX('How This Works &amp; Sources'!$B$103:$J$109,0,4+2)),SUMPRODUCT(($AZ34&gt;INDEX('How This Works &amp; Sources'!$B$103:$J$109,0,1))*($AZ34-INDEX('How This Works &amp; Sources'!$B$103:$J$109,0,1))*INDEX('How This Works &amp; Sources'!$B$103:$J$109,0,1+2))),IF($AN34="MN",IF($AU34="Married",SUMPRODUCT(($AZ34&gt;INDEX('How This Works &amp; Sources'!$B$114:$J$120,0,7))*($AZ34-INDEX('How This Works &amp; Sources'!$B$114:$J$120,0,7))*INDEX('How This Works &amp; Sources'!$B$114:$J$120,0,7+2)),SUMPRODUCT(($AZ34&gt;INDEX('How This Works &amp; Sources'!$B$114:$J$120,0,4))*($AZ34-INDEX('How This Works &amp; Sources'!$B$114:$J$120,0,4))*INDEX('How This Works &amp; Sources'!$B$114:$J$120,0,4+2))),IF($AN34="MO",SUMPRODUCT(($AZ34&gt;INDEX('How This Works &amp; Sources'!$B$125:$J$132,0,1))*($AZ34-INDEX('How This Works &amp; Sources'!$B$125:$J$132,0,1))*INDEX('How This Works &amp; Sources'!$B$125:$J$132,0,1+2)),IF($AN34="NE",MAX(IF($AU34="Married",SUMPRODUCT(($AZ34&gt;INDEX('How This Works &amp; Sources'!$B$144:$J$150,0,7))*($AZ34-INDEX('How This Works &amp; Sources'!$B$144:$J$150,0,7))*INDEX('How This Works &amp; Sources'!$B$144:$J$150,0,7+2)),SUMPRODUCT(($AZ34&gt;INDEX('How This Works &amp; Sources'!$B$144:$J$150,0,4))*($AZ34-INDEX('How This Works &amp; Sources'!$B$144:$J$150,0,4))*INDEX('How This Works &amp; Sources'!$B$144:$J$150,0,4+2))),0.015*$AZ34),IF($AN34="OH",IF($B34&gt;=DATE(2026,8,1),SUMPRODUCT(($AZ34&gt;INDEX('How This Works &amp; Sources'!$B$203:$J$206,0,1))*($AZ34-INDEX('How This Works &amp; Sources'!$B$203:$J$206,0,1))*INDEX('How This Works &amp; Sources'!$B$203:$J$206,0,1+2)),SUMPRODUCT(($AZ34&gt;INDEX('How This Works &amp; Sources'!$B$184:$J$198,0,7))*($AZ34-INDEX('How This Works &amp; Sources'!$B$184:$J$198,0,7))*INDEX('How This Works &amp; Sources'!$B$184:$J$198,0,7+2))),IF($AN34="OK",IF($AU34="Married",SUMPRODUCT(($AZ34&gt;INDEX('How This Works &amp; Sources'!$B$203:$J$206,0,7))*($AZ34-INDEX('How This Works &amp; Sources'!$B$203:$J$206,0,7))*INDEX('How This Works &amp; Sources'!$B$203:$J$206,0,7+2)),SUMPRODUCT(($AZ34&gt;INDEX('How This Works &amp; Sources'!$B$203:$J$206,0,4))*($AZ34-INDEX('How This Works &amp; Sources'!$B$203:$J$206,0,4))*INDEX('How This Works &amp; Sources'!$B$203:$J$206,0,4+2))),IF($AN34="VT",IF($AU34="Married",SUMPRODUCT(($AZ34&gt;INDEX('How This Works &amp; Sources'!$B$228:$J$232,0,1))*($AZ34-INDEX('How This Works &amp; Sources'!$B$228:$J$232,0,1))*INDEX('How This Works &amp; Sources'!$B$228:$J$232,0,1+2)),SUMPRODUCT(($AZ34&gt;INDEX('How This Works &amp; Sources'!$B$219:$J$223,0,7))*($AZ34-INDEX('How This Works &amp; Sources'!$B$219:$J$223,0,7))*INDEX('How This Works &amp; Sources'!$B$219:$J$223,0,7+2))),IF($AN34="WV",IF($AU34="Married",SUMPRODUCT(($AZ34&gt;INDEX('How This Works &amp; Sources'!$B$237:$J$241,0,7))*($AZ34-INDEX('How This Works &amp; Sources'!$B$237:$J$241,0,7))*INDEX('How This Works &amp; Sources'!$B$237:$J$241,0,7+2)),SUMPRODUCT(($AZ34&gt;INDEX('How This Works &amp; Sources'!$B$228:$J$232,0,7))*($AZ34-INDEX('How This Works &amp; Sources'!$B$228:$J$232,0,7))*INDEX('How This Works &amp; Sources'!$B$228:$J$232,0,7+2))),""))))))))))</f>
      </c>
      <c r="BY34" s="7">
        <f>IF($B34="","",IF($AN34="DE",SUMPRODUCT(($AZ34&gt;INDEX('How This Works &amp; Sources'!$B$91:$J$98,0,1))*($AZ34-INDEX('How This Works &amp; Sources'!$B$91:$J$98,0,1))*INDEX('How This Works &amp; Sources'!$B$91:$J$98,0,1+2)),IF($AN34="HI",IF($AU34="Married",SUMPRODUCT(($AZ34&gt;INDEX('How This Works &amp; Sources'!$B$91:$J$98,0,7))*($AZ34-INDEX('How This Works &amp; Sources'!$B$91:$J$98,0,7))*INDEX('How This Works &amp; Sources'!$B$91:$J$98,0,7+2)),SUMPRODUCT(($AZ34&gt;INDEX('How This Works &amp; Sources'!$B$91:$J$98,0,4))*($AZ34-INDEX('How This Works &amp; Sources'!$B$91:$J$98,0,4))*INDEX('How This Works &amp; Sources'!$B$91:$J$98,0,4+2))),IF($AN34="RI",SUMPRODUCT(($AZ34&gt;INDEX('How This Works &amp; Sources'!$B$211:$J$214,0,7))*($AZ34-INDEX('How This Works &amp; Sources'!$B$211:$J$214,0,7))*INDEX('How This Works &amp; Sources'!$B$211:$J$214,0,7+2)),IF($AN34="SC",SUMPRODUCT(($AZ34&gt;INDEX('How This Works &amp; Sources'!$B$219:$J$223,0,1))*($AZ34-INDEX('How This Works &amp; Sources'!$B$219:$J$223,0,1))*INDEX('How This Works &amp; Sources'!$B$219:$J$223,0,1+2)),IF($AN34="VA",SUMPRODUCT(($AZ34&gt;INDEX('How This Works &amp; Sources'!$B$219:$J$223,0,4))*($AZ34-INDEX('How This Works &amp; Sources'!$B$219:$J$223,0,4))*INDEX('How This Works &amp; Sources'!$B$219:$J$223,0,4+2)),IF($AN34="WI",SUMPRODUCT(($AZ34&gt;INDEX('How This Works &amp; Sources'!$B$228:$J$232,0,4))*($AZ34-INDEX('How This Works &amp; Sources'!$B$228:$J$232,0,4))*INDEX('How This Works &amp; Sources'!$B$228:$J$232,0,4+2)),"")))))))</f>
      </c>
      <c r="BZ34" s="24">
        <f>IF($B34="","",IF($AN34="KS",IF($AU34="Married",SUMPRODUCT(($AZ34&gt;=INDEX('How This Works &amp; Sources'!$B$103:$J$109,0,4))*INDEX('How This Works &amp; Sources'!$B$103:$J$109,0,4+2)),SUMPRODUCT(($AZ34&gt;=INDEX('How This Works &amp; Sources'!$B$103:$J$109,0,1))*INDEX('How This Works &amp; Sources'!$B$103:$J$109,0,1+2))),IF($AN34="MT",IF($AU34="Head of household",SUMPRODUCT(($AZ34&gt;=INDEX('How This Works &amp; Sources'!$B$137:$J$139,0,1))*INDEX('How This Works &amp; Sources'!$B$137:$J$139,0,1+2)),IF($AU34="Married",SUMPRODUCT(($AZ34&gt;=INDEX('How This Works &amp; Sources'!$B$125:$J$132,0,7))*INDEX('How This Works &amp; Sources'!$B$125:$J$132,0,7+2)),SUMPRODUCT(($AZ34&gt;=INDEX('How This Works &amp; Sources'!$B$125:$J$132,0,4))*INDEX('How This Works &amp; Sources'!$B$125:$J$132,0,4+2)))),IF($AN34="OR",IF(OR($AU34="Married",AND($AU34="Single",$AS34&gt;=3)),SUMPRODUCT((MAX(0,$AY34-MIN(($P34-'How This Works &amp; Sources'!$C$10*$D34)*'Second Earner'!$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Sources'!$B$211:$J$214,0,4))*INDEX('How This Works &amp; Sources'!$B$211:$J$214,0,4+2)),SUMPRODUCT((MAX(0,$AY34-MIN(($P34-'How This Works &amp; Sources'!$C$10*$D34)*'Second Earner'!$C$8,IF(OR($AU34="Married",AND($AU34="Single",$AS34&gt;=3)),IF($AY34&lt;250000,8750,IF($AY34&lt;260000,7000,IF($AY34&lt;270000,5250,IF($AY34&lt;280000,3500,IF($AY34&lt;290000,1750,0))))),IF($AY34&lt;125000,8750,IF($AY34&lt;130000,7000,IF($AY34&lt;135000,5250,IF($AY34&lt;140000,3500,IF($AY34&lt;145000,1750,0)))))))-IF(OR($AU34="Married",AND($AU34="Single",$AS34&gt;=3)),5820,2910))&gt;=INDEX('How This Works &amp; Sources'!$B$211:$J$214,0,1))*INDEX('How This Works &amp; Sources'!$B$211:$J$214,0,1+2)))*IF(($P34-'How This Works &amp; Sources'!$C$10*$D34)*'Second Earner'!$C$8&gt;=IF(OR($AU34="Married",AND($AU34="Single",$AS34&gt;=3)),IF($AY34&lt;250000,8750,IF($AY34&lt;260000,7000,IF($AY34&lt;270000,5250,IF($AY34&lt;280000,3500,IF($AY34&lt;290000,1750,0))))),IF($AY34&lt;125000,8750,IF($AY34&lt;130000,7000,IF($AY34&lt;135000,5250,IF($AY34&lt;140000,3500,IF($AY34&lt;145000,1750,0)))))),1,1-IF('Second Earner'!$C$13,SUMPRODUCT(($AH34&gt;=INDEX('How This Works &amp; Sources'!$B$29:$J$36,0,IF('Second Earner'!$C$12="MFJ",1,IF('Second Earner'!$C$12="HoH",7,4))))*INDEX('How This Works &amp; Sources'!$B$29:$J$36,0,IF('Second Earner'!$C$12="MFJ",1,IF('Second Earner'!$C$12="HoH",7,4))+2)),SUMPRODUCT(($AH34&gt;=INDEX('How This Works &amp; Sources'!$B$19:$J$26,0,IF('Second Earner'!$C$12="MFJ",1,IF('Second Earner'!$C$12="HoH",7,4))))*INDEX('How This Works &amp; Sources'!$B$19:$J$26,0,IF('Second Earner'!$C$12="MFJ",1,IF('Second Earner'!$C$12="HoH",7,4))+2)))),""))))</f>
      </c>
      <c r="CA34" s="24">
        <f>IF($B34="","",IF($AN34="CA",SUMPRODUCT(($AJ34&gt;=INDEX('How This Works &amp; Sources'!$B$39:$J$48,0,IF($AU34="Married",4,IF($AU34="Head of household",7,1))))*INDEX('How This Works &amp; Sources'!$B$39:$J$48,0,IF($AU34="Married",4,IF($AU34="Head of household",7,1))+2)),IF($AN34="AL",IF(OR($AU34="Married",$AU34="Head of household"),SUMPRODUCT(($AZ34&gt;=INDEX('How This Works &amp; Sources'!$B$82:$J$86,0,4))*INDEX('How This Works &amp; Sources'!$B$82:$J$86,0,4+2)),SUMPRODUCT(($AZ34&gt;=INDEX('How This Works &amp; Sources'!$B$82:$J$86,0,1))*INDEX('How This Works &amp; Sources'!$B$82:$J$86,0,1+2)))*(1-IF('Second Earner'!$C$13,SUMPRODUCT(($AH34&gt;=INDEX('How This Works &amp; Sources'!$B$29:$J$36,0,IF('Second Earner'!$C$12="MFJ",1,IF('Second Earner'!$C$12="HoH",7,4))))*INDEX('How This Works &amp; Sources'!$B$29:$J$36,0,IF('Second Earner'!$C$12="MFJ",1,IF('Second Earner'!$C$12="HoH",7,4))+2)),SUMPRODUCT(($AH34&gt;=INDEX('How This Works &amp; Sources'!$B$19:$J$26,0,IF('Second Earner'!$C$12="MFJ",1,IF('Second Earner'!$C$12="HoH",7,4))))*INDEX('How This Works &amp; Sources'!$B$19:$J$26,0,IF('Second Earner'!$C$12="MFJ",1,IF('Second Earner'!$C$12="HoH",7,4))+2)))),IF($AN34="ND",IF($AU34="Head of household",SUMPRODUCT(($AZ34&gt;=INDEX('How This Works &amp; Sources'!$B$144:$J$150,0,1))*INDEX('How This Works &amp; Sources'!$B$144:$J$150,0,1+2)),IF($AU34="Married",SUMPRODUCT(($AZ34&gt;=INDEX('How This Works &amp; Sources'!$B$137:$J$139,0,7))*INDEX('How This Works &amp; Sources'!$B$137:$J$139,0,7+2)),SUMPRODUCT(($AZ34&gt;=INDEX('How This Works &amp; Sources'!$B$137:$J$139,0,4))*INDEX('How This Works &amp; Sources'!$B$137:$J$139,0,4+2)))),IF($AN34="NJ",IF('Second Earner'!$C$77="B",SUMPRODUCT(($AZ34&gt;=INDEX('How This Works &amp; Sources'!$B$155:$J$162,0,4))*INDEX('How This Works &amp; Sources'!$B$155:$J$162,0,4+2)),IF('Second Earner'!$C$77="C",SUMPRODUCT(($AZ34&gt;=INDEX('How This Works &amp; Sources'!$B$155:$J$162,0,7))*INDEX('How This Works &amp; Sources'!$B$155:$J$162,0,7+2)),IF('Second Earner'!$C$77="D",SUMPRODUCT(($AZ34&gt;=INDEX('How This Works &amp; Sources'!$B$167:$J$179,0,1))*INDEX('How This Works &amp; Sources'!$B$167:$J$179,0,1+2)),IF('Second Earner'!$C$77="E",SUMPRODUCT(($AZ34&gt;=INDEX('How This Works &amp; Sources'!$B$167:$J$179,0,4))*INDEX('How This Works &amp; Sources'!$B$167:$J$179,0,4+2)),SUMPRODUCT(($AZ34&gt;=INDEX('How This Works &amp; Sources'!$B$155:$J$162,0,1))*INDEX('How This Works &amp; Sources'!$B$155:$J$162,0,1+2)))))),IF($AN34="NY",IF($AU34="Married",IF($AZ34&gt;=2155350,IF($AZ34&gt;25000000,0.117,IF($AZ34&gt;5000000,0.111,0.1045)),SUMPRODUCT(($AZ34&gt;=INDEX('How This Works &amp; Sources'!$B$184:$J$198,0,1))*INDEX('How This Works &amp; Sources'!$B$184:$J$198,0,1+2))),IF($AZ34&gt;=1077550,IF($AZ34&gt;25000000,0.117,IF($AZ34&gt;5000000,0.111,0.1045)),SUMPRODUCT(($AZ34&gt;=INDEX('How This Works &amp; Sources'!$B$167:$J$179,0,7))*INDEX('How This Works &amp; Sources'!$B$167:$J$179,0,7+2)))),IF($AN34="LA",0.0309,"")))))))</f>
      </c>
      <c r="CB34" s="24">
        <f>IF($B34="","",IF($AN34="HI",IF($AU34="Married",SUMPRODUCT(($AZ34&gt;=INDEX('How This Works &amp; Sources'!$B$91:$J$98,0,7))*INDEX('How This Works &amp; Sources'!$B$91:$J$98,0,7+2)),SUMPRODUCT(($AZ34&gt;=INDEX('How This Works &amp; Sources'!$B$91:$J$98,0,4))*INDEX('How This Works &amp; Sources'!$B$91:$J$98,0,4+2))),IF($AN34="MD",IF(OR($AU34="Married",$AU34="Head of household"),SUMPRODUCT(($AZ34&gt;=INDEX('How This Works &amp; Sources'!$B$114:$J$120,0,1))*INDEX('How This Works &amp; Sources'!$B$114:$J$120,0,1+2)),SUMPRODUCT(($AZ34&gt;=INDEX('How This Works &amp; Sources'!$B$103:$J$109,0,7))*INDEX('How This Works &amp; Sources'!$B$103:$J$109,0,7+2)))+'Second Earner'!$C$74,IF($AN34="MN",IF($AU34="Married",SUMPRODUCT(($AZ34&gt;=INDEX('How This Works &amp; Sources'!$B$114:$J$120,0,7))*INDEX('How This Works &amp; Sources'!$B$114:$J$120,0,7+2)),SUMPRODUCT(($AZ34&gt;=INDEX('How This Works &amp; Sources'!$B$114:$J$120,0,4))*INDEX('How This Works &amp; Sources'!$B$114:$J$120,0,4+2))),IF($AN34="MO",SUMPRODUCT(($AZ34&gt;=INDEX('How This Works &amp; Sources'!$B$125:$J$132,0,1))*INDEX('How This Works &amp; Sources'!$B$125:$J$132,0,1+2)),IF($AN34="NE",MAX(IF($AU34="Married",SUMPRODUCT(($AZ34&gt;=INDEX('How This Works &amp; Sources'!$B$144:$J$150,0,7))*INDEX('How This Works &amp; Sources'!$B$144:$J$150,0,7+2)),SUMPRODUCT(($AZ34&gt;=INDEX('How This Works &amp; Sources'!$B$144:$J$150,0,4))*INDEX('How This Works &amp; Sources'!$B$144:$J$150,0,4+2))),0.015),IF($AN34="OH",IF($B34&gt;=DATE(2026,8,1),SUMPRODUCT(($AZ34&gt;=INDEX('How This Works &amp; Sources'!$B$203:$J$206,0,1))*INDEX('How This Works &amp; Sources'!$B$203:$J$206,0,1+2)),SUMPRODUCT(($AZ34&gt;=INDEX('How This Works &amp; Sources'!$B$184:$J$198,0,7))*INDEX('How This Works &amp; Sources'!$B$184:$J$198,0,7+2))),IF($AN34="OK",IF($AU34="Married",SUMPRODUCT(($AZ34&gt;=INDEX('How This Works &amp; Sources'!$B$203:$J$206,0,7))*INDEX('How This Works &amp; Sources'!$B$203:$J$206,0,7+2)),SUMPRODUCT(($AZ34&gt;=INDEX('How This Works &amp; Sources'!$B$203:$J$206,0,4))*INDEX('How This Works &amp; Sources'!$B$203:$J$206,0,4+2))),IF($AN34="RI",SUMPRODUCT(($AZ34&gt;=INDEX('How This Works &amp; Sources'!$B$211:$J$214,0,7))*INDEX('How This Works &amp; Sources'!$B$211:$J$214,0,7+2)),IF($AN34="VT",IF($AU34="Married",SUMPRODUCT(($AZ34&gt;=INDEX('How This Works &amp; Sources'!$B$228:$J$232,0,1))*INDEX('How This Works &amp; Sources'!$B$228:$J$232,0,1+2)),SUMPRODUCT(($AZ34&gt;=INDEX('How This Works &amp; Sources'!$B$219:$J$223,0,7))*INDEX('How This Works &amp; Sources'!$B$219:$J$223,0,7+2))),IF($AN34="WV",IF($AU34="Married",SUMPRODUCT(($AZ34&gt;=INDEX('How This Works &amp; Sources'!$B$237:$J$241,0,7))*INDEX('How This Works &amp; Sources'!$B$237:$J$241,0,7+2)),SUMPRODUCT(($AZ34&gt;=INDEX('How This Works &amp; Sources'!$B$228:$J$232,0,7))*INDEX('How This Works &amp; Sources'!$B$228:$J$232,0,7+2))),IF($AN34="AZ",'Second Earner'!$C$82,IF($AN34="ID",IF($AY34&gt;IF($AU34="Married",32000,16094),0.053,0),"")))))))))))))</f>
      </c>
      <c r="CC34" s="24">
        <f>IF($B34="","",IF($AN34="AR",SUMPRODUCT(($AZ34&gt;=INDEX('How This Works &amp; Sources'!$B$82:$J$86,0,7))*INDEX('How This Works &amp; Sources'!$B$82:$J$86,0,7+2)),IF($AN34="DE",SUMPRODUCT(($AZ34&gt;=INDEX('How This Works &amp; Sources'!$B$91:$J$98,0,1))*INDEX('How This Works &amp; Sources'!$B$91:$J$98,0,1+2)),IF($AN34="SC",SUMPRODUCT(($AZ34&gt;=INDEX('How This Works &amp; Sources'!$B$219:$J$223,0,1))*INDEX('How This Works &amp; Sources'!$B$219:$J$223,0,1+2)),IF($AN34="VA",SUMPRODUCT(($AZ34&gt;=INDEX('How This Works &amp; Sources'!$B$219:$J$223,0,4))*INDEX('How This Works &amp; Sources'!$B$219:$J$223,0,4+2)),IF($AN34="WI",SUMPRODUCT(($AZ34&gt;=INDEX('How This Works &amp; Sources'!$B$228:$J$232,0,4))*INDEX('How This Works &amp; Sources'!$B$228:$J$232,0,4+2)),IF($AN34="CO",IF($AY34&gt;IF($AU34="Married",10000,5000),0.044,0),IF($AN34="IA",IF($AY34&gt;IF($AU34="Head of household",19500,IF($AU34="Married",26000,13000)),0.038,0),IF($AN34="IL",IF($AY34&gt;(2925*$AS34+1000*$AT34),0.0495,0),IF($AN34="IN",(0.0295+'Second Earner'!$C$76),IF($AN34="KY",IF($AI34&gt;3360,0.035,0),IF($AN34="MA",IF(MAX(0,$AY34-MIN(($BD33+$Q34+$R34+$S34),2000)-IF($AS34=0,0,IF($AS34=1,4400,1000*$AS34+3400)))&gt;=1107750,0.09,0.05),IF($AN34="MI",IF($AY34&gt;5900*$AS34,0.0425,0),IF($AN34="MS",IF($AI34-IF($AU34="Head of household",3400,IF($AU34="Married",4600,2300))-'Second Earner'!$C$85&gt;10000,0.04,0),IF($AN34="PA",0.0307,"")))))))))))))))</f>
      </c>
      <c r="CD34" s="21">
        <f>IF(YEAR(IF('Second Earner'!$C$7="Weekly",'Second Earner'!$C$9+7*(($BE33+1)-1),IF('Second Earner'!$C$7="Biweekly",'Second Earner'!$C$9+14*(($BE33+1)-1),IF('Second Earner'!$C$7="Semimonthly",DATE(YEAR('Second Earner'!$C$9),MONTH('Second Earner'!$C$9)+INT((($BE33+1)-1)/2),MIN(DAY('Second Earner'!$C$9),DAY(EOMONTH(DATE(YEAR('Second Earner'!$C$9),MONTH('Second Earner'!$C$9)+INT((($BE33+1)-1)/2),1),0))))+IF(MOD(($BE33+1)-1,2)=1,15,0),EDATE('Second Earner'!$C$9,($BE33+1)-1)))))&lt;&gt;'Second Earner'!$C$10,"",IF('Second Earner'!$C$7="Weekly",'Second Earner'!$C$9+7*(($BE33+1)-1),IF('Second Earner'!$C$7="Biweekly",'Second Earner'!$C$9+14*(($BE33+1)-1),IF('Second Earner'!$C$7="Semimonthly",DATE(YEAR('Second Earner'!$C$9),MONTH('Second Earner'!$C$9)+INT((($BE33+1)-1)/2),MIN(DAY('Second Earner'!$C$9),DAY(EOMONTH(DATE(YEAR('Second Earner'!$C$9),MONTH('Second Earner'!$C$9)+INT((($BE33+1)-1)/2),1),0))))+IF(MOD(($BE33+1)-1,2)=1,15,0),EDATE('Second Earner'!$C$9,($BE33+1)-1)))))</f>
      </c>
      <c r="CE34" s="21">
        <f>IF(MIN(IF(AND('Second Earner'!$C$58&gt;MAX($B$6:$B33),'Second Earner'!$C$58&gt;=DATE('Second Earner'!$C$10,1,1),'Second Earner'!$C$58&lt;=DATE('Second Earner'!$C$10,12,31)),'Second Earner'!$C$58,999999),IF(AND('Second Earner'!$C$59&gt;MAX($B$6:$B33),'Second Earner'!$C$59&gt;=DATE('Second Earner'!$C$10,1,1),'Second Earner'!$C$59&lt;=DATE('Second Earner'!$C$10,12,31)),'Second Earner'!$C$59,999999),IF(AND('Second Earner'!$C$60&gt;MAX($B$6:$B33),'Second Earner'!$C$60&gt;=DATE('Second Earner'!$C$10,1,1),'Second Earner'!$C$60&lt;=DATE('Second Earner'!$C$10,12,31)),'Second Earner'!$C$60,999999),IF(AND('Second Earner'!$C$61&gt;MAX($B$6:$B33),'Second Earner'!$C$61&gt;=DATE('Second Earner'!$C$10,1,1),'Second Earner'!$C$61&lt;=DATE('Second Earner'!$C$10,12,31)),'Second Earner'!$C$61,999999),IF(AND('Second Earner'!$C$62&gt;MAX($B$6:$B33),'Second Earner'!$C$62&gt;=DATE('Second Earner'!$C$10,1,1),'Second Earner'!$C$62&lt;=DATE('Second Earner'!$C$10,12,31)),'Second Earner'!$C$62,999999),IF(AND('Second Earner'!$C$63&gt;MAX($B$6:$B33),'Second Earner'!$C$63&gt;=DATE('Second Earner'!$C$10,1,1),'Second Earner'!$C$63&lt;=DATE('Second Earner'!$C$10,12,31)),'Second Earner'!$C$63,999999),IF(AND('Second Earner'!$C$64&gt;MAX($B$6:$B33),'Second Earner'!$C$64&gt;=DATE('Second Earner'!$C$10,1,1),'Second Earner'!$C$64&lt;=DATE('Second Earner'!$C$10,12,31)),'Second Earner'!$C$64,999999),IF(AND('Second Earner'!$C$65&gt;MAX($B$6:$B33),'Second Earner'!$C$65&gt;=DATE('Second Earner'!$C$10,1,1),'Second Earner'!$C$65&lt;=DATE('Second Earner'!$C$10,12,31)),'Second Earner'!$C$65,999999),IF(AND('Second Earner'!$C$66&gt;MAX($B$6:$B33),'Second Earner'!$C$66&gt;=DATE('Second Earner'!$C$10,1,1),'Second Earner'!$C$66&lt;=DATE('Second Earner'!$C$10,12,31)),'Second Earner'!$C$66,999999),IF(AND('Second Earner'!$C$67&gt;MAX($B$6:$B33),'Second Earner'!$C$67&gt;=DATE('Second Earner'!$C$10,1,1),'Second Earner'!$C$67&lt;=DATE('Second Earner'!$C$10,12,31)),'Second Earner'!$C$67,999999))=999999,"",MIN(IF(AND('Second Earner'!$C$58&gt;MAX($B$6:$B33),'Second Earner'!$C$58&gt;=DATE('Second Earner'!$C$10,1,1),'Second Earner'!$C$58&lt;=DATE('Second Earner'!$C$10,12,31)),'Second Earner'!$C$58,999999),IF(AND('Second Earner'!$C$59&gt;MAX($B$6:$B33),'Second Earner'!$C$59&gt;=DATE('Second Earner'!$C$10,1,1),'Second Earner'!$C$59&lt;=DATE('Second Earner'!$C$10,12,31)),'Second Earner'!$C$59,999999),IF(AND('Second Earner'!$C$60&gt;MAX($B$6:$B33),'Second Earner'!$C$60&gt;=DATE('Second Earner'!$C$10,1,1),'Second Earner'!$C$60&lt;=DATE('Second Earner'!$C$10,12,31)),'Second Earner'!$C$60,999999),IF(AND('Second Earner'!$C$61&gt;MAX($B$6:$B33),'Second Earner'!$C$61&gt;=DATE('Second Earner'!$C$10,1,1),'Second Earner'!$C$61&lt;=DATE('Second Earner'!$C$10,12,31)),'Second Earner'!$C$61,999999),IF(AND('Second Earner'!$C$62&gt;MAX($B$6:$B33),'Second Earner'!$C$62&gt;=DATE('Second Earner'!$C$10,1,1),'Second Earner'!$C$62&lt;=DATE('Second Earner'!$C$10,12,31)),'Second Earner'!$C$62,999999),IF(AND('Second Earner'!$C$63&gt;MAX($B$6:$B33),'Second Earner'!$C$63&gt;=DATE('Second Earner'!$C$10,1,1),'Second Earner'!$C$63&lt;=DATE('Second Earner'!$C$10,12,31)),'Second Earner'!$C$63,999999),IF(AND('Second Earner'!$C$64&gt;MAX($B$6:$B33),'Second Earner'!$C$64&gt;=DATE('Second Earner'!$C$10,1,1),'Second Earner'!$C$64&lt;=DATE('Second Earner'!$C$10,12,31)),'Second Earner'!$C$64,999999),IF(AND('Second Earner'!$C$65&gt;MAX($B$6:$B33),'Second Earner'!$C$65&gt;=DATE('Second Earner'!$C$10,1,1),'Second Earner'!$C$65&lt;=DATE('Second Earner'!$C$10,12,31)),'Second Earner'!$C$65,999999),IF(AND('Second Earner'!$C$66&gt;MAX($B$6:$B33),'Second Earner'!$C$66&gt;=DATE('Second Earner'!$C$10,1,1),'Second Earner'!$C$66&lt;=DATE('Second Earner'!$C$10,12,31)),'Second Earner'!$C$66,999999),IF(AND('Second Earner'!$C$67&gt;MAX($B$6:$B33),'Second Earner'!$C$67&gt;=DATE('Second Earner'!$C$10,1,1),'Second Earner'!$C$67&lt;=DATE('Second Earner'!$C$10,12,31)),'Second Earner'!$C$67,999999)))</f>
      </c>
      <c r="CF34">
        <f>IF($B34="","",IF($D34=0,$Y34,""))</f>
      </c>
    </row>
    <row r="35">
      <c r="A35" t="n">
        <v>30</v>
      </c>
      <c r="B35" s="21">
        <f>IF(AND($CD35="",$CE35=""),"",IF($CE35="",$CD35,IF($CD35="",$CE35,MIN($CD35,$CE35))))</f>
      </c>
      <c r="C35" s="7">
        <f>IF($B35="","",IF($BF35=0,0,IF('Second Earner'!$C$4="Annual salary",ROUND($AK35/IF(AND('Second Earner'!$C$88="Actual paydays",MONTH('Second Earner'!$C$9)=1),MAX(1,MAX($BE$6:$BE$68)),'Second Earner'!$C$8),2),$AK35)))</f>
      </c>
      <c r="D35" s="7">
        <f>IF($B35="","",SUMIF('Second Earner'!$C$58:$C$67,$B35,'Second Earner'!$D$58:$D$67))</f>
      </c>
      <c r="E35" s="7">
        <f>IF($B35="","",ROUND(MAX(0,MIN(IF($AL35="Percent",$AM35*($C35+$D35),$AM35),MAX(0,'Second Earner'!$C$34-$AC34))),2))</f>
      </c>
      <c r="F35" s="7">
        <f>IF($B35="","",ROUND(MAX(0,MIN(IF('Second Earner'!$C$32="Percent",'Second Earner'!$D$32*($C35+$D35),'Second Earner'!$D$32),MAX(0,'Second Earner'!$C$34-$AC34-$E35))),2))</f>
      </c>
      <c r="G35" s="7">
        <f>IF($B35="","",IF($BF35=0,0,ROUND(MAX(0,MIN($BL35,'Second Earner'!$C$37-'Second Earner'!$C$54-$BI34)),2)))</f>
      </c>
      <c r="H35" s="7">
        <f>IF($B35="","",IF(OR($BF35=0,$BQ35=1),0,ROUND(MAX(0,MIN(IF($BS35=1,ROUND(MAX(0,MIN($BJ35,'How This Works &amp; Sources'!$C$13)-$BG34)/MAX(1,MAX($BE$6:$BE$68)-($BE34)),2),ROUND(MIN($BJ35,'How This Works &amp; Sources'!$C$13)/'Second Earner'!$C$8,2)),MIN($BJ35,'How This Works &amp; Sources'!$C$13)-$BG34)),2)))</f>
      </c>
      <c r="I35" s="7">
        <f>IF($B35="","",IF(OR($BF35=0,$BR35=1),0,ROUND(MAX(0,MIN(IF($BT35=1,ROUND(MAX(0,MIN($BK35,IF('Second Earner'!$C$12="MFJ",'How This Works &amp; Sources'!$C$14,'How This Works &amp; Sources'!$C$15))-$BH34)/MAX(1,MAX($BE$6:$BE$68)-($BE34)),2),ROUND(MIN($BK35,IF('Second Earner'!$C$12="MFJ",'How This Works &amp; Sources'!$C$14,'How This Works &amp; Sources'!$C$15))/'Second Earner'!$C$8,2)),MIN($BK35,IF('Second Earner'!$C$12="MFJ",'How This Works &amp; Sources'!$C$14,'How This Works &amp; Sources'!$C$15))-$BH34)),2)))</f>
      </c>
      <c r="J35" s="7">
        <f>IF($B35="","",IF($BF35=0,0,$BM35))</f>
      </c>
      <c r="K35" s="7">
        <f>IF($B35="","",IF($BF35=0,0,$BN35+$BO35))</f>
      </c>
      <c r="L35" s="7">
        <f>IF($B35="","",IF($BF35=0,0,'Second Earner'!$D$46))</f>
      </c>
      <c r="M35" s="7">
        <f>IF($B35="","",$C35+$D35+$L35-$E35-$G35-$H35-$I35-$J35-$K35)</f>
      </c>
      <c r="N35" s="7">
        <f>IF($B35="","",$C35+$D35+$L35-$G35-$H35-$I35-$J35-$K35)</f>
      </c>
      <c r="O35" s="7">
        <f>IF($B35="","",$C35+$D35+$L35-$E35-$H35-$I35-$J35-$K35-IF(OR($AN35="CA",$AN35="NJ"),0,$G35))</f>
      </c>
      <c r="P35" s="7">
        <f>IF($B35="","",IF('Second Earner'!$C$18,0,ROUND(MAX(0,IF('Second Earner'!$C$13,SUMPRODUCT(($AH35&gt;INDEX('How This Works &amp; Sources'!$B$29:$J$36,0,IF('Second Earner'!$C$12="MFJ",1,IF('Second Earner'!$C$12="HoH",7,4))))*($AH35-INDEX('How This Works &amp; Sources'!$B$29:$J$36,0,IF('Second Earner'!$C$12="MFJ",1,IF('Second Earner'!$C$12="HoH",7,4))))*INDEX('How This Works &amp; Sources'!$B$29:$J$36,0,IF('Second Earner'!$C$12="MFJ",1,IF('Second Earner'!$C$12="HoH",7,4))+2)),SUMPRODUCT(($AH35&gt;INDEX('How This Works &amp; Sources'!$B$19:$J$26,0,IF('Second Earner'!$C$12="MFJ",1,IF('Second Earner'!$C$12="HoH",7,4))))*($AH35-INDEX('How This Works &amp; Sources'!$B$19:$J$26,0,IF('Second Earner'!$C$12="MFJ",1,IF('Second Earner'!$C$12="HoH",7,4))))*INDEX('How This Works &amp; Sources'!$B$19:$J$26,0,IF('Second Earner'!$C$12="MFJ",1,IF('Second Earner'!$C$12="HoH",7,4))+2)))/'Second Earner'!$C$8-$AO35/'Second Earner'!$C$8)+$AR35+IF('Second Earner'!$C$89="Aggregate",MAX(0,IF('Second Earner'!$C$13,SUMPRODUCT((($AH35+$D35)&gt;INDEX('How This Works &amp; Sources'!$B$29:$J$36,0,IF('Second Earner'!$C$12="MFJ",1,IF('Second Earner'!$C$12="HoH",7,4))))*(($AH35+$D35)-INDEX('How This Works &amp; Sources'!$B$29:$J$36,0,IF('Second Earner'!$C$12="MFJ",1,IF('Second Earner'!$C$12="HoH",7,4))))*INDEX('How This Works &amp; Sources'!$B$29:$J$36,0,IF('Second Earner'!$C$12="MFJ",1,IF('Second Earner'!$C$12="HoH",7,4))+2)),SUMPRODUCT((($AH35+$D35)&gt;INDEX('How This Works &amp; Sources'!$B$19:$J$26,0,IF('Second Earner'!$C$12="MFJ",1,IF('Second Earner'!$C$12="HoH",7,4))))*(($AH35+$D35)-INDEX('How This Works &amp; Sources'!$B$19:$J$26,0,IF('Second Earner'!$C$12="MFJ",1,IF('Second Earner'!$C$12="HoH",7,4))))*INDEX('How This Works &amp; Sources'!$B$19:$J$26,0,IF('Second Earner'!$C$12="MFJ",1,IF('Second Earner'!$C$12="HoH",7,4))+2)))-IF('Second Earner'!$C$13,SUMPRODUCT(($AH35&gt;INDEX('How This Works &amp; Sources'!$B$29:$J$36,0,IF('Second Earner'!$C$12="MFJ",1,IF('Second Earner'!$C$12="HoH",7,4))))*($AH35-INDEX('How This Works &amp; Sources'!$B$29:$J$36,0,IF('Second Earner'!$C$12="MFJ",1,IF('Second Earner'!$C$12="HoH",7,4))))*INDEX('How This Works &amp; Sources'!$B$29:$J$36,0,IF('Second Earner'!$C$12="MFJ",1,IF('Second Earner'!$C$12="HoH",7,4))+2)),SUMPRODUCT(($AH35&gt;INDEX('How This Works &amp; Sources'!$B$19:$J$26,0,IF('Second Earner'!$C$12="MFJ",1,IF('Second Earner'!$C$12="HoH",7,4))))*($AH35-INDEX('How This Works &amp; Sources'!$B$19:$J$26,0,IF('Second Earner'!$C$12="MFJ",1,IF('Second Earner'!$C$12="HoH",7,4))))*INDEX('How This Works &amp; Sources'!$B$19:$J$26,0,IF('Second Earner'!$C$12="MFJ",1,IF('Second Earner'!$C$12="HoH",7,4))+2)))),'How This Works &amp; Sources'!$C$10*$D35),2)))</f>
      </c>
      <c r="Q35" s="7">
        <f>IF($B35="","",ROUND('How This Works &amp; Sources'!$C$4*MIN($N35,MAX(0,'How This Works &amp; Sources'!$C$3-($AX35+$AB34-$AW35))),2))</f>
      </c>
      <c r="R35" s="7">
        <f>IF($B35="","",ROUND('How This Works &amp; Sources'!$C$5*$N35,2))</f>
      </c>
      <c r="S35" s="7">
        <f>IF($B35="","",ROUND('How This Works &amp; Sources'!$C$6*MAX(0,MIN($N35,$AG34+$N35-'How This Works &amp; Sources'!$C$7)),2))</f>
      </c>
      <c r="T35" s="7">
        <f>IF($B35="","",IF('Second Earner'!$C$26,0,IF($AN35="CA",ROUND(IF($AI35&lt;=IF(($AS35+$AT35)&gt;=2,VLOOKUP($AN35,StateTables!$A$6:$AB$56,10,FALSE),VLOOKUP($AN35,StateTables!$A$6:$AB$56,9,FALSE)),0,MAX(0,SUMPRODUCT(($AJ35&gt;INDEX('How This Works &amp; Sources'!$B$39:$J$48,0,IF($AU35="Married",4,IF($AU35="Head of household",7,1))))*($AJ35-INDEX('How This Works &amp; Sources'!$B$39:$J$48,0,IF($AU35="Married",4,IF($AU35="Head of household",7,1))))*INDEX('How This Works &amp; Sources'!$B$39:$J$48,0,IF($AU35="Married",4,IF($AU35="Head of household",7,1))+2))-VLOOKUP($AN35,StateTables!$A$6:$AB$56,11,FALSE)*$AS35)/'Second Earner'!$C$8)+'Second Earner'!$C$25+VLOOKUP($AN35,StateTables!$A$6:$AB$56,13,FALSE)*$D35,2),IF(VLOOKUP($AN35,StateTables!$A$6:$AB$56,4,FALSE)="None",0,IF(ISNUMBER(SEARCH("MANUAL",VLOOKUP($AN35,StateTables!$A$6:$AB$56,5,FALSE))),'Second Earner'!$C$28,ROUND(MAX(0,$BA35+$BB35)/'Second Earner'!$C$8+'Second Earner'!$C$25+$BC35,2))))))</f>
      </c>
      <c r="U35" s="7">
        <f>IF($B35="","",IF(VLOOKUP($AN35,StateTables!$A$6:$AB$56,24,FALSE)="flatq",IF(OR(MONTH($B35)=1,MONTH($B35)=4,MONTH($B35)=7,MONTH($B35)=10),VLOOKUP($AN35,StateTables!$A$6:$AB$56,25,FALSE),0),IF(VLOOKUP($AN35,StateTables!$A$6:$AB$56,24,FALSE)="dbl",MIN(ROUND(0.005*$N35,2),ROUND(0.6*52/'Second Earner'!$C$8,2)),IF(OR(VLOOKUP($AN35,StateTables!$A$6:$AB$56,15,FALSE)="",VLOOKUP($AN35,StateTables!$A$6:$AB$56,15,FALSE)=0),0,ROUND(VLOOKUP($AN35,StateTables!$A$6:$AB$56,15,FALSE)*IF(OR(VLOOKUP($AN35,StateTables!$A$6:$AB$56,16,FALSE)="",VLOOKUP($AN35,StateTables!$A$6:$AB$56,16,FALSE)=0),$N35,MIN($N35,MAX(0,VLOOKUP($AN35,StateTables!$A$6:$AB$56,16,FALSE)-($AX35+$AB34-$AW35)))),2))))+IF(VLOOKUP($AN35,StateTables!$A$6:$AB$56,27,FALSE)="flatq",IF(OR(MONTH($B35)=1,MONTH($B35)=4,MONTH($B35)=7,MONTH($B35)=10),VLOOKUP($AN35,StateTables!$A$6:$AB$56,28,FALSE),0),IF(VLOOKUP($AN35,StateTables!$A$6:$AB$56,27,FALSE)="dbl",MIN(ROUND(0.005*$N35,2),ROUND(0.6*52/'Second Earner'!$C$8,2)),IF(OR(VLOOKUP($AN35,StateTables!$A$6:$AB$56,18,FALSE)="",VLOOKUP($AN35,StateTables!$A$6:$AB$56,18,FALSE)=0),0,ROUND(VLOOKUP($AN35,StateTables!$A$6:$AB$56,18,FALSE)*IF(OR(VLOOKUP($AN35,StateTables!$A$6:$AB$56,19,FALSE)="",VLOOKUP($AN35,StateTables!$A$6:$AB$56,19,FALSE)=0),$N35,MIN($N35,MAX(0,VLOOKUP($AN35,StateTables!$A$6:$AB$56,19,FALSE)-($AX35+$AB34-$AW35)))),2)))))</f>
      </c>
      <c r="V35" s="7">
        <f>IF($B35="","",IF($AN35="NY",IF('Second Earner'!$C$78,ROUND(SUMPRODUCT((MAX(0,($O35-$D35)*'Second Earner'!$C$8-(IF($AU35="Married",5500,5000)+1000*$AS35))&gt;INDEX('How This Works &amp; Sources'!$B$184:$J$198,0,4))*(MAX(0,($O35-$D35)*'Second Earner'!$C$8-(IF($AU35="Married",5500,5000)+1000*$AS35))-INDEX('How This Works &amp; Sources'!$B$184:$J$198,0,4))*INDEX('How This Works &amp; Sources'!$B$184:$J$198,0,4+2))/'Second Earner'!$C$8+0.0425*$D35,2),0)+IF('Second Earner'!$C$79="Resident",ROUND(0.1675*$T35,2),IF('Second Earner'!$C$79="Nonresident",ROUND(0.005*MAX(0,($O35-$D35)-(IF($AU35="Married",7950,7400)+1000*$AS35)/'Second Earner'!$C$8),2),0)),IF($AN35="PA",IF('Second Earner'!$C$80="None",'Second Earner'!$C$27+ROUND('Second Earner'!$C$81*($C35+$D35),2),ROUND(IF('Second Earner'!$C$80="Resident",IF($B35&lt;DATE(2026,7,1),0.0374,0.03735),IF($B35&lt;DATE(2026,7,1),0.0343,0.03425))*($C35+$D35),2)),IF($BF35=0,ROUND('Second Earner'!$C$81*($C35+$D35),2),'Second Earner'!$C$27+ROUND('Second Earner'!$C$81*($C35+$D35),2)))))</f>
      </c>
      <c r="W35" s="7">
        <f>IF($B35="","",IF($BF35=0,0,$BP35))</f>
      </c>
      <c r="X35" s="7">
        <f>IF($B35="","",SUM($E35:$K35)+$P35+$Q35+$R35+$S35+$T35+$U35+$V35+$W35)</f>
      </c>
      <c r="Y35" s="22">
        <f>IF($B35="","",$C35+$D35-$X35)</f>
      </c>
      <c r="Z35" s="7">
        <f>IF($B35="","",$Z34+$C35+$D35)</f>
      </c>
      <c r="AA35" s="7">
        <f>IF($B35="","",$AA34+$Y35)</f>
      </c>
      <c r="AB35" s="7">
        <f>IF($B35="","",$AB34+MIN($N35,MAX(0,'How This Works &amp; Sources'!$C$3-($AX35+$AB34-$AW35))))</f>
      </c>
      <c r="AC35" s="7">
        <f>IF($B35="","",$AC34+$E35+$F35)</f>
      </c>
      <c r="AD35" s="3">
        <f>IF($B35="","",IF(AND($AB34&lt;'How This Works &amp; Sources'!$C$3,$AB35&gt;='How This Works &amp; Sources'!$C$3),"★ Social Security maxed on this check — from the next check your net rises by about $"&amp;TEXT(ROUND('How This Works &amp; Sources'!$C$4*$N35,2),"#,##0.00")&amp;". ","")&amp;IF(AND($AC34&lt;'Second Earner'!$C$34,$AC35&gt;='Second Earner'!$C$34),"★ 401(k) reaches the $"&amp;TEXT('Second Earner'!$C$34,"#,##0")&amp;" cap on this check — deferrals stop and net pay rises. ","")&amp;IF(AND($AG34&lt;'How This Works &amp; Sources'!$C$7,$AG35&gt;='How This Works &amp; Sources'!$C$7),"★ Wages pass $200,000 — the 0.9% Additional Medicare Tax starts here. ","")&amp;IF(AND($BJ35&gt;0,$H35&gt;0,$BG34&lt;MIN($BJ35,'How This Works &amp; Sources'!$C$13),$BG34+$H35&gt;=MIN($BJ35,'How This Works &amp; Sources'!$C$13)),"★ Health FSA election is now fully deferred for the year. ",""))</f>
      </c>
      <c r="AE35" s="41" t="n"/>
      <c r="AF35" s="7">
        <f>IF(OR($B35="",$AE35=""),"",$AE35-$Y35)</f>
      </c>
      <c r="AG35" s="7">
        <f>IF($B35="","",$AG34+$N35)</f>
      </c>
      <c r="AH35" s="7">
        <f>IF($B35="","",MAX(0,($M35-$D35)*'Second Earner'!$C$8+$AP35-$AQ35-IF('Second Earner'!$C$13,0,IF('Second Earner'!$C$12="MFJ",'How This Works &amp; Sources'!$C$8,'How This Works &amp; Sources'!$C$9))))</f>
      </c>
      <c r="AI35" s="7">
        <f>IF($B35="","",$O35*'Second Earner'!$C$8)</f>
      </c>
      <c r="AJ35" s="7">
        <f>IF($B35="","",MAX(0,$AI35-VLOOKUP($AN35,StateTables!$A$6:$AB$56,12,FALSE)*$AT35-IF(($AS35+$AT35)&gt;=2,VLOOKUP($AN35,StateTables!$A$6:$AB$56,8,FALSE),VLOOKUP($AN35,StateTables!$A$6:$AB$56,7,FALSE))))</f>
      </c>
      <c r="AK35" s="7">
        <f>IF($B35="","",IFERROR(LOOKUP(2,1/(('Changes — Earner 2'!$C$6:$C$17="Salary change")*('Changes — Earner 2'!$B$6:$B$17&lt;=$B35)*('Changes — Earner 2'!$B$6:$B$17&lt;&gt;"")),'Changes — Earner 2'!$D$6:$D$17),IF('Second Earner'!$C$4="Annual salary",'Second Earner'!$C$5,'Second Earner'!$C$6)))</f>
      </c>
      <c r="AL35">
        <f>IF($B35="","",IFERROR(LOOKUP(2,1/(('Changes — Earner 2'!$C$6:$C$17="401(k) change")*('Changes — Earner 2'!$B$6:$B$17&lt;=$B35)*('Changes — Earner 2'!$B$6:$B$17&lt;&gt;"")),'Changes — Earner 2'!$D$6:$D$17),'Second Earner'!$C$30))</f>
      </c>
      <c r="AM35" s="7">
        <f>IF($B35="","",IFERROR(LOOKUP(2,1/(('Changes — Earner 2'!$C$6:$C$17="401(k) change")*('Changes — Earner 2'!$B$6:$B$17&lt;=$B35)*('Changes — Earner 2'!$B$6:$B$17&lt;&gt;"")),'Changes — Earner 2'!$E$6:$E$17),'Second Earner'!$D$31))</f>
      </c>
      <c r="AN35">
        <f>IF($B35="","",IFERROR(LOOKUP(2,1/(('Changes — Earner 2'!$C$6:$C$17="State move")*('Changes — Earner 2'!$B$6:$B$17&lt;=$B35)*('Changes — Earner 2'!$B$6:$B$17&lt;&gt;"")),'Changes — Earner 2'!$D$6:$D$17),'Second Earner'!$C$21))</f>
      </c>
      <c r="AO35" s="7">
        <f>IF($B35="","",IFERROR(LOOKUP(2,1/(('Changes — Earner 2'!$C$6:$C$17="W-4 change")*('Changes — Earner 2'!$B$6:$B$17&lt;=$B35)*('Changes — Earner 2'!$B$6:$B$17&lt;&gt;"")),'Changes — Earner 2'!$D$6:$D$17),'Second Earner'!$C$14))</f>
      </c>
      <c r="AP35" s="7">
        <f>IF($B35="","",IFERROR(LOOKUP(2,1/(('Changes — Earner 2'!$C$6:$C$17="W-4 change")*('Changes — Earner 2'!$B$6:$B$17&lt;=$B35)*('Changes — Earner 2'!$B$6:$B$17&lt;&gt;"")),'Changes — Earner 2'!$E$6:$E$17),'Second Earner'!$C$15))</f>
      </c>
      <c r="AQ35" s="7">
        <f>IF($B35="","",IFERROR(LOOKUP(2,1/(('Changes — Earner 2'!$C$6:$C$17="W-4 change")*('Changes — Earner 2'!$B$6:$B$17&lt;=$B35)*('Changes — Earner 2'!$B$6:$B$17&lt;&gt;"")),'Changes — Earner 2'!$F$6:$F$17),'Second Earner'!$C$16))</f>
      </c>
      <c r="AR35" s="7">
        <f>IF($B35="","",IFERROR(LOOKUP(2,1/(('Changes — Earner 2'!$C$6:$C$17="W-4 change")*('Changes — Earner 2'!$B$6:$B$17&lt;=$B35)*('Changes — Earner 2'!$B$6:$B$17&lt;&gt;"")),'Changes — Earner 2'!$G$6:$G$17),'Second Earner'!$C$17))</f>
      </c>
      <c r="AS35" s="6">
        <f>IF($B35="","",IFERROR(LOOKUP(2,1/((('Changes — Earner 2'!$C$6:$C$17="State move")+('Changes — Earner 2'!$C$6:$C$17="State cert change"))*('Changes — Earner 2'!$B$6:$B$17&lt;=$B35)*('Changes — Earner 2'!$B$6:$B$17&lt;&gt;"")),'Changes — Earner 2'!$F$6:$F$17),'Second Earner'!$C$23))</f>
      </c>
      <c r="AT35" s="6">
        <f>IF($B35="","",IFERROR(LOOKUP(2,1/((('Changes — Earner 2'!$C$6:$C$17="State move")+('Changes — Earner 2'!$C$6:$C$17="State cert change"))*('Changes — Earner 2'!$B$6:$B$17&lt;=$B35)*('Changes — Earner 2'!$B$6:$B$17&lt;&gt;"")),'Changes — Earner 2'!$G$6:$G$17),'Second Earner'!$C$24))</f>
      </c>
      <c r="AU35">
        <f>IF($B35="","",IFERROR(LOOKUP(2,1/(('Changes — Earner 2'!$C$6:$C$17="State move")*('Changes — Earner 2'!$B$6:$B$17&lt;=$B35)*('Changes — Earner 2'!$B$6:$B$17&lt;&gt;"")),'Changes — Earner 2'!$E$6:$E$17),'Second Earner'!$C$22))</f>
      </c>
      <c r="AV35" s="6">
        <f>IF($B35="","",1+COUNTIFS('Changes — Earner 2'!$C$6:$C$17,"Employer change",'Changes — Earner 2'!$B$6:$B$17,"&lt;="&amp;$B35,'Changes — Earner 2'!$B$6:$B$17,"&lt;&gt;"))</f>
      </c>
      <c r="AW35" s="7">
        <f>IF($B35="","",IF($AV35=1,'Second Earner'!$C$49,IF(IFERROR(MATCH(IFERROR(LOOKUP(2,1/(('Changes — Earner 2'!$C$6:$C$17="Employer change")*('Changes — Earner 2'!$B$6:$B$17&lt;=$B35)*('Changes — Earner 2'!$B$6:$B$17&lt;&gt;"")),'Changes — Earner 2'!$B$6:$B$17),""),$B$6:$B$68,1),1)&lt;=1,'Second Earner'!$C$49,INDEX($AB$6:$AB$68,MATCH(IFERROR(LOOKUP(2,1/(('Changes — Earner 2'!$C$6:$C$17="Employer change")*('Changes — Earner 2'!$B$6:$B$17&lt;=$B35)*('Changes — Earner 2'!$B$6:$B$17&lt;&gt;"")),'Changes — Earner 2'!$B$6:$B$17),""),$B$6:$B$68,1)-1))))</f>
      </c>
      <c r="AX35" s="7">
        <f>IF($B35="","",IF($AV35=1,'Second Earner'!$C$49,IFERROR(LOOKUP(2,1/(('Changes — Earner 2'!$C$6:$C$17="Employer change")*('Changes — Earner 2'!$B$6:$B$17&lt;=$B35)*('Changes — Earner 2'!$B$6:$B$17&lt;&gt;"")),'Changes — Earner 2'!$D$6:$D$17),0)))</f>
      </c>
      <c r="AY35" s="7">
        <f>IF($B35="","",($O35-$D35)*'Second Earner'!$C$8)</f>
      </c>
      <c r="AZ35" s="7">
        <f>IF($B35="","",IF($AN35="AL",MAX(0,$AY35-IF($AU35="Married",IF($AY35&lt;=25999,8500,MAX(5000,8500-175*CEILING(($AY35-25999)/500,1))),IF($AU35="Head of household",IF($AY35&lt;=25999,5200,MAX(2500,5200-135*CEILING(($AY35-25999)/500,1))),IF($AY35&lt;=25999,3000,MAX(2500,3000-25*CEILING(($AY35-25999)/500,1)))))-($P35-'How This Works &amp; Sources'!$C$10*$D35)*'Second Earner'!$C$8-IF(OR($AU35="Married",$AU35="Head of household"),3000,1500)-$AT35*IF($AY35&lt;=50000,1000,IF($AY35&lt;=100000,500,300))),IF($AN35="AR",IF(MAX(0,$AY35-2470)&lt;97701,INT(MAX(0,$AY35-2470)/100)*100+50,MAX(0,$AY35-2470)),IF($AN35="DE",MAX(0,$AI35-3250),IF($AN35="HI",MAX(0,$AI35-1144*$AS35-4350),IF($AN35="KS",MAX(0,$AI35-(9160*IF($AU35="Married",2,1)+2320*$AT35+IF($AU35="Head of household",2320,0))),IF($AN35="MD",MAX(0,$AI35-3400-3200*$AS35),IF($AN35="MN",MAX(0,$AY35-5300*$AS35),IF($AN35="MO",MAX(0,$AI35-IF($AU35="Head of household",24150,IF($AU35="Married",IF('Second Earner'!$C$83,16100,32200),16100))),IF($AN35="MT",$AY35,IF($AN35="ND",($C35+$L35)*'Second Earner'!$C$8,IF($AN35="NE",MAX(0,$AY35-2440*$AS35),IF($AN35="NJ",MAX(0,$AY35-1000*$AS35),IF($AN35="NY",MAX(0,$AY35-(IF($AU35="Married",7950,7400)+1000*$AS35)),IF($AN35="OH",MAX(0,$AY35-650*$AS35),IF($AN35="OK",MAX(0,$AY35-1000*$AS35),IF($AN35="RI",MAX(0,$AI35-1000*$AS35),IF($AN35="SC",MAX(0,$AI35-5000*$AS35-IF($AS35=0,0,MIN(0.1*$AI35,7500))),IF($AN35="VA",MAX(0,$AI35-IF($AU35="Married",17500,8750)-930*$AS35-800*$AT35),IF($AN35="VT",MAX(0,$AI35-5400*$AS35),IF($AN35="WI",MAX(0,$AI35-MAX(0,IF($AU35="Married",9461-0.2*MAX(0,$AI35-25727),6702-0.12*MAX(0,$AI35-17780)))-400*$AS35),IF($AN35="WV",MAX(0,$AI35-2000*$AS35),$AI35))))))))))))))))))))))</f>
      </c>
      <c r="BA35" s="7">
        <f>IF($B35="","",IF($BW35&lt;&gt;"",$BW35,IF($BX35&lt;&gt;"",$BX35,IF($BY35&lt;&gt;"",$BY35,0))))</f>
      </c>
      <c r="BB35" s="7">
        <f>IF($B35="","",IF($AN35="AR",-29*$AS35,IF($AN35="DE",-110*$AS35,IF($AN35="MD",$AZ35*'Second Earner'!$C$74,IF($AN35="AZ",'Second Earner'!$C$82*($M35-$D35)*'Second Earner'!$C$8,IF($AN35="CO",0.044*MAX(0,$AY35-IF($AU35="Married",10000,5000)),IF($AN35="IA",MAX(0,0.038*MAX(0,$AY35-IF($AU35="Head of household",19500,IF($AU35="Married",26000,13000)))-40*$AS35),IF($AN35="ID",0.053*MAX(0,$AY35-IF($AU35="Married",32000,16094)),IF($AN35="IL",0.0495*MAX(0,$AY35-(2925*$AS35+1000*$AT35)),IF($AN35="IN",(0.0295+'Second Earner'!$C$76)*MAX(0,$AY35-(1000*$AS35+1500*$AT35+3000*'Second Earner'!$C$86)),IF($AN35="KY",0.035*MAX(0,$AI35-3360),IF($AN35="LA",IF('Second Earner'!$C$84="0",0.0309*$AI35,0.0309*MAX(0,$AI35-IF('Second Earner'!$C$84="2",25750,12875))),IF($AN35="MA",0.05*MIN(MAX(0,$AY35-MIN(($BD34+$Q35+$R35+$S35),2000)-IF($AS35=0,0,IF($AS35=1,4400,1000*$AS35+3400))),1107750)+0.09*MAX(0,MAX(0,$AY35-MIN(($BD34+$Q35+$R35+$S35),2000)-IF($AS35=0,0,IF($AS35=1,4400,1000*$AS35+3400)))-1107750)-IF($AU35="Head of household",120,0)-110*'Second Earner'!$C$75,IF($AN35="MI",0.0425*MAX(0,$AY35-5900*$AS35),IF($AN35="MS",0.04*MAX(0,$AI35-IF($AU35="Head of household",3400,IF($AU35="Married",4600,2300))-'Second Earner'!$C$85-10000),IF($AN35="OR",IF(OR($AU35="Married",AND($AU35="Single",$AS35&gt;=3)),SUMPRODUCT((MAX(0,$AY35-MIN(($P35-'How This Works &amp; Sources'!$C$10*$D35)*'Second Earner'!$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Sources'!$B$211:$J$214,0,4))*(MAX(0,$AY35-MIN(($P35-'How This Works &amp; Sources'!$C$10*$D35)*'Second Earner'!$C$8,IF(OR($AU35="Married",AND($AU35="Single",$AS35&gt;=3)),IF($AY35&lt;250000,8750,IF($AY35&lt;260000,7000,IF($AY35&lt;270000,5250,IF($AY35&lt;280000,3500,IF($AY35&lt;290000,1750,0))))),IF($AY35&lt;125000,8750,IF($AY35&lt;130000,7000,IF($AY35&lt;135000,5250,IF($AY35&lt;140000,3500,IF($AY35&lt;145000,1750,0)))))))-IF(OR($AU35="Married",AND($AU35="Single",$AS35&gt;=3)),5820,2910))-INDEX('How This Works &amp; Sources'!$B$211:$J$214,0,4))*INDEX('How This Works &amp; Sources'!$B$211:$J$214,0,4+2)),SUMPRODUCT((MAX(0,$AY35-MIN(($P35-'How This Works &amp; Sources'!$C$10*$D35)*'Second Earner'!$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Sources'!$B$211:$J$214,0,1))*(MAX(0,$AY35-MIN(($P35-'How This Works &amp; Sources'!$C$10*$D35)*'Second Earner'!$C$8,IF(OR($AU35="Married",AND($AU35="Single",$AS35&gt;=3)),IF($AY35&lt;250000,8750,IF($AY35&lt;260000,7000,IF($AY35&lt;270000,5250,IF($AY35&lt;280000,3500,IF($AY35&lt;290000,1750,0))))),IF($AY35&lt;125000,8750,IF($AY35&lt;130000,7000,IF($AY35&lt;135000,5250,IF($AY35&lt;140000,3500,IF($AY35&lt;145000,1750,0)))))))-IF(OR($AU35="Married",AND($AU35="Single",$AS35&gt;=3)),5820,2910))-INDEX('How This Works &amp; Sources'!$B$211:$J$214,0,1))*INDEX('How This Works &amp; Sources'!$B$211:$J$214,0,1+2)))+263-263*IF(IF($AU35="Married",$AY35&gt;200000,$AY35&gt;100000),0,$AS35),IF($AN35="PA",0.0307*(($O35+$E35+$G35)*'Second Earner'!$C$8),IF($AN35="NY",IF($AU35="Married",IF($AZ35&gt;=2155350,0,IF($AZ35&gt;=1077550,0.48,IF($AZ35&gt;=373200,1.21,IF($AZ35&gt;=323200,0.21,IF($AZ35&gt;=211550,-0.19,IF($AZ35&gt;=157650,-2.8,IF($AZ35&gt;=107650,-0.8,IF($AZ35&gt;=96800,0.05,IF($AZ35&gt;=80650,-0.1,IF($AZ35&gt;=13900,0.4,IF($AZ35&gt;=11700,-0.3,IF($AZ35&gt;=8500,0.5,0)))))))))))),IF($AZ35&gt;=1077550,0,IF($AZ35&gt;=265400,4.29,IF($AZ35&gt;=215400,2.29,IF($AZ35&gt;=157650,2.29,IF($AZ35&gt;=107650,0.29,IF($AZ35&gt;=96800,0.05,IF($AZ35&gt;=80650,-0.1,IF($AZ35&gt;=13900,0.4,IF($AZ35&gt;=11700,-0.3,IF($AZ35&gt;=8500,0.5,0))))))))))),0))))))))))))))))))</f>
      </c>
      <c r="BC35" s="7">
        <f>IF($B35="","",IF($AN35="AL",0.05*$D35,IF($AN35="AR",0.039*$D35,IF($AN35="ID",0.053*$D35,IF($AN35="IN",(0.0295+'Second Earner'!$C$76)*$D35,IF($AN35="KS",0.05*$D35,IF($AN35="MA",0.09*MIN($D35,MAX(0,MAX(0,$AY35-MIN(($BD34+$Q35+$R35+$S35),2000)-IF($AS35=0,0,IF($AS35=1,4400,1000*$AS35+3400)))+$D35-1107750))+0.05*($D35-MIN($D35,MAX(0,MAX(0,$AY35-MIN(($BD34+$Q35+$R35+$S35),2000)-IF($AS35=0,0,IF($AS35=1,4400,1000*$AS35+3400)))+$D35-1107750))),IF($AN35="MD",(0.065+'Second Earner'!$C$74)*$D35,IF($AN35="MI",0.0425*$D35,IF($AN35="MN",0.0625*$D35,IF($AN35="MO",0.047*$D35,IF($AN35="MT",0.05*$D35,IF($AN35="ND",0.015*$D35,IF($AN35="NE",0.035*$D35,IF($AN35="NJ",IF('Second Earner'!$C$77="B",SUMPRODUCT(($D35*'Second Earner'!$C$8&gt;INDEX('How This Works &amp; Sources'!$B$155:$J$162,0,4))*($D35*'Second Earner'!$C$8-INDEX('How This Works &amp; Sources'!$B$155:$J$162,0,4))*INDEX('How This Works &amp; Sources'!$B$155:$J$162,0,4+2)),IF('Second Earner'!$C$77="C",SUMPRODUCT(($D35*'Second Earner'!$C$8&gt;INDEX('How This Works &amp; Sources'!$B$155:$J$162,0,7))*($D35*'Second Earner'!$C$8-INDEX('How This Works &amp; Sources'!$B$155:$J$162,0,7))*INDEX('How This Works &amp; Sources'!$B$155:$J$162,0,7+2)),IF('Second Earner'!$C$77="D",SUMPRODUCT(($D35*'Second Earner'!$C$8&gt;INDEX('How This Works &amp; Sources'!$B$167:$J$179,0,1))*($D35*'Second Earner'!$C$8-INDEX('How This Works &amp; Sources'!$B$167:$J$179,0,1))*INDEX('How This Works &amp; Sources'!$B$167:$J$179,0,1+2)),IF('Second Earner'!$C$77="E",SUMPRODUCT(($D35*'Second Earner'!$C$8&gt;INDEX('How This Works &amp; Sources'!$B$167:$J$179,0,4))*($D35*'Second Earner'!$C$8-INDEX('How This Works &amp; Sources'!$B$167:$J$179,0,4))*INDEX('How This Works &amp; Sources'!$B$167:$J$179,0,4+2)),SUMPRODUCT(($D35*'Second Earner'!$C$8&gt;INDEX('How This Works &amp; Sources'!$B$155:$J$162,0,1))*($D35*'Second Earner'!$C$8-INDEX('How This Works &amp; Sources'!$B$155:$J$162,0,1))*INDEX('How This Works &amp; Sources'!$B$155:$J$162,0,1+2))))))/'Second Earner'!$C$8,IF($AN35="NY",0.117*$D35,IF($AN35="OH",0.0275*$D35,IF($AN35="OK",0.045*$D35,IF($AN35="OR",0.08*$D35,IF($AN35="WI",IF($AY35&lt;12760,0.0354,IF($AY35&lt;25520,0.0465,IF($AY35&lt;280950,0.053,0.0765)))*$D35,0))))))))))))))))))))</f>
      </c>
      <c r="BD35" s="7">
        <f>IF($B35="","",$BD34+$Q35+$R35+$S35)</f>
      </c>
      <c r="BE35" s="6">
        <f>IF($B35="",$BE34,$BE34+$BF35)</f>
      </c>
      <c r="BF35" s="6">
        <f>IF($B35="","",IF(AND(IF(YEAR(IF('Second Earner'!$C$7="Weekly",'Second Earner'!$C$9+7*(($BE34+1)-1),IF('Second Earner'!$C$7="Biweekly",'Second Earner'!$C$9+14*(($BE34+1)-1),IF('Second Earner'!$C$7="Semimonthly",DATE(YEAR('Second Earner'!$C$9),MONTH('Second Earner'!$C$9)+INT((($BE34+1)-1)/2),MIN(DAY('Second Earner'!$C$9),DAY(EOMONTH(DATE(YEAR('Second Earner'!$C$9),MONTH('Second Earner'!$C$9)+INT((($BE34+1)-1)/2),1),0))))+IF(MOD(($BE34+1)-1,2)=1,15,0),EDATE('Second Earner'!$C$9,($BE34+1)-1)))))&lt;&gt;'Second Earner'!$C$10,"",IF('Second Earner'!$C$7="Weekly",'Second Earner'!$C$9+7*(($BE34+1)-1),IF('Second Earner'!$C$7="Biweekly",'Second Earner'!$C$9+14*(($BE34+1)-1),IF('Second Earner'!$C$7="Semimonthly",DATE(YEAR('Second Earner'!$C$9),MONTH('Second Earner'!$C$9)+INT((($BE34+1)-1)/2),MIN(DAY('Second Earner'!$C$9),DAY(EOMONTH(DATE(YEAR('Second Earner'!$C$9),MONTH('Second Earner'!$C$9)+INT((($BE34+1)-1)/2),1),0))))+IF(MOD(($BE34+1)-1,2)=1,15,0),EDATE('Second Earner'!$C$9,($BE34+1)-1)))))&lt;&gt;"",$B35=IF(YEAR(IF('Second Earner'!$C$7="Weekly",'Second Earner'!$C$9+7*(($BE34+1)-1),IF('Second Earner'!$C$7="Biweekly",'Second Earner'!$C$9+14*(($BE34+1)-1),IF('Second Earner'!$C$7="Semimonthly",DATE(YEAR('Second Earner'!$C$9),MONTH('Second Earner'!$C$9)+INT((($BE34+1)-1)/2),MIN(DAY('Second Earner'!$C$9),DAY(EOMONTH(DATE(YEAR('Second Earner'!$C$9),MONTH('Second Earner'!$C$9)+INT((($BE34+1)-1)/2),1),0))))+IF(MOD(($BE34+1)-1,2)=1,15,0),EDATE('Second Earner'!$C$9,($BE34+1)-1)))))&lt;&gt;'Second Earner'!$C$10,"",IF('Second Earner'!$C$7="Weekly",'Second Earner'!$C$9+7*(($BE34+1)-1),IF('Second Earner'!$C$7="Biweekly",'Second Earner'!$C$9+14*(($BE34+1)-1),IF('Second Earner'!$C$7="Semimonthly",DATE(YEAR('Second Earner'!$C$9),MONTH('Second Earner'!$C$9)+INT((($BE34+1)-1)/2),MIN(DAY('Second Earner'!$C$9),DAY(EOMONTH(DATE(YEAR('Second Earner'!$C$9),MONTH('Second Earner'!$C$9)+INT((($BE34+1)-1)/2),1),0))))+IF(MOD(($BE34+1)-1,2)=1,15,0),EDATE('Second Earner'!$C$9,($BE34+1)-1)))))),1,0))</f>
      </c>
      <c r="BG35" s="7">
        <f>IF($B35="","",$BG34+$H35)</f>
      </c>
      <c r="BH35" s="7">
        <f>IF($B35="","",$BH34+$I35)</f>
      </c>
      <c r="BI35" s="7">
        <f>IF($B35="","",$BI34+$G35)</f>
      </c>
      <c r="BJ35" s="7">
        <f>IF($B35="","",IFERROR(LOOKUP(2,1/(((('Changes — Earner 2'!$C$6:$C$17="Deduction start"))*('Changes — Earner 2'!$D$6:$D$17="Health FSA"))*('Changes — Earner 2'!$B$6:$B$17&lt;=$B35)*('Changes — Earner 2'!$B$6:$B$17&lt;&gt;"")),'Changes — Earner 2'!$E$6:$E$17),'Second Earner'!$D$38))</f>
      </c>
      <c r="BK35" s="7">
        <f>IF($B35="","",IFERROR(LOOKUP(2,1/(((('Changes — Earner 2'!$C$6:$C$17="Deduction start"))*('Changes — Earner 2'!$D$6:$D$17="Dependent-care FSA"))*('Changes — Earner 2'!$B$6:$B$17&lt;=$B35)*('Changes — Earner 2'!$B$6:$B$17&lt;&gt;"")),'Changes — Earner 2'!$E$6:$E$17),'Second Earner'!$D$39))</f>
      </c>
      <c r="BL35" s="7">
        <f>IF($B35="","",IFERROR(LOOKUP(2,1/(((('Changes — Earner 2'!$C$6:$C$17="Deduction start")+('Changes — Earner 2'!$C$6:$C$17="Deduction stop"))*('Changes — Earner 2'!$D$6:$D$17="HSA"))*('Changes — Earner 2'!$B$6:$B$17&lt;=$B35)*('Changes — Earner 2'!$B$6:$B$17&lt;&gt;"")),'Changes — Earner 2'!$I$6:$I$17),'Second Earner'!$D$35))</f>
      </c>
      <c r="BM35" s="7">
        <f>IF($B35="","",IFERROR(LOOKUP(2,1/(((('Changes — Earner 2'!$C$6:$C$17="Deduction start")+('Changes — Earner 2'!$C$6:$C$17="Deduction stop"))*('Changes — Earner 2'!$D$6:$D$17="Premiums"))*('Changes — Earner 2'!$B$6:$B$17&lt;=$B35)*('Changes — Earner 2'!$B$6:$B$17&lt;&gt;"")),'Changes — Earner 2'!$I$6:$I$17),'Second Earner'!$D$40+'Second Earner'!$D$41+'Second Earner'!$D$42))</f>
      </c>
      <c r="BN35" s="7">
        <f>IF($B35="","",IFERROR(LOOKUP(2,1/(((('Changes — Earner 2'!$C$6:$C$17="Deduction start")+('Changes — Earner 2'!$C$6:$C$17="Deduction stop"))*('Changes — Earner 2'!$D$6:$D$17="Commuter"))*('Changes — Earner 2'!$B$6:$B$17&lt;=$B35)*('Changes — Earner 2'!$B$6:$B$17&lt;&gt;"")),'Changes — Earner 2'!$I$6:$I$17),'Second Earner'!$D$43))</f>
      </c>
      <c r="BO35" s="7">
        <f>IF($B35="","",IFERROR(LOOKUP(2,1/(((('Changes — Earner 2'!$C$6:$C$17="Deduction start")+('Changes — Earner 2'!$C$6:$C$17="Deduction stop"))*('Changes — Earner 2'!$D$6:$D$17="Other pre-tax"))*('Changes — Earner 2'!$B$6:$B$17&lt;=$B35)*('Changes — Earner 2'!$B$6:$B$17&lt;&gt;"")),'Changes — Earner 2'!$I$6:$I$17),'Second Earner'!$D$44))</f>
      </c>
      <c r="BP35" s="7">
        <f>IF($B35="","",IFERROR(LOOKUP(2,1/(((('Changes — Earner 2'!$C$6:$C$17="Deduction start")+('Changes — Earner 2'!$C$6:$C$17="Deduction stop"))*('Changes — Earner 2'!$D$6:$D$17="Other post-tax"))*('Changes — Earner 2'!$B$6:$B$17&lt;=$B35)*('Changes — Earner 2'!$B$6:$B$17&lt;&gt;"")),'Changes — Earner 2'!$I$6:$I$17),'Second Earner'!$D$45))</f>
      </c>
      <c r="BQ35" s="6">
        <f>IF($B35="","",IFERROR(LOOKUP(2,1/(((('Changes — Earner 2'!$C$6:$C$17="Deduction start")+('Changes — Earner 2'!$C$6:$C$17="Deduction stop"))*('Changes — Earner 2'!$D$6:$D$17="Health FSA"))*('Changes — Earner 2'!$B$6:$B$17&lt;=$B35)*('Changes — Earner 2'!$B$6:$B$17&lt;&gt;"")),'Changes — Earner 2'!$J$6:$J$17),0))</f>
      </c>
      <c r="BR35" s="6">
        <f>IF($B35="","",IFERROR(LOOKUP(2,1/(((('Changes — Earner 2'!$C$6:$C$17="Deduction start")+('Changes — Earner 2'!$C$6:$C$17="Deduction stop"))*('Changes — Earner 2'!$D$6:$D$17="Dependent-care FSA"))*('Changes — Earner 2'!$B$6:$B$17&lt;=$B35)*('Changes — Earner 2'!$B$6:$B$17&lt;&gt;"")),'Changes — Earner 2'!$J$6:$J$17),0))</f>
      </c>
      <c r="BS35" s="6">
        <f>IF($B35="","",IF(SUMPRODUCT(('Changes — Earner 2'!$C$6:$C$17="Deduction start")*('Changes — Earner 2'!$B$6:$B$17&lt;=$B35)*('Changes — Earner 2'!$B$6:$B$17&lt;&gt;"")*('Changes — Earner 2'!$D$6:$D$17="Health FSA"))&gt;0,1,0))</f>
      </c>
      <c r="BT35" s="6">
        <f>IF($B35="","",IF(SUMPRODUCT(('Changes — Earner 2'!$C$6:$C$17="Deduction start")*('Changes — Earner 2'!$B$6:$B$17&lt;=$B35)*('Changes — Earner 2'!$B$6:$B$17&lt;&gt;"")*('Changes — Earner 2'!$D$6:$D$17="Dependent-care FSA"))&gt;0,1,0))</f>
      </c>
      <c r="BU35" s="24">
        <f>IF($B35="","",IF('Second Earner'!$C$13,SUMPRODUCT(($AH35&gt;=INDEX('How This Works &amp; Sources'!$B$29:$J$36,0,IF('Second Earner'!$C$12="MFJ",1,IF('Second Earner'!$C$12="HoH",7,4))))*INDEX('How This Works &amp; Sources'!$B$29:$J$36,0,IF('Second Earner'!$C$12="MFJ",1,IF('Second Earner'!$C$12="HoH",7,4))+2)),SUMPRODUCT(($AH35&gt;=INDEX('How This Works &amp; Sources'!$B$19:$J$26,0,IF('Second Earner'!$C$12="MFJ",1,IF('Second Earner'!$C$12="HoH",7,4))))*INDEX('How This Works &amp; Sources'!$B$19:$J$26,0,IF('Second Earner'!$C$12="MFJ",1,IF('Second Earner'!$C$12="HoH",7,4))+2))))</f>
      </c>
      <c r="BV35" s="24">
        <f>IF($B35="","",IF($BZ35&lt;&gt;"",$BZ35,IF($CA35&lt;&gt;"",$CA35,IF($CB35&lt;&gt;"",$CB35,IF($CC35&lt;&gt;"",$CC35,0)))))</f>
      </c>
      <c r="BW35" s="7">
        <f>IF($B35="","",IF($AN35="AR",SUMPRODUCT(($AZ35&gt;INDEX('How This Works &amp; Sources'!$B$82:$J$86,0,7))*($AZ35-INDEX('How This Works &amp; Sources'!$B$82:$J$86,0,7))*INDEX('How This Works &amp; Sources'!$B$82:$J$86,0,7+2)),IF($AN35="MD",IF(OR($AU35="Married",$AU35="Head of household"),SUMPRODUCT(($AZ35&gt;INDEX('How This Works &amp; Sources'!$B$114:$J$120,0,1))*($AZ35-INDEX('How This Works &amp; Sources'!$B$114:$J$120,0,1))*INDEX('How This Works &amp; Sources'!$B$114:$J$120,0,1+2)),SUMPRODUCT(($AZ35&gt;INDEX('How This Works &amp; Sources'!$B$103:$J$109,0,7))*($AZ35-INDEX('How This Works &amp; Sources'!$B$103:$J$109,0,7))*INDEX('How This Works &amp; Sources'!$B$103:$J$109,0,7+2))),IF($AN35="MT",IF($AU35="Head of household",SUMPRODUCT(($AZ35&gt;INDEX('How This Works &amp; Sources'!$B$137:$J$139,0,1))*($AZ35-INDEX('How This Works &amp; Sources'!$B$137:$J$139,0,1))*INDEX('How This Works &amp; Sources'!$B$137:$J$139,0,1+2)),IF($AU35="Married",SUMPRODUCT(($AZ35&gt;INDEX('How This Works &amp; Sources'!$B$125:$J$132,0,7))*($AZ35-INDEX('How This Works &amp; Sources'!$B$125:$J$132,0,7))*INDEX('How This Works &amp; Sources'!$B$125:$J$132,0,7+2)),SUMPRODUCT(($AZ35&gt;INDEX('How This Works &amp; Sources'!$B$125:$J$132,0,4))*($AZ35-INDEX('How This Works &amp; Sources'!$B$125:$J$132,0,4))*INDEX('How This Works &amp; Sources'!$B$125:$J$132,0,4+2)))),IF($AN35="ND",IF($AU35="Head of household",SUMPRODUCT(($AZ35&gt;INDEX('How This Works &amp; Sources'!$B$144:$J$150,0,1))*($AZ35-INDEX('How This Works &amp; Sources'!$B$144:$J$150,0,1))*INDEX('How This Works &amp; Sources'!$B$144:$J$150,0,1+2)),IF($AU35="Married",SUMPRODUCT(($AZ35&gt;INDEX('How This Works &amp; Sources'!$B$137:$J$139,0,7))*($AZ35-INDEX('How This Works &amp; Sources'!$B$137:$J$139,0,7))*INDEX('How This Works &amp; Sources'!$B$137:$J$139,0,7+2)),SUMPRODUCT(($AZ35&gt;INDEX('How This Works &amp; Sources'!$B$137:$J$139,0,4))*($AZ35-INDEX('How This Works &amp; Sources'!$B$137:$J$139,0,4))*INDEX('How This Works &amp; Sources'!$B$137:$J$139,0,4+2)))),IF($AN35="NJ",IF('Second Earner'!$C$77="B",SUMPRODUCT(($AZ35&gt;INDEX('How This Works &amp; Sources'!$B$155:$J$162,0,4))*($AZ35-INDEX('How This Works &amp; Sources'!$B$155:$J$162,0,4))*INDEX('How This Works &amp; Sources'!$B$155:$J$162,0,4+2)),IF('Second Earner'!$C$77="C",SUMPRODUCT(($AZ35&gt;INDEX('How This Works &amp; Sources'!$B$155:$J$162,0,7))*($AZ35-INDEX('How This Works &amp; Sources'!$B$155:$J$162,0,7))*INDEX('How This Works &amp; Sources'!$B$155:$J$162,0,7+2)),IF('Second Earner'!$C$77="D",SUMPRODUCT(($AZ35&gt;INDEX('How This Works &amp; Sources'!$B$167:$J$179,0,1))*($AZ35-INDEX('How This Works &amp; Sources'!$B$167:$J$179,0,1))*INDEX('How This Works &amp; Sources'!$B$167:$J$179,0,1+2)),IF('Second Earner'!$C$77="E",SUMPRODUCT(($AZ35&gt;INDEX('How This Works &amp; Sources'!$B$167:$J$179,0,4))*($AZ35-INDEX('How This Works &amp; Sources'!$B$167:$J$179,0,4))*INDEX('How This Works &amp; Sources'!$B$167:$J$179,0,4+2)),SUMPRODUCT(($AZ35&gt;INDEX('How This Works &amp; Sources'!$B$155:$J$162,0,1))*($AZ35-INDEX('How This Works &amp; Sources'!$B$155:$J$162,0,1))*INDEX('How This Works &amp; Sources'!$B$155:$J$162,0,1+2)))))),IF($AN35="NY",IF($AU35="Married",IF($AZ35&gt;=2155350,$AZ35*IF($AZ35&gt;25000000,0.117,IF($AZ35&gt;5000000,0.111,0.1045)),SUMPRODUCT(($AZ35&gt;INDEX('How This Works &amp; Sources'!$B$184:$J$198,0,1))*($AZ35-INDEX('How This Works &amp; Sources'!$B$184:$J$198,0,1))*INDEX('How This Works &amp; Sources'!$B$184:$J$198,0,1+2))),IF($AZ35&gt;=1077550,$AZ35*IF($AZ35&gt;25000000,0.117,IF($AZ35&gt;5000000,0.111,0.1045)),SUMPRODUCT(($AZ35&gt;INDEX('How This Works &amp; Sources'!$B$167:$J$179,0,7))*($AZ35-INDEX('How This Works &amp; Sources'!$B$167:$J$179,0,7))*INDEX('How This Works &amp; Sources'!$B$167:$J$179,0,7+2)))),"")))))))</f>
      </c>
      <c r="BX35" s="7">
        <f>IF($B35="","",IF($AN35="AL",IF(OR($AU35="Married",$AU35="Head of household"),SUMPRODUCT(($AZ35&gt;INDEX('How This Works &amp; Sources'!$B$82:$J$86,0,4))*($AZ35-INDEX('How This Works &amp; Sources'!$B$82:$J$86,0,4))*INDEX('How This Works &amp; Sources'!$B$82:$J$86,0,4+2)),SUMPRODUCT(($AZ35&gt;INDEX('How This Works &amp; Sources'!$B$82:$J$86,0,1))*($AZ35-INDEX('How This Works &amp; Sources'!$B$82:$J$86,0,1))*INDEX('How This Works &amp; Sources'!$B$82:$J$86,0,1+2))),IF($AN35="KS",IF($AU35="Married",SUMPRODUCT(($AZ35&gt;INDEX('How This Works &amp; Sources'!$B$103:$J$109,0,4))*($AZ35-INDEX('How This Works &amp; Sources'!$B$103:$J$109,0,4))*INDEX('How This Works &amp; Sources'!$B$103:$J$109,0,4+2)),SUMPRODUCT(($AZ35&gt;INDEX('How This Works &amp; Sources'!$B$103:$J$109,0,1))*($AZ35-INDEX('How This Works &amp; Sources'!$B$103:$J$109,0,1))*INDEX('How This Works &amp; Sources'!$B$103:$J$109,0,1+2))),IF($AN35="MN",IF($AU35="Married",SUMPRODUCT(($AZ35&gt;INDEX('How This Works &amp; Sources'!$B$114:$J$120,0,7))*($AZ35-INDEX('How This Works &amp; Sources'!$B$114:$J$120,0,7))*INDEX('How This Works &amp; Sources'!$B$114:$J$120,0,7+2)),SUMPRODUCT(($AZ35&gt;INDEX('How This Works &amp; Sources'!$B$114:$J$120,0,4))*($AZ35-INDEX('How This Works &amp; Sources'!$B$114:$J$120,0,4))*INDEX('How This Works &amp; Sources'!$B$114:$J$120,0,4+2))),IF($AN35="MO",SUMPRODUCT(($AZ35&gt;INDEX('How This Works &amp; Sources'!$B$125:$J$132,0,1))*($AZ35-INDEX('How This Works &amp; Sources'!$B$125:$J$132,0,1))*INDEX('How This Works &amp; Sources'!$B$125:$J$132,0,1+2)),IF($AN35="NE",MAX(IF($AU35="Married",SUMPRODUCT(($AZ35&gt;INDEX('How This Works &amp; Sources'!$B$144:$J$150,0,7))*($AZ35-INDEX('How This Works &amp; Sources'!$B$144:$J$150,0,7))*INDEX('How This Works &amp; Sources'!$B$144:$J$150,0,7+2)),SUMPRODUCT(($AZ35&gt;INDEX('How This Works &amp; Sources'!$B$144:$J$150,0,4))*($AZ35-INDEX('How This Works &amp; Sources'!$B$144:$J$150,0,4))*INDEX('How This Works &amp; Sources'!$B$144:$J$150,0,4+2))),0.015*$AZ35),IF($AN35="OH",IF($B35&gt;=DATE(2026,8,1),SUMPRODUCT(($AZ35&gt;INDEX('How This Works &amp; Sources'!$B$203:$J$206,0,1))*($AZ35-INDEX('How This Works &amp; Sources'!$B$203:$J$206,0,1))*INDEX('How This Works &amp; Sources'!$B$203:$J$206,0,1+2)),SUMPRODUCT(($AZ35&gt;INDEX('How This Works &amp; Sources'!$B$184:$J$198,0,7))*($AZ35-INDEX('How This Works &amp; Sources'!$B$184:$J$198,0,7))*INDEX('How This Works &amp; Sources'!$B$184:$J$198,0,7+2))),IF($AN35="OK",IF($AU35="Married",SUMPRODUCT(($AZ35&gt;INDEX('How This Works &amp; Sources'!$B$203:$J$206,0,7))*($AZ35-INDEX('How This Works &amp; Sources'!$B$203:$J$206,0,7))*INDEX('How This Works &amp; Sources'!$B$203:$J$206,0,7+2)),SUMPRODUCT(($AZ35&gt;INDEX('How This Works &amp; Sources'!$B$203:$J$206,0,4))*($AZ35-INDEX('How This Works &amp; Sources'!$B$203:$J$206,0,4))*INDEX('How This Works &amp; Sources'!$B$203:$J$206,0,4+2))),IF($AN35="VT",IF($AU35="Married",SUMPRODUCT(($AZ35&gt;INDEX('How This Works &amp; Sources'!$B$228:$J$232,0,1))*($AZ35-INDEX('How This Works &amp; Sources'!$B$228:$J$232,0,1))*INDEX('How This Works &amp; Sources'!$B$228:$J$232,0,1+2)),SUMPRODUCT(($AZ35&gt;INDEX('How This Works &amp; Sources'!$B$219:$J$223,0,7))*($AZ35-INDEX('How This Works &amp; Sources'!$B$219:$J$223,0,7))*INDEX('How This Works &amp; Sources'!$B$219:$J$223,0,7+2))),IF($AN35="WV",IF($AU35="Married",SUMPRODUCT(($AZ35&gt;INDEX('How This Works &amp; Sources'!$B$237:$J$241,0,7))*($AZ35-INDEX('How This Works &amp; Sources'!$B$237:$J$241,0,7))*INDEX('How This Works &amp; Sources'!$B$237:$J$241,0,7+2)),SUMPRODUCT(($AZ35&gt;INDEX('How This Works &amp; Sources'!$B$228:$J$232,0,7))*($AZ35-INDEX('How This Works &amp; Sources'!$B$228:$J$232,0,7))*INDEX('How This Works &amp; Sources'!$B$228:$J$232,0,7+2))),""))))))))))</f>
      </c>
      <c r="BY35" s="7">
        <f>IF($B35="","",IF($AN35="DE",SUMPRODUCT(($AZ35&gt;INDEX('How This Works &amp; Sources'!$B$91:$J$98,0,1))*($AZ35-INDEX('How This Works &amp; Sources'!$B$91:$J$98,0,1))*INDEX('How This Works &amp; Sources'!$B$91:$J$98,0,1+2)),IF($AN35="HI",IF($AU35="Married",SUMPRODUCT(($AZ35&gt;INDEX('How This Works &amp; Sources'!$B$91:$J$98,0,7))*($AZ35-INDEX('How This Works &amp; Sources'!$B$91:$J$98,0,7))*INDEX('How This Works &amp; Sources'!$B$91:$J$98,0,7+2)),SUMPRODUCT(($AZ35&gt;INDEX('How This Works &amp; Sources'!$B$91:$J$98,0,4))*($AZ35-INDEX('How This Works &amp; Sources'!$B$91:$J$98,0,4))*INDEX('How This Works &amp; Sources'!$B$91:$J$98,0,4+2))),IF($AN35="RI",SUMPRODUCT(($AZ35&gt;INDEX('How This Works &amp; Sources'!$B$211:$J$214,0,7))*($AZ35-INDEX('How This Works &amp; Sources'!$B$211:$J$214,0,7))*INDEX('How This Works &amp; Sources'!$B$211:$J$214,0,7+2)),IF($AN35="SC",SUMPRODUCT(($AZ35&gt;INDEX('How This Works &amp; Sources'!$B$219:$J$223,0,1))*($AZ35-INDEX('How This Works &amp; Sources'!$B$219:$J$223,0,1))*INDEX('How This Works &amp; Sources'!$B$219:$J$223,0,1+2)),IF($AN35="VA",SUMPRODUCT(($AZ35&gt;INDEX('How This Works &amp; Sources'!$B$219:$J$223,0,4))*($AZ35-INDEX('How This Works &amp; Sources'!$B$219:$J$223,0,4))*INDEX('How This Works &amp; Sources'!$B$219:$J$223,0,4+2)),IF($AN35="WI",SUMPRODUCT(($AZ35&gt;INDEX('How This Works &amp; Sources'!$B$228:$J$232,0,4))*($AZ35-INDEX('How This Works &amp; Sources'!$B$228:$J$232,0,4))*INDEX('How This Works &amp; Sources'!$B$228:$J$232,0,4+2)),"")))))))</f>
      </c>
      <c r="BZ35" s="24">
        <f>IF($B35="","",IF($AN35="KS",IF($AU35="Married",SUMPRODUCT(($AZ35&gt;=INDEX('How This Works &amp; Sources'!$B$103:$J$109,0,4))*INDEX('How This Works &amp; Sources'!$B$103:$J$109,0,4+2)),SUMPRODUCT(($AZ35&gt;=INDEX('How This Works &amp; Sources'!$B$103:$J$109,0,1))*INDEX('How This Works &amp; Sources'!$B$103:$J$109,0,1+2))),IF($AN35="MT",IF($AU35="Head of household",SUMPRODUCT(($AZ35&gt;=INDEX('How This Works &amp; Sources'!$B$137:$J$139,0,1))*INDEX('How This Works &amp; Sources'!$B$137:$J$139,0,1+2)),IF($AU35="Married",SUMPRODUCT(($AZ35&gt;=INDEX('How This Works &amp; Sources'!$B$125:$J$132,0,7))*INDEX('How This Works &amp; Sources'!$B$125:$J$132,0,7+2)),SUMPRODUCT(($AZ35&gt;=INDEX('How This Works &amp; Sources'!$B$125:$J$132,0,4))*INDEX('How This Works &amp; Sources'!$B$125:$J$132,0,4+2)))),IF($AN35="OR",IF(OR($AU35="Married",AND($AU35="Single",$AS35&gt;=3)),SUMPRODUCT((MAX(0,$AY35-MIN(($P35-'How This Works &amp; Sources'!$C$10*$D35)*'Second Earner'!$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Sources'!$B$211:$J$214,0,4))*INDEX('How This Works &amp; Sources'!$B$211:$J$214,0,4+2)),SUMPRODUCT((MAX(0,$AY35-MIN(($P35-'How This Works &amp; Sources'!$C$10*$D35)*'Second Earner'!$C$8,IF(OR($AU35="Married",AND($AU35="Single",$AS35&gt;=3)),IF($AY35&lt;250000,8750,IF($AY35&lt;260000,7000,IF($AY35&lt;270000,5250,IF($AY35&lt;280000,3500,IF($AY35&lt;290000,1750,0))))),IF($AY35&lt;125000,8750,IF($AY35&lt;130000,7000,IF($AY35&lt;135000,5250,IF($AY35&lt;140000,3500,IF($AY35&lt;145000,1750,0)))))))-IF(OR($AU35="Married",AND($AU35="Single",$AS35&gt;=3)),5820,2910))&gt;=INDEX('How This Works &amp; Sources'!$B$211:$J$214,0,1))*INDEX('How This Works &amp; Sources'!$B$211:$J$214,0,1+2)))*IF(($P35-'How This Works &amp; Sources'!$C$10*$D35)*'Second Earner'!$C$8&gt;=IF(OR($AU35="Married",AND($AU35="Single",$AS35&gt;=3)),IF($AY35&lt;250000,8750,IF($AY35&lt;260000,7000,IF($AY35&lt;270000,5250,IF($AY35&lt;280000,3500,IF($AY35&lt;290000,1750,0))))),IF($AY35&lt;125000,8750,IF($AY35&lt;130000,7000,IF($AY35&lt;135000,5250,IF($AY35&lt;140000,3500,IF($AY35&lt;145000,1750,0)))))),1,1-IF('Second Earner'!$C$13,SUMPRODUCT(($AH35&gt;=INDEX('How This Works &amp; Sources'!$B$29:$J$36,0,IF('Second Earner'!$C$12="MFJ",1,IF('Second Earner'!$C$12="HoH",7,4))))*INDEX('How This Works &amp; Sources'!$B$29:$J$36,0,IF('Second Earner'!$C$12="MFJ",1,IF('Second Earner'!$C$12="HoH",7,4))+2)),SUMPRODUCT(($AH35&gt;=INDEX('How This Works &amp; Sources'!$B$19:$J$26,0,IF('Second Earner'!$C$12="MFJ",1,IF('Second Earner'!$C$12="HoH",7,4))))*INDEX('How This Works &amp; Sources'!$B$19:$J$26,0,IF('Second Earner'!$C$12="MFJ",1,IF('Second Earner'!$C$12="HoH",7,4))+2)))),""))))</f>
      </c>
      <c r="CA35" s="24">
        <f>IF($B35="","",IF($AN35="CA",SUMPRODUCT(($AJ35&gt;=INDEX('How This Works &amp; Sources'!$B$39:$J$48,0,IF($AU35="Married",4,IF($AU35="Head of household",7,1))))*INDEX('How This Works &amp; Sources'!$B$39:$J$48,0,IF($AU35="Married",4,IF($AU35="Head of household",7,1))+2)),IF($AN35="AL",IF(OR($AU35="Married",$AU35="Head of household"),SUMPRODUCT(($AZ35&gt;=INDEX('How This Works &amp; Sources'!$B$82:$J$86,0,4))*INDEX('How This Works &amp; Sources'!$B$82:$J$86,0,4+2)),SUMPRODUCT(($AZ35&gt;=INDEX('How This Works &amp; Sources'!$B$82:$J$86,0,1))*INDEX('How This Works &amp; Sources'!$B$82:$J$86,0,1+2)))*(1-IF('Second Earner'!$C$13,SUMPRODUCT(($AH35&gt;=INDEX('How This Works &amp; Sources'!$B$29:$J$36,0,IF('Second Earner'!$C$12="MFJ",1,IF('Second Earner'!$C$12="HoH",7,4))))*INDEX('How This Works &amp; Sources'!$B$29:$J$36,0,IF('Second Earner'!$C$12="MFJ",1,IF('Second Earner'!$C$12="HoH",7,4))+2)),SUMPRODUCT(($AH35&gt;=INDEX('How This Works &amp; Sources'!$B$19:$J$26,0,IF('Second Earner'!$C$12="MFJ",1,IF('Second Earner'!$C$12="HoH",7,4))))*INDEX('How This Works &amp; Sources'!$B$19:$J$26,0,IF('Second Earner'!$C$12="MFJ",1,IF('Second Earner'!$C$12="HoH",7,4))+2)))),IF($AN35="ND",IF($AU35="Head of household",SUMPRODUCT(($AZ35&gt;=INDEX('How This Works &amp; Sources'!$B$144:$J$150,0,1))*INDEX('How This Works &amp; Sources'!$B$144:$J$150,0,1+2)),IF($AU35="Married",SUMPRODUCT(($AZ35&gt;=INDEX('How This Works &amp; Sources'!$B$137:$J$139,0,7))*INDEX('How This Works &amp; Sources'!$B$137:$J$139,0,7+2)),SUMPRODUCT(($AZ35&gt;=INDEX('How This Works &amp; Sources'!$B$137:$J$139,0,4))*INDEX('How This Works &amp; Sources'!$B$137:$J$139,0,4+2)))),IF($AN35="NJ",IF('Second Earner'!$C$77="B",SUMPRODUCT(($AZ35&gt;=INDEX('How This Works &amp; Sources'!$B$155:$J$162,0,4))*INDEX('How This Works &amp; Sources'!$B$155:$J$162,0,4+2)),IF('Second Earner'!$C$77="C",SUMPRODUCT(($AZ35&gt;=INDEX('How This Works &amp; Sources'!$B$155:$J$162,0,7))*INDEX('How This Works &amp; Sources'!$B$155:$J$162,0,7+2)),IF('Second Earner'!$C$77="D",SUMPRODUCT(($AZ35&gt;=INDEX('How This Works &amp; Sources'!$B$167:$J$179,0,1))*INDEX('How This Works &amp; Sources'!$B$167:$J$179,0,1+2)),IF('Second Earner'!$C$77="E",SUMPRODUCT(($AZ35&gt;=INDEX('How This Works &amp; Sources'!$B$167:$J$179,0,4))*INDEX('How This Works &amp; Sources'!$B$167:$J$179,0,4+2)),SUMPRODUCT(($AZ35&gt;=INDEX('How This Works &amp; Sources'!$B$155:$J$162,0,1))*INDEX('How This Works &amp; Sources'!$B$155:$J$162,0,1+2)))))),IF($AN35="NY",IF($AU35="Married",IF($AZ35&gt;=2155350,IF($AZ35&gt;25000000,0.117,IF($AZ35&gt;5000000,0.111,0.1045)),SUMPRODUCT(($AZ35&gt;=INDEX('How This Works &amp; Sources'!$B$184:$J$198,0,1))*INDEX('How This Works &amp; Sources'!$B$184:$J$198,0,1+2))),IF($AZ35&gt;=1077550,IF($AZ35&gt;25000000,0.117,IF($AZ35&gt;5000000,0.111,0.1045)),SUMPRODUCT(($AZ35&gt;=INDEX('How This Works &amp; Sources'!$B$167:$J$179,0,7))*INDEX('How This Works &amp; Sources'!$B$167:$J$179,0,7+2)))),IF($AN35="LA",0.0309,"")))))))</f>
      </c>
      <c r="CB35" s="24">
        <f>IF($B35="","",IF($AN35="HI",IF($AU35="Married",SUMPRODUCT(($AZ35&gt;=INDEX('How This Works &amp; Sources'!$B$91:$J$98,0,7))*INDEX('How This Works &amp; Sources'!$B$91:$J$98,0,7+2)),SUMPRODUCT(($AZ35&gt;=INDEX('How This Works &amp; Sources'!$B$91:$J$98,0,4))*INDEX('How This Works &amp; Sources'!$B$91:$J$98,0,4+2))),IF($AN35="MD",IF(OR($AU35="Married",$AU35="Head of household"),SUMPRODUCT(($AZ35&gt;=INDEX('How This Works &amp; Sources'!$B$114:$J$120,0,1))*INDEX('How This Works &amp; Sources'!$B$114:$J$120,0,1+2)),SUMPRODUCT(($AZ35&gt;=INDEX('How This Works &amp; Sources'!$B$103:$J$109,0,7))*INDEX('How This Works &amp; Sources'!$B$103:$J$109,0,7+2)))+'Second Earner'!$C$74,IF($AN35="MN",IF($AU35="Married",SUMPRODUCT(($AZ35&gt;=INDEX('How This Works &amp; Sources'!$B$114:$J$120,0,7))*INDEX('How This Works &amp; Sources'!$B$114:$J$120,0,7+2)),SUMPRODUCT(($AZ35&gt;=INDEX('How This Works &amp; Sources'!$B$114:$J$120,0,4))*INDEX('How This Works &amp; Sources'!$B$114:$J$120,0,4+2))),IF($AN35="MO",SUMPRODUCT(($AZ35&gt;=INDEX('How This Works &amp; Sources'!$B$125:$J$132,0,1))*INDEX('How This Works &amp; Sources'!$B$125:$J$132,0,1+2)),IF($AN35="NE",MAX(IF($AU35="Married",SUMPRODUCT(($AZ35&gt;=INDEX('How This Works &amp; Sources'!$B$144:$J$150,0,7))*INDEX('How This Works &amp; Sources'!$B$144:$J$150,0,7+2)),SUMPRODUCT(($AZ35&gt;=INDEX('How This Works &amp; Sources'!$B$144:$J$150,0,4))*INDEX('How This Works &amp; Sources'!$B$144:$J$150,0,4+2))),0.015),IF($AN35="OH",IF($B35&gt;=DATE(2026,8,1),SUMPRODUCT(($AZ35&gt;=INDEX('How This Works &amp; Sources'!$B$203:$J$206,0,1))*INDEX('How This Works &amp; Sources'!$B$203:$J$206,0,1+2)),SUMPRODUCT(($AZ35&gt;=INDEX('How This Works &amp; Sources'!$B$184:$J$198,0,7))*INDEX('How This Works &amp; Sources'!$B$184:$J$198,0,7+2))),IF($AN35="OK",IF($AU35="Married",SUMPRODUCT(($AZ35&gt;=INDEX('How This Works &amp; Sources'!$B$203:$J$206,0,7))*INDEX('How This Works &amp; Sources'!$B$203:$J$206,0,7+2)),SUMPRODUCT(($AZ35&gt;=INDEX('How This Works &amp; Sources'!$B$203:$J$206,0,4))*INDEX('How This Works &amp; Sources'!$B$203:$J$206,0,4+2))),IF($AN35="RI",SUMPRODUCT(($AZ35&gt;=INDEX('How This Works &amp; Sources'!$B$211:$J$214,0,7))*INDEX('How This Works &amp; Sources'!$B$211:$J$214,0,7+2)),IF($AN35="VT",IF($AU35="Married",SUMPRODUCT(($AZ35&gt;=INDEX('How This Works &amp; Sources'!$B$228:$J$232,0,1))*INDEX('How This Works &amp; Sources'!$B$228:$J$232,0,1+2)),SUMPRODUCT(($AZ35&gt;=INDEX('How This Works &amp; Sources'!$B$219:$J$223,0,7))*INDEX('How This Works &amp; Sources'!$B$219:$J$223,0,7+2))),IF($AN35="WV",IF($AU35="Married",SUMPRODUCT(($AZ35&gt;=INDEX('How This Works &amp; Sources'!$B$237:$J$241,0,7))*INDEX('How This Works &amp; Sources'!$B$237:$J$241,0,7+2)),SUMPRODUCT(($AZ35&gt;=INDEX('How This Works &amp; Sources'!$B$228:$J$232,0,7))*INDEX('How This Works &amp; Sources'!$B$228:$J$232,0,7+2))),IF($AN35="AZ",'Second Earner'!$C$82,IF($AN35="ID",IF($AY35&gt;IF($AU35="Married",32000,16094),0.053,0),"")))))))))))))</f>
      </c>
      <c r="CC35" s="24">
        <f>IF($B35="","",IF($AN35="AR",SUMPRODUCT(($AZ35&gt;=INDEX('How This Works &amp; Sources'!$B$82:$J$86,0,7))*INDEX('How This Works &amp; Sources'!$B$82:$J$86,0,7+2)),IF($AN35="DE",SUMPRODUCT(($AZ35&gt;=INDEX('How This Works &amp; Sources'!$B$91:$J$98,0,1))*INDEX('How This Works &amp; Sources'!$B$91:$J$98,0,1+2)),IF($AN35="SC",SUMPRODUCT(($AZ35&gt;=INDEX('How This Works &amp; Sources'!$B$219:$J$223,0,1))*INDEX('How This Works &amp; Sources'!$B$219:$J$223,0,1+2)),IF($AN35="VA",SUMPRODUCT(($AZ35&gt;=INDEX('How This Works &amp; Sources'!$B$219:$J$223,0,4))*INDEX('How This Works &amp; Sources'!$B$219:$J$223,0,4+2)),IF($AN35="WI",SUMPRODUCT(($AZ35&gt;=INDEX('How This Works &amp; Sources'!$B$228:$J$232,0,4))*INDEX('How This Works &amp; Sources'!$B$228:$J$232,0,4+2)),IF($AN35="CO",IF($AY35&gt;IF($AU35="Married",10000,5000),0.044,0),IF($AN35="IA",IF($AY35&gt;IF($AU35="Head of household",19500,IF($AU35="Married",26000,13000)),0.038,0),IF($AN35="IL",IF($AY35&gt;(2925*$AS35+1000*$AT35),0.0495,0),IF($AN35="IN",(0.0295+'Second Earner'!$C$76),IF($AN35="KY",IF($AI35&gt;3360,0.035,0),IF($AN35="MA",IF(MAX(0,$AY35-MIN(($BD34+$Q35+$R35+$S35),2000)-IF($AS35=0,0,IF($AS35=1,4400,1000*$AS35+3400)))&gt;=1107750,0.09,0.05),IF($AN35="MI",IF($AY35&gt;5900*$AS35,0.0425,0),IF($AN35="MS",IF($AI35-IF($AU35="Head of household",3400,IF($AU35="Married",4600,2300))-'Second Earner'!$C$85&gt;10000,0.04,0),IF($AN35="PA",0.0307,"")))))))))))))))</f>
      </c>
      <c r="CD35" s="21">
        <f>IF(YEAR(IF('Second Earner'!$C$7="Weekly",'Second Earner'!$C$9+7*(($BE34+1)-1),IF('Second Earner'!$C$7="Biweekly",'Second Earner'!$C$9+14*(($BE34+1)-1),IF('Second Earner'!$C$7="Semimonthly",DATE(YEAR('Second Earner'!$C$9),MONTH('Second Earner'!$C$9)+INT((($BE34+1)-1)/2),MIN(DAY('Second Earner'!$C$9),DAY(EOMONTH(DATE(YEAR('Second Earner'!$C$9),MONTH('Second Earner'!$C$9)+INT((($BE34+1)-1)/2),1),0))))+IF(MOD(($BE34+1)-1,2)=1,15,0),EDATE('Second Earner'!$C$9,($BE34+1)-1)))))&lt;&gt;'Second Earner'!$C$10,"",IF('Second Earner'!$C$7="Weekly",'Second Earner'!$C$9+7*(($BE34+1)-1),IF('Second Earner'!$C$7="Biweekly",'Second Earner'!$C$9+14*(($BE34+1)-1),IF('Second Earner'!$C$7="Semimonthly",DATE(YEAR('Second Earner'!$C$9),MONTH('Second Earner'!$C$9)+INT((($BE34+1)-1)/2),MIN(DAY('Second Earner'!$C$9),DAY(EOMONTH(DATE(YEAR('Second Earner'!$C$9),MONTH('Second Earner'!$C$9)+INT((($BE34+1)-1)/2),1),0))))+IF(MOD(($BE34+1)-1,2)=1,15,0),EDATE('Second Earner'!$C$9,($BE34+1)-1)))))</f>
      </c>
      <c r="CE35" s="21">
        <f>IF(MIN(IF(AND('Second Earner'!$C$58&gt;MAX($B$6:$B34),'Second Earner'!$C$58&gt;=DATE('Second Earner'!$C$10,1,1),'Second Earner'!$C$58&lt;=DATE('Second Earner'!$C$10,12,31)),'Second Earner'!$C$58,999999),IF(AND('Second Earner'!$C$59&gt;MAX($B$6:$B34),'Second Earner'!$C$59&gt;=DATE('Second Earner'!$C$10,1,1),'Second Earner'!$C$59&lt;=DATE('Second Earner'!$C$10,12,31)),'Second Earner'!$C$59,999999),IF(AND('Second Earner'!$C$60&gt;MAX($B$6:$B34),'Second Earner'!$C$60&gt;=DATE('Second Earner'!$C$10,1,1),'Second Earner'!$C$60&lt;=DATE('Second Earner'!$C$10,12,31)),'Second Earner'!$C$60,999999),IF(AND('Second Earner'!$C$61&gt;MAX($B$6:$B34),'Second Earner'!$C$61&gt;=DATE('Second Earner'!$C$10,1,1),'Second Earner'!$C$61&lt;=DATE('Second Earner'!$C$10,12,31)),'Second Earner'!$C$61,999999),IF(AND('Second Earner'!$C$62&gt;MAX($B$6:$B34),'Second Earner'!$C$62&gt;=DATE('Second Earner'!$C$10,1,1),'Second Earner'!$C$62&lt;=DATE('Second Earner'!$C$10,12,31)),'Second Earner'!$C$62,999999),IF(AND('Second Earner'!$C$63&gt;MAX($B$6:$B34),'Second Earner'!$C$63&gt;=DATE('Second Earner'!$C$10,1,1),'Second Earner'!$C$63&lt;=DATE('Second Earner'!$C$10,12,31)),'Second Earner'!$C$63,999999),IF(AND('Second Earner'!$C$64&gt;MAX($B$6:$B34),'Second Earner'!$C$64&gt;=DATE('Second Earner'!$C$10,1,1),'Second Earner'!$C$64&lt;=DATE('Second Earner'!$C$10,12,31)),'Second Earner'!$C$64,999999),IF(AND('Second Earner'!$C$65&gt;MAX($B$6:$B34),'Second Earner'!$C$65&gt;=DATE('Second Earner'!$C$10,1,1),'Second Earner'!$C$65&lt;=DATE('Second Earner'!$C$10,12,31)),'Second Earner'!$C$65,999999),IF(AND('Second Earner'!$C$66&gt;MAX($B$6:$B34),'Second Earner'!$C$66&gt;=DATE('Second Earner'!$C$10,1,1),'Second Earner'!$C$66&lt;=DATE('Second Earner'!$C$10,12,31)),'Second Earner'!$C$66,999999),IF(AND('Second Earner'!$C$67&gt;MAX($B$6:$B34),'Second Earner'!$C$67&gt;=DATE('Second Earner'!$C$10,1,1),'Second Earner'!$C$67&lt;=DATE('Second Earner'!$C$10,12,31)),'Second Earner'!$C$67,999999))=999999,"",MIN(IF(AND('Second Earner'!$C$58&gt;MAX($B$6:$B34),'Second Earner'!$C$58&gt;=DATE('Second Earner'!$C$10,1,1),'Second Earner'!$C$58&lt;=DATE('Second Earner'!$C$10,12,31)),'Second Earner'!$C$58,999999),IF(AND('Second Earner'!$C$59&gt;MAX($B$6:$B34),'Second Earner'!$C$59&gt;=DATE('Second Earner'!$C$10,1,1),'Second Earner'!$C$59&lt;=DATE('Second Earner'!$C$10,12,31)),'Second Earner'!$C$59,999999),IF(AND('Second Earner'!$C$60&gt;MAX($B$6:$B34),'Second Earner'!$C$60&gt;=DATE('Second Earner'!$C$10,1,1),'Second Earner'!$C$60&lt;=DATE('Second Earner'!$C$10,12,31)),'Second Earner'!$C$60,999999),IF(AND('Second Earner'!$C$61&gt;MAX($B$6:$B34),'Second Earner'!$C$61&gt;=DATE('Second Earner'!$C$10,1,1),'Second Earner'!$C$61&lt;=DATE('Second Earner'!$C$10,12,31)),'Second Earner'!$C$61,999999),IF(AND('Second Earner'!$C$62&gt;MAX($B$6:$B34),'Second Earner'!$C$62&gt;=DATE('Second Earner'!$C$10,1,1),'Second Earner'!$C$62&lt;=DATE('Second Earner'!$C$10,12,31)),'Second Earner'!$C$62,999999),IF(AND('Second Earner'!$C$63&gt;MAX($B$6:$B34),'Second Earner'!$C$63&gt;=DATE('Second Earner'!$C$10,1,1),'Second Earner'!$C$63&lt;=DATE('Second Earner'!$C$10,12,31)),'Second Earner'!$C$63,999999),IF(AND('Second Earner'!$C$64&gt;MAX($B$6:$B34),'Second Earner'!$C$64&gt;=DATE('Second Earner'!$C$10,1,1),'Second Earner'!$C$64&lt;=DATE('Second Earner'!$C$10,12,31)),'Second Earner'!$C$64,999999),IF(AND('Second Earner'!$C$65&gt;MAX($B$6:$B34),'Second Earner'!$C$65&gt;=DATE('Second Earner'!$C$10,1,1),'Second Earner'!$C$65&lt;=DATE('Second Earner'!$C$10,12,31)),'Second Earner'!$C$65,999999),IF(AND('Second Earner'!$C$66&gt;MAX($B$6:$B34),'Second Earner'!$C$66&gt;=DATE('Second Earner'!$C$10,1,1),'Second Earner'!$C$66&lt;=DATE('Second Earner'!$C$10,12,31)),'Second Earner'!$C$66,999999),IF(AND('Second Earner'!$C$67&gt;MAX($B$6:$B34),'Second Earner'!$C$67&gt;=DATE('Second Earner'!$C$10,1,1),'Second Earner'!$C$67&lt;=DATE('Second Earner'!$C$10,12,31)),'Second Earner'!$C$67,999999)))</f>
      </c>
      <c r="CF35">
        <f>IF($B35="","",IF($D35=0,$Y35,""))</f>
      </c>
    </row>
    <row r="36">
      <c r="A36" t="n">
        <v>31</v>
      </c>
      <c r="B36" s="21">
        <f>IF(AND($CD36="",$CE36=""),"",IF($CE36="",$CD36,IF($CD36="",$CE36,MIN($CD36,$CE36))))</f>
      </c>
      <c r="C36" s="7">
        <f>IF($B36="","",IF($BF36=0,0,IF('Second Earner'!$C$4="Annual salary",ROUND($AK36/IF(AND('Second Earner'!$C$88="Actual paydays",MONTH('Second Earner'!$C$9)=1),MAX(1,MAX($BE$6:$BE$68)),'Second Earner'!$C$8),2),$AK36)))</f>
      </c>
      <c r="D36" s="7">
        <f>IF($B36="","",SUMIF('Second Earner'!$C$58:$C$67,$B36,'Second Earner'!$D$58:$D$67))</f>
      </c>
      <c r="E36" s="7">
        <f>IF($B36="","",ROUND(MAX(0,MIN(IF($AL36="Percent",$AM36*($C36+$D36),$AM36),MAX(0,'Second Earner'!$C$34-$AC35))),2))</f>
      </c>
      <c r="F36" s="7">
        <f>IF($B36="","",ROUND(MAX(0,MIN(IF('Second Earner'!$C$32="Percent",'Second Earner'!$D$32*($C36+$D36),'Second Earner'!$D$32),MAX(0,'Second Earner'!$C$34-$AC35-$E36))),2))</f>
      </c>
      <c r="G36" s="7">
        <f>IF($B36="","",IF($BF36=0,0,ROUND(MAX(0,MIN($BL36,'Second Earner'!$C$37-'Second Earner'!$C$54-$BI35)),2)))</f>
      </c>
      <c r="H36" s="7">
        <f>IF($B36="","",IF(OR($BF36=0,$BQ36=1),0,ROUND(MAX(0,MIN(IF($BS36=1,ROUND(MAX(0,MIN($BJ36,'How This Works &amp; Sources'!$C$13)-$BG35)/MAX(1,MAX($BE$6:$BE$68)-($BE35)),2),ROUND(MIN($BJ36,'How This Works &amp; Sources'!$C$13)/'Second Earner'!$C$8,2)),MIN($BJ36,'How This Works &amp; Sources'!$C$13)-$BG35)),2)))</f>
      </c>
      <c r="I36" s="7">
        <f>IF($B36="","",IF(OR($BF36=0,$BR36=1),0,ROUND(MAX(0,MIN(IF($BT36=1,ROUND(MAX(0,MIN($BK36,IF('Second Earner'!$C$12="MFJ",'How This Works &amp; Sources'!$C$14,'How This Works &amp; Sources'!$C$15))-$BH35)/MAX(1,MAX($BE$6:$BE$68)-($BE35)),2),ROUND(MIN($BK36,IF('Second Earner'!$C$12="MFJ",'How This Works &amp; Sources'!$C$14,'How This Works &amp; Sources'!$C$15))/'Second Earner'!$C$8,2)),MIN($BK36,IF('Second Earner'!$C$12="MFJ",'How This Works &amp; Sources'!$C$14,'How This Works &amp; Sources'!$C$15))-$BH35)),2)))</f>
      </c>
      <c r="J36" s="7">
        <f>IF($B36="","",IF($BF36=0,0,$BM36))</f>
      </c>
      <c r="K36" s="7">
        <f>IF($B36="","",IF($BF36=0,0,$BN36+$BO36))</f>
      </c>
      <c r="L36" s="7">
        <f>IF($B36="","",IF($BF36=0,0,'Second Earner'!$D$46))</f>
      </c>
      <c r="M36" s="7">
        <f>IF($B36="","",$C36+$D36+$L36-$E36-$G36-$H36-$I36-$J36-$K36)</f>
      </c>
      <c r="N36" s="7">
        <f>IF($B36="","",$C36+$D36+$L36-$G36-$H36-$I36-$J36-$K36)</f>
      </c>
      <c r="O36" s="7">
        <f>IF($B36="","",$C36+$D36+$L36-$E36-$H36-$I36-$J36-$K36-IF(OR($AN36="CA",$AN36="NJ"),0,$G36))</f>
      </c>
      <c r="P36" s="7">
        <f>IF($B36="","",IF('Second Earner'!$C$18,0,ROUND(MAX(0,IF('Second Earner'!$C$13,SUMPRODUCT(($AH36&gt;INDEX('How This Works &amp; Sources'!$B$29:$J$36,0,IF('Second Earner'!$C$12="MFJ",1,IF('Second Earner'!$C$12="HoH",7,4))))*($AH36-INDEX('How This Works &amp; Sources'!$B$29:$J$36,0,IF('Second Earner'!$C$12="MFJ",1,IF('Second Earner'!$C$12="HoH",7,4))))*INDEX('How This Works &amp; Sources'!$B$29:$J$36,0,IF('Second Earner'!$C$12="MFJ",1,IF('Second Earner'!$C$12="HoH",7,4))+2)),SUMPRODUCT(($AH36&gt;INDEX('How This Works &amp; Sources'!$B$19:$J$26,0,IF('Second Earner'!$C$12="MFJ",1,IF('Second Earner'!$C$12="HoH",7,4))))*($AH36-INDEX('How This Works &amp; Sources'!$B$19:$J$26,0,IF('Second Earner'!$C$12="MFJ",1,IF('Second Earner'!$C$12="HoH",7,4))))*INDEX('How This Works &amp; Sources'!$B$19:$J$26,0,IF('Second Earner'!$C$12="MFJ",1,IF('Second Earner'!$C$12="HoH",7,4))+2)))/'Second Earner'!$C$8-$AO36/'Second Earner'!$C$8)+$AR36+IF('Second Earner'!$C$89="Aggregate",MAX(0,IF('Second Earner'!$C$13,SUMPRODUCT((($AH36+$D36)&gt;INDEX('How This Works &amp; Sources'!$B$29:$J$36,0,IF('Second Earner'!$C$12="MFJ",1,IF('Second Earner'!$C$12="HoH",7,4))))*(($AH36+$D36)-INDEX('How This Works &amp; Sources'!$B$29:$J$36,0,IF('Second Earner'!$C$12="MFJ",1,IF('Second Earner'!$C$12="HoH",7,4))))*INDEX('How This Works &amp; Sources'!$B$29:$J$36,0,IF('Second Earner'!$C$12="MFJ",1,IF('Second Earner'!$C$12="HoH",7,4))+2)),SUMPRODUCT((($AH36+$D36)&gt;INDEX('How This Works &amp; Sources'!$B$19:$J$26,0,IF('Second Earner'!$C$12="MFJ",1,IF('Second Earner'!$C$12="HoH",7,4))))*(($AH36+$D36)-INDEX('How This Works &amp; Sources'!$B$19:$J$26,0,IF('Second Earner'!$C$12="MFJ",1,IF('Second Earner'!$C$12="HoH",7,4))))*INDEX('How This Works &amp; Sources'!$B$19:$J$26,0,IF('Second Earner'!$C$12="MFJ",1,IF('Second Earner'!$C$12="HoH",7,4))+2)))-IF('Second Earner'!$C$13,SUMPRODUCT(($AH36&gt;INDEX('How This Works &amp; Sources'!$B$29:$J$36,0,IF('Second Earner'!$C$12="MFJ",1,IF('Second Earner'!$C$12="HoH",7,4))))*($AH36-INDEX('How This Works &amp; Sources'!$B$29:$J$36,0,IF('Second Earner'!$C$12="MFJ",1,IF('Second Earner'!$C$12="HoH",7,4))))*INDEX('How This Works &amp; Sources'!$B$29:$J$36,0,IF('Second Earner'!$C$12="MFJ",1,IF('Second Earner'!$C$12="HoH",7,4))+2)),SUMPRODUCT(($AH36&gt;INDEX('How This Works &amp; Sources'!$B$19:$J$26,0,IF('Second Earner'!$C$12="MFJ",1,IF('Second Earner'!$C$12="HoH",7,4))))*($AH36-INDEX('How This Works &amp; Sources'!$B$19:$J$26,0,IF('Second Earner'!$C$12="MFJ",1,IF('Second Earner'!$C$12="HoH",7,4))))*INDEX('How This Works &amp; Sources'!$B$19:$J$26,0,IF('Second Earner'!$C$12="MFJ",1,IF('Second Earner'!$C$12="HoH",7,4))+2)))),'How This Works &amp; Sources'!$C$10*$D36),2)))</f>
      </c>
      <c r="Q36" s="7">
        <f>IF($B36="","",ROUND('How This Works &amp; Sources'!$C$4*MIN($N36,MAX(0,'How This Works &amp; Sources'!$C$3-($AX36+$AB35-$AW36))),2))</f>
      </c>
      <c r="R36" s="7">
        <f>IF($B36="","",ROUND('How This Works &amp; Sources'!$C$5*$N36,2))</f>
      </c>
      <c r="S36" s="7">
        <f>IF($B36="","",ROUND('How This Works &amp; Sources'!$C$6*MAX(0,MIN($N36,$AG35+$N36-'How This Works &amp; Sources'!$C$7)),2))</f>
      </c>
      <c r="T36" s="7">
        <f>IF($B36="","",IF('Second Earner'!$C$26,0,IF($AN36="CA",ROUND(IF($AI36&lt;=IF(($AS36+$AT36)&gt;=2,VLOOKUP($AN36,StateTables!$A$6:$AB$56,10,FALSE),VLOOKUP($AN36,StateTables!$A$6:$AB$56,9,FALSE)),0,MAX(0,SUMPRODUCT(($AJ36&gt;INDEX('How This Works &amp; Sources'!$B$39:$J$48,0,IF($AU36="Married",4,IF($AU36="Head of household",7,1))))*($AJ36-INDEX('How This Works &amp; Sources'!$B$39:$J$48,0,IF($AU36="Married",4,IF($AU36="Head of household",7,1))))*INDEX('How This Works &amp; Sources'!$B$39:$J$48,0,IF($AU36="Married",4,IF($AU36="Head of household",7,1))+2))-VLOOKUP($AN36,StateTables!$A$6:$AB$56,11,FALSE)*$AS36)/'Second Earner'!$C$8)+'Second Earner'!$C$25+VLOOKUP($AN36,StateTables!$A$6:$AB$56,13,FALSE)*$D36,2),IF(VLOOKUP($AN36,StateTables!$A$6:$AB$56,4,FALSE)="None",0,IF(ISNUMBER(SEARCH("MANUAL",VLOOKUP($AN36,StateTables!$A$6:$AB$56,5,FALSE))),'Second Earner'!$C$28,ROUND(MAX(0,$BA36+$BB36)/'Second Earner'!$C$8+'Second Earner'!$C$25+$BC36,2))))))</f>
      </c>
      <c r="U36" s="7">
        <f>IF($B36="","",IF(VLOOKUP($AN36,StateTables!$A$6:$AB$56,24,FALSE)="flatq",IF(OR(MONTH($B36)=1,MONTH($B36)=4,MONTH($B36)=7,MONTH($B36)=10),VLOOKUP($AN36,StateTables!$A$6:$AB$56,25,FALSE),0),IF(VLOOKUP($AN36,StateTables!$A$6:$AB$56,24,FALSE)="dbl",MIN(ROUND(0.005*$N36,2),ROUND(0.6*52/'Second Earner'!$C$8,2)),IF(OR(VLOOKUP($AN36,StateTables!$A$6:$AB$56,15,FALSE)="",VLOOKUP($AN36,StateTables!$A$6:$AB$56,15,FALSE)=0),0,ROUND(VLOOKUP($AN36,StateTables!$A$6:$AB$56,15,FALSE)*IF(OR(VLOOKUP($AN36,StateTables!$A$6:$AB$56,16,FALSE)="",VLOOKUP($AN36,StateTables!$A$6:$AB$56,16,FALSE)=0),$N36,MIN($N36,MAX(0,VLOOKUP($AN36,StateTables!$A$6:$AB$56,16,FALSE)-($AX36+$AB35-$AW36)))),2))))+IF(VLOOKUP($AN36,StateTables!$A$6:$AB$56,27,FALSE)="flatq",IF(OR(MONTH($B36)=1,MONTH($B36)=4,MONTH($B36)=7,MONTH($B36)=10),VLOOKUP($AN36,StateTables!$A$6:$AB$56,28,FALSE),0),IF(VLOOKUP($AN36,StateTables!$A$6:$AB$56,27,FALSE)="dbl",MIN(ROUND(0.005*$N36,2),ROUND(0.6*52/'Second Earner'!$C$8,2)),IF(OR(VLOOKUP($AN36,StateTables!$A$6:$AB$56,18,FALSE)="",VLOOKUP($AN36,StateTables!$A$6:$AB$56,18,FALSE)=0),0,ROUND(VLOOKUP($AN36,StateTables!$A$6:$AB$56,18,FALSE)*IF(OR(VLOOKUP($AN36,StateTables!$A$6:$AB$56,19,FALSE)="",VLOOKUP($AN36,StateTables!$A$6:$AB$56,19,FALSE)=0),$N36,MIN($N36,MAX(0,VLOOKUP($AN36,StateTables!$A$6:$AB$56,19,FALSE)-($AX36+$AB35-$AW36)))),2)))))</f>
      </c>
      <c r="V36" s="7">
        <f>IF($B36="","",IF($AN36="NY",IF('Second Earner'!$C$78,ROUND(SUMPRODUCT((MAX(0,($O36-$D36)*'Second Earner'!$C$8-(IF($AU36="Married",5500,5000)+1000*$AS36))&gt;INDEX('How This Works &amp; Sources'!$B$184:$J$198,0,4))*(MAX(0,($O36-$D36)*'Second Earner'!$C$8-(IF($AU36="Married",5500,5000)+1000*$AS36))-INDEX('How This Works &amp; Sources'!$B$184:$J$198,0,4))*INDEX('How This Works &amp; Sources'!$B$184:$J$198,0,4+2))/'Second Earner'!$C$8+0.0425*$D36,2),0)+IF('Second Earner'!$C$79="Resident",ROUND(0.1675*$T36,2),IF('Second Earner'!$C$79="Nonresident",ROUND(0.005*MAX(0,($O36-$D36)-(IF($AU36="Married",7950,7400)+1000*$AS36)/'Second Earner'!$C$8),2),0)),IF($AN36="PA",IF('Second Earner'!$C$80="None",'Second Earner'!$C$27+ROUND('Second Earner'!$C$81*($C36+$D36),2),ROUND(IF('Second Earner'!$C$80="Resident",IF($B36&lt;DATE(2026,7,1),0.0374,0.03735),IF($B36&lt;DATE(2026,7,1),0.0343,0.03425))*($C36+$D36),2)),IF($BF36=0,ROUND('Second Earner'!$C$81*($C36+$D36),2),'Second Earner'!$C$27+ROUND('Second Earner'!$C$81*($C36+$D36),2)))))</f>
      </c>
      <c r="W36" s="7">
        <f>IF($B36="","",IF($BF36=0,0,$BP36))</f>
      </c>
      <c r="X36" s="7">
        <f>IF($B36="","",SUM($E36:$K36)+$P36+$Q36+$R36+$S36+$T36+$U36+$V36+$W36)</f>
      </c>
      <c r="Y36" s="22">
        <f>IF($B36="","",$C36+$D36-$X36)</f>
      </c>
      <c r="Z36" s="7">
        <f>IF($B36="","",$Z35+$C36+$D36)</f>
      </c>
      <c r="AA36" s="7">
        <f>IF($B36="","",$AA35+$Y36)</f>
      </c>
      <c r="AB36" s="7">
        <f>IF($B36="","",$AB35+MIN($N36,MAX(0,'How This Works &amp; Sources'!$C$3-($AX36+$AB35-$AW36))))</f>
      </c>
      <c r="AC36" s="7">
        <f>IF($B36="","",$AC35+$E36+$F36)</f>
      </c>
      <c r="AD36" s="3">
        <f>IF($B36="","",IF(AND($AB35&lt;'How This Works &amp; Sources'!$C$3,$AB36&gt;='How This Works &amp; Sources'!$C$3),"★ Social Security maxed on this check — from the next check your net rises by about $"&amp;TEXT(ROUND('How This Works &amp; Sources'!$C$4*$N36,2),"#,##0.00")&amp;". ","")&amp;IF(AND($AC35&lt;'Second Earner'!$C$34,$AC36&gt;='Second Earner'!$C$34),"★ 401(k) reaches the $"&amp;TEXT('Second Earner'!$C$34,"#,##0")&amp;" cap on this check — deferrals stop and net pay rises. ","")&amp;IF(AND($AG35&lt;'How This Works &amp; Sources'!$C$7,$AG36&gt;='How This Works &amp; Sources'!$C$7),"★ Wages pass $200,000 — the 0.9% Additional Medicare Tax starts here. ","")&amp;IF(AND($BJ36&gt;0,$H36&gt;0,$BG35&lt;MIN($BJ36,'How This Works &amp; Sources'!$C$13),$BG35+$H36&gt;=MIN($BJ36,'How This Works &amp; Sources'!$C$13)),"★ Health FSA election is now fully deferred for the year. ",""))</f>
      </c>
      <c r="AE36" s="41" t="n"/>
      <c r="AF36" s="7">
        <f>IF(OR($B36="",$AE36=""),"",$AE36-$Y36)</f>
      </c>
      <c r="AG36" s="7">
        <f>IF($B36="","",$AG35+$N36)</f>
      </c>
      <c r="AH36" s="7">
        <f>IF($B36="","",MAX(0,($M36-$D36)*'Second Earner'!$C$8+$AP36-$AQ36-IF('Second Earner'!$C$13,0,IF('Second Earner'!$C$12="MFJ",'How This Works &amp; Sources'!$C$8,'How This Works &amp; Sources'!$C$9))))</f>
      </c>
      <c r="AI36" s="7">
        <f>IF($B36="","",$O36*'Second Earner'!$C$8)</f>
      </c>
      <c r="AJ36" s="7">
        <f>IF($B36="","",MAX(0,$AI36-VLOOKUP($AN36,StateTables!$A$6:$AB$56,12,FALSE)*$AT36-IF(($AS36+$AT36)&gt;=2,VLOOKUP($AN36,StateTables!$A$6:$AB$56,8,FALSE),VLOOKUP($AN36,StateTables!$A$6:$AB$56,7,FALSE))))</f>
      </c>
      <c r="AK36" s="7">
        <f>IF($B36="","",IFERROR(LOOKUP(2,1/(('Changes — Earner 2'!$C$6:$C$17="Salary change")*('Changes — Earner 2'!$B$6:$B$17&lt;=$B36)*('Changes — Earner 2'!$B$6:$B$17&lt;&gt;"")),'Changes — Earner 2'!$D$6:$D$17),IF('Second Earner'!$C$4="Annual salary",'Second Earner'!$C$5,'Second Earner'!$C$6)))</f>
      </c>
      <c r="AL36">
        <f>IF($B36="","",IFERROR(LOOKUP(2,1/(('Changes — Earner 2'!$C$6:$C$17="401(k) change")*('Changes — Earner 2'!$B$6:$B$17&lt;=$B36)*('Changes — Earner 2'!$B$6:$B$17&lt;&gt;"")),'Changes — Earner 2'!$D$6:$D$17),'Second Earner'!$C$30))</f>
      </c>
      <c r="AM36" s="7">
        <f>IF($B36="","",IFERROR(LOOKUP(2,1/(('Changes — Earner 2'!$C$6:$C$17="401(k) change")*('Changes — Earner 2'!$B$6:$B$17&lt;=$B36)*('Changes — Earner 2'!$B$6:$B$17&lt;&gt;"")),'Changes — Earner 2'!$E$6:$E$17),'Second Earner'!$D$31))</f>
      </c>
      <c r="AN36">
        <f>IF($B36="","",IFERROR(LOOKUP(2,1/(('Changes — Earner 2'!$C$6:$C$17="State move")*('Changes — Earner 2'!$B$6:$B$17&lt;=$B36)*('Changes — Earner 2'!$B$6:$B$17&lt;&gt;"")),'Changes — Earner 2'!$D$6:$D$17),'Second Earner'!$C$21))</f>
      </c>
      <c r="AO36" s="7">
        <f>IF($B36="","",IFERROR(LOOKUP(2,1/(('Changes — Earner 2'!$C$6:$C$17="W-4 change")*('Changes — Earner 2'!$B$6:$B$17&lt;=$B36)*('Changes — Earner 2'!$B$6:$B$17&lt;&gt;"")),'Changes — Earner 2'!$D$6:$D$17),'Second Earner'!$C$14))</f>
      </c>
      <c r="AP36" s="7">
        <f>IF($B36="","",IFERROR(LOOKUP(2,1/(('Changes — Earner 2'!$C$6:$C$17="W-4 change")*('Changes — Earner 2'!$B$6:$B$17&lt;=$B36)*('Changes — Earner 2'!$B$6:$B$17&lt;&gt;"")),'Changes — Earner 2'!$E$6:$E$17),'Second Earner'!$C$15))</f>
      </c>
      <c r="AQ36" s="7">
        <f>IF($B36="","",IFERROR(LOOKUP(2,1/(('Changes — Earner 2'!$C$6:$C$17="W-4 change")*('Changes — Earner 2'!$B$6:$B$17&lt;=$B36)*('Changes — Earner 2'!$B$6:$B$17&lt;&gt;"")),'Changes — Earner 2'!$F$6:$F$17),'Second Earner'!$C$16))</f>
      </c>
      <c r="AR36" s="7">
        <f>IF($B36="","",IFERROR(LOOKUP(2,1/(('Changes — Earner 2'!$C$6:$C$17="W-4 change")*('Changes — Earner 2'!$B$6:$B$17&lt;=$B36)*('Changes — Earner 2'!$B$6:$B$17&lt;&gt;"")),'Changes — Earner 2'!$G$6:$G$17),'Second Earner'!$C$17))</f>
      </c>
      <c r="AS36" s="6">
        <f>IF($B36="","",IFERROR(LOOKUP(2,1/((('Changes — Earner 2'!$C$6:$C$17="State move")+('Changes — Earner 2'!$C$6:$C$17="State cert change"))*('Changes — Earner 2'!$B$6:$B$17&lt;=$B36)*('Changes — Earner 2'!$B$6:$B$17&lt;&gt;"")),'Changes — Earner 2'!$F$6:$F$17),'Second Earner'!$C$23))</f>
      </c>
      <c r="AT36" s="6">
        <f>IF($B36="","",IFERROR(LOOKUP(2,1/((('Changes — Earner 2'!$C$6:$C$17="State move")+('Changes — Earner 2'!$C$6:$C$17="State cert change"))*('Changes — Earner 2'!$B$6:$B$17&lt;=$B36)*('Changes — Earner 2'!$B$6:$B$17&lt;&gt;"")),'Changes — Earner 2'!$G$6:$G$17),'Second Earner'!$C$24))</f>
      </c>
      <c r="AU36">
        <f>IF($B36="","",IFERROR(LOOKUP(2,1/(('Changes — Earner 2'!$C$6:$C$17="State move")*('Changes — Earner 2'!$B$6:$B$17&lt;=$B36)*('Changes — Earner 2'!$B$6:$B$17&lt;&gt;"")),'Changes — Earner 2'!$E$6:$E$17),'Second Earner'!$C$22))</f>
      </c>
      <c r="AV36" s="6">
        <f>IF($B36="","",1+COUNTIFS('Changes — Earner 2'!$C$6:$C$17,"Employer change",'Changes — Earner 2'!$B$6:$B$17,"&lt;="&amp;$B36,'Changes — Earner 2'!$B$6:$B$17,"&lt;&gt;"))</f>
      </c>
      <c r="AW36" s="7">
        <f>IF($B36="","",IF($AV36=1,'Second Earner'!$C$49,IF(IFERROR(MATCH(IFERROR(LOOKUP(2,1/(('Changes — Earner 2'!$C$6:$C$17="Employer change")*('Changes — Earner 2'!$B$6:$B$17&lt;=$B36)*('Changes — Earner 2'!$B$6:$B$17&lt;&gt;"")),'Changes — Earner 2'!$B$6:$B$17),""),$B$6:$B$68,1),1)&lt;=1,'Second Earner'!$C$49,INDEX($AB$6:$AB$68,MATCH(IFERROR(LOOKUP(2,1/(('Changes — Earner 2'!$C$6:$C$17="Employer change")*('Changes — Earner 2'!$B$6:$B$17&lt;=$B36)*('Changes — Earner 2'!$B$6:$B$17&lt;&gt;"")),'Changes — Earner 2'!$B$6:$B$17),""),$B$6:$B$68,1)-1))))</f>
      </c>
      <c r="AX36" s="7">
        <f>IF($B36="","",IF($AV36=1,'Second Earner'!$C$49,IFERROR(LOOKUP(2,1/(('Changes — Earner 2'!$C$6:$C$17="Employer change")*('Changes — Earner 2'!$B$6:$B$17&lt;=$B36)*('Changes — Earner 2'!$B$6:$B$17&lt;&gt;"")),'Changes — Earner 2'!$D$6:$D$17),0)))</f>
      </c>
      <c r="AY36" s="7">
        <f>IF($B36="","",($O36-$D36)*'Second Earner'!$C$8)</f>
      </c>
      <c r="AZ36" s="7">
        <f>IF($B36="","",IF($AN36="AL",MAX(0,$AY36-IF($AU36="Married",IF($AY36&lt;=25999,8500,MAX(5000,8500-175*CEILING(($AY36-25999)/500,1))),IF($AU36="Head of household",IF($AY36&lt;=25999,5200,MAX(2500,5200-135*CEILING(($AY36-25999)/500,1))),IF($AY36&lt;=25999,3000,MAX(2500,3000-25*CEILING(($AY36-25999)/500,1)))))-($P36-'How This Works &amp; Sources'!$C$10*$D36)*'Second Earner'!$C$8-IF(OR($AU36="Married",$AU36="Head of household"),3000,1500)-$AT36*IF($AY36&lt;=50000,1000,IF($AY36&lt;=100000,500,300))),IF($AN36="AR",IF(MAX(0,$AY36-2470)&lt;97701,INT(MAX(0,$AY36-2470)/100)*100+50,MAX(0,$AY36-2470)),IF($AN36="DE",MAX(0,$AI36-3250),IF($AN36="HI",MAX(0,$AI36-1144*$AS36-4350),IF($AN36="KS",MAX(0,$AI36-(9160*IF($AU36="Married",2,1)+2320*$AT36+IF($AU36="Head of household",2320,0))),IF($AN36="MD",MAX(0,$AI36-3400-3200*$AS36),IF($AN36="MN",MAX(0,$AY36-5300*$AS36),IF($AN36="MO",MAX(0,$AI36-IF($AU36="Head of household",24150,IF($AU36="Married",IF('Second Earner'!$C$83,16100,32200),16100))),IF($AN36="MT",$AY36,IF($AN36="ND",($C36+$L36)*'Second Earner'!$C$8,IF($AN36="NE",MAX(0,$AY36-2440*$AS36),IF($AN36="NJ",MAX(0,$AY36-1000*$AS36),IF($AN36="NY",MAX(0,$AY36-(IF($AU36="Married",7950,7400)+1000*$AS36)),IF($AN36="OH",MAX(0,$AY36-650*$AS36),IF($AN36="OK",MAX(0,$AY36-1000*$AS36),IF($AN36="RI",MAX(0,$AI36-1000*$AS36),IF($AN36="SC",MAX(0,$AI36-5000*$AS36-IF($AS36=0,0,MIN(0.1*$AI36,7500))),IF($AN36="VA",MAX(0,$AI36-IF($AU36="Married",17500,8750)-930*$AS36-800*$AT36),IF($AN36="VT",MAX(0,$AI36-5400*$AS36),IF($AN36="WI",MAX(0,$AI36-MAX(0,IF($AU36="Married",9461-0.2*MAX(0,$AI36-25727),6702-0.12*MAX(0,$AI36-17780)))-400*$AS36),IF($AN36="WV",MAX(0,$AI36-2000*$AS36),$AI36))))))))))))))))))))))</f>
      </c>
      <c r="BA36" s="7">
        <f>IF($B36="","",IF($BW36&lt;&gt;"",$BW36,IF($BX36&lt;&gt;"",$BX36,IF($BY36&lt;&gt;"",$BY36,0))))</f>
      </c>
      <c r="BB36" s="7">
        <f>IF($B36="","",IF($AN36="AR",-29*$AS36,IF($AN36="DE",-110*$AS36,IF($AN36="MD",$AZ36*'Second Earner'!$C$74,IF($AN36="AZ",'Second Earner'!$C$82*($M36-$D36)*'Second Earner'!$C$8,IF($AN36="CO",0.044*MAX(0,$AY36-IF($AU36="Married",10000,5000)),IF($AN36="IA",MAX(0,0.038*MAX(0,$AY36-IF($AU36="Head of household",19500,IF($AU36="Married",26000,13000)))-40*$AS36),IF($AN36="ID",0.053*MAX(0,$AY36-IF($AU36="Married",32000,16094)),IF($AN36="IL",0.0495*MAX(0,$AY36-(2925*$AS36+1000*$AT36)),IF($AN36="IN",(0.0295+'Second Earner'!$C$76)*MAX(0,$AY36-(1000*$AS36+1500*$AT36+3000*'Second Earner'!$C$86)),IF($AN36="KY",0.035*MAX(0,$AI36-3360),IF($AN36="LA",IF('Second Earner'!$C$84="0",0.0309*$AI36,0.0309*MAX(0,$AI36-IF('Second Earner'!$C$84="2",25750,12875))),IF($AN36="MA",0.05*MIN(MAX(0,$AY36-MIN(($BD35+$Q36+$R36+$S36),2000)-IF($AS36=0,0,IF($AS36=1,4400,1000*$AS36+3400))),1107750)+0.09*MAX(0,MAX(0,$AY36-MIN(($BD35+$Q36+$R36+$S36),2000)-IF($AS36=0,0,IF($AS36=1,4400,1000*$AS36+3400)))-1107750)-IF($AU36="Head of household",120,0)-110*'Second Earner'!$C$75,IF($AN36="MI",0.0425*MAX(0,$AY36-5900*$AS36),IF($AN36="MS",0.04*MAX(0,$AI36-IF($AU36="Head of household",3400,IF($AU36="Married",4600,2300))-'Second Earner'!$C$85-10000),IF($AN36="OR",IF(OR($AU36="Married",AND($AU36="Single",$AS36&gt;=3)),SUMPRODUCT((MAX(0,$AY36-MIN(($P36-'How This Works &amp; Sources'!$C$10*$D36)*'Second Earner'!$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Sources'!$B$211:$J$214,0,4))*(MAX(0,$AY36-MIN(($P36-'How This Works &amp; Sources'!$C$10*$D36)*'Second Earner'!$C$8,IF(OR($AU36="Married",AND($AU36="Single",$AS36&gt;=3)),IF($AY36&lt;250000,8750,IF($AY36&lt;260000,7000,IF($AY36&lt;270000,5250,IF($AY36&lt;280000,3500,IF($AY36&lt;290000,1750,0))))),IF($AY36&lt;125000,8750,IF($AY36&lt;130000,7000,IF($AY36&lt;135000,5250,IF($AY36&lt;140000,3500,IF($AY36&lt;145000,1750,0)))))))-IF(OR($AU36="Married",AND($AU36="Single",$AS36&gt;=3)),5820,2910))-INDEX('How This Works &amp; Sources'!$B$211:$J$214,0,4))*INDEX('How This Works &amp; Sources'!$B$211:$J$214,0,4+2)),SUMPRODUCT((MAX(0,$AY36-MIN(($P36-'How This Works &amp; Sources'!$C$10*$D36)*'Second Earner'!$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Sources'!$B$211:$J$214,0,1))*(MAX(0,$AY36-MIN(($P36-'How This Works &amp; Sources'!$C$10*$D36)*'Second Earner'!$C$8,IF(OR($AU36="Married",AND($AU36="Single",$AS36&gt;=3)),IF($AY36&lt;250000,8750,IF($AY36&lt;260000,7000,IF($AY36&lt;270000,5250,IF($AY36&lt;280000,3500,IF($AY36&lt;290000,1750,0))))),IF($AY36&lt;125000,8750,IF($AY36&lt;130000,7000,IF($AY36&lt;135000,5250,IF($AY36&lt;140000,3500,IF($AY36&lt;145000,1750,0)))))))-IF(OR($AU36="Married",AND($AU36="Single",$AS36&gt;=3)),5820,2910))-INDEX('How This Works &amp; Sources'!$B$211:$J$214,0,1))*INDEX('How This Works &amp; Sources'!$B$211:$J$214,0,1+2)))+263-263*IF(IF($AU36="Married",$AY36&gt;200000,$AY36&gt;100000),0,$AS36),IF($AN36="PA",0.0307*(($O36+$E36+$G36)*'Second Earner'!$C$8),IF($AN36="NY",IF($AU36="Married",IF($AZ36&gt;=2155350,0,IF($AZ36&gt;=1077550,0.48,IF($AZ36&gt;=373200,1.21,IF($AZ36&gt;=323200,0.21,IF($AZ36&gt;=211550,-0.19,IF($AZ36&gt;=157650,-2.8,IF($AZ36&gt;=107650,-0.8,IF($AZ36&gt;=96800,0.05,IF($AZ36&gt;=80650,-0.1,IF($AZ36&gt;=13900,0.4,IF($AZ36&gt;=11700,-0.3,IF($AZ36&gt;=8500,0.5,0)))))))))))),IF($AZ36&gt;=1077550,0,IF($AZ36&gt;=265400,4.29,IF($AZ36&gt;=215400,2.29,IF($AZ36&gt;=157650,2.29,IF($AZ36&gt;=107650,0.29,IF($AZ36&gt;=96800,0.05,IF($AZ36&gt;=80650,-0.1,IF($AZ36&gt;=13900,0.4,IF($AZ36&gt;=11700,-0.3,IF($AZ36&gt;=8500,0.5,0))))))))))),0))))))))))))))))))</f>
      </c>
      <c r="BC36" s="7">
        <f>IF($B36="","",IF($AN36="AL",0.05*$D36,IF($AN36="AR",0.039*$D36,IF($AN36="ID",0.053*$D36,IF($AN36="IN",(0.0295+'Second Earner'!$C$76)*$D36,IF($AN36="KS",0.05*$D36,IF($AN36="MA",0.09*MIN($D36,MAX(0,MAX(0,$AY36-MIN(($BD35+$Q36+$R36+$S36),2000)-IF($AS36=0,0,IF($AS36=1,4400,1000*$AS36+3400)))+$D36-1107750))+0.05*($D36-MIN($D36,MAX(0,MAX(0,$AY36-MIN(($BD35+$Q36+$R36+$S36),2000)-IF($AS36=0,0,IF($AS36=1,4400,1000*$AS36+3400)))+$D36-1107750))),IF($AN36="MD",(0.065+'Second Earner'!$C$74)*$D36,IF($AN36="MI",0.0425*$D36,IF($AN36="MN",0.0625*$D36,IF($AN36="MO",0.047*$D36,IF($AN36="MT",0.05*$D36,IF($AN36="ND",0.015*$D36,IF($AN36="NE",0.035*$D36,IF($AN36="NJ",IF('Second Earner'!$C$77="B",SUMPRODUCT(($D36*'Second Earner'!$C$8&gt;INDEX('How This Works &amp; Sources'!$B$155:$J$162,0,4))*($D36*'Second Earner'!$C$8-INDEX('How This Works &amp; Sources'!$B$155:$J$162,0,4))*INDEX('How This Works &amp; Sources'!$B$155:$J$162,0,4+2)),IF('Second Earner'!$C$77="C",SUMPRODUCT(($D36*'Second Earner'!$C$8&gt;INDEX('How This Works &amp; Sources'!$B$155:$J$162,0,7))*($D36*'Second Earner'!$C$8-INDEX('How This Works &amp; Sources'!$B$155:$J$162,0,7))*INDEX('How This Works &amp; Sources'!$B$155:$J$162,0,7+2)),IF('Second Earner'!$C$77="D",SUMPRODUCT(($D36*'Second Earner'!$C$8&gt;INDEX('How This Works &amp; Sources'!$B$167:$J$179,0,1))*($D36*'Second Earner'!$C$8-INDEX('How This Works &amp; Sources'!$B$167:$J$179,0,1))*INDEX('How This Works &amp; Sources'!$B$167:$J$179,0,1+2)),IF('Second Earner'!$C$77="E",SUMPRODUCT(($D36*'Second Earner'!$C$8&gt;INDEX('How This Works &amp; Sources'!$B$167:$J$179,0,4))*($D36*'Second Earner'!$C$8-INDEX('How This Works &amp; Sources'!$B$167:$J$179,0,4))*INDEX('How This Works &amp; Sources'!$B$167:$J$179,0,4+2)),SUMPRODUCT(($D36*'Second Earner'!$C$8&gt;INDEX('How This Works &amp; Sources'!$B$155:$J$162,0,1))*($D36*'Second Earner'!$C$8-INDEX('How This Works &amp; Sources'!$B$155:$J$162,0,1))*INDEX('How This Works &amp; Sources'!$B$155:$J$162,0,1+2))))))/'Second Earner'!$C$8,IF($AN36="NY",0.117*$D36,IF($AN36="OH",0.0275*$D36,IF($AN36="OK",0.045*$D36,IF($AN36="OR",0.08*$D36,IF($AN36="WI",IF($AY36&lt;12760,0.0354,IF($AY36&lt;25520,0.0465,IF($AY36&lt;280950,0.053,0.0765)))*$D36,0))))))))))))))))))))</f>
      </c>
      <c r="BD36" s="7">
        <f>IF($B36="","",$BD35+$Q36+$R36+$S36)</f>
      </c>
      <c r="BE36" s="6">
        <f>IF($B36="",$BE35,$BE35+$BF36)</f>
      </c>
      <c r="BF36" s="6">
        <f>IF($B36="","",IF(AND(IF(YEAR(IF('Second Earner'!$C$7="Weekly",'Second Earner'!$C$9+7*(($BE35+1)-1),IF('Second Earner'!$C$7="Biweekly",'Second Earner'!$C$9+14*(($BE35+1)-1),IF('Second Earner'!$C$7="Semimonthly",DATE(YEAR('Second Earner'!$C$9),MONTH('Second Earner'!$C$9)+INT((($BE35+1)-1)/2),MIN(DAY('Second Earner'!$C$9),DAY(EOMONTH(DATE(YEAR('Second Earner'!$C$9),MONTH('Second Earner'!$C$9)+INT((($BE35+1)-1)/2),1),0))))+IF(MOD(($BE35+1)-1,2)=1,15,0),EDATE('Second Earner'!$C$9,($BE35+1)-1)))))&lt;&gt;'Second Earner'!$C$10,"",IF('Second Earner'!$C$7="Weekly",'Second Earner'!$C$9+7*(($BE35+1)-1),IF('Second Earner'!$C$7="Biweekly",'Second Earner'!$C$9+14*(($BE35+1)-1),IF('Second Earner'!$C$7="Semimonthly",DATE(YEAR('Second Earner'!$C$9),MONTH('Second Earner'!$C$9)+INT((($BE35+1)-1)/2),MIN(DAY('Second Earner'!$C$9),DAY(EOMONTH(DATE(YEAR('Second Earner'!$C$9),MONTH('Second Earner'!$C$9)+INT((($BE35+1)-1)/2),1),0))))+IF(MOD(($BE35+1)-1,2)=1,15,0),EDATE('Second Earner'!$C$9,($BE35+1)-1)))))&lt;&gt;"",$B36=IF(YEAR(IF('Second Earner'!$C$7="Weekly",'Second Earner'!$C$9+7*(($BE35+1)-1),IF('Second Earner'!$C$7="Biweekly",'Second Earner'!$C$9+14*(($BE35+1)-1),IF('Second Earner'!$C$7="Semimonthly",DATE(YEAR('Second Earner'!$C$9),MONTH('Second Earner'!$C$9)+INT((($BE35+1)-1)/2),MIN(DAY('Second Earner'!$C$9),DAY(EOMONTH(DATE(YEAR('Second Earner'!$C$9),MONTH('Second Earner'!$C$9)+INT((($BE35+1)-1)/2),1),0))))+IF(MOD(($BE35+1)-1,2)=1,15,0),EDATE('Second Earner'!$C$9,($BE35+1)-1)))))&lt;&gt;'Second Earner'!$C$10,"",IF('Second Earner'!$C$7="Weekly",'Second Earner'!$C$9+7*(($BE35+1)-1),IF('Second Earner'!$C$7="Biweekly",'Second Earner'!$C$9+14*(($BE35+1)-1),IF('Second Earner'!$C$7="Semimonthly",DATE(YEAR('Second Earner'!$C$9),MONTH('Second Earner'!$C$9)+INT((($BE35+1)-1)/2),MIN(DAY('Second Earner'!$C$9),DAY(EOMONTH(DATE(YEAR('Second Earner'!$C$9),MONTH('Second Earner'!$C$9)+INT((($BE35+1)-1)/2),1),0))))+IF(MOD(($BE35+1)-1,2)=1,15,0),EDATE('Second Earner'!$C$9,($BE35+1)-1)))))),1,0))</f>
      </c>
      <c r="BG36" s="7">
        <f>IF($B36="","",$BG35+$H36)</f>
      </c>
      <c r="BH36" s="7">
        <f>IF($B36="","",$BH35+$I36)</f>
      </c>
      <c r="BI36" s="7">
        <f>IF($B36="","",$BI35+$G36)</f>
      </c>
      <c r="BJ36" s="7">
        <f>IF($B36="","",IFERROR(LOOKUP(2,1/(((('Changes — Earner 2'!$C$6:$C$17="Deduction start"))*('Changes — Earner 2'!$D$6:$D$17="Health FSA"))*('Changes — Earner 2'!$B$6:$B$17&lt;=$B36)*('Changes — Earner 2'!$B$6:$B$17&lt;&gt;"")),'Changes — Earner 2'!$E$6:$E$17),'Second Earner'!$D$38))</f>
      </c>
      <c r="BK36" s="7">
        <f>IF($B36="","",IFERROR(LOOKUP(2,1/(((('Changes — Earner 2'!$C$6:$C$17="Deduction start"))*('Changes — Earner 2'!$D$6:$D$17="Dependent-care FSA"))*('Changes — Earner 2'!$B$6:$B$17&lt;=$B36)*('Changes — Earner 2'!$B$6:$B$17&lt;&gt;"")),'Changes — Earner 2'!$E$6:$E$17),'Second Earner'!$D$39))</f>
      </c>
      <c r="BL36" s="7">
        <f>IF($B36="","",IFERROR(LOOKUP(2,1/(((('Changes — Earner 2'!$C$6:$C$17="Deduction start")+('Changes — Earner 2'!$C$6:$C$17="Deduction stop"))*('Changes — Earner 2'!$D$6:$D$17="HSA"))*('Changes — Earner 2'!$B$6:$B$17&lt;=$B36)*('Changes — Earner 2'!$B$6:$B$17&lt;&gt;"")),'Changes — Earner 2'!$I$6:$I$17),'Second Earner'!$D$35))</f>
      </c>
      <c r="BM36" s="7">
        <f>IF($B36="","",IFERROR(LOOKUP(2,1/(((('Changes — Earner 2'!$C$6:$C$17="Deduction start")+('Changes — Earner 2'!$C$6:$C$17="Deduction stop"))*('Changes — Earner 2'!$D$6:$D$17="Premiums"))*('Changes — Earner 2'!$B$6:$B$17&lt;=$B36)*('Changes — Earner 2'!$B$6:$B$17&lt;&gt;"")),'Changes — Earner 2'!$I$6:$I$17),'Second Earner'!$D$40+'Second Earner'!$D$41+'Second Earner'!$D$42))</f>
      </c>
      <c r="BN36" s="7">
        <f>IF($B36="","",IFERROR(LOOKUP(2,1/(((('Changes — Earner 2'!$C$6:$C$17="Deduction start")+('Changes — Earner 2'!$C$6:$C$17="Deduction stop"))*('Changes — Earner 2'!$D$6:$D$17="Commuter"))*('Changes — Earner 2'!$B$6:$B$17&lt;=$B36)*('Changes — Earner 2'!$B$6:$B$17&lt;&gt;"")),'Changes — Earner 2'!$I$6:$I$17),'Second Earner'!$D$43))</f>
      </c>
      <c r="BO36" s="7">
        <f>IF($B36="","",IFERROR(LOOKUP(2,1/(((('Changes — Earner 2'!$C$6:$C$17="Deduction start")+('Changes — Earner 2'!$C$6:$C$17="Deduction stop"))*('Changes — Earner 2'!$D$6:$D$17="Other pre-tax"))*('Changes — Earner 2'!$B$6:$B$17&lt;=$B36)*('Changes — Earner 2'!$B$6:$B$17&lt;&gt;"")),'Changes — Earner 2'!$I$6:$I$17),'Second Earner'!$D$44))</f>
      </c>
      <c r="BP36" s="7">
        <f>IF($B36="","",IFERROR(LOOKUP(2,1/(((('Changes — Earner 2'!$C$6:$C$17="Deduction start")+('Changes — Earner 2'!$C$6:$C$17="Deduction stop"))*('Changes — Earner 2'!$D$6:$D$17="Other post-tax"))*('Changes — Earner 2'!$B$6:$B$17&lt;=$B36)*('Changes — Earner 2'!$B$6:$B$17&lt;&gt;"")),'Changes — Earner 2'!$I$6:$I$17),'Second Earner'!$D$45))</f>
      </c>
      <c r="BQ36" s="6">
        <f>IF($B36="","",IFERROR(LOOKUP(2,1/(((('Changes — Earner 2'!$C$6:$C$17="Deduction start")+('Changes — Earner 2'!$C$6:$C$17="Deduction stop"))*('Changes — Earner 2'!$D$6:$D$17="Health FSA"))*('Changes — Earner 2'!$B$6:$B$17&lt;=$B36)*('Changes — Earner 2'!$B$6:$B$17&lt;&gt;"")),'Changes — Earner 2'!$J$6:$J$17),0))</f>
      </c>
      <c r="BR36" s="6">
        <f>IF($B36="","",IFERROR(LOOKUP(2,1/(((('Changes — Earner 2'!$C$6:$C$17="Deduction start")+('Changes — Earner 2'!$C$6:$C$17="Deduction stop"))*('Changes — Earner 2'!$D$6:$D$17="Dependent-care FSA"))*('Changes — Earner 2'!$B$6:$B$17&lt;=$B36)*('Changes — Earner 2'!$B$6:$B$17&lt;&gt;"")),'Changes — Earner 2'!$J$6:$J$17),0))</f>
      </c>
      <c r="BS36" s="6">
        <f>IF($B36="","",IF(SUMPRODUCT(('Changes — Earner 2'!$C$6:$C$17="Deduction start")*('Changes — Earner 2'!$B$6:$B$17&lt;=$B36)*('Changes — Earner 2'!$B$6:$B$17&lt;&gt;"")*('Changes — Earner 2'!$D$6:$D$17="Health FSA"))&gt;0,1,0))</f>
      </c>
      <c r="BT36" s="6">
        <f>IF($B36="","",IF(SUMPRODUCT(('Changes — Earner 2'!$C$6:$C$17="Deduction start")*('Changes — Earner 2'!$B$6:$B$17&lt;=$B36)*('Changes — Earner 2'!$B$6:$B$17&lt;&gt;"")*('Changes — Earner 2'!$D$6:$D$17="Dependent-care FSA"))&gt;0,1,0))</f>
      </c>
      <c r="BU36" s="24">
        <f>IF($B36="","",IF('Second Earner'!$C$13,SUMPRODUCT(($AH36&gt;=INDEX('How This Works &amp; Sources'!$B$29:$J$36,0,IF('Second Earner'!$C$12="MFJ",1,IF('Second Earner'!$C$12="HoH",7,4))))*INDEX('How This Works &amp; Sources'!$B$29:$J$36,0,IF('Second Earner'!$C$12="MFJ",1,IF('Second Earner'!$C$12="HoH",7,4))+2)),SUMPRODUCT(($AH36&gt;=INDEX('How This Works &amp; Sources'!$B$19:$J$26,0,IF('Second Earner'!$C$12="MFJ",1,IF('Second Earner'!$C$12="HoH",7,4))))*INDEX('How This Works &amp; Sources'!$B$19:$J$26,0,IF('Second Earner'!$C$12="MFJ",1,IF('Second Earner'!$C$12="HoH",7,4))+2))))</f>
      </c>
      <c r="BV36" s="24">
        <f>IF($B36="","",IF($BZ36&lt;&gt;"",$BZ36,IF($CA36&lt;&gt;"",$CA36,IF($CB36&lt;&gt;"",$CB36,IF($CC36&lt;&gt;"",$CC36,0)))))</f>
      </c>
      <c r="BW36" s="7">
        <f>IF($B36="","",IF($AN36="AR",SUMPRODUCT(($AZ36&gt;INDEX('How This Works &amp; Sources'!$B$82:$J$86,0,7))*($AZ36-INDEX('How This Works &amp; Sources'!$B$82:$J$86,0,7))*INDEX('How This Works &amp; Sources'!$B$82:$J$86,0,7+2)),IF($AN36="MD",IF(OR($AU36="Married",$AU36="Head of household"),SUMPRODUCT(($AZ36&gt;INDEX('How This Works &amp; Sources'!$B$114:$J$120,0,1))*($AZ36-INDEX('How This Works &amp; Sources'!$B$114:$J$120,0,1))*INDEX('How This Works &amp; Sources'!$B$114:$J$120,0,1+2)),SUMPRODUCT(($AZ36&gt;INDEX('How This Works &amp; Sources'!$B$103:$J$109,0,7))*($AZ36-INDEX('How This Works &amp; Sources'!$B$103:$J$109,0,7))*INDEX('How This Works &amp; Sources'!$B$103:$J$109,0,7+2))),IF($AN36="MT",IF($AU36="Head of household",SUMPRODUCT(($AZ36&gt;INDEX('How This Works &amp; Sources'!$B$137:$J$139,0,1))*($AZ36-INDEX('How This Works &amp; Sources'!$B$137:$J$139,0,1))*INDEX('How This Works &amp; Sources'!$B$137:$J$139,0,1+2)),IF($AU36="Married",SUMPRODUCT(($AZ36&gt;INDEX('How This Works &amp; Sources'!$B$125:$J$132,0,7))*($AZ36-INDEX('How This Works &amp; Sources'!$B$125:$J$132,0,7))*INDEX('How This Works &amp; Sources'!$B$125:$J$132,0,7+2)),SUMPRODUCT(($AZ36&gt;INDEX('How This Works &amp; Sources'!$B$125:$J$132,0,4))*($AZ36-INDEX('How This Works &amp; Sources'!$B$125:$J$132,0,4))*INDEX('How This Works &amp; Sources'!$B$125:$J$132,0,4+2)))),IF($AN36="ND",IF($AU36="Head of household",SUMPRODUCT(($AZ36&gt;INDEX('How This Works &amp; Sources'!$B$144:$J$150,0,1))*($AZ36-INDEX('How This Works &amp; Sources'!$B$144:$J$150,0,1))*INDEX('How This Works &amp; Sources'!$B$144:$J$150,0,1+2)),IF($AU36="Married",SUMPRODUCT(($AZ36&gt;INDEX('How This Works &amp; Sources'!$B$137:$J$139,0,7))*($AZ36-INDEX('How This Works &amp; Sources'!$B$137:$J$139,0,7))*INDEX('How This Works &amp; Sources'!$B$137:$J$139,0,7+2)),SUMPRODUCT(($AZ36&gt;INDEX('How This Works &amp; Sources'!$B$137:$J$139,0,4))*($AZ36-INDEX('How This Works &amp; Sources'!$B$137:$J$139,0,4))*INDEX('How This Works &amp; Sources'!$B$137:$J$139,0,4+2)))),IF($AN36="NJ",IF('Second Earner'!$C$77="B",SUMPRODUCT(($AZ36&gt;INDEX('How This Works &amp; Sources'!$B$155:$J$162,0,4))*($AZ36-INDEX('How This Works &amp; Sources'!$B$155:$J$162,0,4))*INDEX('How This Works &amp; Sources'!$B$155:$J$162,0,4+2)),IF('Second Earner'!$C$77="C",SUMPRODUCT(($AZ36&gt;INDEX('How This Works &amp; Sources'!$B$155:$J$162,0,7))*($AZ36-INDEX('How This Works &amp; Sources'!$B$155:$J$162,0,7))*INDEX('How This Works &amp; Sources'!$B$155:$J$162,0,7+2)),IF('Second Earner'!$C$77="D",SUMPRODUCT(($AZ36&gt;INDEX('How This Works &amp; Sources'!$B$167:$J$179,0,1))*($AZ36-INDEX('How This Works &amp; Sources'!$B$167:$J$179,0,1))*INDEX('How This Works &amp; Sources'!$B$167:$J$179,0,1+2)),IF('Second Earner'!$C$77="E",SUMPRODUCT(($AZ36&gt;INDEX('How This Works &amp; Sources'!$B$167:$J$179,0,4))*($AZ36-INDEX('How This Works &amp; Sources'!$B$167:$J$179,0,4))*INDEX('How This Works &amp; Sources'!$B$167:$J$179,0,4+2)),SUMPRODUCT(($AZ36&gt;INDEX('How This Works &amp; Sources'!$B$155:$J$162,0,1))*($AZ36-INDEX('How This Works &amp; Sources'!$B$155:$J$162,0,1))*INDEX('How This Works &amp; Sources'!$B$155:$J$162,0,1+2)))))),IF($AN36="NY",IF($AU36="Married",IF($AZ36&gt;=2155350,$AZ36*IF($AZ36&gt;25000000,0.117,IF($AZ36&gt;5000000,0.111,0.1045)),SUMPRODUCT(($AZ36&gt;INDEX('How This Works &amp; Sources'!$B$184:$J$198,0,1))*($AZ36-INDEX('How This Works &amp; Sources'!$B$184:$J$198,0,1))*INDEX('How This Works &amp; Sources'!$B$184:$J$198,0,1+2))),IF($AZ36&gt;=1077550,$AZ36*IF($AZ36&gt;25000000,0.117,IF($AZ36&gt;5000000,0.111,0.1045)),SUMPRODUCT(($AZ36&gt;INDEX('How This Works &amp; Sources'!$B$167:$J$179,0,7))*($AZ36-INDEX('How This Works &amp; Sources'!$B$167:$J$179,0,7))*INDEX('How This Works &amp; Sources'!$B$167:$J$179,0,7+2)))),"")))))))</f>
      </c>
      <c r="BX36" s="7">
        <f>IF($B36="","",IF($AN36="AL",IF(OR($AU36="Married",$AU36="Head of household"),SUMPRODUCT(($AZ36&gt;INDEX('How This Works &amp; Sources'!$B$82:$J$86,0,4))*($AZ36-INDEX('How This Works &amp; Sources'!$B$82:$J$86,0,4))*INDEX('How This Works &amp; Sources'!$B$82:$J$86,0,4+2)),SUMPRODUCT(($AZ36&gt;INDEX('How This Works &amp; Sources'!$B$82:$J$86,0,1))*($AZ36-INDEX('How This Works &amp; Sources'!$B$82:$J$86,0,1))*INDEX('How This Works &amp; Sources'!$B$82:$J$86,0,1+2))),IF($AN36="KS",IF($AU36="Married",SUMPRODUCT(($AZ36&gt;INDEX('How This Works &amp; Sources'!$B$103:$J$109,0,4))*($AZ36-INDEX('How This Works &amp; Sources'!$B$103:$J$109,0,4))*INDEX('How This Works &amp; Sources'!$B$103:$J$109,0,4+2)),SUMPRODUCT(($AZ36&gt;INDEX('How This Works &amp; Sources'!$B$103:$J$109,0,1))*($AZ36-INDEX('How This Works &amp; Sources'!$B$103:$J$109,0,1))*INDEX('How This Works &amp; Sources'!$B$103:$J$109,0,1+2))),IF($AN36="MN",IF($AU36="Married",SUMPRODUCT(($AZ36&gt;INDEX('How This Works &amp; Sources'!$B$114:$J$120,0,7))*($AZ36-INDEX('How This Works &amp; Sources'!$B$114:$J$120,0,7))*INDEX('How This Works &amp; Sources'!$B$114:$J$120,0,7+2)),SUMPRODUCT(($AZ36&gt;INDEX('How This Works &amp; Sources'!$B$114:$J$120,0,4))*($AZ36-INDEX('How This Works &amp; Sources'!$B$114:$J$120,0,4))*INDEX('How This Works &amp; Sources'!$B$114:$J$120,0,4+2))),IF($AN36="MO",SUMPRODUCT(($AZ36&gt;INDEX('How This Works &amp; Sources'!$B$125:$J$132,0,1))*($AZ36-INDEX('How This Works &amp; Sources'!$B$125:$J$132,0,1))*INDEX('How This Works &amp; Sources'!$B$125:$J$132,0,1+2)),IF($AN36="NE",MAX(IF($AU36="Married",SUMPRODUCT(($AZ36&gt;INDEX('How This Works &amp; Sources'!$B$144:$J$150,0,7))*($AZ36-INDEX('How This Works &amp; Sources'!$B$144:$J$150,0,7))*INDEX('How This Works &amp; Sources'!$B$144:$J$150,0,7+2)),SUMPRODUCT(($AZ36&gt;INDEX('How This Works &amp; Sources'!$B$144:$J$150,0,4))*($AZ36-INDEX('How This Works &amp; Sources'!$B$144:$J$150,0,4))*INDEX('How This Works &amp; Sources'!$B$144:$J$150,0,4+2))),0.015*$AZ36),IF($AN36="OH",IF($B36&gt;=DATE(2026,8,1),SUMPRODUCT(($AZ36&gt;INDEX('How This Works &amp; Sources'!$B$203:$J$206,0,1))*($AZ36-INDEX('How This Works &amp; Sources'!$B$203:$J$206,0,1))*INDEX('How This Works &amp; Sources'!$B$203:$J$206,0,1+2)),SUMPRODUCT(($AZ36&gt;INDEX('How This Works &amp; Sources'!$B$184:$J$198,0,7))*($AZ36-INDEX('How This Works &amp; Sources'!$B$184:$J$198,0,7))*INDEX('How This Works &amp; Sources'!$B$184:$J$198,0,7+2))),IF($AN36="OK",IF($AU36="Married",SUMPRODUCT(($AZ36&gt;INDEX('How This Works &amp; Sources'!$B$203:$J$206,0,7))*($AZ36-INDEX('How This Works &amp; Sources'!$B$203:$J$206,0,7))*INDEX('How This Works &amp; Sources'!$B$203:$J$206,0,7+2)),SUMPRODUCT(($AZ36&gt;INDEX('How This Works &amp; Sources'!$B$203:$J$206,0,4))*($AZ36-INDEX('How This Works &amp; Sources'!$B$203:$J$206,0,4))*INDEX('How This Works &amp; Sources'!$B$203:$J$206,0,4+2))),IF($AN36="VT",IF($AU36="Married",SUMPRODUCT(($AZ36&gt;INDEX('How This Works &amp; Sources'!$B$228:$J$232,0,1))*($AZ36-INDEX('How This Works &amp; Sources'!$B$228:$J$232,0,1))*INDEX('How This Works &amp; Sources'!$B$228:$J$232,0,1+2)),SUMPRODUCT(($AZ36&gt;INDEX('How This Works &amp; Sources'!$B$219:$J$223,0,7))*($AZ36-INDEX('How This Works &amp; Sources'!$B$219:$J$223,0,7))*INDEX('How This Works &amp; Sources'!$B$219:$J$223,0,7+2))),IF($AN36="WV",IF($AU36="Married",SUMPRODUCT(($AZ36&gt;INDEX('How This Works &amp; Sources'!$B$237:$J$241,0,7))*($AZ36-INDEX('How This Works &amp; Sources'!$B$237:$J$241,0,7))*INDEX('How This Works &amp; Sources'!$B$237:$J$241,0,7+2)),SUMPRODUCT(($AZ36&gt;INDEX('How This Works &amp; Sources'!$B$228:$J$232,0,7))*($AZ36-INDEX('How This Works &amp; Sources'!$B$228:$J$232,0,7))*INDEX('How This Works &amp; Sources'!$B$228:$J$232,0,7+2))),""))))))))))</f>
      </c>
      <c r="BY36" s="7">
        <f>IF($B36="","",IF($AN36="DE",SUMPRODUCT(($AZ36&gt;INDEX('How This Works &amp; Sources'!$B$91:$J$98,0,1))*($AZ36-INDEX('How This Works &amp; Sources'!$B$91:$J$98,0,1))*INDEX('How This Works &amp; Sources'!$B$91:$J$98,0,1+2)),IF($AN36="HI",IF($AU36="Married",SUMPRODUCT(($AZ36&gt;INDEX('How This Works &amp; Sources'!$B$91:$J$98,0,7))*($AZ36-INDEX('How This Works &amp; Sources'!$B$91:$J$98,0,7))*INDEX('How This Works &amp; Sources'!$B$91:$J$98,0,7+2)),SUMPRODUCT(($AZ36&gt;INDEX('How This Works &amp; Sources'!$B$91:$J$98,0,4))*($AZ36-INDEX('How This Works &amp; Sources'!$B$91:$J$98,0,4))*INDEX('How This Works &amp; Sources'!$B$91:$J$98,0,4+2))),IF($AN36="RI",SUMPRODUCT(($AZ36&gt;INDEX('How This Works &amp; Sources'!$B$211:$J$214,0,7))*($AZ36-INDEX('How This Works &amp; Sources'!$B$211:$J$214,0,7))*INDEX('How This Works &amp; Sources'!$B$211:$J$214,0,7+2)),IF($AN36="SC",SUMPRODUCT(($AZ36&gt;INDEX('How This Works &amp; Sources'!$B$219:$J$223,0,1))*($AZ36-INDEX('How This Works &amp; Sources'!$B$219:$J$223,0,1))*INDEX('How This Works &amp; Sources'!$B$219:$J$223,0,1+2)),IF($AN36="VA",SUMPRODUCT(($AZ36&gt;INDEX('How This Works &amp; Sources'!$B$219:$J$223,0,4))*($AZ36-INDEX('How This Works &amp; Sources'!$B$219:$J$223,0,4))*INDEX('How This Works &amp; Sources'!$B$219:$J$223,0,4+2)),IF($AN36="WI",SUMPRODUCT(($AZ36&gt;INDEX('How This Works &amp; Sources'!$B$228:$J$232,0,4))*($AZ36-INDEX('How This Works &amp; Sources'!$B$228:$J$232,0,4))*INDEX('How This Works &amp; Sources'!$B$228:$J$232,0,4+2)),"")))))))</f>
      </c>
      <c r="BZ36" s="24">
        <f>IF($B36="","",IF($AN36="KS",IF($AU36="Married",SUMPRODUCT(($AZ36&gt;=INDEX('How This Works &amp; Sources'!$B$103:$J$109,0,4))*INDEX('How This Works &amp; Sources'!$B$103:$J$109,0,4+2)),SUMPRODUCT(($AZ36&gt;=INDEX('How This Works &amp; Sources'!$B$103:$J$109,0,1))*INDEX('How This Works &amp; Sources'!$B$103:$J$109,0,1+2))),IF($AN36="MT",IF($AU36="Head of household",SUMPRODUCT(($AZ36&gt;=INDEX('How This Works &amp; Sources'!$B$137:$J$139,0,1))*INDEX('How This Works &amp; Sources'!$B$137:$J$139,0,1+2)),IF($AU36="Married",SUMPRODUCT(($AZ36&gt;=INDEX('How This Works &amp; Sources'!$B$125:$J$132,0,7))*INDEX('How This Works &amp; Sources'!$B$125:$J$132,0,7+2)),SUMPRODUCT(($AZ36&gt;=INDEX('How This Works &amp; Sources'!$B$125:$J$132,0,4))*INDEX('How This Works &amp; Sources'!$B$125:$J$132,0,4+2)))),IF($AN36="OR",IF(OR($AU36="Married",AND($AU36="Single",$AS36&gt;=3)),SUMPRODUCT((MAX(0,$AY36-MIN(($P36-'How This Works &amp; Sources'!$C$10*$D36)*'Second Earner'!$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Sources'!$B$211:$J$214,0,4))*INDEX('How This Works &amp; Sources'!$B$211:$J$214,0,4+2)),SUMPRODUCT((MAX(0,$AY36-MIN(($P36-'How This Works &amp; Sources'!$C$10*$D36)*'Second Earner'!$C$8,IF(OR($AU36="Married",AND($AU36="Single",$AS36&gt;=3)),IF($AY36&lt;250000,8750,IF($AY36&lt;260000,7000,IF($AY36&lt;270000,5250,IF($AY36&lt;280000,3500,IF($AY36&lt;290000,1750,0))))),IF($AY36&lt;125000,8750,IF($AY36&lt;130000,7000,IF($AY36&lt;135000,5250,IF($AY36&lt;140000,3500,IF($AY36&lt;145000,1750,0)))))))-IF(OR($AU36="Married",AND($AU36="Single",$AS36&gt;=3)),5820,2910))&gt;=INDEX('How This Works &amp; Sources'!$B$211:$J$214,0,1))*INDEX('How This Works &amp; Sources'!$B$211:$J$214,0,1+2)))*IF(($P36-'How This Works &amp; Sources'!$C$10*$D36)*'Second Earner'!$C$8&gt;=IF(OR($AU36="Married",AND($AU36="Single",$AS36&gt;=3)),IF($AY36&lt;250000,8750,IF($AY36&lt;260000,7000,IF($AY36&lt;270000,5250,IF($AY36&lt;280000,3500,IF($AY36&lt;290000,1750,0))))),IF($AY36&lt;125000,8750,IF($AY36&lt;130000,7000,IF($AY36&lt;135000,5250,IF($AY36&lt;140000,3500,IF($AY36&lt;145000,1750,0)))))),1,1-IF('Second Earner'!$C$13,SUMPRODUCT(($AH36&gt;=INDEX('How This Works &amp; Sources'!$B$29:$J$36,0,IF('Second Earner'!$C$12="MFJ",1,IF('Second Earner'!$C$12="HoH",7,4))))*INDEX('How This Works &amp; Sources'!$B$29:$J$36,0,IF('Second Earner'!$C$12="MFJ",1,IF('Second Earner'!$C$12="HoH",7,4))+2)),SUMPRODUCT(($AH36&gt;=INDEX('How This Works &amp; Sources'!$B$19:$J$26,0,IF('Second Earner'!$C$12="MFJ",1,IF('Second Earner'!$C$12="HoH",7,4))))*INDEX('How This Works &amp; Sources'!$B$19:$J$26,0,IF('Second Earner'!$C$12="MFJ",1,IF('Second Earner'!$C$12="HoH",7,4))+2)))),""))))</f>
      </c>
      <c r="CA36" s="24">
        <f>IF($B36="","",IF($AN36="CA",SUMPRODUCT(($AJ36&gt;=INDEX('How This Works &amp; Sources'!$B$39:$J$48,0,IF($AU36="Married",4,IF($AU36="Head of household",7,1))))*INDEX('How This Works &amp; Sources'!$B$39:$J$48,0,IF($AU36="Married",4,IF($AU36="Head of household",7,1))+2)),IF($AN36="AL",IF(OR($AU36="Married",$AU36="Head of household"),SUMPRODUCT(($AZ36&gt;=INDEX('How This Works &amp; Sources'!$B$82:$J$86,0,4))*INDEX('How This Works &amp; Sources'!$B$82:$J$86,0,4+2)),SUMPRODUCT(($AZ36&gt;=INDEX('How This Works &amp; Sources'!$B$82:$J$86,0,1))*INDEX('How This Works &amp; Sources'!$B$82:$J$86,0,1+2)))*(1-IF('Second Earner'!$C$13,SUMPRODUCT(($AH36&gt;=INDEX('How This Works &amp; Sources'!$B$29:$J$36,0,IF('Second Earner'!$C$12="MFJ",1,IF('Second Earner'!$C$12="HoH",7,4))))*INDEX('How This Works &amp; Sources'!$B$29:$J$36,0,IF('Second Earner'!$C$12="MFJ",1,IF('Second Earner'!$C$12="HoH",7,4))+2)),SUMPRODUCT(($AH36&gt;=INDEX('How This Works &amp; Sources'!$B$19:$J$26,0,IF('Second Earner'!$C$12="MFJ",1,IF('Second Earner'!$C$12="HoH",7,4))))*INDEX('How This Works &amp; Sources'!$B$19:$J$26,0,IF('Second Earner'!$C$12="MFJ",1,IF('Second Earner'!$C$12="HoH",7,4))+2)))),IF($AN36="ND",IF($AU36="Head of household",SUMPRODUCT(($AZ36&gt;=INDEX('How This Works &amp; Sources'!$B$144:$J$150,0,1))*INDEX('How This Works &amp; Sources'!$B$144:$J$150,0,1+2)),IF($AU36="Married",SUMPRODUCT(($AZ36&gt;=INDEX('How This Works &amp; Sources'!$B$137:$J$139,0,7))*INDEX('How This Works &amp; Sources'!$B$137:$J$139,0,7+2)),SUMPRODUCT(($AZ36&gt;=INDEX('How This Works &amp; Sources'!$B$137:$J$139,0,4))*INDEX('How This Works &amp; Sources'!$B$137:$J$139,0,4+2)))),IF($AN36="NJ",IF('Second Earner'!$C$77="B",SUMPRODUCT(($AZ36&gt;=INDEX('How This Works &amp; Sources'!$B$155:$J$162,0,4))*INDEX('How This Works &amp; Sources'!$B$155:$J$162,0,4+2)),IF('Second Earner'!$C$77="C",SUMPRODUCT(($AZ36&gt;=INDEX('How This Works &amp; Sources'!$B$155:$J$162,0,7))*INDEX('How This Works &amp; Sources'!$B$155:$J$162,0,7+2)),IF('Second Earner'!$C$77="D",SUMPRODUCT(($AZ36&gt;=INDEX('How This Works &amp; Sources'!$B$167:$J$179,0,1))*INDEX('How This Works &amp; Sources'!$B$167:$J$179,0,1+2)),IF('Second Earner'!$C$77="E",SUMPRODUCT(($AZ36&gt;=INDEX('How This Works &amp; Sources'!$B$167:$J$179,0,4))*INDEX('How This Works &amp; Sources'!$B$167:$J$179,0,4+2)),SUMPRODUCT(($AZ36&gt;=INDEX('How This Works &amp; Sources'!$B$155:$J$162,0,1))*INDEX('How This Works &amp; Sources'!$B$155:$J$162,0,1+2)))))),IF($AN36="NY",IF($AU36="Married",IF($AZ36&gt;=2155350,IF($AZ36&gt;25000000,0.117,IF($AZ36&gt;5000000,0.111,0.1045)),SUMPRODUCT(($AZ36&gt;=INDEX('How This Works &amp; Sources'!$B$184:$J$198,0,1))*INDEX('How This Works &amp; Sources'!$B$184:$J$198,0,1+2))),IF($AZ36&gt;=1077550,IF($AZ36&gt;25000000,0.117,IF($AZ36&gt;5000000,0.111,0.1045)),SUMPRODUCT(($AZ36&gt;=INDEX('How This Works &amp; Sources'!$B$167:$J$179,0,7))*INDEX('How This Works &amp; Sources'!$B$167:$J$179,0,7+2)))),IF($AN36="LA",0.0309,"")))))))</f>
      </c>
      <c r="CB36" s="24">
        <f>IF($B36="","",IF($AN36="HI",IF($AU36="Married",SUMPRODUCT(($AZ36&gt;=INDEX('How This Works &amp; Sources'!$B$91:$J$98,0,7))*INDEX('How This Works &amp; Sources'!$B$91:$J$98,0,7+2)),SUMPRODUCT(($AZ36&gt;=INDEX('How This Works &amp; Sources'!$B$91:$J$98,0,4))*INDEX('How This Works &amp; Sources'!$B$91:$J$98,0,4+2))),IF($AN36="MD",IF(OR($AU36="Married",$AU36="Head of household"),SUMPRODUCT(($AZ36&gt;=INDEX('How This Works &amp; Sources'!$B$114:$J$120,0,1))*INDEX('How This Works &amp; Sources'!$B$114:$J$120,0,1+2)),SUMPRODUCT(($AZ36&gt;=INDEX('How This Works &amp; Sources'!$B$103:$J$109,0,7))*INDEX('How This Works &amp; Sources'!$B$103:$J$109,0,7+2)))+'Second Earner'!$C$74,IF($AN36="MN",IF($AU36="Married",SUMPRODUCT(($AZ36&gt;=INDEX('How This Works &amp; Sources'!$B$114:$J$120,0,7))*INDEX('How This Works &amp; Sources'!$B$114:$J$120,0,7+2)),SUMPRODUCT(($AZ36&gt;=INDEX('How This Works &amp; Sources'!$B$114:$J$120,0,4))*INDEX('How This Works &amp; Sources'!$B$114:$J$120,0,4+2))),IF($AN36="MO",SUMPRODUCT(($AZ36&gt;=INDEX('How This Works &amp; Sources'!$B$125:$J$132,0,1))*INDEX('How This Works &amp; Sources'!$B$125:$J$132,0,1+2)),IF($AN36="NE",MAX(IF($AU36="Married",SUMPRODUCT(($AZ36&gt;=INDEX('How This Works &amp; Sources'!$B$144:$J$150,0,7))*INDEX('How This Works &amp; Sources'!$B$144:$J$150,0,7+2)),SUMPRODUCT(($AZ36&gt;=INDEX('How This Works &amp; Sources'!$B$144:$J$150,0,4))*INDEX('How This Works &amp; Sources'!$B$144:$J$150,0,4+2))),0.015),IF($AN36="OH",IF($B36&gt;=DATE(2026,8,1),SUMPRODUCT(($AZ36&gt;=INDEX('How This Works &amp; Sources'!$B$203:$J$206,0,1))*INDEX('How This Works &amp; Sources'!$B$203:$J$206,0,1+2)),SUMPRODUCT(($AZ36&gt;=INDEX('How This Works &amp; Sources'!$B$184:$J$198,0,7))*INDEX('How This Works &amp; Sources'!$B$184:$J$198,0,7+2))),IF($AN36="OK",IF($AU36="Married",SUMPRODUCT(($AZ36&gt;=INDEX('How This Works &amp; Sources'!$B$203:$J$206,0,7))*INDEX('How This Works &amp; Sources'!$B$203:$J$206,0,7+2)),SUMPRODUCT(($AZ36&gt;=INDEX('How This Works &amp; Sources'!$B$203:$J$206,0,4))*INDEX('How This Works &amp; Sources'!$B$203:$J$206,0,4+2))),IF($AN36="RI",SUMPRODUCT(($AZ36&gt;=INDEX('How This Works &amp; Sources'!$B$211:$J$214,0,7))*INDEX('How This Works &amp; Sources'!$B$211:$J$214,0,7+2)),IF($AN36="VT",IF($AU36="Married",SUMPRODUCT(($AZ36&gt;=INDEX('How This Works &amp; Sources'!$B$228:$J$232,0,1))*INDEX('How This Works &amp; Sources'!$B$228:$J$232,0,1+2)),SUMPRODUCT(($AZ36&gt;=INDEX('How This Works &amp; Sources'!$B$219:$J$223,0,7))*INDEX('How This Works &amp; Sources'!$B$219:$J$223,0,7+2))),IF($AN36="WV",IF($AU36="Married",SUMPRODUCT(($AZ36&gt;=INDEX('How This Works &amp; Sources'!$B$237:$J$241,0,7))*INDEX('How This Works &amp; Sources'!$B$237:$J$241,0,7+2)),SUMPRODUCT(($AZ36&gt;=INDEX('How This Works &amp; Sources'!$B$228:$J$232,0,7))*INDEX('How This Works &amp; Sources'!$B$228:$J$232,0,7+2))),IF($AN36="AZ",'Second Earner'!$C$82,IF($AN36="ID",IF($AY36&gt;IF($AU36="Married",32000,16094),0.053,0),"")))))))))))))</f>
      </c>
      <c r="CC36" s="24">
        <f>IF($B36="","",IF($AN36="AR",SUMPRODUCT(($AZ36&gt;=INDEX('How This Works &amp; Sources'!$B$82:$J$86,0,7))*INDEX('How This Works &amp; Sources'!$B$82:$J$86,0,7+2)),IF($AN36="DE",SUMPRODUCT(($AZ36&gt;=INDEX('How This Works &amp; Sources'!$B$91:$J$98,0,1))*INDEX('How This Works &amp; Sources'!$B$91:$J$98,0,1+2)),IF($AN36="SC",SUMPRODUCT(($AZ36&gt;=INDEX('How This Works &amp; Sources'!$B$219:$J$223,0,1))*INDEX('How This Works &amp; Sources'!$B$219:$J$223,0,1+2)),IF($AN36="VA",SUMPRODUCT(($AZ36&gt;=INDEX('How This Works &amp; Sources'!$B$219:$J$223,0,4))*INDEX('How This Works &amp; Sources'!$B$219:$J$223,0,4+2)),IF($AN36="WI",SUMPRODUCT(($AZ36&gt;=INDEX('How This Works &amp; Sources'!$B$228:$J$232,0,4))*INDEX('How This Works &amp; Sources'!$B$228:$J$232,0,4+2)),IF($AN36="CO",IF($AY36&gt;IF($AU36="Married",10000,5000),0.044,0),IF($AN36="IA",IF($AY36&gt;IF($AU36="Head of household",19500,IF($AU36="Married",26000,13000)),0.038,0),IF($AN36="IL",IF($AY36&gt;(2925*$AS36+1000*$AT36),0.0495,0),IF($AN36="IN",(0.0295+'Second Earner'!$C$76),IF($AN36="KY",IF($AI36&gt;3360,0.035,0),IF($AN36="MA",IF(MAX(0,$AY36-MIN(($BD35+$Q36+$R36+$S36),2000)-IF($AS36=0,0,IF($AS36=1,4400,1000*$AS36+3400)))&gt;=1107750,0.09,0.05),IF($AN36="MI",IF($AY36&gt;5900*$AS36,0.0425,0),IF($AN36="MS",IF($AI36-IF($AU36="Head of household",3400,IF($AU36="Married",4600,2300))-'Second Earner'!$C$85&gt;10000,0.04,0),IF($AN36="PA",0.0307,"")))))))))))))))</f>
      </c>
      <c r="CD36" s="21">
        <f>IF(YEAR(IF('Second Earner'!$C$7="Weekly",'Second Earner'!$C$9+7*(($BE35+1)-1),IF('Second Earner'!$C$7="Biweekly",'Second Earner'!$C$9+14*(($BE35+1)-1),IF('Second Earner'!$C$7="Semimonthly",DATE(YEAR('Second Earner'!$C$9),MONTH('Second Earner'!$C$9)+INT((($BE35+1)-1)/2),MIN(DAY('Second Earner'!$C$9),DAY(EOMONTH(DATE(YEAR('Second Earner'!$C$9),MONTH('Second Earner'!$C$9)+INT((($BE35+1)-1)/2),1),0))))+IF(MOD(($BE35+1)-1,2)=1,15,0),EDATE('Second Earner'!$C$9,($BE35+1)-1)))))&lt;&gt;'Second Earner'!$C$10,"",IF('Second Earner'!$C$7="Weekly",'Second Earner'!$C$9+7*(($BE35+1)-1),IF('Second Earner'!$C$7="Biweekly",'Second Earner'!$C$9+14*(($BE35+1)-1),IF('Second Earner'!$C$7="Semimonthly",DATE(YEAR('Second Earner'!$C$9),MONTH('Second Earner'!$C$9)+INT((($BE35+1)-1)/2),MIN(DAY('Second Earner'!$C$9),DAY(EOMONTH(DATE(YEAR('Second Earner'!$C$9),MONTH('Second Earner'!$C$9)+INT((($BE35+1)-1)/2),1),0))))+IF(MOD(($BE35+1)-1,2)=1,15,0),EDATE('Second Earner'!$C$9,($BE35+1)-1)))))</f>
      </c>
      <c r="CE36" s="21">
        <f>IF(MIN(IF(AND('Second Earner'!$C$58&gt;MAX($B$6:$B35),'Second Earner'!$C$58&gt;=DATE('Second Earner'!$C$10,1,1),'Second Earner'!$C$58&lt;=DATE('Second Earner'!$C$10,12,31)),'Second Earner'!$C$58,999999),IF(AND('Second Earner'!$C$59&gt;MAX($B$6:$B35),'Second Earner'!$C$59&gt;=DATE('Second Earner'!$C$10,1,1),'Second Earner'!$C$59&lt;=DATE('Second Earner'!$C$10,12,31)),'Second Earner'!$C$59,999999),IF(AND('Second Earner'!$C$60&gt;MAX($B$6:$B35),'Second Earner'!$C$60&gt;=DATE('Second Earner'!$C$10,1,1),'Second Earner'!$C$60&lt;=DATE('Second Earner'!$C$10,12,31)),'Second Earner'!$C$60,999999),IF(AND('Second Earner'!$C$61&gt;MAX($B$6:$B35),'Second Earner'!$C$61&gt;=DATE('Second Earner'!$C$10,1,1),'Second Earner'!$C$61&lt;=DATE('Second Earner'!$C$10,12,31)),'Second Earner'!$C$61,999999),IF(AND('Second Earner'!$C$62&gt;MAX($B$6:$B35),'Second Earner'!$C$62&gt;=DATE('Second Earner'!$C$10,1,1),'Second Earner'!$C$62&lt;=DATE('Second Earner'!$C$10,12,31)),'Second Earner'!$C$62,999999),IF(AND('Second Earner'!$C$63&gt;MAX($B$6:$B35),'Second Earner'!$C$63&gt;=DATE('Second Earner'!$C$10,1,1),'Second Earner'!$C$63&lt;=DATE('Second Earner'!$C$10,12,31)),'Second Earner'!$C$63,999999),IF(AND('Second Earner'!$C$64&gt;MAX($B$6:$B35),'Second Earner'!$C$64&gt;=DATE('Second Earner'!$C$10,1,1),'Second Earner'!$C$64&lt;=DATE('Second Earner'!$C$10,12,31)),'Second Earner'!$C$64,999999),IF(AND('Second Earner'!$C$65&gt;MAX($B$6:$B35),'Second Earner'!$C$65&gt;=DATE('Second Earner'!$C$10,1,1),'Second Earner'!$C$65&lt;=DATE('Second Earner'!$C$10,12,31)),'Second Earner'!$C$65,999999),IF(AND('Second Earner'!$C$66&gt;MAX($B$6:$B35),'Second Earner'!$C$66&gt;=DATE('Second Earner'!$C$10,1,1),'Second Earner'!$C$66&lt;=DATE('Second Earner'!$C$10,12,31)),'Second Earner'!$C$66,999999),IF(AND('Second Earner'!$C$67&gt;MAX($B$6:$B35),'Second Earner'!$C$67&gt;=DATE('Second Earner'!$C$10,1,1),'Second Earner'!$C$67&lt;=DATE('Second Earner'!$C$10,12,31)),'Second Earner'!$C$67,999999))=999999,"",MIN(IF(AND('Second Earner'!$C$58&gt;MAX($B$6:$B35),'Second Earner'!$C$58&gt;=DATE('Second Earner'!$C$10,1,1),'Second Earner'!$C$58&lt;=DATE('Second Earner'!$C$10,12,31)),'Second Earner'!$C$58,999999),IF(AND('Second Earner'!$C$59&gt;MAX($B$6:$B35),'Second Earner'!$C$59&gt;=DATE('Second Earner'!$C$10,1,1),'Second Earner'!$C$59&lt;=DATE('Second Earner'!$C$10,12,31)),'Second Earner'!$C$59,999999),IF(AND('Second Earner'!$C$60&gt;MAX($B$6:$B35),'Second Earner'!$C$60&gt;=DATE('Second Earner'!$C$10,1,1),'Second Earner'!$C$60&lt;=DATE('Second Earner'!$C$10,12,31)),'Second Earner'!$C$60,999999),IF(AND('Second Earner'!$C$61&gt;MAX($B$6:$B35),'Second Earner'!$C$61&gt;=DATE('Second Earner'!$C$10,1,1),'Second Earner'!$C$61&lt;=DATE('Second Earner'!$C$10,12,31)),'Second Earner'!$C$61,999999),IF(AND('Second Earner'!$C$62&gt;MAX($B$6:$B35),'Second Earner'!$C$62&gt;=DATE('Second Earner'!$C$10,1,1),'Second Earner'!$C$62&lt;=DATE('Second Earner'!$C$10,12,31)),'Second Earner'!$C$62,999999),IF(AND('Second Earner'!$C$63&gt;MAX($B$6:$B35),'Second Earner'!$C$63&gt;=DATE('Second Earner'!$C$10,1,1),'Second Earner'!$C$63&lt;=DATE('Second Earner'!$C$10,12,31)),'Second Earner'!$C$63,999999),IF(AND('Second Earner'!$C$64&gt;MAX($B$6:$B35),'Second Earner'!$C$64&gt;=DATE('Second Earner'!$C$10,1,1),'Second Earner'!$C$64&lt;=DATE('Second Earner'!$C$10,12,31)),'Second Earner'!$C$64,999999),IF(AND('Second Earner'!$C$65&gt;MAX($B$6:$B35),'Second Earner'!$C$65&gt;=DATE('Second Earner'!$C$10,1,1),'Second Earner'!$C$65&lt;=DATE('Second Earner'!$C$10,12,31)),'Second Earner'!$C$65,999999),IF(AND('Second Earner'!$C$66&gt;MAX($B$6:$B35),'Second Earner'!$C$66&gt;=DATE('Second Earner'!$C$10,1,1),'Second Earner'!$C$66&lt;=DATE('Second Earner'!$C$10,12,31)),'Second Earner'!$C$66,999999),IF(AND('Second Earner'!$C$67&gt;MAX($B$6:$B35),'Second Earner'!$C$67&gt;=DATE('Second Earner'!$C$10,1,1),'Second Earner'!$C$67&lt;=DATE('Second Earner'!$C$10,12,31)),'Second Earner'!$C$67,999999)))</f>
      </c>
      <c r="CF36">
        <f>IF($B36="","",IF($D36=0,$Y36,""))</f>
      </c>
    </row>
    <row r="37">
      <c r="A37" t="n">
        <v>32</v>
      </c>
      <c r="B37" s="21">
        <f>IF(AND($CD37="",$CE37=""),"",IF($CE37="",$CD37,IF($CD37="",$CE37,MIN($CD37,$CE37))))</f>
      </c>
      <c r="C37" s="7">
        <f>IF($B37="","",IF($BF37=0,0,IF('Second Earner'!$C$4="Annual salary",ROUND($AK37/IF(AND('Second Earner'!$C$88="Actual paydays",MONTH('Second Earner'!$C$9)=1),MAX(1,MAX($BE$6:$BE$68)),'Second Earner'!$C$8),2),$AK37)))</f>
      </c>
      <c r="D37" s="7">
        <f>IF($B37="","",SUMIF('Second Earner'!$C$58:$C$67,$B37,'Second Earner'!$D$58:$D$67))</f>
      </c>
      <c r="E37" s="7">
        <f>IF($B37="","",ROUND(MAX(0,MIN(IF($AL37="Percent",$AM37*($C37+$D37),$AM37),MAX(0,'Second Earner'!$C$34-$AC36))),2))</f>
      </c>
      <c r="F37" s="7">
        <f>IF($B37="","",ROUND(MAX(0,MIN(IF('Second Earner'!$C$32="Percent",'Second Earner'!$D$32*($C37+$D37),'Second Earner'!$D$32),MAX(0,'Second Earner'!$C$34-$AC36-$E37))),2))</f>
      </c>
      <c r="G37" s="7">
        <f>IF($B37="","",IF($BF37=0,0,ROUND(MAX(0,MIN($BL37,'Second Earner'!$C$37-'Second Earner'!$C$54-$BI36)),2)))</f>
      </c>
      <c r="H37" s="7">
        <f>IF($B37="","",IF(OR($BF37=0,$BQ37=1),0,ROUND(MAX(0,MIN(IF($BS37=1,ROUND(MAX(0,MIN($BJ37,'How This Works &amp; Sources'!$C$13)-$BG36)/MAX(1,MAX($BE$6:$BE$68)-($BE36)),2),ROUND(MIN($BJ37,'How This Works &amp; Sources'!$C$13)/'Second Earner'!$C$8,2)),MIN($BJ37,'How This Works &amp; Sources'!$C$13)-$BG36)),2)))</f>
      </c>
      <c r="I37" s="7">
        <f>IF($B37="","",IF(OR($BF37=0,$BR37=1),0,ROUND(MAX(0,MIN(IF($BT37=1,ROUND(MAX(0,MIN($BK37,IF('Second Earner'!$C$12="MFJ",'How This Works &amp; Sources'!$C$14,'How This Works &amp; Sources'!$C$15))-$BH36)/MAX(1,MAX($BE$6:$BE$68)-($BE36)),2),ROUND(MIN($BK37,IF('Second Earner'!$C$12="MFJ",'How This Works &amp; Sources'!$C$14,'How This Works &amp; Sources'!$C$15))/'Second Earner'!$C$8,2)),MIN($BK37,IF('Second Earner'!$C$12="MFJ",'How This Works &amp; Sources'!$C$14,'How This Works &amp; Sources'!$C$15))-$BH36)),2)))</f>
      </c>
      <c r="J37" s="7">
        <f>IF($B37="","",IF($BF37=0,0,$BM37))</f>
      </c>
      <c r="K37" s="7">
        <f>IF($B37="","",IF($BF37=0,0,$BN37+$BO37))</f>
      </c>
      <c r="L37" s="7">
        <f>IF($B37="","",IF($BF37=0,0,'Second Earner'!$D$46))</f>
      </c>
      <c r="M37" s="7">
        <f>IF($B37="","",$C37+$D37+$L37-$E37-$G37-$H37-$I37-$J37-$K37)</f>
      </c>
      <c r="N37" s="7">
        <f>IF($B37="","",$C37+$D37+$L37-$G37-$H37-$I37-$J37-$K37)</f>
      </c>
      <c r="O37" s="7">
        <f>IF($B37="","",$C37+$D37+$L37-$E37-$H37-$I37-$J37-$K37-IF(OR($AN37="CA",$AN37="NJ"),0,$G37))</f>
      </c>
      <c r="P37" s="7">
        <f>IF($B37="","",IF('Second Earner'!$C$18,0,ROUND(MAX(0,IF('Second Earner'!$C$13,SUMPRODUCT(($AH37&gt;INDEX('How This Works &amp; Sources'!$B$29:$J$36,0,IF('Second Earner'!$C$12="MFJ",1,IF('Second Earner'!$C$12="HoH",7,4))))*($AH37-INDEX('How This Works &amp; Sources'!$B$29:$J$36,0,IF('Second Earner'!$C$12="MFJ",1,IF('Second Earner'!$C$12="HoH",7,4))))*INDEX('How This Works &amp; Sources'!$B$29:$J$36,0,IF('Second Earner'!$C$12="MFJ",1,IF('Second Earner'!$C$12="HoH",7,4))+2)),SUMPRODUCT(($AH37&gt;INDEX('How This Works &amp; Sources'!$B$19:$J$26,0,IF('Second Earner'!$C$12="MFJ",1,IF('Second Earner'!$C$12="HoH",7,4))))*($AH37-INDEX('How This Works &amp; Sources'!$B$19:$J$26,0,IF('Second Earner'!$C$12="MFJ",1,IF('Second Earner'!$C$12="HoH",7,4))))*INDEX('How This Works &amp; Sources'!$B$19:$J$26,0,IF('Second Earner'!$C$12="MFJ",1,IF('Second Earner'!$C$12="HoH",7,4))+2)))/'Second Earner'!$C$8-$AO37/'Second Earner'!$C$8)+$AR37+IF('Second Earner'!$C$89="Aggregate",MAX(0,IF('Second Earner'!$C$13,SUMPRODUCT((($AH37+$D37)&gt;INDEX('How This Works &amp; Sources'!$B$29:$J$36,0,IF('Second Earner'!$C$12="MFJ",1,IF('Second Earner'!$C$12="HoH",7,4))))*(($AH37+$D37)-INDEX('How This Works &amp; Sources'!$B$29:$J$36,0,IF('Second Earner'!$C$12="MFJ",1,IF('Second Earner'!$C$12="HoH",7,4))))*INDEX('How This Works &amp; Sources'!$B$29:$J$36,0,IF('Second Earner'!$C$12="MFJ",1,IF('Second Earner'!$C$12="HoH",7,4))+2)),SUMPRODUCT((($AH37+$D37)&gt;INDEX('How This Works &amp; Sources'!$B$19:$J$26,0,IF('Second Earner'!$C$12="MFJ",1,IF('Second Earner'!$C$12="HoH",7,4))))*(($AH37+$D37)-INDEX('How This Works &amp; Sources'!$B$19:$J$26,0,IF('Second Earner'!$C$12="MFJ",1,IF('Second Earner'!$C$12="HoH",7,4))))*INDEX('How This Works &amp; Sources'!$B$19:$J$26,0,IF('Second Earner'!$C$12="MFJ",1,IF('Second Earner'!$C$12="HoH",7,4))+2)))-IF('Second Earner'!$C$13,SUMPRODUCT(($AH37&gt;INDEX('How This Works &amp; Sources'!$B$29:$J$36,0,IF('Second Earner'!$C$12="MFJ",1,IF('Second Earner'!$C$12="HoH",7,4))))*($AH37-INDEX('How This Works &amp; Sources'!$B$29:$J$36,0,IF('Second Earner'!$C$12="MFJ",1,IF('Second Earner'!$C$12="HoH",7,4))))*INDEX('How This Works &amp; Sources'!$B$29:$J$36,0,IF('Second Earner'!$C$12="MFJ",1,IF('Second Earner'!$C$12="HoH",7,4))+2)),SUMPRODUCT(($AH37&gt;INDEX('How This Works &amp; Sources'!$B$19:$J$26,0,IF('Second Earner'!$C$12="MFJ",1,IF('Second Earner'!$C$12="HoH",7,4))))*($AH37-INDEX('How This Works &amp; Sources'!$B$19:$J$26,0,IF('Second Earner'!$C$12="MFJ",1,IF('Second Earner'!$C$12="HoH",7,4))))*INDEX('How This Works &amp; Sources'!$B$19:$J$26,0,IF('Second Earner'!$C$12="MFJ",1,IF('Second Earner'!$C$12="HoH",7,4))+2)))),'How This Works &amp; Sources'!$C$10*$D37),2)))</f>
      </c>
      <c r="Q37" s="7">
        <f>IF($B37="","",ROUND('How This Works &amp; Sources'!$C$4*MIN($N37,MAX(0,'How This Works &amp; Sources'!$C$3-($AX37+$AB36-$AW37))),2))</f>
      </c>
      <c r="R37" s="7">
        <f>IF($B37="","",ROUND('How This Works &amp; Sources'!$C$5*$N37,2))</f>
      </c>
      <c r="S37" s="7">
        <f>IF($B37="","",ROUND('How This Works &amp; Sources'!$C$6*MAX(0,MIN($N37,$AG36+$N37-'How This Works &amp; Sources'!$C$7)),2))</f>
      </c>
      <c r="T37" s="7">
        <f>IF($B37="","",IF('Second Earner'!$C$26,0,IF($AN37="CA",ROUND(IF($AI37&lt;=IF(($AS37+$AT37)&gt;=2,VLOOKUP($AN37,StateTables!$A$6:$AB$56,10,FALSE),VLOOKUP($AN37,StateTables!$A$6:$AB$56,9,FALSE)),0,MAX(0,SUMPRODUCT(($AJ37&gt;INDEX('How This Works &amp; Sources'!$B$39:$J$48,0,IF($AU37="Married",4,IF($AU37="Head of household",7,1))))*($AJ37-INDEX('How This Works &amp; Sources'!$B$39:$J$48,0,IF($AU37="Married",4,IF($AU37="Head of household",7,1))))*INDEX('How This Works &amp; Sources'!$B$39:$J$48,0,IF($AU37="Married",4,IF($AU37="Head of household",7,1))+2))-VLOOKUP($AN37,StateTables!$A$6:$AB$56,11,FALSE)*$AS37)/'Second Earner'!$C$8)+'Second Earner'!$C$25+VLOOKUP($AN37,StateTables!$A$6:$AB$56,13,FALSE)*$D37,2),IF(VLOOKUP($AN37,StateTables!$A$6:$AB$56,4,FALSE)="None",0,IF(ISNUMBER(SEARCH("MANUAL",VLOOKUP($AN37,StateTables!$A$6:$AB$56,5,FALSE))),'Second Earner'!$C$28,ROUND(MAX(0,$BA37+$BB37)/'Second Earner'!$C$8+'Second Earner'!$C$25+$BC37,2))))))</f>
      </c>
      <c r="U37" s="7">
        <f>IF($B37="","",IF(VLOOKUP($AN37,StateTables!$A$6:$AB$56,24,FALSE)="flatq",IF(OR(MONTH($B37)=1,MONTH($B37)=4,MONTH($B37)=7,MONTH($B37)=10),VLOOKUP($AN37,StateTables!$A$6:$AB$56,25,FALSE),0),IF(VLOOKUP($AN37,StateTables!$A$6:$AB$56,24,FALSE)="dbl",MIN(ROUND(0.005*$N37,2),ROUND(0.6*52/'Second Earner'!$C$8,2)),IF(OR(VLOOKUP($AN37,StateTables!$A$6:$AB$56,15,FALSE)="",VLOOKUP($AN37,StateTables!$A$6:$AB$56,15,FALSE)=0),0,ROUND(VLOOKUP($AN37,StateTables!$A$6:$AB$56,15,FALSE)*IF(OR(VLOOKUP($AN37,StateTables!$A$6:$AB$56,16,FALSE)="",VLOOKUP($AN37,StateTables!$A$6:$AB$56,16,FALSE)=0),$N37,MIN($N37,MAX(0,VLOOKUP($AN37,StateTables!$A$6:$AB$56,16,FALSE)-($AX37+$AB36-$AW37)))),2))))+IF(VLOOKUP($AN37,StateTables!$A$6:$AB$56,27,FALSE)="flatq",IF(OR(MONTH($B37)=1,MONTH($B37)=4,MONTH($B37)=7,MONTH($B37)=10),VLOOKUP($AN37,StateTables!$A$6:$AB$56,28,FALSE),0),IF(VLOOKUP($AN37,StateTables!$A$6:$AB$56,27,FALSE)="dbl",MIN(ROUND(0.005*$N37,2),ROUND(0.6*52/'Second Earner'!$C$8,2)),IF(OR(VLOOKUP($AN37,StateTables!$A$6:$AB$56,18,FALSE)="",VLOOKUP($AN37,StateTables!$A$6:$AB$56,18,FALSE)=0),0,ROUND(VLOOKUP($AN37,StateTables!$A$6:$AB$56,18,FALSE)*IF(OR(VLOOKUP($AN37,StateTables!$A$6:$AB$56,19,FALSE)="",VLOOKUP($AN37,StateTables!$A$6:$AB$56,19,FALSE)=0),$N37,MIN($N37,MAX(0,VLOOKUP($AN37,StateTables!$A$6:$AB$56,19,FALSE)-($AX37+$AB36-$AW37)))),2)))))</f>
      </c>
      <c r="V37" s="7">
        <f>IF($B37="","",IF($AN37="NY",IF('Second Earner'!$C$78,ROUND(SUMPRODUCT((MAX(0,($O37-$D37)*'Second Earner'!$C$8-(IF($AU37="Married",5500,5000)+1000*$AS37))&gt;INDEX('How This Works &amp; Sources'!$B$184:$J$198,0,4))*(MAX(0,($O37-$D37)*'Second Earner'!$C$8-(IF($AU37="Married",5500,5000)+1000*$AS37))-INDEX('How This Works &amp; Sources'!$B$184:$J$198,0,4))*INDEX('How This Works &amp; Sources'!$B$184:$J$198,0,4+2))/'Second Earner'!$C$8+0.0425*$D37,2),0)+IF('Second Earner'!$C$79="Resident",ROUND(0.1675*$T37,2),IF('Second Earner'!$C$79="Nonresident",ROUND(0.005*MAX(0,($O37-$D37)-(IF($AU37="Married",7950,7400)+1000*$AS37)/'Second Earner'!$C$8),2),0)),IF($AN37="PA",IF('Second Earner'!$C$80="None",'Second Earner'!$C$27+ROUND('Second Earner'!$C$81*($C37+$D37),2),ROUND(IF('Second Earner'!$C$80="Resident",IF($B37&lt;DATE(2026,7,1),0.0374,0.03735),IF($B37&lt;DATE(2026,7,1),0.0343,0.03425))*($C37+$D37),2)),IF($BF37=0,ROUND('Second Earner'!$C$81*($C37+$D37),2),'Second Earner'!$C$27+ROUND('Second Earner'!$C$81*($C37+$D37),2)))))</f>
      </c>
      <c r="W37" s="7">
        <f>IF($B37="","",IF($BF37=0,0,$BP37))</f>
      </c>
      <c r="X37" s="7">
        <f>IF($B37="","",SUM($E37:$K37)+$P37+$Q37+$R37+$S37+$T37+$U37+$V37+$W37)</f>
      </c>
      <c r="Y37" s="22">
        <f>IF($B37="","",$C37+$D37-$X37)</f>
      </c>
      <c r="Z37" s="7">
        <f>IF($B37="","",$Z36+$C37+$D37)</f>
      </c>
      <c r="AA37" s="7">
        <f>IF($B37="","",$AA36+$Y37)</f>
      </c>
      <c r="AB37" s="7">
        <f>IF($B37="","",$AB36+MIN($N37,MAX(0,'How This Works &amp; Sources'!$C$3-($AX37+$AB36-$AW37))))</f>
      </c>
      <c r="AC37" s="7">
        <f>IF($B37="","",$AC36+$E37+$F37)</f>
      </c>
      <c r="AD37" s="3">
        <f>IF($B37="","",IF(AND($AB36&lt;'How This Works &amp; Sources'!$C$3,$AB37&gt;='How This Works &amp; Sources'!$C$3),"★ Social Security maxed on this check — from the next check your net rises by about $"&amp;TEXT(ROUND('How This Works &amp; Sources'!$C$4*$N37,2),"#,##0.00")&amp;". ","")&amp;IF(AND($AC36&lt;'Second Earner'!$C$34,$AC37&gt;='Second Earner'!$C$34),"★ 401(k) reaches the $"&amp;TEXT('Second Earner'!$C$34,"#,##0")&amp;" cap on this check — deferrals stop and net pay rises. ","")&amp;IF(AND($AG36&lt;'How This Works &amp; Sources'!$C$7,$AG37&gt;='How This Works &amp; Sources'!$C$7),"★ Wages pass $200,000 — the 0.9% Additional Medicare Tax starts here. ","")&amp;IF(AND($BJ37&gt;0,$H37&gt;0,$BG36&lt;MIN($BJ37,'How This Works &amp; Sources'!$C$13),$BG36+$H37&gt;=MIN($BJ37,'How This Works &amp; Sources'!$C$13)),"★ Health FSA election is now fully deferred for the year. ",""))</f>
      </c>
      <c r="AE37" s="41" t="n"/>
      <c r="AF37" s="7">
        <f>IF(OR($B37="",$AE37=""),"",$AE37-$Y37)</f>
      </c>
      <c r="AG37" s="7">
        <f>IF($B37="","",$AG36+$N37)</f>
      </c>
      <c r="AH37" s="7">
        <f>IF($B37="","",MAX(0,($M37-$D37)*'Second Earner'!$C$8+$AP37-$AQ37-IF('Second Earner'!$C$13,0,IF('Second Earner'!$C$12="MFJ",'How This Works &amp; Sources'!$C$8,'How This Works &amp; Sources'!$C$9))))</f>
      </c>
      <c r="AI37" s="7">
        <f>IF($B37="","",$O37*'Second Earner'!$C$8)</f>
      </c>
      <c r="AJ37" s="7">
        <f>IF($B37="","",MAX(0,$AI37-VLOOKUP($AN37,StateTables!$A$6:$AB$56,12,FALSE)*$AT37-IF(($AS37+$AT37)&gt;=2,VLOOKUP($AN37,StateTables!$A$6:$AB$56,8,FALSE),VLOOKUP($AN37,StateTables!$A$6:$AB$56,7,FALSE))))</f>
      </c>
      <c r="AK37" s="7">
        <f>IF($B37="","",IFERROR(LOOKUP(2,1/(('Changes — Earner 2'!$C$6:$C$17="Salary change")*('Changes — Earner 2'!$B$6:$B$17&lt;=$B37)*('Changes — Earner 2'!$B$6:$B$17&lt;&gt;"")),'Changes — Earner 2'!$D$6:$D$17),IF('Second Earner'!$C$4="Annual salary",'Second Earner'!$C$5,'Second Earner'!$C$6)))</f>
      </c>
      <c r="AL37">
        <f>IF($B37="","",IFERROR(LOOKUP(2,1/(('Changes — Earner 2'!$C$6:$C$17="401(k) change")*('Changes — Earner 2'!$B$6:$B$17&lt;=$B37)*('Changes — Earner 2'!$B$6:$B$17&lt;&gt;"")),'Changes — Earner 2'!$D$6:$D$17),'Second Earner'!$C$30))</f>
      </c>
      <c r="AM37" s="7">
        <f>IF($B37="","",IFERROR(LOOKUP(2,1/(('Changes — Earner 2'!$C$6:$C$17="401(k) change")*('Changes — Earner 2'!$B$6:$B$17&lt;=$B37)*('Changes — Earner 2'!$B$6:$B$17&lt;&gt;"")),'Changes — Earner 2'!$E$6:$E$17),'Second Earner'!$D$31))</f>
      </c>
      <c r="AN37">
        <f>IF($B37="","",IFERROR(LOOKUP(2,1/(('Changes — Earner 2'!$C$6:$C$17="State move")*('Changes — Earner 2'!$B$6:$B$17&lt;=$B37)*('Changes — Earner 2'!$B$6:$B$17&lt;&gt;"")),'Changes — Earner 2'!$D$6:$D$17),'Second Earner'!$C$21))</f>
      </c>
      <c r="AO37" s="7">
        <f>IF($B37="","",IFERROR(LOOKUP(2,1/(('Changes — Earner 2'!$C$6:$C$17="W-4 change")*('Changes — Earner 2'!$B$6:$B$17&lt;=$B37)*('Changes — Earner 2'!$B$6:$B$17&lt;&gt;"")),'Changes — Earner 2'!$D$6:$D$17),'Second Earner'!$C$14))</f>
      </c>
      <c r="AP37" s="7">
        <f>IF($B37="","",IFERROR(LOOKUP(2,1/(('Changes — Earner 2'!$C$6:$C$17="W-4 change")*('Changes — Earner 2'!$B$6:$B$17&lt;=$B37)*('Changes — Earner 2'!$B$6:$B$17&lt;&gt;"")),'Changes — Earner 2'!$E$6:$E$17),'Second Earner'!$C$15))</f>
      </c>
      <c r="AQ37" s="7">
        <f>IF($B37="","",IFERROR(LOOKUP(2,1/(('Changes — Earner 2'!$C$6:$C$17="W-4 change")*('Changes — Earner 2'!$B$6:$B$17&lt;=$B37)*('Changes — Earner 2'!$B$6:$B$17&lt;&gt;"")),'Changes — Earner 2'!$F$6:$F$17),'Second Earner'!$C$16))</f>
      </c>
      <c r="AR37" s="7">
        <f>IF($B37="","",IFERROR(LOOKUP(2,1/(('Changes — Earner 2'!$C$6:$C$17="W-4 change")*('Changes — Earner 2'!$B$6:$B$17&lt;=$B37)*('Changes — Earner 2'!$B$6:$B$17&lt;&gt;"")),'Changes — Earner 2'!$G$6:$G$17),'Second Earner'!$C$17))</f>
      </c>
      <c r="AS37" s="6">
        <f>IF($B37="","",IFERROR(LOOKUP(2,1/((('Changes — Earner 2'!$C$6:$C$17="State move")+('Changes — Earner 2'!$C$6:$C$17="State cert change"))*('Changes — Earner 2'!$B$6:$B$17&lt;=$B37)*('Changes — Earner 2'!$B$6:$B$17&lt;&gt;"")),'Changes — Earner 2'!$F$6:$F$17),'Second Earner'!$C$23))</f>
      </c>
      <c r="AT37" s="6">
        <f>IF($B37="","",IFERROR(LOOKUP(2,1/((('Changes — Earner 2'!$C$6:$C$17="State move")+('Changes — Earner 2'!$C$6:$C$17="State cert change"))*('Changes — Earner 2'!$B$6:$B$17&lt;=$B37)*('Changes — Earner 2'!$B$6:$B$17&lt;&gt;"")),'Changes — Earner 2'!$G$6:$G$17),'Second Earner'!$C$24))</f>
      </c>
      <c r="AU37">
        <f>IF($B37="","",IFERROR(LOOKUP(2,1/(('Changes — Earner 2'!$C$6:$C$17="State move")*('Changes — Earner 2'!$B$6:$B$17&lt;=$B37)*('Changes — Earner 2'!$B$6:$B$17&lt;&gt;"")),'Changes — Earner 2'!$E$6:$E$17),'Second Earner'!$C$22))</f>
      </c>
      <c r="AV37" s="6">
        <f>IF($B37="","",1+COUNTIFS('Changes — Earner 2'!$C$6:$C$17,"Employer change",'Changes — Earner 2'!$B$6:$B$17,"&lt;="&amp;$B37,'Changes — Earner 2'!$B$6:$B$17,"&lt;&gt;"))</f>
      </c>
      <c r="AW37" s="7">
        <f>IF($B37="","",IF($AV37=1,'Second Earner'!$C$49,IF(IFERROR(MATCH(IFERROR(LOOKUP(2,1/(('Changes — Earner 2'!$C$6:$C$17="Employer change")*('Changes — Earner 2'!$B$6:$B$17&lt;=$B37)*('Changes — Earner 2'!$B$6:$B$17&lt;&gt;"")),'Changes — Earner 2'!$B$6:$B$17),""),$B$6:$B$68,1),1)&lt;=1,'Second Earner'!$C$49,INDEX($AB$6:$AB$68,MATCH(IFERROR(LOOKUP(2,1/(('Changes — Earner 2'!$C$6:$C$17="Employer change")*('Changes — Earner 2'!$B$6:$B$17&lt;=$B37)*('Changes — Earner 2'!$B$6:$B$17&lt;&gt;"")),'Changes — Earner 2'!$B$6:$B$17),""),$B$6:$B$68,1)-1))))</f>
      </c>
      <c r="AX37" s="7">
        <f>IF($B37="","",IF($AV37=1,'Second Earner'!$C$49,IFERROR(LOOKUP(2,1/(('Changes — Earner 2'!$C$6:$C$17="Employer change")*('Changes — Earner 2'!$B$6:$B$17&lt;=$B37)*('Changes — Earner 2'!$B$6:$B$17&lt;&gt;"")),'Changes — Earner 2'!$D$6:$D$17),0)))</f>
      </c>
      <c r="AY37" s="7">
        <f>IF($B37="","",($O37-$D37)*'Second Earner'!$C$8)</f>
      </c>
      <c r="AZ37" s="7">
        <f>IF($B37="","",IF($AN37="AL",MAX(0,$AY37-IF($AU37="Married",IF($AY37&lt;=25999,8500,MAX(5000,8500-175*CEILING(($AY37-25999)/500,1))),IF($AU37="Head of household",IF($AY37&lt;=25999,5200,MAX(2500,5200-135*CEILING(($AY37-25999)/500,1))),IF($AY37&lt;=25999,3000,MAX(2500,3000-25*CEILING(($AY37-25999)/500,1)))))-($P37-'How This Works &amp; Sources'!$C$10*$D37)*'Second Earner'!$C$8-IF(OR($AU37="Married",$AU37="Head of household"),3000,1500)-$AT37*IF($AY37&lt;=50000,1000,IF($AY37&lt;=100000,500,300))),IF($AN37="AR",IF(MAX(0,$AY37-2470)&lt;97701,INT(MAX(0,$AY37-2470)/100)*100+50,MAX(0,$AY37-2470)),IF($AN37="DE",MAX(0,$AI37-3250),IF($AN37="HI",MAX(0,$AI37-1144*$AS37-4350),IF($AN37="KS",MAX(0,$AI37-(9160*IF($AU37="Married",2,1)+2320*$AT37+IF($AU37="Head of household",2320,0))),IF($AN37="MD",MAX(0,$AI37-3400-3200*$AS37),IF($AN37="MN",MAX(0,$AY37-5300*$AS37),IF($AN37="MO",MAX(0,$AI37-IF($AU37="Head of household",24150,IF($AU37="Married",IF('Second Earner'!$C$83,16100,32200),16100))),IF($AN37="MT",$AY37,IF($AN37="ND",($C37+$L37)*'Second Earner'!$C$8,IF($AN37="NE",MAX(0,$AY37-2440*$AS37),IF($AN37="NJ",MAX(0,$AY37-1000*$AS37),IF($AN37="NY",MAX(0,$AY37-(IF($AU37="Married",7950,7400)+1000*$AS37)),IF($AN37="OH",MAX(0,$AY37-650*$AS37),IF($AN37="OK",MAX(0,$AY37-1000*$AS37),IF($AN37="RI",MAX(0,$AI37-1000*$AS37),IF($AN37="SC",MAX(0,$AI37-5000*$AS37-IF($AS37=0,0,MIN(0.1*$AI37,7500))),IF($AN37="VA",MAX(0,$AI37-IF($AU37="Married",17500,8750)-930*$AS37-800*$AT37),IF($AN37="VT",MAX(0,$AI37-5400*$AS37),IF($AN37="WI",MAX(0,$AI37-MAX(0,IF($AU37="Married",9461-0.2*MAX(0,$AI37-25727),6702-0.12*MAX(0,$AI37-17780)))-400*$AS37),IF($AN37="WV",MAX(0,$AI37-2000*$AS37),$AI37))))))))))))))))))))))</f>
      </c>
      <c r="BA37" s="7">
        <f>IF($B37="","",IF($BW37&lt;&gt;"",$BW37,IF($BX37&lt;&gt;"",$BX37,IF($BY37&lt;&gt;"",$BY37,0))))</f>
      </c>
      <c r="BB37" s="7">
        <f>IF($B37="","",IF($AN37="AR",-29*$AS37,IF($AN37="DE",-110*$AS37,IF($AN37="MD",$AZ37*'Second Earner'!$C$74,IF($AN37="AZ",'Second Earner'!$C$82*($M37-$D37)*'Second Earner'!$C$8,IF($AN37="CO",0.044*MAX(0,$AY37-IF($AU37="Married",10000,5000)),IF($AN37="IA",MAX(0,0.038*MAX(0,$AY37-IF($AU37="Head of household",19500,IF($AU37="Married",26000,13000)))-40*$AS37),IF($AN37="ID",0.053*MAX(0,$AY37-IF($AU37="Married",32000,16094)),IF($AN37="IL",0.0495*MAX(0,$AY37-(2925*$AS37+1000*$AT37)),IF($AN37="IN",(0.0295+'Second Earner'!$C$76)*MAX(0,$AY37-(1000*$AS37+1500*$AT37+3000*'Second Earner'!$C$86)),IF($AN37="KY",0.035*MAX(0,$AI37-3360),IF($AN37="LA",IF('Second Earner'!$C$84="0",0.0309*$AI37,0.0309*MAX(0,$AI37-IF('Second Earner'!$C$84="2",25750,12875))),IF($AN37="MA",0.05*MIN(MAX(0,$AY37-MIN(($BD36+$Q37+$R37+$S37),2000)-IF($AS37=0,0,IF($AS37=1,4400,1000*$AS37+3400))),1107750)+0.09*MAX(0,MAX(0,$AY37-MIN(($BD36+$Q37+$R37+$S37),2000)-IF($AS37=0,0,IF($AS37=1,4400,1000*$AS37+3400)))-1107750)-IF($AU37="Head of household",120,0)-110*'Second Earner'!$C$75,IF($AN37="MI",0.0425*MAX(0,$AY37-5900*$AS37),IF($AN37="MS",0.04*MAX(0,$AI37-IF($AU37="Head of household",3400,IF($AU37="Married",4600,2300))-'Second Earner'!$C$85-10000),IF($AN37="OR",IF(OR($AU37="Married",AND($AU37="Single",$AS37&gt;=3)),SUMPRODUCT((MAX(0,$AY37-MIN(($P37-'How This Works &amp; Sources'!$C$10*$D37)*'Second Earner'!$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Sources'!$B$211:$J$214,0,4))*(MAX(0,$AY37-MIN(($P37-'How This Works &amp; Sources'!$C$10*$D37)*'Second Earner'!$C$8,IF(OR($AU37="Married",AND($AU37="Single",$AS37&gt;=3)),IF($AY37&lt;250000,8750,IF($AY37&lt;260000,7000,IF($AY37&lt;270000,5250,IF($AY37&lt;280000,3500,IF($AY37&lt;290000,1750,0))))),IF($AY37&lt;125000,8750,IF($AY37&lt;130000,7000,IF($AY37&lt;135000,5250,IF($AY37&lt;140000,3500,IF($AY37&lt;145000,1750,0)))))))-IF(OR($AU37="Married",AND($AU37="Single",$AS37&gt;=3)),5820,2910))-INDEX('How This Works &amp; Sources'!$B$211:$J$214,0,4))*INDEX('How This Works &amp; Sources'!$B$211:$J$214,0,4+2)),SUMPRODUCT((MAX(0,$AY37-MIN(($P37-'How This Works &amp; Sources'!$C$10*$D37)*'Second Earner'!$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Sources'!$B$211:$J$214,0,1))*(MAX(0,$AY37-MIN(($P37-'How This Works &amp; Sources'!$C$10*$D37)*'Second Earner'!$C$8,IF(OR($AU37="Married",AND($AU37="Single",$AS37&gt;=3)),IF($AY37&lt;250000,8750,IF($AY37&lt;260000,7000,IF($AY37&lt;270000,5250,IF($AY37&lt;280000,3500,IF($AY37&lt;290000,1750,0))))),IF($AY37&lt;125000,8750,IF($AY37&lt;130000,7000,IF($AY37&lt;135000,5250,IF($AY37&lt;140000,3500,IF($AY37&lt;145000,1750,0)))))))-IF(OR($AU37="Married",AND($AU37="Single",$AS37&gt;=3)),5820,2910))-INDEX('How This Works &amp; Sources'!$B$211:$J$214,0,1))*INDEX('How This Works &amp; Sources'!$B$211:$J$214,0,1+2)))+263-263*IF(IF($AU37="Married",$AY37&gt;200000,$AY37&gt;100000),0,$AS37),IF($AN37="PA",0.0307*(($O37+$E37+$G37)*'Second Earner'!$C$8),IF($AN37="NY",IF($AU37="Married",IF($AZ37&gt;=2155350,0,IF($AZ37&gt;=1077550,0.48,IF($AZ37&gt;=373200,1.21,IF($AZ37&gt;=323200,0.21,IF($AZ37&gt;=211550,-0.19,IF($AZ37&gt;=157650,-2.8,IF($AZ37&gt;=107650,-0.8,IF($AZ37&gt;=96800,0.05,IF($AZ37&gt;=80650,-0.1,IF($AZ37&gt;=13900,0.4,IF($AZ37&gt;=11700,-0.3,IF($AZ37&gt;=8500,0.5,0)))))))))))),IF($AZ37&gt;=1077550,0,IF($AZ37&gt;=265400,4.29,IF($AZ37&gt;=215400,2.29,IF($AZ37&gt;=157650,2.29,IF($AZ37&gt;=107650,0.29,IF($AZ37&gt;=96800,0.05,IF($AZ37&gt;=80650,-0.1,IF($AZ37&gt;=13900,0.4,IF($AZ37&gt;=11700,-0.3,IF($AZ37&gt;=8500,0.5,0))))))))))),0))))))))))))))))))</f>
      </c>
      <c r="BC37" s="7">
        <f>IF($B37="","",IF($AN37="AL",0.05*$D37,IF($AN37="AR",0.039*$D37,IF($AN37="ID",0.053*$D37,IF($AN37="IN",(0.0295+'Second Earner'!$C$76)*$D37,IF($AN37="KS",0.05*$D37,IF($AN37="MA",0.09*MIN($D37,MAX(0,MAX(0,$AY37-MIN(($BD36+$Q37+$R37+$S37),2000)-IF($AS37=0,0,IF($AS37=1,4400,1000*$AS37+3400)))+$D37-1107750))+0.05*($D37-MIN($D37,MAX(0,MAX(0,$AY37-MIN(($BD36+$Q37+$R37+$S37),2000)-IF($AS37=0,0,IF($AS37=1,4400,1000*$AS37+3400)))+$D37-1107750))),IF($AN37="MD",(0.065+'Second Earner'!$C$74)*$D37,IF($AN37="MI",0.0425*$D37,IF($AN37="MN",0.0625*$D37,IF($AN37="MO",0.047*$D37,IF($AN37="MT",0.05*$D37,IF($AN37="ND",0.015*$D37,IF($AN37="NE",0.035*$D37,IF($AN37="NJ",IF('Second Earner'!$C$77="B",SUMPRODUCT(($D37*'Second Earner'!$C$8&gt;INDEX('How This Works &amp; Sources'!$B$155:$J$162,0,4))*($D37*'Second Earner'!$C$8-INDEX('How This Works &amp; Sources'!$B$155:$J$162,0,4))*INDEX('How This Works &amp; Sources'!$B$155:$J$162,0,4+2)),IF('Second Earner'!$C$77="C",SUMPRODUCT(($D37*'Second Earner'!$C$8&gt;INDEX('How This Works &amp; Sources'!$B$155:$J$162,0,7))*($D37*'Second Earner'!$C$8-INDEX('How This Works &amp; Sources'!$B$155:$J$162,0,7))*INDEX('How This Works &amp; Sources'!$B$155:$J$162,0,7+2)),IF('Second Earner'!$C$77="D",SUMPRODUCT(($D37*'Second Earner'!$C$8&gt;INDEX('How This Works &amp; Sources'!$B$167:$J$179,0,1))*($D37*'Second Earner'!$C$8-INDEX('How This Works &amp; Sources'!$B$167:$J$179,0,1))*INDEX('How This Works &amp; Sources'!$B$167:$J$179,0,1+2)),IF('Second Earner'!$C$77="E",SUMPRODUCT(($D37*'Second Earner'!$C$8&gt;INDEX('How This Works &amp; Sources'!$B$167:$J$179,0,4))*($D37*'Second Earner'!$C$8-INDEX('How This Works &amp; Sources'!$B$167:$J$179,0,4))*INDEX('How This Works &amp; Sources'!$B$167:$J$179,0,4+2)),SUMPRODUCT(($D37*'Second Earner'!$C$8&gt;INDEX('How This Works &amp; Sources'!$B$155:$J$162,0,1))*($D37*'Second Earner'!$C$8-INDEX('How This Works &amp; Sources'!$B$155:$J$162,0,1))*INDEX('How This Works &amp; Sources'!$B$155:$J$162,0,1+2))))))/'Second Earner'!$C$8,IF($AN37="NY",0.117*$D37,IF($AN37="OH",0.0275*$D37,IF($AN37="OK",0.045*$D37,IF($AN37="OR",0.08*$D37,IF($AN37="WI",IF($AY37&lt;12760,0.0354,IF($AY37&lt;25520,0.0465,IF($AY37&lt;280950,0.053,0.0765)))*$D37,0))))))))))))))))))))</f>
      </c>
      <c r="BD37" s="7">
        <f>IF($B37="","",$BD36+$Q37+$R37+$S37)</f>
      </c>
      <c r="BE37" s="6">
        <f>IF($B37="",$BE36,$BE36+$BF37)</f>
      </c>
      <c r="BF37" s="6">
        <f>IF($B37="","",IF(AND(IF(YEAR(IF('Second Earner'!$C$7="Weekly",'Second Earner'!$C$9+7*(($BE36+1)-1),IF('Second Earner'!$C$7="Biweekly",'Second Earner'!$C$9+14*(($BE36+1)-1),IF('Second Earner'!$C$7="Semimonthly",DATE(YEAR('Second Earner'!$C$9),MONTH('Second Earner'!$C$9)+INT((($BE36+1)-1)/2),MIN(DAY('Second Earner'!$C$9),DAY(EOMONTH(DATE(YEAR('Second Earner'!$C$9),MONTH('Second Earner'!$C$9)+INT((($BE36+1)-1)/2),1),0))))+IF(MOD(($BE36+1)-1,2)=1,15,0),EDATE('Second Earner'!$C$9,($BE36+1)-1)))))&lt;&gt;'Second Earner'!$C$10,"",IF('Second Earner'!$C$7="Weekly",'Second Earner'!$C$9+7*(($BE36+1)-1),IF('Second Earner'!$C$7="Biweekly",'Second Earner'!$C$9+14*(($BE36+1)-1),IF('Second Earner'!$C$7="Semimonthly",DATE(YEAR('Second Earner'!$C$9),MONTH('Second Earner'!$C$9)+INT((($BE36+1)-1)/2),MIN(DAY('Second Earner'!$C$9),DAY(EOMONTH(DATE(YEAR('Second Earner'!$C$9),MONTH('Second Earner'!$C$9)+INT((($BE36+1)-1)/2),1),0))))+IF(MOD(($BE36+1)-1,2)=1,15,0),EDATE('Second Earner'!$C$9,($BE36+1)-1)))))&lt;&gt;"",$B37=IF(YEAR(IF('Second Earner'!$C$7="Weekly",'Second Earner'!$C$9+7*(($BE36+1)-1),IF('Second Earner'!$C$7="Biweekly",'Second Earner'!$C$9+14*(($BE36+1)-1),IF('Second Earner'!$C$7="Semimonthly",DATE(YEAR('Second Earner'!$C$9),MONTH('Second Earner'!$C$9)+INT((($BE36+1)-1)/2),MIN(DAY('Second Earner'!$C$9),DAY(EOMONTH(DATE(YEAR('Second Earner'!$C$9),MONTH('Second Earner'!$C$9)+INT((($BE36+1)-1)/2),1),0))))+IF(MOD(($BE36+1)-1,2)=1,15,0),EDATE('Second Earner'!$C$9,($BE36+1)-1)))))&lt;&gt;'Second Earner'!$C$10,"",IF('Second Earner'!$C$7="Weekly",'Second Earner'!$C$9+7*(($BE36+1)-1),IF('Second Earner'!$C$7="Biweekly",'Second Earner'!$C$9+14*(($BE36+1)-1),IF('Second Earner'!$C$7="Semimonthly",DATE(YEAR('Second Earner'!$C$9),MONTH('Second Earner'!$C$9)+INT((($BE36+1)-1)/2),MIN(DAY('Second Earner'!$C$9),DAY(EOMONTH(DATE(YEAR('Second Earner'!$C$9),MONTH('Second Earner'!$C$9)+INT((($BE36+1)-1)/2),1),0))))+IF(MOD(($BE36+1)-1,2)=1,15,0),EDATE('Second Earner'!$C$9,($BE36+1)-1)))))),1,0))</f>
      </c>
      <c r="BG37" s="7">
        <f>IF($B37="","",$BG36+$H37)</f>
      </c>
      <c r="BH37" s="7">
        <f>IF($B37="","",$BH36+$I37)</f>
      </c>
      <c r="BI37" s="7">
        <f>IF($B37="","",$BI36+$G37)</f>
      </c>
      <c r="BJ37" s="7">
        <f>IF($B37="","",IFERROR(LOOKUP(2,1/(((('Changes — Earner 2'!$C$6:$C$17="Deduction start"))*('Changes — Earner 2'!$D$6:$D$17="Health FSA"))*('Changes — Earner 2'!$B$6:$B$17&lt;=$B37)*('Changes — Earner 2'!$B$6:$B$17&lt;&gt;"")),'Changes — Earner 2'!$E$6:$E$17),'Second Earner'!$D$38))</f>
      </c>
      <c r="BK37" s="7">
        <f>IF($B37="","",IFERROR(LOOKUP(2,1/(((('Changes — Earner 2'!$C$6:$C$17="Deduction start"))*('Changes — Earner 2'!$D$6:$D$17="Dependent-care FSA"))*('Changes — Earner 2'!$B$6:$B$17&lt;=$B37)*('Changes — Earner 2'!$B$6:$B$17&lt;&gt;"")),'Changes — Earner 2'!$E$6:$E$17),'Second Earner'!$D$39))</f>
      </c>
      <c r="BL37" s="7">
        <f>IF($B37="","",IFERROR(LOOKUP(2,1/(((('Changes — Earner 2'!$C$6:$C$17="Deduction start")+('Changes — Earner 2'!$C$6:$C$17="Deduction stop"))*('Changes — Earner 2'!$D$6:$D$17="HSA"))*('Changes — Earner 2'!$B$6:$B$17&lt;=$B37)*('Changes — Earner 2'!$B$6:$B$17&lt;&gt;"")),'Changes — Earner 2'!$I$6:$I$17),'Second Earner'!$D$35))</f>
      </c>
      <c r="BM37" s="7">
        <f>IF($B37="","",IFERROR(LOOKUP(2,1/(((('Changes — Earner 2'!$C$6:$C$17="Deduction start")+('Changes — Earner 2'!$C$6:$C$17="Deduction stop"))*('Changes — Earner 2'!$D$6:$D$17="Premiums"))*('Changes — Earner 2'!$B$6:$B$17&lt;=$B37)*('Changes — Earner 2'!$B$6:$B$17&lt;&gt;"")),'Changes — Earner 2'!$I$6:$I$17),'Second Earner'!$D$40+'Second Earner'!$D$41+'Second Earner'!$D$42))</f>
      </c>
      <c r="BN37" s="7">
        <f>IF($B37="","",IFERROR(LOOKUP(2,1/(((('Changes — Earner 2'!$C$6:$C$17="Deduction start")+('Changes — Earner 2'!$C$6:$C$17="Deduction stop"))*('Changes — Earner 2'!$D$6:$D$17="Commuter"))*('Changes — Earner 2'!$B$6:$B$17&lt;=$B37)*('Changes — Earner 2'!$B$6:$B$17&lt;&gt;"")),'Changes — Earner 2'!$I$6:$I$17),'Second Earner'!$D$43))</f>
      </c>
      <c r="BO37" s="7">
        <f>IF($B37="","",IFERROR(LOOKUP(2,1/(((('Changes — Earner 2'!$C$6:$C$17="Deduction start")+('Changes — Earner 2'!$C$6:$C$17="Deduction stop"))*('Changes — Earner 2'!$D$6:$D$17="Other pre-tax"))*('Changes — Earner 2'!$B$6:$B$17&lt;=$B37)*('Changes — Earner 2'!$B$6:$B$17&lt;&gt;"")),'Changes — Earner 2'!$I$6:$I$17),'Second Earner'!$D$44))</f>
      </c>
      <c r="BP37" s="7">
        <f>IF($B37="","",IFERROR(LOOKUP(2,1/(((('Changes — Earner 2'!$C$6:$C$17="Deduction start")+('Changes — Earner 2'!$C$6:$C$17="Deduction stop"))*('Changes — Earner 2'!$D$6:$D$17="Other post-tax"))*('Changes — Earner 2'!$B$6:$B$17&lt;=$B37)*('Changes — Earner 2'!$B$6:$B$17&lt;&gt;"")),'Changes — Earner 2'!$I$6:$I$17),'Second Earner'!$D$45))</f>
      </c>
      <c r="BQ37" s="6">
        <f>IF($B37="","",IFERROR(LOOKUP(2,1/(((('Changes — Earner 2'!$C$6:$C$17="Deduction start")+('Changes — Earner 2'!$C$6:$C$17="Deduction stop"))*('Changes — Earner 2'!$D$6:$D$17="Health FSA"))*('Changes — Earner 2'!$B$6:$B$17&lt;=$B37)*('Changes — Earner 2'!$B$6:$B$17&lt;&gt;"")),'Changes — Earner 2'!$J$6:$J$17),0))</f>
      </c>
      <c r="BR37" s="6">
        <f>IF($B37="","",IFERROR(LOOKUP(2,1/(((('Changes — Earner 2'!$C$6:$C$17="Deduction start")+('Changes — Earner 2'!$C$6:$C$17="Deduction stop"))*('Changes — Earner 2'!$D$6:$D$17="Dependent-care FSA"))*('Changes — Earner 2'!$B$6:$B$17&lt;=$B37)*('Changes — Earner 2'!$B$6:$B$17&lt;&gt;"")),'Changes — Earner 2'!$J$6:$J$17),0))</f>
      </c>
      <c r="BS37" s="6">
        <f>IF($B37="","",IF(SUMPRODUCT(('Changes — Earner 2'!$C$6:$C$17="Deduction start")*('Changes — Earner 2'!$B$6:$B$17&lt;=$B37)*('Changes — Earner 2'!$B$6:$B$17&lt;&gt;"")*('Changes — Earner 2'!$D$6:$D$17="Health FSA"))&gt;0,1,0))</f>
      </c>
      <c r="BT37" s="6">
        <f>IF($B37="","",IF(SUMPRODUCT(('Changes — Earner 2'!$C$6:$C$17="Deduction start")*('Changes — Earner 2'!$B$6:$B$17&lt;=$B37)*('Changes — Earner 2'!$B$6:$B$17&lt;&gt;"")*('Changes — Earner 2'!$D$6:$D$17="Dependent-care FSA"))&gt;0,1,0))</f>
      </c>
      <c r="BU37" s="24">
        <f>IF($B37="","",IF('Second Earner'!$C$13,SUMPRODUCT(($AH37&gt;=INDEX('How This Works &amp; Sources'!$B$29:$J$36,0,IF('Second Earner'!$C$12="MFJ",1,IF('Second Earner'!$C$12="HoH",7,4))))*INDEX('How This Works &amp; Sources'!$B$29:$J$36,0,IF('Second Earner'!$C$12="MFJ",1,IF('Second Earner'!$C$12="HoH",7,4))+2)),SUMPRODUCT(($AH37&gt;=INDEX('How This Works &amp; Sources'!$B$19:$J$26,0,IF('Second Earner'!$C$12="MFJ",1,IF('Second Earner'!$C$12="HoH",7,4))))*INDEX('How This Works &amp; Sources'!$B$19:$J$26,0,IF('Second Earner'!$C$12="MFJ",1,IF('Second Earner'!$C$12="HoH",7,4))+2))))</f>
      </c>
      <c r="BV37" s="24">
        <f>IF($B37="","",IF($BZ37&lt;&gt;"",$BZ37,IF($CA37&lt;&gt;"",$CA37,IF($CB37&lt;&gt;"",$CB37,IF($CC37&lt;&gt;"",$CC37,0)))))</f>
      </c>
      <c r="BW37" s="7">
        <f>IF($B37="","",IF($AN37="AR",SUMPRODUCT(($AZ37&gt;INDEX('How This Works &amp; Sources'!$B$82:$J$86,0,7))*($AZ37-INDEX('How This Works &amp; Sources'!$B$82:$J$86,0,7))*INDEX('How This Works &amp; Sources'!$B$82:$J$86,0,7+2)),IF($AN37="MD",IF(OR($AU37="Married",$AU37="Head of household"),SUMPRODUCT(($AZ37&gt;INDEX('How This Works &amp; Sources'!$B$114:$J$120,0,1))*($AZ37-INDEX('How This Works &amp; Sources'!$B$114:$J$120,0,1))*INDEX('How This Works &amp; Sources'!$B$114:$J$120,0,1+2)),SUMPRODUCT(($AZ37&gt;INDEX('How This Works &amp; Sources'!$B$103:$J$109,0,7))*($AZ37-INDEX('How This Works &amp; Sources'!$B$103:$J$109,0,7))*INDEX('How This Works &amp; Sources'!$B$103:$J$109,0,7+2))),IF($AN37="MT",IF($AU37="Head of household",SUMPRODUCT(($AZ37&gt;INDEX('How This Works &amp; Sources'!$B$137:$J$139,0,1))*($AZ37-INDEX('How This Works &amp; Sources'!$B$137:$J$139,0,1))*INDEX('How This Works &amp; Sources'!$B$137:$J$139,0,1+2)),IF($AU37="Married",SUMPRODUCT(($AZ37&gt;INDEX('How This Works &amp; Sources'!$B$125:$J$132,0,7))*($AZ37-INDEX('How This Works &amp; Sources'!$B$125:$J$132,0,7))*INDEX('How This Works &amp; Sources'!$B$125:$J$132,0,7+2)),SUMPRODUCT(($AZ37&gt;INDEX('How This Works &amp; Sources'!$B$125:$J$132,0,4))*($AZ37-INDEX('How This Works &amp; Sources'!$B$125:$J$132,0,4))*INDEX('How This Works &amp; Sources'!$B$125:$J$132,0,4+2)))),IF($AN37="ND",IF($AU37="Head of household",SUMPRODUCT(($AZ37&gt;INDEX('How This Works &amp; Sources'!$B$144:$J$150,0,1))*($AZ37-INDEX('How This Works &amp; Sources'!$B$144:$J$150,0,1))*INDEX('How This Works &amp; Sources'!$B$144:$J$150,0,1+2)),IF($AU37="Married",SUMPRODUCT(($AZ37&gt;INDEX('How This Works &amp; Sources'!$B$137:$J$139,0,7))*($AZ37-INDEX('How This Works &amp; Sources'!$B$137:$J$139,0,7))*INDEX('How This Works &amp; Sources'!$B$137:$J$139,0,7+2)),SUMPRODUCT(($AZ37&gt;INDEX('How This Works &amp; Sources'!$B$137:$J$139,0,4))*($AZ37-INDEX('How This Works &amp; Sources'!$B$137:$J$139,0,4))*INDEX('How This Works &amp; Sources'!$B$137:$J$139,0,4+2)))),IF($AN37="NJ",IF('Second Earner'!$C$77="B",SUMPRODUCT(($AZ37&gt;INDEX('How This Works &amp; Sources'!$B$155:$J$162,0,4))*($AZ37-INDEX('How This Works &amp; Sources'!$B$155:$J$162,0,4))*INDEX('How This Works &amp; Sources'!$B$155:$J$162,0,4+2)),IF('Second Earner'!$C$77="C",SUMPRODUCT(($AZ37&gt;INDEX('How This Works &amp; Sources'!$B$155:$J$162,0,7))*($AZ37-INDEX('How This Works &amp; Sources'!$B$155:$J$162,0,7))*INDEX('How This Works &amp; Sources'!$B$155:$J$162,0,7+2)),IF('Second Earner'!$C$77="D",SUMPRODUCT(($AZ37&gt;INDEX('How This Works &amp; Sources'!$B$167:$J$179,0,1))*($AZ37-INDEX('How This Works &amp; Sources'!$B$167:$J$179,0,1))*INDEX('How This Works &amp; Sources'!$B$167:$J$179,0,1+2)),IF('Second Earner'!$C$77="E",SUMPRODUCT(($AZ37&gt;INDEX('How This Works &amp; Sources'!$B$167:$J$179,0,4))*($AZ37-INDEX('How This Works &amp; Sources'!$B$167:$J$179,0,4))*INDEX('How This Works &amp; Sources'!$B$167:$J$179,0,4+2)),SUMPRODUCT(($AZ37&gt;INDEX('How This Works &amp; Sources'!$B$155:$J$162,0,1))*($AZ37-INDEX('How This Works &amp; Sources'!$B$155:$J$162,0,1))*INDEX('How This Works &amp; Sources'!$B$155:$J$162,0,1+2)))))),IF($AN37="NY",IF($AU37="Married",IF($AZ37&gt;=2155350,$AZ37*IF($AZ37&gt;25000000,0.117,IF($AZ37&gt;5000000,0.111,0.1045)),SUMPRODUCT(($AZ37&gt;INDEX('How This Works &amp; Sources'!$B$184:$J$198,0,1))*($AZ37-INDEX('How This Works &amp; Sources'!$B$184:$J$198,0,1))*INDEX('How This Works &amp; Sources'!$B$184:$J$198,0,1+2))),IF($AZ37&gt;=1077550,$AZ37*IF($AZ37&gt;25000000,0.117,IF($AZ37&gt;5000000,0.111,0.1045)),SUMPRODUCT(($AZ37&gt;INDEX('How This Works &amp; Sources'!$B$167:$J$179,0,7))*($AZ37-INDEX('How This Works &amp; Sources'!$B$167:$J$179,0,7))*INDEX('How This Works &amp; Sources'!$B$167:$J$179,0,7+2)))),"")))))))</f>
      </c>
      <c r="BX37" s="7">
        <f>IF($B37="","",IF($AN37="AL",IF(OR($AU37="Married",$AU37="Head of household"),SUMPRODUCT(($AZ37&gt;INDEX('How This Works &amp; Sources'!$B$82:$J$86,0,4))*($AZ37-INDEX('How This Works &amp; Sources'!$B$82:$J$86,0,4))*INDEX('How This Works &amp; Sources'!$B$82:$J$86,0,4+2)),SUMPRODUCT(($AZ37&gt;INDEX('How This Works &amp; Sources'!$B$82:$J$86,0,1))*($AZ37-INDEX('How This Works &amp; Sources'!$B$82:$J$86,0,1))*INDEX('How This Works &amp; Sources'!$B$82:$J$86,0,1+2))),IF($AN37="KS",IF($AU37="Married",SUMPRODUCT(($AZ37&gt;INDEX('How This Works &amp; Sources'!$B$103:$J$109,0,4))*($AZ37-INDEX('How This Works &amp; Sources'!$B$103:$J$109,0,4))*INDEX('How This Works &amp; Sources'!$B$103:$J$109,0,4+2)),SUMPRODUCT(($AZ37&gt;INDEX('How This Works &amp; Sources'!$B$103:$J$109,0,1))*($AZ37-INDEX('How This Works &amp; Sources'!$B$103:$J$109,0,1))*INDEX('How This Works &amp; Sources'!$B$103:$J$109,0,1+2))),IF($AN37="MN",IF($AU37="Married",SUMPRODUCT(($AZ37&gt;INDEX('How This Works &amp; Sources'!$B$114:$J$120,0,7))*($AZ37-INDEX('How This Works &amp; Sources'!$B$114:$J$120,0,7))*INDEX('How This Works &amp; Sources'!$B$114:$J$120,0,7+2)),SUMPRODUCT(($AZ37&gt;INDEX('How This Works &amp; Sources'!$B$114:$J$120,0,4))*($AZ37-INDEX('How This Works &amp; Sources'!$B$114:$J$120,0,4))*INDEX('How This Works &amp; Sources'!$B$114:$J$120,0,4+2))),IF($AN37="MO",SUMPRODUCT(($AZ37&gt;INDEX('How This Works &amp; Sources'!$B$125:$J$132,0,1))*($AZ37-INDEX('How This Works &amp; Sources'!$B$125:$J$132,0,1))*INDEX('How This Works &amp; Sources'!$B$125:$J$132,0,1+2)),IF($AN37="NE",MAX(IF($AU37="Married",SUMPRODUCT(($AZ37&gt;INDEX('How This Works &amp; Sources'!$B$144:$J$150,0,7))*($AZ37-INDEX('How This Works &amp; Sources'!$B$144:$J$150,0,7))*INDEX('How This Works &amp; Sources'!$B$144:$J$150,0,7+2)),SUMPRODUCT(($AZ37&gt;INDEX('How This Works &amp; Sources'!$B$144:$J$150,0,4))*($AZ37-INDEX('How This Works &amp; Sources'!$B$144:$J$150,0,4))*INDEX('How This Works &amp; Sources'!$B$144:$J$150,0,4+2))),0.015*$AZ37),IF($AN37="OH",IF($B37&gt;=DATE(2026,8,1),SUMPRODUCT(($AZ37&gt;INDEX('How This Works &amp; Sources'!$B$203:$J$206,0,1))*($AZ37-INDEX('How This Works &amp; Sources'!$B$203:$J$206,0,1))*INDEX('How This Works &amp; Sources'!$B$203:$J$206,0,1+2)),SUMPRODUCT(($AZ37&gt;INDEX('How This Works &amp; Sources'!$B$184:$J$198,0,7))*($AZ37-INDEX('How This Works &amp; Sources'!$B$184:$J$198,0,7))*INDEX('How This Works &amp; Sources'!$B$184:$J$198,0,7+2))),IF($AN37="OK",IF($AU37="Married",SUMPRODUCT(($AZ37&gt;INDEX('How This Works &amp; Sources'!$B$203:$J$206,0,7))*($AZ37-INDEX('How This Works &amp; Sources'!$B$203:$J$206,0,7))*INDEX('How This Works &amp; Sources'!$B$203:$J$206,0,7+2)),SUMPRODUCT(($AZ37&gt;INDEX('How This Works &amp; Sources'!$B$203:$J$206,0,4))*($AZ37-INDEX('How This Works &amp; Sources'!$B$203:$J$206,0,4))*INDEX('How This Works &amp; Sources'!$B$203:$J$206,0,4+2))),IF($AN37="VT",IF($AU37="Married",SUMPRODUCT(($AZ37&gt;INDEX('How This Works &amp; Sources'!$B$228:$J$232,0,1))*($AZ37-INDEX('How This Works &amp; Sources'!$B$228:$J$232,0,1))*INDEX('How This Works &amp; Sources'!$B$228:$J$232,0,1+2)),SUMPRODUCT(($AZ37&gt;INDEX('How This Works &amp; Sources'!$B$219:$J$223,0,7))*($AZ37-INDEX('How This Works &amp; Sources'!$B$219:$J$223,0,7))*INDEX('How This Works &amp; Sources'!$B$219:$J$223,0,7+2))),IF($AN37="WV",IF($AU37="Married",SUMPRODUCT(($AZ37&gt;INDEX('How This Works &amp; Sources'!$B$237:$J$241,0,7))*($AZ37-INDEX('How This Works &amp; Sources'!$B$237:$J$241,0,7))*INDEX('How This Works &amp; Sources'!$B$237:$J$241,0,7+2)),SUMPRODUCT(($AZ37&gt;INDEX('How This Works &amp; Sources'!$B$228:$J$232,0,7))*($AZ37-INDEX('How This Works &amp; Sources'!$B$228:$J$232,0,7))*INDEX('How This Works &amp; Sources'!$B$228:$J$232,0,7+2))),""))))))))))</f>
      </c>
      <c r="BY37" s="7">
        <f>IF($B37="","",IF($AN37="DE",SUMPRODUCT(($AZ37&gt;INDEX('How This Works &amp; Sources'!$B$91:$J$98,0,1))*($AZ37-INDEX('How This Works &amp; Sources'!$B$91:$J$98,0,1))*INDEX('How This Works &amp; Sources'!$B$91:$J$98,0,1+2)),IF($AN37="HI",IF($AU37="Married",SUMPRODUCT(($AZ37&gt;INDEX('How This Works &amp; Sources'!$B$91:$J$98,0,7))*($AZ37-INDEX('How This Works &amp; Sources'!$B$91:$J$98,0,7))*INDEX('How This Works &amp; Sources'!$B$91:$J$98,0,7+2)),SUMPRODUCT(($AZ37&gt;INDEX('How This Works &amp; Sources'!$B$91:$J$98,0,4))*($AZ37-INDEX('How This Works &amp; Sources'!$B$91:$J$98,0,4))*INDEX('How This Works &amp; Sources'!$B$91:$J$98,0,4+2))),IF($AN37="RI",SUMPRODUCT(($AZ37&gt;INDEX('How This Works &amp; Sources'!$B$211:$J$214,0,7))*($AZ37-INDEX('How This Works &amp; Sources'!$B$211:$J$214,0,7))*INDEX('How This Works &amp; Sources'!$B$211:$J$214,0,7+2)),IF($AN37="SC",SUMPRODUCT(($AZ37&gt;INDEX('How This Works &amp; Sources'!$B$219:$J$223,0,1))*($AZ37-INDEX('How This Works &amp; Sources'!$B$219:$J$223,0,1))*INDEX('How This Works &amp; Sources'!$B$219:$J$223,0,1+2)),IF($AN37="VA",SUMPRODUCT(($AZ37&gt;INDEX('How This Works &amp; Sources'!$B$219:$J$223,0,4))*($AZ37-INDEX('How This Works &amp; Sources'!$B$219:$J$223,0,4))*INDEX('How This Works &amp; Sources'!$B$219:$J$223,0,4+2)),IF($AN37="WI",SUMPRODUCT(($AZ37&gt;INDEX('How This Works &amp; Sources'!$B$228:$J$232,0,4))*($AZ37-INDEX('How This Works &amp; Sources'!$B$228:$J$232,0,4))*INDEX('How This Works &amp; Sources'!$B$228:$J$232,0,4+2)),"")))))))</f>
      </c>
      <c r="BZ37" s="24">
        <f>IF($B37="","",IF($AN37="KS",IF($AU37="Married",SUMPRODUCT(($AZ37&gt;=INDEX('How This Works &amp; Sources'!$B$103:$J$109,0,4))*INDEX('How This Works &amp; Sources'!$B$103:$J$109,0,4+2)),SUMPRODUCT(($AZ37&gt;=INDEX('How This Works &amp; Sources'!$B$103:$J$109,0,1))*INDEX('How This Works &amp; Sources'!$B$103:$J$109,0,1+2))),IF($AN37="MT",IF($AU37="Head of household",SUMPRODUCT(($AZ37&gt;=INDEX('How This Works &amp; Sources'!$B$137:$J$139,0,1))*INDEX('How This Works &amp; Sources'!$B$137:$J$139,0,1+2)),IF($AU37="Married",SUMPRODUCT(($AZ37&gt;=INDEX('How This Works &amp; Sources'!$B$125:$J$132,0,7))*INDEX('How This Works &amp; Sources'!$B$125:$J$132,0,7+2)),SUMPRODUCT(($AZ37&gt;=INDEX('How This Works &amp; Sources'!$B$125:$J$132,0,4))*INDEX('How This Works &amp; Sources'!$B$125:$J$132,0,4+2)))),IF($AN37="OR",IF(OR($AU37="Married",AND($AU37="Single",$AS37&gt;=3)),SUMPRODUCT((MAX(0,$AY37-MIN(($P37-'How This Works &amp; Sources'!$C$10*$D37)*'Second Earner'!$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Sources'!$B$211:$J$214,0,4))*INDEX('How This Works &amp; Sources'!$B$211:$J$214,0,4+2)),SUMPRODUCT((MAX(0,$AY37-MIN(($P37-'How This Works &amp; Sources'!$C$10*$D37)*'Second Earner'!$C$8,IF(OR($AU37="Married",AND($AU37="Single",$AS37&gt;=3)),IF($AY37&lt;250000,8750,IF($AY37&lt;260000,7000,IF($AY37&lt;270000,5250,IF($AY37&lt;280000,3500,IF($AY37&lt;290000,1750,0))))),IF($AY37&lt;125000,8750,IF($AY37&lt;130000,7000,IF($AY37&lt;135000,5250,IF($AY37&lt;140000,3500,IF($AY37&lt;145000,1750,0)))))))-IF(OR($AU37="Married",AND($AU37="Single",$AS37&gt;=3)),5820,2910))&gt;=INDEX('How This Works &amp; Sources'!$B$211:$J$214,0,1))*INDEX('How This Works &amp; Sources'!$B$211:$J$214,0,1+2)))*IF(($P37-'How This Works &amp; Sources'!$C$10*$D37)*'Second Earner'!$C$8&gt;=IF(OR($AU37="Married",AND($AU37="Single",$AS37&gt;=3)),IF($AY37&lt;250000,8750,IF($AY37&lt;260000,7000,IF($AY37&lt;270000,5250,IF($AY37&lt;280000,3500,IF($AY37&lt;290000,1750,0))))),IF($AY37&lt;125000,8750,IF($AY37&lt;130000,7000,IF($AY37&lt;135000,5250,IF($AY37&lt;140000,3500,IF($AY37&lt;145000,1750,0)))))),1,1-IF('Second Earner'!$C$13,SUMPRODUCT(($AH37&gt;=INDEX('How This Works &amp; Sources'!$B$29:$J$36,0,IF('Second Earner'!$C$12="MFJ",1,IF('Second Earner'!$C$12="HoH",7,4))))*INDEX('How This Works &amp; Sources'!$B$29:$J$36,0,IF('Second Earner'!$C$12="MFJ",1,IF('Second Earner'!$C$12="HoH",7,4))+2)),SUMPRODUCT(($AH37&gt;=INDEX('How This Works &amp; Sources'!$B$19:$J$26,0,IF('Second Earner'!$C$12="MFJ",1,IF('Second Earner'!$C$12="HoH",7,4))))*INDEX('How This Works &amp; Sources'!$B$19:$J$26,0,IF('Second Earner'!$C$12="MFJ",1,IF('Second Earner'!$C$12="HoH",7,4))+2)))),""))))</f>
      </c>
      <c r="CA37" s="24">
        <f>IF($B37="","",IF($AN37="CA",SUMPRODUCT(($AJ37&gt;=INDEX('How This Works &amp; Sources'!$B$39:$J$48,0,IF($AU37="Married",4,IF($AU37="Head of household",7,1))))*INDEX('How This Works &amp; Sources'!$B$39:$J$48,0,IF($AU37="Married",4,IF($AU37="Head of household",7,1))+2)),IF($AN37="AL",IF(OR($AU37="Married",$AU37="Head of household"),SUMPRODUCT(($AZ37&gt;=INDEX('How This Works &amp; Sources'!$B$82:$J$86,0,4))*INDEX('How This Works &amp; Sources'!$B$82:$J$86,0,4+2)),SUMPRODUCT(($AZ37&gt;=INDEX('How This Works &amp; Sources'!$B$82:$J$86,0,1))*INDEX('How This Works &amp; Sources'!$B$82:$J$86,0,1+2)))*(1-IF('Second Earner'!$C$13,SUMPRODUCT(($AH37&gt;=INDEX('How This Works &amp; Sources'!$B$29:$J$36,0,IF('Second Earner'!$C$12="MFJ",1,IF('Second Earner'!$C$12="HoH",7,4))))*INDEX('How This Works &amp; Sources'!$B$29:$J$36,0,IF('Second Earner'!$C$12="MFJ",1,IF('Second Earner'!$C$12="HoH",7,4))+2)),SUMPRODUCT(($AH37&gt;=INDEX('How This Works &amp; Sources'!$B$19:$J$26,0,IF('Second Earner'!$C$12="MFJ",1,IF('Second Earner'!$C$12="HoH",7,4))))*INDEX('How This Works &amp; Sources'!$B$19:$J$26,0,IF('Second Earner'!$C$12="MFJ",1,IF('Second Earner'!$C$12="HoH",7,4))+2)))),IF($AN37="ND",IF($AU37="Head of household",SUMPRODUCT(($AZ37&gt;=INDEX('How This Works &amp; Sources'!$B$144:$J$150,0,1))*INDEX('How This Works &amp; Sources'!$B$144:$J$150,0,1+2)),IF($AU37="Married",SUMPRODUCT(($AZ37&gt;=INDEX('How This Works &amp; Sources'!$B$137:$J$139,0,7))*INDEX('How This Works &amp; Sources'!$B$137:$J$139,0,7+2)),SUMPRODUCT(($AZ37&gt;=INDEX('How This Works &amp; Sources'!$B$137:$J$139,0,4))*INDEX('How This Works &amp; Sources'!$B$137:$J$139,0,4+2)))),IF($AN37="NJ",IF('Second Earner'!$C$77="B",SUMPRODUCT(($AZ37&gt;=INDEX('How This Works &amp; Sources'!$B$155:$J$162,0,4))*INDEX('How This Works &amp; Sources'!$B$155:$J$162,0,4+2)),IF('Second Earner'!$C$77="C",SUMPRODUCT(($AZ37&gt;=INDEX('How This Works &amp; Sources'!$B$155:$J$162,0,7))*INDEX('How This Works &amp; Sources'!$B$155:$J$162,0,7+2)),IF('Second Earner'!$C$77="D",SUMPRODUCT(($AZ37&gt;=INDEX('How This Works &amp; Sources'!$B$167:$J$179,0,1))*INDEX('How This Works &amp; Sources'!$B$167:$J$179,0,1+2)),IF('Second Earner'!$C$77="E",SUMPRODUCT(($AZ37&gt;=INDEX('How This Works &amp; Sources'!$B$167:$J$179,0,4))*INDEX('How This Works &amp; Sources'!$B$167:$J$179,0,4+2)),SUMPRODUCT(($AZ37&gt;=INDEX('How This Works &amp; Sources'!$B$155:$J$162,0,1))*INDEX('How This Works &amp; Sources'!$B$155:$J$162,0,1+2)))))),IF($AN37="NY",IF($AU37="Married",IF($AZ37&gt;=2155350,IF($AZ37&gt;25000000,0.117,IF($AZ37&gt;5000000,0.111,0.1045)),SUMPRODUCT(($AZ37&gt;=INDEX('How This Works &amp; Sources'!$B$184:$J$198,0,1))*INDEX('How This Works &amp; Sources'!$B$184:$J$198,0,1+2))),IF($AZ37&gt;=1077550,IF($AZ37&gt;25000000,0.117,IF($AZ37&gt;5000000,0.111,0.1045)),SUMPRODUCT(($AZ37&gt;=INDEX('How This Works &amp; Sources'!$B$167:$J$179,0,7))*INDEX('How This Works &amp; Sources'!$B$167:$J$179,0,7+2)))),IF($AN37="LA",0.0309,"")))))))</f>
      </c>
      <c r="CB37" s="24">
        <f>IF($B37="","",IF($AN37="HI",IF($AU37="Married",SUMPRODUCT(($AZ37&gt;=INDEX('How This Works &amp; Sources'!$B$91:$J$98,0,7))*INDEX('How This Works &amp; Sources'!$B$91:$J$98,0,7+2)),SUMPRODUCT(($AZ37&gt;=INDEX('How This Works &amp; Sources'!$B$91:$J$98,0,4))*INDEX('How This Works &amp; Sources'!$B$91:$J$98,0,4+2))),IF($AN37="MD",IF(OR($AU37="Married",$AU37="Head of household"),SUMPRODUCT(($AZ37&gt;=INDEX('How This Works &amp; Sources'!$B$114:$J$120,0,1))*INDEX('How This Works &amp; Sources'!$B$114:$J$120,0,1+2)),SUMPRODUCT(($AZ37&gt;=INDEX('How This Works &amp; Sources'!$B$103:$J$109,0,7))*INDEX('How This Works &amp; Sources'!$B$103:$J$109,0,7+2)))+'Second Earner'!$C$74,IF($AN37="MN",IF($AU37="Married",SUMPRODUCT(($AZ37&gt;=INDEX('How This Works &amp; Sources'!$B$114:$J$120,0,7))*INDEX('How This Works &amp; Sources'!$B$114:$J$120,0,7+2)),SUMPRODUCT(($AZ37&gt;=INDEX('How This Works &amp; Sources'!$B$114:$J$120,0,4))*INDEX('How This Works &amp; Sources'!$B$114:$J$120,0,4+2))),IF($AN37="MO",SUMPRODUCT(($AZ37&gt;=INDEX('How This Works &amp; Sources'!$B$125:$J$132,0,1))*INDEX('How This Works &amp; Sources'!$B$125:$J$132,0,1+2)),IF($AN37="NE",MAX(IF($AU37="Married",SUMPRODUCT(($AZ37&gt;=INDEX('How This Works &amp; Sources'!$B$144:$J$150,0,7))*INDEX('How This Works &amp; Sources'!$B$144:$J$150,0,7+2)),SUMPRODUCT(($AZ37&gt;=INDEX('How This Works &amp; Sources'!$B$144:$J$150,0,4))*INDEX('How This Works &amp; Sources'!$B$144:$J$150,0,4+2))),0.015),IF($AN37="OH",IF($B37&gt;=DATE(2026,8,1),SUMPRODUCT(($AZ37&gt;=INDEX('How This Works &amp; Sources'!$B$203:$J$206,0,1))*INDEX('How This Works &amp; Sources'!$B$203:$J$206,0,1+2)),SUMPRODUCT(($AZ37&gt;=INDEX('How This Works &amp; Sources'!$B$184:$J$198,0,7))*INDEX('How This Works &amp; Sources'!$B$184:$J$198,0,7+2))),IF($AN37="OK",IF($AU37="Married",SUMPRODUCT(($AZ37&gt;=INDEX('How This Works &amp; Sources'!$B$203:$J$206,0,7))*INDEX('How This Works &amp; Sources'!$B$203:$J$206,0,7+2)),SUMPRODUCT(($AZ37&gt;=INDEX('How This Works &amp; Sources'!$B$203:$J$206,0,4))*INDEX('How This Works &amp; Sources'!$B$203:$J$206,0,4+2))),IF($AN37="RI",SUMPRODUCT(($AZ37&gt;=INDEX('How This Works &amp; Sources'!$B$211:$J$214,0,7))*INDEX('How This Works &amp; Sources'!$B$211:$J$214,0,7+2)),IF($AN37="VT",IF($AU37="Married",SUMPRODUCT(($AZ37&gt;=INDEX('How This Works &amp; Sources'!$B$228:$J$232,0,1))*INDEX('How This Works &amp; Sources'!$B$228:$J$232,0,1+2)),SUMPRODUCT(($AZ37&gt;=INDEX('How This Works &amp; Sources'!$B$219:$J$223,0,7))*INDEX('How This Works &amp; Sources'!$B$219:$J$223,0,7+2))),IF($AN37="WV",IF($AU37="Married",SUMPRODUCT(($AZ37&gt;=INDEX('How This Works &amp; Sources'!$B$237:$J$241,0,7))*INDEX('How This Works &amp; Sources'!$B$237:$J$241,0,7+2)),SUMPRODUCT(($AZ37&gt;=INDEX('How This Works &amp; Sources'!$B$228:$J$232,0,7))*INDEX('How This Works &amp; Sources'!$B$228:$J$232,0,7+2))),IF($AN37="AZ",'Second Earner'!$C$82,IF($AN37="ID",IF($AY37&gt;IF($AU37="Married",32000,16094),0.053,0),"")))))))))))))</f>
      </c>
      <c r="CC37" s="24">
        <f>IF($B37="","",IF($AN37="AR",SUMPRODUCT(($AZ37&gt;=INDEX('How This Works &amp; Sources'!$B$82:$J$86,0,7))*INDEX('How This Works &amp; Sources'!$B$82:$J$86,0,7+2)),IF($AN37="DE",SUMPRODUCT(($AZ37&gt;=INDEX('How This Works &amp; Sources'!$B$91:$J$98,0,1))*INDEX('How This Works &amp; Sources'!$B$91:$J$98,0,1+2)),IF($AN37="SC",SUMPRODUCT(($AZ37&gt;=INDEX('How This Works &amp; Sources'!$B$219:$J$223,0,1))*INDEX('How This Works &amp; Sources'!$B$219:$J$223,0,1+2)),IF($AN37="VA",SUMPRODUCT(($AZ37&gt;=INDEX('How This Works &amp; Sources'!$B$219:$J$223,0,4))*INDEX('How This Works &amp; Sources'!$B$219:$J$223,0,4+2)),IF($AN37="WI",SUMPRODUCT(($AZ37&gt;=INDEX('How This Works &amp; Sources'!$B$228:$J$232,0,4))*INDEX('How This Works &amp; Sources'!$B$228:$J$232,0,4+2)),IF($AN37="CO",IF($AY37&gt;IF($AU37="Married",10000,5000),0.044,0),IF($AN37="IA",IF($AY37&gt;IF($AU37="Head of household",19500,IF($AU37="Married",26000,13000)),0.038,0),IF($AN37="IL",IF($AY37&gt;(2925*$AS37+1000*$AT37),0.0495,0),IF($AN37="IN",(0.0295+'Second Earner'!$C$76),IF($AN37="KY",IF($AI37&gt;3360,0.035,0),IF($AN37="MA",IF(MAX(0,$AY37-MIN(($BD36+$Q37+$R37+$S37),2000)-IF($AS37=0,0,IF($AS37=1,4400,1000*$AS37+3400)))&gt;=1107750,0.09,0.05),IF($AN37="MI",IF($AY37&gt;5900*$AS37,0.0425,0),IF($AN37="MS",IF($AI37-IF($AU37="Head of household",3400,IF($AU37="Married",4600,2300))-'Second Earner'!$C$85&gt;10000,0.04,0),IF($AN37="PA",0.0307,"")))))))))))))))</f>
      </c>
      <c r="CD37" s="21">
        <f>IF(YEAR(IF('Second Earner'!$C$7="Weekly",'Second Earner'!$C$9+7*(($BE36+1)-1),IF('Second Earner'!$C$7="Biweekly",'Second Earner'!$C$9+14*(($BE36+1)-1),IF('Second Earner'!$C$7="Semimonthly",DATE(YEAR('Second Earner'!$C$9),MONTH('Second Earner'!$C$9)+INT((($BE36+1)-1)/2),MIN(DAY('Second Earner'!$C$9),DAY(EOMONTH(DATE(YEAR('Second Earner'!$C$9),MONTH('Second Earner'!$C$9)+INT((($BE36+1)-1)/2),1),0))))+IF(MOD(($BE36+1)-1,2)=1,15,0),EDATE('Second Earner'!$C$9,($BE36+1)-1)))))&lt;&gt;'Second Earner'!$C$10,"",IF('Second Earner'!$C$7="Weekly",'Second Earner'!$C$9+7*(($BE36+1)-1),IF('Second Earner'!$C$7="Biweekly",'Second Earner'!$C$9+14*(($BE36+1)-1),IF('Second Earner'!$C$7="Semimonthly",DATE(YEAR('Second Earner'!$C$9),MONTH('Second Earner'!$C$9)+INT((($BE36+1)-1)/2),MIN(DAY('Second Earner'!$C$9),DAY(EOMONTH(DATE(YEAR('Second Earner'!$C$9),MONTH('Second Earner'!$C$9)+INT((($BE36+1)-1)/2),1),0))))+IF(MOD(($BE36+1)-1,2)=1,15,0),EDATE('Second Earner'!$C$9,($BE36+1)-1)))))</f>
      </c>
      <c r="CE37" s="21">
        <f>IF(MIN(IF(AND('Second Earner'!$C$58&gt;MAX($B$6:$B36),'Second Earner'!$C$58&gt;=DATE('Second Earner'!$C$10,1,1),'Second Earner'!$C$58&lt;=DATE('Second Earner'!$C$10,12,31)),'Second Earner'!$C$58,999999),IF(AND('Second Earner'!$C$59&gt;MAX($B$6:$B36),'Second Earner'!$C$59&gt;=DATE('Second Earner'!$C$10,1,1),'Second Earner'!$C$59&lt;=DATE('Second Earner'!$C$10,12,31)),'Second Earner'!$C$59,999999),IF(AND('Second Earner'!$C$60&gt;MAX($B$6:$B36),'Second Earner'!$C$60&gt;=DATE('Second Earner'!$C$10,1,1),'Second Earner'!$C$60&lt;=DATE('Second Earner'!$C$10,12,31)),'Second Earner'!$C$60,999999),IF(AND('Second Earner'!$C$61&gt;MAX($B$6:$B36),'Second Earner'!$C$61&gt;=DATE('Second Earner'!$C$10,1,1),'Second Earner'!$C$61&lt;=DATE('Second Earner'!$C$10,12,31)),'Second Earner'!$C$61,999999),IF(AND('Second Earner'!$C$62&gt;MAX($B$6:$B36),'Second Earner'!$C$62&gt;=DATE('Second Earner'!$C$10,1,1),'Second Earner'!$C$62&lt;=DATE('Second Earner'!$C$10,12,31)),'Second Earner'!$C$62,999999),IF(AND('Second Earner'!$C$63&gt;MAX($B$6:$B36),'Second Earner'!$C$63&gt;=DATE('Second Earner'!$C$10,1,1),'Second Earner'!$C$63&lt;=DATE('Second Earner'!$C$10,12,31)),'Second Earner'!$C$63,999999),IF(AND('Second Earner'!$C$64&gt;MAX($B$6:$B36),'Second Earner'!$C$64&gt;=DATE('Second Earner'!$C$10,1,1),'Second Earner'!$C$64&lt;=DATE('Second Earner'!$C$10,12,31)),'Second Earner'!$C$64,999999),IF(AND('Second Earner'!$C$65&gt;MAX($B$6:$B36),'Second Earner'!$C$65&gt;=DATE('Second Earner'!$C$10,1,1),'Second Earner'!$C$65&lt;=DATE('Second Earner'!$C$10,12,31)),'Second Earner'!$C$65,999999),IF(AND('Second Earner'!$C$66&gt;MAX($B$6:$B36),'Second Earner'!$C$66&gt;=DATE('Second Earner'!$C$10,1,1),'Second Earner'!$C$66&lt;=DATE('Second Earner'!$C$10,12,31)),'Second Earner'!$C$66,999999),IF(AND('Second Earner'!$C$67&gt;MAX($B$6:$B36),'Second Earner'!$C$67&gt;=DATE('Second Earner'!$C$10,1,1),'Second Earner'!$C$67&lt;=DATE('Second Earner'!$C$10,12,31)),'Second Earner'!$C$67,999999))=999999,"",MIN(IF(AND('Second Earner'!$C$58&gt;MAX($B$6:$B36),'Second Earner'!$C$58&gt;=DATE('Second Earner'!$C$10,1,1),'Second Earner'!$C$58&lt;=DATE('Second Earner'!$C$10,12,31)),'Second Earner'!$C$58,999999),IF(AND('Second Earner'!$C$59&gt;MAX($B$6:$B36),'Second Earner'!$C$59&gt;=DATE('Second Earner'!$C$10,1,1),'Second Earner'!$C$59&lt;=DATE('Second Earner'!$C$10,12,31)),'Second Earner'!$C$59,999999),IF(AND('Second Earner'!$C$60&gt;MAX($B$6:$B36),'Second Earner'!$C$60&gt;=DATE('Second Earner'!$C$10,1,1),'Second Earner'!$C$60&lt;=DATE('Second Earner'!$C$10,12,31)),'Second Earner'!$C$60,999999),IF(AND('Second Earner'!$C$61&gt;MAX($B$6:$B36),'Second Earner'!$C$61&gt;=DATE('Second Earner'!$C$10,1,1),'Second Earner'!$C$61&lt;=DATE('Second Earner'!$C$10,12,31)),'Second Earner'!$C$61,999999),IF(AND('Second Earner'!$C$62&gt;MAX($B$6:$B36),'Second Earner'!$C$62&gt;=DATE('Second Earner'!$C$10,1,1),'Second Earner'!$C$62&lt;=DATE('Second Earner'!$C$10,12,31)),'Second Earner'!$C$62,999999),IF(AND('Second Earner'!$C$63&gt;MAX($B$6:$B36),'Second Earner'!$C$63&gt;=DATE('Second Earner'!$C$10,1,1),'Second Earner'!$C$63&lt;=DATE('Second Earner'!$C$10,12,31)),'Second Earner'!$C$63,999999),IF(AND('Second Earner'!$C$64&gt;MAX($B$6:$B36),'Second Earner'!$C$64&gt;=DATE('Second Earner'!$C$10,1,1),'Second Earner'!$C$64&lt;=DATE('Second Earner'!$C$10,12,31)),'Second Earner'!$C$64,999999),IF(AND('Second Earner'!$C$65&gt;MAX($B$6:$B36),'Second Earner'!$C$65&gt;=DATE('Second Earner'!$C$10,1,1),'Second Earner'!$C$65&lt;=DATE('Second Earner'!$C$10,12,31)),'Second Earner'!$C$65,999999),IF(AND('Second Earner'!$C$66&gt;MAX($B$6:$B36),'Second Earner'!$C$66&gt;=DATE('Second Earner'!$C$10,1,1),'Second Earner'!$C$66&lt;=DATE('Second Earner'!$C$10,12,31)),'Second Earner'!$C$66,999999),IF(AND('Second Earner'!$C$67&gt;MAX($B$6:$B36),'Second Earner'!$C$67&gt;=DATE('Second Earner'!$C$10,1,1),'Second Earner'!$C$67&lt;=DATE('Second Earner'!$C$10,12,31)),'Second Earner'!$C$67,999999)))</f>
      </c>
      <c r="CF37">
        <f>IF($B37="","",IF($D37=0,$Y37,""))</f>
      </c>
    </row>
    <row r="38">
      <c r="A38" t="n">
        <v>33</v>
      </c>
      <c r="B38" s="21">
        <f>IF(AND($CD38="",$CE38=""),"",IF($CE38="",$CD38,IF($CD38="",$CE38,MIN($CD38,$CE38))))</f>
      </c>
      <c r="C38" s="7">
        <f>IF($B38="","",IF($BF38=0,0,IF('Second Earner'!$C$4="Annual salary",ROUND($AK38/IF(AND('Second Earner'!$C$88="Actual paydays",MONTH('Second Earner'!$C$9)=1),MAX(1,MAX($BE$6:$BE$68)),'Second Earner'!$C$8),2),$AK38)))</f>
      </c>
      <c r="D38" s="7">
        <f>IF($B38="","",SUMIF('Second Earner'!$C$58:$C$67,$B38,'Second Earner'!$D$58:$D$67))</f>
      </c>
      <c r="E38" s="7">
        <f>IF($B38="","",ROUND(MAX(0,MIN(IF($AL38="Percent",$AM38*($C38+$D38),$AM38),MAX(0,'Second Earner'!$C$34-$AC37))),2))</f>
      </c>
      <c r="F38" s="7">
        <f>IF($B38="","",ROUND(MAX(0,MIN(IF('Second Earner'!$C$32="Percent",'Second Earner'!$D$32*($C38+$D38),'Second Earner'!$D$32),MAX(0,'Second Earner'!$C$34-$AC37-$E38))),2))</f>
      </c>
      <c r="G38" s="7">
        <f>IF($B38="","",IF($BF38=0,0,ROUND(MAX(0,MIN($BL38,'Second Earner'!$C$37-'Second Earner'!$C$54-$BI37)),2)))</f>
      </c>
      <c r="H38" s="7">
        <f>IF($B38="","",IF(OR($BF38=0,$BQ38=1),0,ROUND(MAX(0,MIN(IF($BS38=1,ROUND(MAX(0,MIN($BJ38,'How This Works &amp; Sources'!$C$13)-$BG37)/MAX(1,MAX($BE$6:$BE$68)-($BE37)),2),ROUND(MIN($BJ38,'How This Works &amp; Sources'!$C$13)/'Second Earner'!$C$8,2)),MIN($BJ38,'How This Works &amp; Sources'!$C$13)-$BG37)),2)))</f>
      </c>
      <c r="I38" s="7">
        <f>IF($B38="","",IF(OR($BF38=0,$BR38=1),0,ROUND(MAX(0,MIN(IF($BT38=1,ROUND(MAX(0,MIN($BK38,IF('Second Earner'!$C$12="MFJ",'How This Works &amp; Sources'!$C$14,'How This Works &amp; Sources'!$C$15))-$BH37)/MAX(1,MAX($BE$6:$BE$68)-($BE37)),2),ROUND(MIN($BK38,IF('Second Earner'!$C$12="MFJ",'How This Works &amp; Sources'!$C$14,'How This Works &amp; Sources'!$C$15))/'Second Earner'!$C$8,2)),MIN($BK38,IF('Second Earner'!$C$12="MFJ",'How This Works &amp; Sources'!$C$14,'How This Works &amp; Sources'!$C$15))-$BH37)),2)))</f>
      </c>
      <c r="J38" s="7">
        <f>IF($B38="","",IF($BF38=0,0,$BM38))</f>
      </c>
      <c r="K38" s="7">
        <f>IF($B38="","",IF($BF38=0,0,$BN38+$BO38))</f>
      </c>
      <c r="L38" s="7">
        <f>IF($B38="","",IF($BF38=0,0,'Second Earner'!$D$46))</f>
      </c>
      <c r="M38" s="7">
        <f>IF($B38="","",$C38+$D38+$L38-$E38-$G38-$H38-$I38-$J38-$K38)</f>
      </c>
      <c r="N38" s="7">
        <f>IF($B38="","",$C38+$D38+$L38-$G38-$H38-$I38-$J38-$K38)</f>
      </c>
      <c r="O38" s="7">
        <f>IF($B38="","",$C38+$D38+$L38-$E38-$H38-$I38-$J38-$K38-IF(OR($AN38="CA",$AN38="NJ"),0,$G38))</f>
      </c>
      <c r="P38" s="7">
        <f>IF($B38="","",IF('Second Earner'!$C$18,0,ROUND(MAX(0,IF('Second Earner'!$C$13,SUMPRODUCT(($AH38&gt;INDEX('How This Works &amp; Sources'!$B$29:$J$36,0,IF('Second Earner'!$C$12="MFJ",1,IF('Second Earner'!$C$12="HoH",7,4))))*($AH38-INDEX('How This Works &amp; Sources'!$B$29:$J$36,0,IF('Second Earner'!$C$12="MFJ",1,IF('Second Earner'!$C$12="HoH",7,4))))*INDEX('How This Works &amp; Sources'!$B$29:$J$36,0,IF('Second Earner'!$C$12="MFJ",1,IF('Second Earner'!$C$12="HoH",7,4))+2)),SUMPRODUCT(($AH38&gt;INDEX('How This Works &amp; Sources'!$B$19:$J$26,0,IF('Second Earner'!$C$12="MFJ",1,IF('Second Earner'!$C$12="HoH",7,4))))*($AH38-INDEX('How This Works &amp; Sources'!$B$19:$J$26,0,IF('Second Earner'!$C$12="MFJ",1,IF('Second Earner'!$C$12="HoH",7,4))))*INDEX('How This Works &amp; Sources'!$B$19:$J$26,0,IF('Second Earner'!$C$12="MFJ",1,IF('Second Earner'!$C$12="HoH",7,4))+2)))/'Second Earner'!$C$8-$AO38/'Second Earner'!$C$8)+$AR38+IF('Second Earner'!$C$89="Aggregate",MAX(0,IF('Second Earner'!$C$13,SUMPRODUCT((($AH38+$D38)&gt;INDEX('How This Works &amp; Sources'!$B$29:$J$36,0,IF('Second Earner'!$C$12="MFJ",1,IF('Second Earner'!$C$12="HoH",7,4))))*(($AH38+$D38)-INDEX('How This Works &amp; Sources'!$B$29:$J$36,0,IF('Second Earner'!$C$12="MFJ",1,IF('Second Earner'!$C$12="HoH",7,4))))*INDEX('How This Works &amp; Sources'!$B$29:$J$36,0,IF('Second Earner'!$C$12="MFJ",1,IF('Second Earner'!$C$12="HoH",7,4))+2)),SUMPRODUCT((($AH38+$D38)&gt;INDEX('How This Works &amp; Sources'!$B$19:$J$26,0,IF('Second Earner'!$C$12="MFJ",1,IF('Second Earner'!$C$12="HoH",7,4))))*(($AH38+$D38)-INDEX('How This Works &amp; Sources'!$B$19:$J$26,0,IF('Second Earner'!$C$12="MFJ",1,IF('Second Earner'!$C$12="HoH",7,4))))*INDEX('How This Works &amp; Sources'!$B$19:$J$26,0,IF('Second Earner'!$C$12="MFJ",1,IF('Second Earner'!$C$12="HoH",7,4))+2)))-IF('Second Earner'!$C$13,SUMPRODUCT(($AH38&gt;INDEX('How This Works &amp; Sources'!$B$29:$J$36,0,IF('Second Earner'!$C$12="MFJ",1,IF('Second Earner'!$C$12="HoH",7,4))))*($AH38-INDEX('How This Works &amp; Sources'!$B$29:$J$36,0,IF('Second Earner'!$C$12="MFJ",1,IF('Second Earner'!$C$12="HoH",7,4))))*INDEX('How This Works &amp; Sources'!$B$29:$J$36,0,IF('Second Earner'!$C$12="MFJ",1,IF('Second Earner'!$C$12="HoH",7,4))+2)),SUMPRODUCT(($AH38&gt;INDEX('How This Works &amp; Sources'!$B$19:$J$26,0,IF('Second Earner'!$C$12="MFJ",1,IF('Second Earner'!$C$12="HoH",7,4))))*($AH38-INDEX('How This Works &amp; Sources'!$B$19:$J$26,0,IF('Second Earner'!$C$12="MFJ",1,IF('Second Earner'!$C$12="HoH",7,4))))*INDEX('How This Works &amp; Sources'!$B$19:$J$26,0,IF('Second Earner'!$C$12="MFJ",1,IF('Second Earner'!$C$12="HoH",7,4))+2)))),'How This Works &amp; Sources'!$C$10*$D38),2)))</f>
      </c>
      <c r="Q38" s="7">
        <f>IF($B38="","",ROUND('How This Works &amp; Sources'!$C$4*MIN($N38,MAX(0,'How This Works &amp; Sources'!$C$3-($AX38+$AB37-$AW38))),2))</f>
      </c>
      <c r="R38" s="7">
        <f>IF($B38="","",ROUND('How This Works &amp; Sources'!$C$5*$N38,2))</f>
      </c>
      <c r="S38" s="7">
        <f>IF($B38="","",ROUND('How This Works &amp; Sources'!$C$6*MAX(0,MIN($N38,$AG37+$N38-'How This Works &amp; Sources'!$C$7)),2))</f>
      </c>
      <c r="T38" s="7">
        <f>IF($B38="","",IF('Second Earner'!$C$26,0,IF($AN38="CA",ROUND(IF($AI38&lt;=IF(($AS38+$AT38)&gt;=2,VLOOKUP($AN38,StateTables!$A$6:$AB$56,10,FALSE),VLOOKUP($AN38,StateTables!$A$6:$AB$56,9,FALSE)),0,MAX(0,SUMPRODUCT(($AJ38&gt;INDEX('How This Works &amp; Sources'!$B$39:$J$48,0,IF($AU38="Married",4,IF($AU38="Head of household",7,1))))*($AJ38-INDEX('How This Works &amp; Sources'!$B$39:$J$48,0,IF($AU38="Married",4,IF($AU38="Head of household",7,1))))*INDEX('How This Works &amp; Sources'!$B$39:$J$48,0,IF($AU38="Married",4,IF($AU38="Head of household",7,1))+2))-VLOOKUP($AN38,StateTables!$A$6:$AB$56,11,FALSE)*$AS38)/'Second Earner'!$C$8)+'Second Earner'!$C$25+VLOOKUP($AN38,StateTables!$A$6:$AB$56,13,FALSE)*$D38,2),IF(VLOOKUP($AN38,StateTables!$A$6:$AB$56,4,FALSE)="None",0,IF(ISNUMBER(SEARCH("MANUAL",VLOOKUP($AN38,StateTables!$A$6:$AB$56,5,FALSE))),'Second Earner'!$C$28,ROUND(MAX(0,$BA38+$BB38)/'Second Earner'!$C$8+'Second Earner'!$C$25+$BC38,2))))))</f>
      </c>
      <c r="U38" s="7">
        <f>IF($B38="","",IF(VLOOKUP($AN38,StateTables!$A$6:$AB$56,24,FALSE)="flatq",IF(OR(MONTH($B38)=1,MONTH($B38)=4,MONTH($B38)=7,MONTH($B38)=10),VLOOKUP($AN38,StateTables!$A$6:$AB$56,25,FALSE),0),IF(VLOOKUP($AN38,StateTables!$A$6:$AB$56,24,FALSE)="dbl",MIN(ROUND(0.005*$N38,2),ROUND(0.6*52/'Second Earner'!$C$8,2)),IF(OR(VLOOKUP($AN38,StateTables!$A$6:$AB$56,15,FALSE)="",VLOOKUP($AN38,StateTables!$A$6:$AB$56,15,FALSE)=0),0,ROUND(VLOOKUP($AN38,StateTables!$A$6:$AB$56,15,FALSE)*IF(OR(VLOOKUP($AN38,StateTables!$A$6:$AB$56,16,FALSE)="",VLOOKUP($AN38,StateTables!$A$6:$AB$56,16,FALSE)=0),$N38,MIN($N38,MAX(0,VLOOKUP($AN38,StateTables!$A$6:$AB$56,16,FALSE)-($AX38+$AB37-$AW38)))),2))))+IF(VLOOKUP($AN38,StateTables!$A$6:$AB$56,27,FALSE)="flatq",IF(OR(MONTH($B38)=1,MONTH($B38)=4,MONTH($B38)=7,MONTH($B38)=10),VLOOKUP($AN38,StateTables!$A$6:$AB$56,28,FALSE),0),IF(VLOOKUP($AN38,StateTables!$A$6:$AB$56,27,FALSE)="dbl",MIN(ROUND(0.005*$N38,2),ROUND(0.6*52/'Second Earner'!$C$8,2)),IF(OR(VLOOKUP($AN38,StateTables!$A$6:$AB$56,18,FALSE)="",VLOOKUP($AN38,StateTables!$A$6:$AB$56,18,FALSE)=0),0,ROUND(VLOOKUP($AN38,StateTables!$A$6:$AB$56,18,FALSE)*IF(OR(VLOOKUP($AN38,StateTables!$A$6:$AB$56,19,FALSE)="",VLOOKUP($AN38,StateTables!$A$6:$AB$56,19,FALSE)=0),$N38,MIN($N38,MAX(0,VLOOKUP($AN38,StateTables!$A$6:$AB$56,19,FALSE)-($AX38+$AB37-$AW38)))),2)))))</f>
      </c>
      <c r="V38" s="7">
        <f>IF($B38="","",IF($AN38="NY",IF('Second Earner'!$C$78,ROUND(SUMPRODUCT((MAX(0,($O38-$D38)*'Second Earner'!$C$8-(IF($AU38="Married",5500,5000)+1000*$AS38))&gt;INDEX('How This Works &amp; Sources'!$B$184:$J$198,0,4))*(MAX(0,($O38-$D38)*'Second Earner'!$C$8-(IF($AU38="Married",5500,5000)+1000*$AS38))-INDEX('How This Works &amp; Sources'!$B$184:$J$198,0,4))*INDEX('How This Works &amp; Sources'!$B$184:$J$198,0,4+2))/'Second Earner'!$C$8+0.0425*$D38,2),0)+IF('Second Earner'!$C$79="Resident",ROUND(0.1675*$T38,2),IF('Second Earner'!$C$79="Nonresident",ROUND(0.005*MAX(0,($O38-$D38)-(IF($AU38="Married",7950,7400)+1000*$AS38)/'Second Earner'!$C$8),2),0)),IF($AN38="PA",IF('Second Earner'!$C$80="None",'Second Earner'!$C$27+ROUND('Second Earner'!$C$81*($C38+$D38),2),ROUND(IF('Second Earner'!$C$80="Resident",IF($B38&lt;DATE(2026,7,1),0.0374,0.03735),IF($B38&lt;DATE(2026,7,1),0.0343,0.03425))*($C38+$D38),2)),IF($BF38=0,ROUND('Second Earner'!$C$81*($C38+$D38),2),'Second Earner'!$C$27+ROUND('Second Earner'!$C$81*($C38+$D38),2)))))</f>
      </c>
      <c r="W38" s="7">
        <f>IF($B38="","",IF($BF38=0,0,$BP38))</f>
      </c>
      <c r="X38" s="7">
        <f>IF($B38="","",SUM($E38:$K38)+$P38+$Q38+$R38+$S38+$T38+$U38+$V38+$W38)</f>
      </c>
      <c r="Y38" s="22">
        <f>IF($B38="","",$C38+$D38-$X38)</f>
      </c>
      <c r="Z38" s="7">
        <f>IF($B38="","",$Z37+$C38+$D38)</f>
      </c>
      <c r="AA38" s="7">
        <f>IF($B38="","",$AA37+$Y38)</f>
      </c>
      <c r="AB38" s="7">
        <f>IF($B38="","",$AB37+MIN($N38,MAX(0,'How This Works &amp; Sources'!$C$3-($AX38+$AB37-$AW38))))</f>
      </c>
      <c r="AC38" s="7">
        <f>IF($B38="","",$AC37+$E38+$F38)</f>
      </c>
      <c r="AD38" s="3">
        <f>IF($B38="","",IF(AND($AB37&lt;'How This Works &amp; Sources'!$C$3,$AB38&gt;='How This Works &amp; Sources'!$C$3),"★ Social Security maxed on this check — from the next check your net rises by about $"&amp;TEXT(ROUND('How This Works &amp; Sources'!$C$4*$N38,2),"#,##0.00")&amp;". ","")&amp;IF(AND($AC37&lt;'Second Earner'!$C$34,$AC38&gt;='Second Earner'!$C$34),"★ 401(k) reaches the $"&amp;TEXT('Second Earner'!$C$34,"#,##0")&amp;" cap on this check — deferrals stop and net pay rises. ","")&amp;IF(AND($AG37&lt;'How This Works &amp; Sources'!$C$7,$AG38&gt;='How This Works &amp; Sources'!$C$7),"★ Wages pass $200,000 — the 0.9% Additional Medicare Tax starts here. ","")&amp;IF(AND($BJ38&gt;0,$H38&gt;0,$BG37&lt;MIN($BJ38,'How This Works &amp; Sources'!$C$13),$BG37+$H38&gt;=MIN($BJ38,'How This Works &amp; Sources'!$C$13)),"★ Health FSA election is now fully deferred for the year. ",""))</f>
      </c>
      <c r="AE38" s="41" t="n"/>
      <c r="AF38" s="7">
        <f>IF(OR($B38="",$AE38=""),"",$AE38-$Y38)</f>
      </c>
      <c r="AG38" s="7">
        <f>IF($B38="","",$AG37+$N38)</f>
      </c>
      <c r="AH38" s="7">
        <f>IF($B38="","",MAX(0,($M38-$D38)*'Second Earner'!$C$8+$AP38-$AQ38-IF('Second Earner'!$C$13,0,IF('Second Earner'!$C$12="MFJ",'How This Works &amp; Sources'!$C$8,'How This Works &amp; Sources'!$C$9))))</f>
      </c>
      <c r="AI38" s="7">
        <f>IF($B38="","",$O38*'Second Earner'!$C$8)</f>
      </c>
      <c r="AJ38" s="7">
        <f>IF($B38="","",MAX(0,$AI38-VLOOKUP($AN38,StateTables!$A$6:$AB$56,12,FALSE)*$AT38-IF(($AS38+$AT38)&gt;=2,VLOOKUP($AN38,StateTables!$A$6:$AB$56,8,FALSE),VLOOKUP($AN38,StateTables!$A$6:$AB$56,7,FALSE))))</f>
      </c>
      <c r="AK38" s="7">
        <f>IF($B38="","",IFERROR(LOOKUP(2,1/(('Changes — Earner 2'!$C$6:$C$17="Salary change")*('Changes — Earner 2'!$B$6:$B$17&lt;=$B38)*('Changes — Earner 2'!$B$6:$B$17&lt;&gt;"")),'Changes — Earner 2'!$D$6:$D$17),IF('Second Earner'!$C$4="Annual salary",'Second Earner'!$C$5,'Second Earner'!$C$6)))</f>
      </c>
      <c r="AL38">
        <f>IF($B38="","",IFERROR(LOOKUP(2,1/(('Changes — Earner 2'!$C$6:$C$17="401(k) change")*('Changes — Earner 2'!$B$6:$B$17&lt;=$B38)*('Changes — Earner 2'!$B$6:$B$17&lt;&gt;"")),'Changes — Earner 2'!$D$6:$D$17),'Second Earner'!$C$30))</f>
      </c>
      <c r="AM38" s="7">
        <f>IF($B38="","",IFERROR(LOOKUP(2,1/(('Changes — Earner 2'!$C$6:$C$17="401(k) change")*('Changes — Earner 2'!$B$6:$B$17&lt;=$B38)*('Changes — Earner 2'!$B$6:$B$17&lt;&gt;"")),'Changes — Earner 2'!$E$6:$E$17),'Second Earner'!$D$31))</f>
      </c>
      <c r="AN38">
        <f>IF($B38="","",IFERROR(LOOKUP(2,1/(('Changes — Earner 2'!$C$6:$C$17="State move")*('Changes — Earner 2'!$B$6:$B$17&lt;=$B38)*('Changes — Earner 2'!$B$6:$B$17&lt;&gt;"")),'Changes — Earner 2'!$D$6:$D$17),'Second Earner'!$C$21))</f>
      </c>
      <c r="AO38" s="7">
        <f>IF($B38="","",IFERROR(LOOKUP(2,1/(('Changes — Earner 2'!$C$6:$C$17="W-4 change")*('Changes — Earner 2'!$B$6:$B$17&lt;=$B38)*('Changes — Earner 2'!$B$6:$B$17&lt;&gt;"")),'Changes — Earner 2'!$D$6:$D$17),'Second Earner'!$C$14))</f>
      </c>
      <c r="AP38" s="7">
        <f>IF($B38="","",IFERROR(LOOKUP(2,1/(('Changes — Earner 2'!$C$6:$C$17="W-4 change")*('Changes — Earner 2'!$B$6:$B$17&lt;=$B38)*('Changes — Earner 2'!$B$6:$B$17&lt;&gt;"")),'Changes — Earner 2'!$E$6:$E$17),'Second Earner'!$C$15))</f>
      </c>
      <c r="AQ38" s="7">
        <f>IF($B38="","",IFERROR(LOOKUP(2,1/(('Changes — Earner 2'!$C$6:$C$17="W-4 change")*('Changes — Earner 2'!$B$6:$B$17&lt;=$B38)*('Changes — Earner 2'!$B$6:$B$17&lt;&gt;"")),'Changes — Earner 2'!$F$6:$F$17),'Second Earner'!$C$16))</f>
      </c>
      <c r="AR38" s="7">
        <f>IF($B38="","",IFERROR(LOOKUP(2,1/(('Changes — Earner 2'!$C$6:$C$17="W-4 change")*('Changes — Earner 2'!$B$6:$B$17&lt;=$B38)*('Changes — Earner 2'!$B$6:$B$17&lt;&gt;"")),'Changes — Earner 2'!$G$6:$G$17),'Second Earner'!$C$17))</f>
      </c>
      <c r="AS38" s="6">
        <f>IF($B38="","",IFERROR(LOOKUP(2,1/((('Changes — Earner 2'!$C$6:$C$17="State move")+('Changes — Earner 2'!$C$6:$C$17="State cert change"))*('Changes — Earner 2'!$B$6:$B$17&lt;=$B38)*('Changes — Earner 2'!$B$6:$B$17&lt;&gt;"")),'Changes — Earner 2'!$F$6:$F$17),'Second Earner'!$C$23))</f>
      </c>
      <c r="AT38" s="6">
        <f>IF($B38="","",IFERROR(LOOKUP(2,1/((('Changes — Earner 2'!$C$6:$C$17="State move")+('Changes — Earner 2'!$C$6:$C$17="State cert change"))*('Changes — Earner 2'!$B$6:$B$17&lt;=$B38)*('Changes — Earner 2'!$B$6:$B$17&lt;&gt;"")),'Changes — Earner 2'!$G$6:$G$17),'Second Earner'!$C$24))</f>
      </c>
      <c r="AU38">
        <f>IF($B38="","",IFERROR(LOOKUP(2,1/(('Changes — Earner 2'!$C$6:$C$17="State move")*('Changes — Earner 2'!$B$6:$B$17&lt;=$B38)*('Changes — Earner 2'!$B$6:$B$17&lt;&gt;"")),'Changes — Earner 2'!$E$6:$E$17),'Second Earner'!$C$22))</f>
      </c>
      <c r="AV38" s="6">
        <f>IF($B38="","",1+COUNTIFS('Changes — Earner 2'!$C$6:$C$17,"Employer change",'Changes — Earner 2'!$B$6:$B$17,"&lt;="&amp;$B38,'Changes — Earner 2'!$B$6:$B$17,"&lt;&gt;"))</f>
      </c>
      <c r="AW38" s="7">
        <f>IF($B38="","",IF($AV38=1,'Second Earner'!$C$49,IF(IFERROR(MATCH(IFERROR(LOOKUP(2,1/(('Changes — Earner 2'!$C$6:$C$17="Employer change")*('Changes — Earner 2'!$B$6:$B$17&lt;=$B38)*('Changes — Earner 2'!$B$6:$B$17&lt;&gt;"")),'Changes — Earner 2'!$B$6:$B$17),""),$B$6:$B$68,1),1)&lt;=1,'Second Earner'!$C$49,INDEX($AB$6:$AB$68,MATCH(IFERROR(LOOKUP(2,1/(('Changes — Earner 2'!$C$6:$C$17="Employer change")*('Changes — Earner 2'!$B$6:$B$17&lt;=$B38)*('Changes — Earner 2'!$B$6:$B$17&lt;&gt;"")),'Changes — Earner 2'!$B$6:$B$17),""),$B$6:$B$68,1)-1))))</f>
      </c>
      <c r="AX38" s="7">
        <f>IF($B38="","",IF($AV38=1,'Second Earner'!$C$49,IFERROR(LOOKUP(2,1/(('Changes — Earner 2'!$C$6:$C$17="Employer change")*('Changes — Earner 2'!$B$6:$B$17&lt;=$B38)*('Changes — Earner 2'!$B$6:$B$17&lt;&gt;"")),'Changes — Earner 2'!$D$6:$D$17),0)))</f>
      </c>
      <c r="AY38" s="7">
        <f>IF($B38="","",($O38-$D38)*'Second Earner'!$C$8)</f>
      </c>
      <c r="AZ38" s="7">
        <f>IF($B38="","",IF($AN38="AL",MAX(0,$AY38-IF($AU38="Married",IF($AY38&lt;=25999,8500,MAX(5000,8500-175*CEILING(($AY38-25999)/500,1))),IF($AU38="Head of household",IF($AY38&lt;=25999,5200,MAX(2500,5200-135*CEILING(($AY38-25999)/500,1))),IF($AY38&lt;=25999,3000,MAX(2500,3000-25*CEILING(($AY38-25999)/500,1)))))-($P38-'How This Works &amp; Sources'!$C$10*$D38)*'Second Earner'!$C$8-IF(OR($AU38="Married",$AU38="Head of household"),3000,1500)-$AT38*IF($AY38&lt;=50000,1000,IF($AY38&lt;=100000,500,300))),IF($AN38="AR",IF(MAX(0,$AY38-2470)&lt;97701,INT(MAX(0,$AY38-2470)/100)*100+50,MAX(0,$AY38-2470)),IF($AN38="DE",MAX(0,$AI38-3250),IF($AN38="HI",MAX(0,$AI38-1144*$AS38-4350),IF($AN38="KS",MAX(0,$AI38-(9160*IF($AU38="Married",2,1)+2320*$AT38+IF($AU38="Head of household",2320,0))),IF($AN38="MD",MAX(0,$AI38-3400-3200*$AS38),IF($AN38="MN",MAX(0,$AY38-5300*$AS38),IF($AN38="MO",MAX(0,$AI38-IF($AU38="Head of household",24150,IF($AU38="Married",IF('Second Earner'!$C$83,16100,32200),16100))),IF($AN38="MT",$AY38,IF($AN38="ND",($C38+$L38)*'Second Earner'!$C$8,IF($AN38="NE",MAX(0,$AY38-2440*$AS38),IF($AN38="NJ",MAX(0,$AY38-1000*$AS38),IF($AN38="NY",MAX(0,$AY38-(IF($AU38="Married",7950,7400)+1000*$AS38)),IF($AN38="OH",MAX(0,$AY38-650*$AS38),IF($AN38="OK",MAX(0,$AY38-1000*$AS38),IF($AN38="RI",MAX(0,$AI38-1000*$AS38),IF($AN38="SC",MAX(0,$AI38-5000*$AS38-IF($AS38=0,0,MIN(0.1*$AI38,7500))),IF($AN38="VA",MAX(0,$AI38-IF($AU38="Married",17500,8750)-930*$AS38-800*$AT38),IF($AN38="VT",MAX(0,$AI38-5400*$AS38),IF($AN38="WI",MAX(0,$AI38-MAX(0,IF($AU38="Married",9461-0.2*MAX(0,$AI38-25727),6702-0.12*MAX(0,$AI38-17780)))-400*$AS38),IF($AN38="WV",MAX(0,$AI38-2000*$AS38),$AI38))))))))))))))))))))))</f>
      </c>
      <c r="BA38" s="7">
        <f>IF($B38="","",IF($BW38&lt;&gt;"",$BW38,IF($BX38&lt;&gt;"",$BX38,IF($BY38&lt;&gt;"",$BY38,0))))</f>
      </c>
      <c r="BB38" s="7">
        <f>IF($B38="","",IF($AN38="AR",-29*$AS38,IF($AN38="DE",-110*$AS38,IF($AN38="MD",$AZ38*'Second Earner'!$C$74,IF($AN38="AZ",'Second Earner'!$C$82*($M38-$D38)*'Second Earner'!$C$8,IF($AN38="CO",0.044*MAX(0,$AY38-IF($AU38="Married",10000,5000)),IF($AN38="IA",MAX(0,0.038*MAX(0,$AY38-IF($AU38="Head of household",19500,IF($AU38="Married",26000,13000)))-40*$AS38),IF($AN38="ID",0.053*MAX(0,$AY38-IF($AU38="Married",32000,16094)),IF($AN38="IL",0.0495*MAX(0,$AY38-(2925*$AS38+1000*$AT38)),IF($AN38="IN",(0.0295+'Second Earner'!$C$76)*MAX(0,$AY38-(1000*$AS38+1500*$AT38+3000*'Second Earner'!$C$86)),IF($AN38="KY",0.035*MAX(0,$AI38-3360),IF($AN38="LA",IF('Second Earner'!$C$84="0",0.0309*$AI38,0.0309*MAX(0,$AI38-IF('Second Earner'!$C$84="2",25750,12875))),IF($AN38="MA",0.05*MIN(MAX(0,$AY38-MIN(($BD37+$Q38+$R38+$S38),2000)-IF($AS38=0,0,IF($AS38=1,4400,1000*$AS38+3400))),1107750)+0.09*MAX(0,MAX(0,$AY38-MIN(($BD37+$Q38+$R38+$S38),2000)-IF($AS38=0,0,IF($AS38=1,4400,1000*$AS38+3400)))-1107750)-IF($AU38="Head of household",120,0)-110*'Second Earner'!$C$75,IF($AN38="MI",0.0425*MAX(0,$AY38-5900*$AS38),IF($AN38="MS",0.04*MAX(0,$AI38-IF($AU38="Head of household",3400,IF($AU38="Married",4600,2300))-'Second Earner'!$C$85-10000),IF($AN38="OR",IF(OR($AU38="Married",AND($AU38="Single",$AS38&gt;=3)),SUMPRODUCT((MAX(0,$AY38-MIN(($P38-'How This Works &amp; Sources'!$C$10*$D38)*'Second Earner'!$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Sources'!$B$211:$J$214,0,4))*(MAX(0,$AY38-MIN(($P38-'How This Works &amp; Sources'!$C$10*$D38)*'Second Earner'!$C$8,IF(OR($AU38="Married",AND($AU38="Single",$AS38&gt;=3)),IF($AY38&lt;250000,8750,IF($AY38&lt;260000,7000,IF($AY38&lt;270000,5250,IF($AY38&lt;280000,3500,IF($AY38&lt;290000,1750,0))))),IF($AY38&lt;125000,8750,IF($AY38&lt;130000,7000,IF($AY38&lt;135000,5250,IF($AY38&lt;140000,3500,IF($AY38&lt;145000,1750,0)))))))-IF(OR($AU38="Married",AND($AU38="Single",$AS38&gt;=3)),5820,2910))-INDEX('How This Works &amp; Sources'!$B$211:$J$214,0,4))*INDEX('How This Works &amp; Sources'!$B$211:$J$214,0,4+2)),SUMPRODUCT((MAX(0,$AY38-MIN(($P38-'How This Works &amp; Sources'!$C$10*$D38)*'Second Earner'!$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Sources'!$B$211:$J$214,0,1))*(MAX(0,$AY38-MIN(($P38-'How This Works &amp; Sources'!$C$10*$D38)*'Second Earner'!$C$8,IF(OR($AU38="Married",AND($AU38="Single",$AS38&gt;=3)),IF($AY38&lt;250000,8750,IF($AY38&lt;260000,7000,IF($AY38&lt;270000,5250,IF($AY38&lt;280000,3500,IF($AY38&lt;290000,1750,0))))),IF($AY38&lt;125000,8750,IF($AY38&lt;130000,7000,IF($AY38&lt;135000,5250,IF($AY38&lt;140000,3500,IF($AY38&lt;145000,1750,0)))))))-IF(OR($AU38="Married",AND($AU38="Single",$AS38&gt;=3)),5820,2910))-INDEX('How This Works &amp; Sources'!$B$211:$J$214,0,1))*INDEX('How This Works &amp; Sources'!$B$211:$J$214,0,1+2)))+263-263*IF(IF($AU38="Married",$AY38&gt;200000,$AY38&gt;100000),0,$AS38),IF($AN38="PA",0.0307*(($O38+$E38+$G38)*'Second Earner'!$C$8),IF($AN38="NY",IF($AU38="Married",IF($AZ38&gt;=2155350,0,IF($AZ38&gt;=1077550,0.48,IF($AZ38&gt;=373200,1.21,IF($AZ38&gt;=323200,0.21,IF($AZ38&gt;=211550,-0.19,IF($AZ38&gt;=157650,-2.8,IF($AZ38&gt;=107650,-0.8,IF($AZ38&gt;=96800,0.05,IF($AZ38&gt;=80650,-0.1,IF($AZ38&gt;=13900,0.4,IF($AZ38&gt;=11700,-0.3,IF($AZ38&gt;=8500,0.5,0)))))))))))),IF($AZ38&gt;=1077550,0,IF($AZ38&gt;=265400,4.29,IF($AZ38&gt;=215400,2.29,IF($AZ38&gt;=157650,2.29,IF($AZ38&gt;=107650,0.29,IF($AZ38&gt;=96800,0.05,IF($AZ38&gt;=80650,-0.1,IF($AZ38&gt;=13900,0.4,IF($AZ38&gt;=11700,-0.3,IF($AZ38&gt;=8500,0.5,0))))))))))),0))))))))))))))))))</f>
      </c>
      <c r="BC38" s="7">
        <f>IF($B38="","",IF($AN38="AL",0.05*$D38,IF($AN38="AR",0.039*$D38,IF($AN38="ID",0.053*$D38,IF($AN38="IN",(0.0295+'Second Earner'!$C$76)*$D38,IF($AN38="KS",0.05*$D38,IF($AN38="MA",0.09*MIN($D38,MAX(0,MAX(0,$AY38-MIN(($BD37+$Q38+$R38+$S38),2000)-IF($AS38=0,0,IF($AS38=1,4400,1000*$AS38+3400)))+$D38-1107750))+0.05*($D38-MIN($D38,MAX(0,MAX(0,$AY38-MIN(($BD37+$Q38+$R38+$S38),2000)-IF($AS38=0,0,IF($AS38=1,4400,1000*$AS38+3400)))+$D38-1107750))),IF($AN38="MD",(0.065+'Second Earner'!$C$74)*$D38,IF($AN38="MI",0.0425*$D38,IF($AN38="MN",0.0625*$D38,IF($AN38="MO",0.047*$D38,IF($AN38="MT",0.05*$D38,IF($AN38="ND",0.015*$D38,IF($AN38="NE",0.035*$D38,IF($AN38="NJ",IF('Second Earner'!$C$77="B",SUMPRODUCT(($D38*'Second Earner'!$C$8&gt;INDEX('How This Works &amp; Sources'!$B$155:$J$162,0,4))*($D38*'Second Earner'!$C$8-INDEX('How This Works &amp; Sources'!$B$155:$J$162,0,4))*INDEX('How This Works &amp; Sources'!$B$155:$J$162,0,4+2)),IF('Second Earner'!$C$77="C",SUMPRODUCT(($D38*'Second Earner'!$C$8&gt;INDEX('How This Works &amp; Sources'!$B$155:$J$162,0,7))*($D38*'Second Earner'!$C$8-INDEX('How This Works &amp; Sources'!$B$155:$J$162,0,7))*INDEX('How This Works &amp; Sources'!$B$155:$J$162,0,7+2)),IF('Second Earner'!$C$77="D",SUMPRODUCT(($D38*'Second Earner'!$C$8&gt;INDEX('How This Works &amp; Sources'!$B$167:$J$179,0,1))*($D38*'Second Earner'!$C$8-INDEX('How This Works &amp; Sources'!$B$167:$J$179,0,1))*INDEX('How This Works &amp; Sources'!$B$167:$J$179,0,1+2)),IF('Second Earner'!$C$77="E",SUMPRODUCT(($D38*'Second Earner'!$C$8&gt;INDEX('How This Works &amp; Sources'!$B$167:$J$179,0,4))*($D38*'Second Earner'!$C$8-INDEX('How This Works &amp; Sources'!$B$167:$J$179,0,4))*INDEX('How This Works &amp; Sources'!$B$167:$J$179,0,4+2)),SUMPRODUCT(($D38*'Second Earner'!$C$8&gt;INDEX('How This Works &amp; Sources'!$B$155:$J$162,0,1))*($D38*'Second Earner'!$C$8-INDEX('How This Works &amp; Sources'!$B$155:$J$162,0,1))*INDEX('How This Works &amp; Sources'!$B$155:$J$162,0,1+2))))))/'Second Earner'!$C$8,IF($AN38="NY",0.117*$D38,IF($AN38="OH",0.0275*$D38,IF($AN38="OK",0.045*$D38,IF($AN38="OR",0.08*$D38,IF($AN38="WI",IF($AY38&lt;12760,0.0354,IF($AY38&lt;25520,0.0465,IF($AY38&lt;280950,0.053,0.0765)))*$D38,0))))))))))))))))))))</f>
      </c>
      <c r="BD38" s="7">
        <f>IF($B38="","",$BD37+$Q38+$R38+$S38)</f>
      </c>
      <c r="BE38" s="6">
        <f>IF($B38="",$BE37,$BE37+$BF38)</f>
      </c>
      <c r="BF38" s="6">
        <f>IF($B38="","",IF(AND(IF(YEAR(IF('Second Earner'!$C$7="Weekly",'Second Earner'!$C$9+7*(($BE37+1)-1),IF('Second Earner'!$C$7="Biweekly",'Second Earner'!$C$9+14*(($BE37+1)-1),IF('Second Earner'!$C$7="Semimonthly",DATE(YEAR('Second Earner'!$C$9),MONTH('Second Earner'!$C$9)+INT((($BE37+1)-1)/2),MIN(DAY('Second Earner'!$C$9),DAY(EOMONTH(DATE(YEAR('Second Earner'!$C$9),MONTH('Second Earner'!$C$9)+INT((($BE37+1)-1)/2),1),0))))+IF(MOD(($BE37+1)-1,2)=1,15,0),EDATE('Second Earner'!$C$9,($BE37+1)-1)))))&lt;&gt;'Second Earner'!$C$10,"",IF('Second Earner'!$C$7="Weekly",'Second Earner'!$C$9+7*(($BE37+1)-1),IF('Second Earner'!$C$7="Biweekly",'Second Earner'!$C$9+14*(($BE37+1)-1),IF('Second Earner'!$C$7="Semimonthly",DATE(YEAR('Second Earner'!$C$9),MONTH('Second Earner'!$C$9)+INT((($BE37+1)-1)/2),MIN(DAY('Second Earner'!$C$9),DAY(EOMONTH(DATE(YEAR('Second Earner'!$C$9),MONTH('Second Earner'!$C$9)+INT((($BE37+1)-1)/2),1),0))))+IF(MOD(($BE37+1)-1,2)=1,15,0),EDATE('Second Earner'!$C$9,($BE37+1)-1)))))&lt;&gt;"",$B38=IF(YEAR(IF('Second Earner'!$C$7="Weekly",'Second Earner'!$C$9+7*(($BE37+1)-1),IF('Second Earner'!$C$7="Biweekly",'Second Earner'!$C$9+14*(($BE37+1)-1),IF('Second Earner'!$C$7="Semimonthly",DATE(YEAR('Second Earner'!$C$9),MONTH('Second Earner'!$C$9)+INT((($BE37+1)-1)/2),MIN(DAY('Second Earner'!$C$9),DAY(EOMONTH(DATE(YEAR('Second Earner'!$C$9),MONTH('Second Earner'!$C$9)+INT((($BE37+1)-1)/2),1),0))))+IF(MOD(($BE37+1)-1,2)=1,15,0),EDATE('Second Earner'!$C$9,($BE37+1)-1)))))&lt;&gt;'Second Earner'!$C$10,"",IF('Second Earner'!$C$7="Weekly",'Second Earner'!$C$9+7*(($BE37+1)-1),IF('Second Earner'!$C$7="Biweekly",'Second Earner'!$C$9+14*(($BE37+1)-1),IF('Second Earner'!$C$7="Semimonthly",DATE(YEAR('Second Earner'!$C$9),MONTH('Second Earner'!$C$9)+INT((($BE37+1)-1)/2),MIN(DAY('Second Earner'!$C$9),DAY(EOMONTH(DATE(YEAR('Second Earner'!$C$9),MONTH('Second Earner'!$C$9)+INT((($BE37+1)-1)/2),1),0))))+IF(MOD(($BE37+1)-1,2)=1,15,0),EDATE('Second Earner'!$C$9,($BE37+1)-1)))))),1,0))</f>
      </c>
      <c r="BG38" s="7">
        <f>IF($B38="","",$BG37+$H38)</f>
      </c>
      <c r="BH38" s="7">
        <f>IF($B38="","",$BH37+$I38)</f>
      </c>
      <c r="BI38" s="7">
        <f>IF($B38="","",$BI37+$G38)</f>
      </c>
      <c r="BJ38" s="7">
        <f>IF($B38="","",IFERROR(LOOKUP(2,1/(((('Changes — Earner 2'!$C$6:$C$17="Deduction start"))*('Changes — Earner 2'!$D$6:$D$17="Health FSA"))*('Changes — Earner 2'!$B$6:$B$17&lt;=$B38)*('Changes — Earner 2'!$B$6:$B$17&lt;&gt;"")),'Changes — Earner 2'!$E$6:$E$17),'Second Earner'!$D$38))</f>
      </c>
      <c r="BK38" s="7">
        <f>IF($B38="","",IFERROR(LOOKUP(2,1/(((('Changes — Earner 2'!$C$6:$C$17="Deduction start"))*('Changes — Earner 2'!$D$6:$D$17="Dependent-care FSA"))*('Changes — Earner 2'!$B$6:$B$17&lt;=$B38)*('Changes — Earner 2'!$B$6:$B$17&lt;&gt;"")),'Changes — Earner 2'!$E$6:$E$17),'Second Earner'!$D$39))</f>
      </c>
      <c r="BL38" s="7">
        <f>IF($B38="","",IFERROR(LOOKUP(2,1/(((('Changes — Earner 2'!$C$6:$C$17="Deduction start")+('Changes — Earner 2'!$C$6:$C$17="Deduction stop"))*('Changes — Earner 2'!$D$6:$D$17="HSA"))*('Changes — Earner 2'!$B$6:$B$17&lt;=$B38)*('Changes — Earner 2'!$B$6:$B$17&lt;&gt;"")),'Changes — Earner 2'!$I$6:$I$17),'Second Earner'!$D$35))</f>
      </c>
      <c r="BM38" s="7">
        <f>IF($B38="","",IFERROR(LOOKUP(2,1/(((('Changes — Earner 2'!$C$6:$C$17="Deduction start")+('Changes — Earner 2'!$C$6:$C$17="Deduction stop"))*('Changes — Earner 2'!$D$6:$D$17="Premiums"))*('Changes — Earner 2'!$B$6:$B$17&lt;=$B38)*('Changes — Earner 2'!$B$6:$B$17&lt;&gt;"")),'Changes — Earner 2'!$I$6:$I$17),'Second Earner'!$D$40+'Second Earner'!$D$41+'Second Earner'!$D$42))</f>
      </c>
      <c r="BN38" s="7">
        <f>IF($B38="","",IFERROR(LOOKUP(2,1/(((('Changes — Earner 2'!$C$6:$C$17="Deduction start")+('Changes — Earner 2'!$C$6:$C$17="Deduction stop"))*('Changes — Earner 2'!$D$6:$D$17="Commuter"))*('Changes — Earner 2'!$B$6:$B$17&lt;=$B38)*('Changes — Earner 2'!$B$6:$B$17&lt;&gt;"")),'Changes — Earner 2'!$I$6:$I$17),'Second Earner'!$D$43))</f>
      </c>
      <c r="BO38" s="7">
        <f>IF($B38="","",IFERROR(LOOKUP(2,1/(((('Changes — Earner 2'!$C$6:$C$17="Deduction start")+('Changes — Earner 2'!$C$6:$C$17="Deduction stop"))*('Changes — Earner 2'!$D$6:$D$17="Other pre-tax"))*('Changes — Earner 2'!$B$6:$B$17&lt;=$B38)*('Changes — Earner 2'!$B$6:$B$17&lt;&gt;"")),'Changes — Earner 2'!$I$6:$I$17),'Second Earner'!$D$44))</f>
      </c>
      <c r="BP38" s="7">
        <f>IF($B38="","",IFERROR(LOOKUP(2,1/(((('Changes — Earner 2'!$C$6:$C$17="Deduction start")+('Changes — Earner 2'!$C$6:$C$17="Deduction stop"))*('Changes — Earner 2'!$D$6:$D$17="Other post-tax"))*('Changes — Earner 2'!$B$6:$B$17&lt;=$B38)*('Changes — Earner 2'!$B$6:$B$17&lt;&gt;"")),'Changes — Earner 2'!$I$6:$I$17),'Second Earner'!$D$45))</f>
      </c>
      <c r="BQ38" s="6">
        <f>IF($B38="","",IFERROR(LOOKUP(2,1/(((('Changes — Earner 2'!$C$6:$C$17="Deduction start")+('Changes — Earner 2'!$C$6:$C$17="Deduction stop"))*('Changes — Earner 2'!$D$6:$D$17="Health FSA"))*('Changes — Earner 2'!$B$6:$B$17&lt;=$B38)*('Changes — Earner 2'!$B$6:$B$17&lt;&gt;"")),'Changes — Earner 2'!$J$6:$J$17),0))</f>
      </c>
      <c r="BR38" s="6">
        <f>IF($B38="","",IFERROR(LOOKUP(2,1/(((('Changes — Earner 2'!$C$6:$C$17="Deduction start")+('Changes — Earner 2'!$C$6:$C$17="Deduction stop"))*('Changes — Earner 2'!$D$6:$D$17="Dependent-care FSA"))*('Changes — Earner 2'!$B$6:$B$17&lt;=$B38)*('Changes — Earner 2'!$B$6:$B$17&lt;&gt;"")),'Changes — Earner 2'!$J$6:$J$17),0))</f>
      </c>
      <c r="BS38" s="6">
        <f>IF($B38="","",IF(SUMPRODUCT(('Changes — Earner 2'!$C$6:$C$17="Deduction start")*('Changes — Earner 2'!$B$6:$B$17&lt;=$B38)*('Changes — Earner 2'!$B$6:$B$17&lt;&gt;"")*('Changes — Earner 2'!$D$6:$D$17="Health FSA"))&gt;0,1,0))</f>
      </c>
      <c r="BT38" s="6">
        <f>IF($B38="","",IF(SUMPRODUCT(('Changes — Earner 2'!$C$6:$C$17="Deduction start")*('Changes — Earner 2'!$B$6:$B$17&lt;=$B38)*('Changes — Earner 2'!$B$6:$B$17&lt;&gt;"")*('Changes — Earner 2'!$D$6:$D$17="Dependent-care FSA"))&gt;0,1,0))</f>
      </c>
      <c r="BU38" s="24">
        <f>IF($B38="","",IF('Second Earner'!$C$13,SUMPRODUCT(($AH38&gt;=INDEX('How This Works &amp; Sources'!$B$29:$J$36,0,IF('Second Earner'!$C$12="MFJ",1,IF('Second Earner'!$C$12="HoH",7,4))))*INDEX('How This Works &amp; Sources'!$B$29:$J$36,0,IF('Second Earner'!$C$12="MFJ",1,IF('Second Earner'!$C$12="HoH",7,4))+2)),SUMPRODUCT(($AH38&gt;=INDEX('How This Works &amp; Sources'!$B$19:$J$26,0,IF('Second Earner'!$C$12="MFJ",1,IF('Second Earner'!$C$12="HoH",7,4))))*INDEX('How This Works &amp; Sources'!$B$19:$J$26,0,IF('Second Earner'!$C$12="MFJ",1,IF('Second Earner'!$C$12="HoH",7,4))+2))))</f>
      </c>
      <c r="BV38" s="24">
        <f>IF($B38="","",IF($BZ38&lt;&gt;"",$BZ38,IF($CA38&lt;&gt;"",$CA38,IF($CB38&lt;&gt;"",$CB38,IF($CC38&lt;&gt;"",$CC38,0)))))</f>
      </c>
      <c r="BW38" s="7">
        <f>IF($B38="","",IF($AN38="AR",SUMPRODUCT(($AZ38&gt;INDEX('How This Works &amp; Sources'!$B$82:$J$86,0,7))*($AZ38-INDEX('How This Works &amp; Sources'!$B$82:$J$86,0,7))*INDEX('How This Works &amp; Sources'!$B$82:$J$86,0,7+2)),IF($AN38="MD",IF(OR($AU38="Married",$AU38="Head of household"),SUMPRODUCT(($AZ38&gt;INDEX('How This Works &amp; Sources'!$B$114:$J$120,0,1))*($AZ38-INDEX('How This Works &amp; Sources'!$B$114:$J$120,0,1))*INDEX('How This Works &amp; Sources'!$B$114:$J$120,0,1+2)),SUMPRODUCT(($AZ38&gt;INDEX('How This Works &amp; Sources'!$B$103:$J$109,0,7))*($AZ38-INDEX('How This Works &amp; Sources'!$B$103:$J$109,0,7))*INDEX('How This Works &amp; Sources'!$B$103:$J$109,0,7+2))),IF($AN38="MT",IF($AU38="Head of household",SUMPRODUCT(($AZ38&gt;INDEX('How This Works &amp; Sources'!$B$137:$J$139,0,1))*($AZ38-INDEX('How This Works &amp; Sources'!$B$137:$J$139,0,1))*INDEX('How This Works &amp; Sources'!$B$137:$J$139,0,1+2)),IF($AU38="Married",SUMPRODUCT(($AZ38&gt;INDEX('How This Works &amp; Sources'!$B$125:$J$132,0,7))*($AZ38-INDEX('How This Works &amp; Sources'!$B$125:$J$132,0,7))*INDEX('How This Works &amp; Sources'!$B$125:$J$132,0,7+2)),SUMPRODUCT(($AZ38&gt;INDEX('How This Works &amp; Sources'!$B$125:$J$132,0,4))*($AZ38-INDEX('How This Works &amp; Sources'!$B$125:$J$132,0,4))*INDEX('How This Works &amp; Sources'!$B$125:$J$132,0,4+2)))),IF($AN38="ND",IF($AU38="Head of household",SUMPRODUCT(($AZ38&gt;INDEX('How This Works &amp; Sources'!$B$144:$J$150,0,1))*($AZ38-INDEX('How This Works &amp; Sources'!$B$144:$J$150,0,1))*INDEX('How This Works &amp; Sources'!$B$144:$J$150,0,1+2)),IF($AU38="Married",SUMPRODUCT(($AZ38&gt;INDEX('How This Works &amp; Sources'!$B$137:$J$139,0,7))*($AZ38-INDEX('How This Works &amp; Sources'!$B$137:$J$139,0,7))*INDEX('How This Works &amp; Sources'!$B$137:$J$139,0,7+2)),SUMPRODUCT(($AZ38&gt;INDEX('How This Works &amp; Sources'!$B$137:$J$139,0,4))*($AZ38-INDEX('How This Works &amp; Sources'!$B$137:$J$139,0,4))*INDEX('How This Works &amp; Sources'!$B$137:$J$139,0,4+2)))),IF($AN38="NJ",IF('Second Earner'!$C$77="B",SUMPRODUCT(($AZ38&gt;INDEX('How This Works &amp; Sources'!$B$155:$J$162,0,4))*($AZ38-INDEX('How This Works &amp; Sources'!$B$155:$J$162,0,4))*INDEX('How This Works &amp; Sources'!$B$155:$J$162,0,4+2)),IF('Second Earner'!$C$77="C",SUMPRODUCT(($AZ38&gt;INDEX('How This Works &amp; Sources'!$B$155:$J$162,0,7))*($AZ38-INDEX('How This Works &amp; Sources'!$B$155:$J$162,0,7))*INDEX('How This Works &amp; Sources'!$B$155:$J$162,0,7+2)),IF('Second Earner'!$C$77="D",SUMPRODUCT(($AZ38&gt;INDEX('How This Works &amp; Sources'!$B$167:$J$179,0,1))*($AZ38-INDEX('How This Works &amp; Sources'!$B$167:$J$179,0,1))*INDEX('How This Works &amp; Sources'!$B$167:$J$179,0,1+2)),IF('Second Earner'!$C$77="E",SUMPRODUCT(($AZ38&gt;INDEX('How This Works &amp; Sources'!$B$167:$J$179,0,4))*($AZ38-INDEX('How This Works &amp; Sources'!$B$167:$J$179,0,4))*INDEX('How This Works &amp; Sources'!$B$167:$J$179,0,4+2)),SUMPRODUCT(($AZ38&gt;INDEX('How This Works &amp; Sources'!$B$155:$J$162,0,1))*($AZ38-INDEX('How This Works &amp; Sources'!$B$155:$J$162,0,1))*INDEX('How This Works &amp; Sources'!$B$155:$J$162,0,1+2)))))),IF($AN38="NY",IF($AU38="Married",IF($AZ38&gt;=2155350,$AZ38*IF($AZ38&gt;25000000,0.117,IF($AZ38&gt;5000000,0.111,0.1045)),SUMPRODUCT(($AZ38&gt;INDEX('How This Works &amp; Sources'!$B$184:$J$198,0,1))*($AZ38-INDEX('How This Works &amp; Sources'!$B$184:$J$198,0,1))*INDEX('How This Works &amp; Sources'!$B$184:$J$198,0,1+2))),IF($AZ38&gt;=1077550,$AZ38*IF($AZ38&gt;25000000,0.117,IF($AZ38&gt;5000000,0.111,0.1045)),SUMPRODUCT(($AZ38&gt;INDEX('How This Works &amp; Sources'!$B$167:$J$179,0,7))*($AZ38-INDEX('How This Works &amp; Sources'!$B$167:$J$179,0,7))*INDEX('How This Works &amp; Sources'!$B$167:$J$179,0,7+2)))),"")))))))</f>
      </c>
      <c r="BX38" s="7">
        <f>IF($B38="","",IF($AN38="AL",IF(OR($AU38="Married",$AU38="Head of household"),SUMPRODUCT(($AZ38&gt;INDEX('How This Works &amp; Sources'!$B$82:$J$86,0,4))*($AZ38-INDEX('How This Works &amp; Sources'!$B$82:$J$86,0,4))*INDEX('How This Works &amp; Sources'!$B$82:$J$86,0,4+2)),SUMPRODUCT(($AZ38&gt;INDEX('How This Works &amp; Sources'!$B$82:$J$86,0,1))*($AZ38-INDEX('How This Works &amp; Sources'!$B$82:$J$86,0,1))*INDEX('How This Works &amp; Sources'!$B$82:$J$86,0,1+2))),IF($AN38="KS",IF($AU38="Married",SUMPRODUCT(($AZ38&gt;INDEX('How This Works &amp; Sources'!$B$103:$J$109,0,4))*($AZ38-INDEX('How This Works &amp; Sources'!$B$103:$J$109,0,4))*INDEX('How This Works &amp; Sources'!$B$103:$J$109,0,4+2)),SUMPRODUCT(($AZ38&gt;INDEX('How This Works &amp; Sources'!$B$103:$J$109,0,1))*($AZ38-INDEX('How This Works &amp; Sources'!$B$103:$J$109,0,1))*INDEX('How This Works &amp; Sources'!$B$103:$J$109,0,1+2))),IF($AN38="MN",IF($AU38="Married",SUMPRODUCT(($AZ38&gt;INDEX('How This Works &amp; Sources'!$B$114:$J$120,0,7))*($AZ38-INDEX('How This Works &amp; Sources'!$B$114:$J$120,0,7))*INDEX('How This Works &amp; Sources'!$B$114:$J$120,0,7+2)),SUMPRODUCT(($AZ38&gt;INDEX('How This Works &amp; Sources'!$B$114:$J$120,0,4))*($AZ38-INDEX('How This Works &amp; Sources'!$B$114:$J$120,0,4))*INDEX('How This Works &amp; Sources'!$B$114:$J$120,0,4+2))),IF($AN38="MO",SUMPRODUCT(($AZ38&gt;INDEX('How This Works &amp; Sources'!$B$125:$J$132,0,1))*($AZ38-INDEX('How This Works &amp; Sources'!$B$125:$J$132,0,1))*INDEX('How This Works &amp; Sources'!$B$125:$J$132,0,1+2)),IF($AN38="NE",MAX(IF($AU38="Married",SUMPRODUCT(($AZ38&gt;INDEX('How This Works &amp; Sources'!$B$144:$J$150,0,7))*($AZ38-INDEX('How This Works &amp; Sources'!$B$144:$J$150,0,7))*INDEX('How This Works &amp; Sources'!$B$144:$J$150,0,7+2)),SUMPRODUCT(($AZ38&gt;INDEX('How This Works &amp; Sources'!$B$144:$J$150,0,4))*($AZ38-INDEX('How This Works &amp; Sources'!$B$144:$J$150,0,4))*INDEX('How This Works &amp; Sources'!$B$144:$J$150,0,4+2))),0.015*$AZ38),IF($AN38="OH",IF($B38&gt;=DATE(2026,8,1),SUMPRODUCT(($AZ38&gt;INDEX('How This Works &amp; Sources'!$B$203:$J$206,0,1))*($AZ38-INDEX('How This Works &amp; Sources'!$B$203:$J$206,0,1))*INDEX('How This Works &amp; Sources'!$B$203:$J$206,0,1+2)),SUMPRODUCT(($AZ38&gt;INDEX('How This Works &amp; Sources'!$B$184:$J$198,0,7))*($AZ38-INDEX('How This Works &amp; Sources'!$B$184:$J$198,0,7))*INDEX('How This Works &amp; Sources'!$B$184:$J$198,0,7+2))),IF($AN38="OK",IF($AU38="Married",SUMPRODUCT(($AZ38&gt;INDEX('How This Works &amp; Sources'!$B$203:$J$206,0,7))*($AZ38-INDEX('How This Works &amp; Sources'!$B$203:$J$206,0,7))*INDEX('How This Works &amp; Sources'!$B$203:$J$206,0,7+2)),SUMPRODUCT(($AZ38&gt;INDEX('How This Works &amp; Sources'!$B$203:$J$206,0,4))*($AZ38-INDEX('How This Works &amp; Sources'!$B$203:$J$206,0,4))*INDEX('How This Works &amp; Sources'!$B$203:$J$206,0,4+2))),IF($AN38="VT",IF($AU38="Married",SUMPRODUCT(($AZ38&gt;INDEX('How This Works &amp; Sources'!$B$228:$J$232,0,1))*($AZ38-INDEX('How This Works &amp; Sources'!$B$228:$J$232,0,1))*INDEX('How This Works &amp; Sources'!$B$228:$J$232,0,1+2)),SUMPRODUCT(($AZ38&gt;INDEX('How This Works &amp; Sources'!$B$219:$J$223,0,7))*($AZ38-INDEX('How This Works &amp; Sources'!$B$219:$J$223,0,7))*INDEX('How This Works &amp; Sources'!$B$219:$J$223,0,7+2))),IF($AN38="WV",IF($AU38="Married",SUMPRODUCT(($AZ38&gt;INDEX('How This Works &amp; Sources'!$B$237:$J$241,0,7))*($AZ38-INDEX('How This Works &amp; Sources'!$B$237:$J$241,0,7))*INDEX('How This Works &amp; Sources'!$B$237:$J$241,0,7+2)),SUMPRODUCT(($AZ38&gt;INDEX('How This Works &amp; Sources'!$B$228:$J$232,0,7))*($AZ38-INDEX('How This Works &amp; Sources'!$B$228:$J$232,0,7))*INDEX('How This Works &amp; Sources'!$B$228:$J$232,0,7+2))),""))))))))))</f>
      </c>
      <c r="BY38" s="7">
        <f>IF($B38="","",IF($AN38="DE",SUMPRODUCT(($AZ38&gt;INDEX('How This Works &amp; Sources'!$B$91:$J$98,0,1))*($AZ38-INDEX('How This Works &amp; Sources'!$B$91:$J$98,0,1))*INDEX('How This Works &amp; Sources'!$B$91:$J$98,0,1+2)),IF($AN38="HI",IF($AU38="Married",SUMPRODUCT(($AZ38&gt;INDEX('How This Works &amp; Sources'!$B$91:$J$98,0,7))*($AZ38-INDEX('How This Works &amp; Sources'!$B$91:$J$98,0,7))*INDEX('How This Works &amp; Sources'!$B$91:$J$98,0,7+2)),SUMPRODUCT(($AZ38&gt;INDEX('How This Works &amp; Sources'!$B$91:$J$98,0,4))*($AZ38-INDEX('How This Works &amp; Sources'!$B$91:$J$98,0,4))*INDEX('How This Works &amp; Sources'!$B$91:$J$98,0,4+2))),IF($AN38="RI",SUMPRODUCT(($AZ38&gt;INDEX('How This Works &amp; Sources'!$B$211:$J$214,0,7))*($AZ38-INDEX('How This Works &amp; Sources'!$B$211:$J$214,0,7))*INDEX('How This Works &amp; Sources'!$B$211:$J$214,0,7+2)),IF($AN38="SC",SUMPRODUCT(($AZ38&gt;INDEX('How This Works &amp; Sources'!$B$219:$J$223,0,1))*($AZ38-INDEX('How This Works &amp; Sources'!$B$219:$J$223,0,1))*INDEX('How This Works &amp; Sources'!$B$219:$J$223,0,1+2)),IF($AN38="VA",SUMPRODUCT(($AZ38&gt;INDEX('How This Works &amp; Sources'!$B$219:$J$223,0,4))*($AZ38-INDEX('How This Works &amp; Sources'!$B$219:$J$223,0,4))*INDEX('How This Works &amp; Sources'!$B$219:$J$223,0,4+2)),IF($AN38="WI",SUMPRODUCT(($AZ38&gt;INDEX('How This Works &amp; Sources'!$B$228:$J$232,0,4))*($AZ38-INDEX('How This Works &amp; Sources'!$B$228:$J$232,0,4))*INDEX('How This Works &amp; Sources'!$B$228:$J$232,0,4+2)),"")))))))</f>
      </c>
      <c r="BZ38" s="24">
        <f>IF($B38="","",IF($AN38="KS",IF($AU38="Married",SUMPRODUCT(($AZ38&gt;=INDEX('How This Works &amp; Sources'!$B$103:$J$109,0,4))*INDEX('How This Works &amp; Sources'!$B$103:$J$109,0,4+2)),SUMPRODUCT(($AZ38&gt;=INDEX('How This Works &amp; Sources'!$B$103:$J$109,0,1))*INDEX('How This Works &amp; Sources'!$B$103:$J$109,0,1+2))),IF($AN38="MT",IF($AU38="Head of household",SUMPRODUCT(($AZ38&gt;=INDEX('How This Works &amp; Sources'!$B$137:$J$139,0,1))*INDEX('How This Works &amp; Sources'!$B$137:$J$139,0,1+2)),IF($AU38="Married",SUMPRODUCT(($AZ38&gt;=INDEX('How This Works &amp; Sources'!$B$125:$J$132,0,7))*INDEX('How This Works &amp; Sources'!$B$125:$J$132,0,7+2)),SUMPRODUCT(($AZ38&gt;=INDEX('How This Works &amp; Sources'!$B$125:$J$132,0,4))*INDEX('How This Works &amp; Sources'!$B$125:$J$132,0,4+2)))),IF($AN38="OR",IF(OR($AU38="Married",AND($AU38="Single",$AS38&gt;=3)),SUMPRODUCT((MAX(0,$AY38-MIN(($P38-'How This Works &amp; Sources'!$C$10*$D38)*'Second Earner'!$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Sources'!$B$211:$J$214,0,4))*INDEX('How This Works &amp; Sources'!$B$211:$J$214,0,4+2)),SUMPRODUCT((MAX(0,$AY38-MIN(($P38-'How This Works &amp; Sources'!$C$10*$D38)*'Second Earner'!$C$8,IF(OR($AU38="Married",AND($AU38="Single",$AS38&gt;=3)),IF($AY38&lt;250000,8750,IF($AY38&lt;260000,7000,IF($AY38&lt;270000,5250,IF($AY38&lt;280000,3500,IF($AY38&lt;290000,1750,0))))),IF($AY38&lt;125000,8750,IF($AY38&lt;130000,7000,IF($AY38&lt;135000,5250,IF($AY38&lt;140000,3500,IF($AY38&lt;145000,1750,0)))))))-IF(OR($AU38="Married",AND($AU38="Single",$AS38&gt;=3)),5820,2910))&gt;=INDEX('How This Works &amp; Sources'!$B$211:$J$214,0,1))*INDEX('How This Works &amp; Sources'!$B$211:$J$214,0,1+2)))*IF(($P38-'How This Works &amp; Sources'!$C$10*$D38)*'Second Earner'!$C$8&gt;=IF(OR($AU38="Married",AND($AU38="Single",$AS38&gt;=3)),IF($AY38&lt;250000,8750,IF($AY38&lt;260000,7000,IF($AY38&lt;270000,5250,IF($AY38&lt;280000,3500,IF($AY38&lt;290000,1750,0))))),IF($AY38&lt;125000,8750,IF($AY38&lt;130000,7000,IF($AY38&lt;135000,5250,IF($AY38&lt;140000,3500,IF($AY38&lt;145000,1750,0)))))),1,1-IF('Second Earner'!$C$13,SUMPRODUCT(($AH38&gt;=INDEX('How This Works &amp; Sources'!$B$29:$J$36,0,IF('Second Earner'!$C$12="MFJ",1,IF('Second Earner'!$C$12="HoH",7,4))))*INDEX('How This Works &amp; Sources'!$B$29:$J$36,0,IF('Second Earner'!$C$12="MFJ",1,IF('Second Earner'!$C$12="HoH",7,4))+2)),SUMPRODUCT(($AH38&gt;=INDEX('How This Works &amp; Sources'!$B$19:$J$26,0,IF('Second Earner'!$C$12="MFJ",1,IF('Second Earner'!$C$12="HoH",7,4))))*INDEX('How This Works &amp; Sources'!$B$19:$J$26,0,IF('Second Earner'!$C$12="MFJ",1,IF('Second Earner'!$C$12="HoH",7,4))+2)))),""))))</f>
      </c>
      <c r="CA38" s="24">
        <f>IF($B38="","",IF($AN38="CA",SUMPRODUCT(($AJ38&gt;=INDEX('How This Works &amp; Sources'!$B$39:$J$48,0,IF($AU38="Married",4,IF($AU38="Head of household",7,1))))*INDEX('How This Works &amp; Sources'!$B$39:$J$48,0,IF($AU38="Married",4,IF($AU38="Head of household",7,1))+2)),IF($AN38="AL",IF(OR($AU38="Married",$AU38="Head of household"),SUMPRODUCT(($AZ38&gt;=INDEX('How This Works &amp; Sources'!$B$82:$J$86,0,4))*INDEX('How This Works &amp; Sources'!$B$82:$J$86,0,4+2)),SUMPRODUCT(($AZ38&gt;=INDEX('How This Works &amp; Sources'!$B$82:$J$86,0,1))*INDEX('How This Works &amp; Sources'!$B$82:$J$86,0,1+2)))*(1-IF('Second Earner'!$C$13,SUMPRODUCT(($AH38&gt;=INDEX('How This Works &amp; Sources'!$B$29:$J$36,0,IF('Second Earner'!$C$12="MFJ",1,IF('Second Earner'!$C$12="HoH",7,4))))*INDEX('How This Works &amp; Sources'!$B$29:$J$36,0,IF('Second Earner'!$C$12="MFJ",1,IF('Second Earner'!$C$12="HoH",7,4))+2)),SUMPRODUCT(($AH38&gt;=INDEX('How This Works &amp; Sources'!$B$19:$J$26,0,IF('Second Earner'!$C$12="MFJ",1,IF('Second Earner'!$C$12="HoH",7,4))))*INDEX('How This Works &amp; Sources'!$B$19:$J$26,0,IF('Second Earner'!$C$12="MFJ",1,IF('Second Earner'!$C$12="HoH",7,4))+2)))),IF($AN38="ND",IF($AU38="Head of household",SUMPRODUCT(($AZ38&gt;=INDEX('How This Works &amp; Sources'!$B$144:$J$150,0,1))*INDEX('How This Works &amp; Sources'!$B$144:$J$150,0,1+2)),IF($AU38="Married",SUMPRODUCT(($AZ38&gt;=INDEX('How This Works &amp; Sources'!$B$137:$J$139,0,7))*INDEX('How This Works &amp; Sources'!$B$137:$J$139,0,7+2)),SUMPRODUCT(($AZ38&gt;=INDEX('How This Works &amp; Sources'!$B$137:$J$139,0,4))*INDEX('How This Works &amp; Sources'!$B$137:$J$139,0,4+2)))),IF($AN38="NJ",IF('Second Earner'!$C$77="B",SUMPRODUCT(($AZ38&gt;=INDEX('How This Works &amp; Sources'!$B$155:$J$162,0,4))*INDEX('How This Works &amp; Sources'!$B$155:$J$162,0,4+2)),IF('Second Earner'!$C$77="C",SUMPRODUCT(($AZ38&gt;=INDEX('How This Works &amp; Sources'!$B$155:$J$162,0,7))*INDEX('How This Works &amp; Sources'!$B$155:$J$162,0,7+2)),IF('Second Earner'!$C$77="D",SUMPRODUCT(($AZ38&gt;=INDEX('How This Works &amp; Sources'!$B$167:$J$179,0,1))*INDEX('How This Works &amp; Sources'!$B$167:$J$179,0,1+2)),IF('Second Earner'!$C$77="E",SUMPRODUCT(($AZ38&gt;=INDEX('How This Works &amp; Sources'!$B$167:$J$179,0,4))*INDEX('How This Works &amp; Sources'!$B$167:$J$179,0,4+2)),SUMPRODUCT(($AZ38&gt;=INDEX('How This Works &amp; Sources'!$B$155:$J$162,0,1))*INDEX('How This Works &amp; Sources'!$B$155:$J$162,0,1+2)))))),IF($AN38="NY",IF($AU38="Married",IF($AZ38&gt;=2155350,IF($AZ38&gt;25000000,0.117,IF($AZ38&gt;5000000,0.111,0.1045)),SUMPRODUCT(($AZ38&gt;=INDEX('How This Works &amp; Sources'!$B$184:$J$198,0,1))*INDEX('How This Works &amp; Sources'!$B$184:$J$198,0,1+2))),IF($AZ38&gt;=1077550,IF($AZ38&gt;25000000,0.117,IF($AZ38&gt;5000000,0.111,0.1045)),SUMPRODUCT(($AZ38&gt;=INDEX('How This Works &amp; Sources'!$B$167:$J$179,0,7))*INDEX('How This Works &amp; Sources'!$B$167:$J$179,0,7+2)))),IF($AN38="LA",0.0309,"")))))))</f>
      </c>
      <c r="CB38" s="24">
        <f>IF($B38="","",IF($AN38="HI",IF($AU38="Married",SUMPRODUCT(($AZ38&gt;=INDEX('How This Works &amp; Sources'!$B$91:$J$98,0,7))*INDEX('How This Works &amp; Sources'!$B$91:$J$98,0,7+2)),SUMPRODUCT(($AZ38&gt;=INDEX('How This Works &amp; Sources'!$B$91:$J$98,0,4))*INDEX('How This Works &amp; Sources'!$B$91:$J$98,0,4+2))),IF($AN38="MD",IF(OR($AU38="Married",$AU38="Head of household"),SUMPRODUCT(($AZ38&gt;=INDEX('How This Works &amp; Sources'!$B$114:$J$120,0,1))*INDEX('How This Works &amp; Sources'!$B$114:$J$120,0,1+2)),SUMPRODUCT(($AZ38&gt;=INDEX('How This Works &amp; Sources'!$B$103:$J$109,0,7))*INDEX('How This Works &amp; Sources'!$B$103:$J$109,0,7+2)))+'Second Earner'!$C$74,IF($AN38="MN",IF($AU38="Married",SUMPRODUCT(($AZ38&gt;=INDEX('How This Works &amp; Sources'!$B$114:$J$120,0,7))*INDEX('How This Works &amp; Sources'!$B$114:$J$120,0,7+2)),SUMPRODUCT(($AZ38&gt;=INDEX('How This Works &amp; Sources'!$B$114:$J$120,0,4))*INDEX('How This Works &amp; Sources'!$B$114:$J$120,0,4+2))),IF($AN38="MO",SUMPRODUCT(($AZ38&gt;=INDEX('How This Works &amp; Sources'!$B$125:$J$132,0,1))*INDEX('How This Works &amp; Sources'!$B$125:$J$132,0,1+2)),IF($AN38="NE",MAX(IF($AU38="Married",SUMPRODUCT(($AZ38&gt;=INDEX('How This Works &amp; Sources'!$B$144:$J$150,0,7))*INDEX('How This Works &amp; Sources'!$B$144:$J$150,0,7+2)),SUMPRODUCT(($AZ38&gt;=INDEX('How This Works &amp; Sources'!$B$144:$J$150,0,4))*INDEX('How This Works &amp; Sources'!$B$144:$J$150,0,4+2))),0.015),IF($AN38="OH",IF($B38&gt;=DATE(2026,8,1),SUMPRODUCT(($AZ38&gt;=INDEX('How This Works &amp; Sources'!$B$203:$J$206,0,1))*INDEX('How This Works &amp; Sources'!$B$203:$J$206,0,1+2)),SUMPRODUCT(($AZ38&gt;=INDEX('How This Works &amp; Sources'!$B$184:$J$198,0,7))*INDEX('How This Works &amp; Sources'!$B$184:$J$198,0,7+2))),IF($AN38="OK",IF($AU38="Married",SUMPRODUCT(($AZ38&gt;=INDEX('How This Works &amp; Sources'!$B$203:$J$206,0,7))*INDEX('How This Works &amp; Sources'!$B$203:$J$206,0,7+2)),SUMPRODUCT(($AZ38&gt;=INDEX('How This Works &amp; Sources'!$B$203:$J$206,0,4))*INDEX('How This Works &amp; Sources'!$B$203:$J$206,0,4+2))),IF($AN38="RI",SUMPRODUCT(($AZ38&gt;=INDEX('How This Works &amp; Sources'!$B$211:$J$214,0,7))*INDEX('How This Works &amp; Sources'!$B$211:$J$214,0,7+2)),IF($AN38="VT",IF($AU38="Married",SUMPRODUCT(($AZ38&gt;=INDEX('How This Works &amp; Sources'!$B$228:$J$232,0,1))*INDEX('How This Works &amp; Sources'!$B$228:$J$232,0,1+2)),SUMPRODUCT(($AZ38&gt;=INDEX('How This Works &amp; Sources'!$B$219:$J$223,0,7))*INDEX('How This Works &amp; Sources'!$B$219:$J$223,0,7+2))),IF($AN38="WV",IF($AU38="Married",SUMPRODUCT(($AZ38&gt;=INDEX('How This Works &amp; Sources'!$B$237:$J$241,0,7))*INDEX('How This Works &amp; Sources'!$B$237:$J$241,0,7+2)),SUMPRODUCT(($AZ38&gt;=INDEX('How This Works &amp; Sources'!$B$228:$J$232,0,7))*INDEX('How This Works &amp; Sources'!$B$228:$J$232,0,7+2))),IF($AN38="AZ",'Second Earner'!$C$82,IF($AN38="ID",IF($AY38&gt;IF($AU38="Married",32000,16094),0.053,0),"")))))))))))))</f>
      </c>
      <c r="CC38" s="24">
        <f>IF($B38="","",IF($AN38="AR",SUMPRODUCT(($AZ38&gt;=INDEX('How This Works &amp; Sources'!$B$82:$J$86,0,7))*INDEX('How This Works &amp; Sources'!$B$82:$J$86,0,7+2)),IF($AN38="DE",SUMPRODUCT(($AZ38&gt;=INDEX('How This Works &amp; Sources'!$B$91:$J$98,0,1))*INDEX('How This Works &amp; Sources'!$B$91:$J$98,0,1+2)),IF($AN38="SC",SUMPRODUCT(($AZ38&gt;=INDEX('How This Works &amp; Sources'!$B$219:$J$223,0,1))*INDEX('How This Works &amp; Sources'!$B$219:$J$223,0,1+2)),IF($AN38="VA",SUMPRODUCT(($AZ38&gt;=INDEX('How This Works &amp; Sources'!$B$219:$J$223,0,4))*INDEX('How This Works &amp; Sources'!$B$219:$J$223,0,4+2)),IF($AN38="WI",SUMPRODUCT(($AZ38&gt;=INDEX('How This Works &amp; Sources'!$B$228:$J$232,0,4))*INDEX('How This Works &amp; Sources'!$B$228:$J$232,0,4+2)),IF($AN38="CO",IF($AY38&gt;IF($AU38="Married",10000,5000),0.044,0),IF($AN38="IA",IF($AY38&gt;IF($AU38="Head of household",19500,IF($AU38="Married",26000,13000)),0.038,0),IF($AN38="IL",IF($AY38&gt;(2925*$AS38+1000*$AT38),0.0495,0),IF($AN38="IN",(0.0295+'Second Earner'!$C$76),IF($AN38="KY",IF($AI38&gt;3360,0.035,0),IF($AN38="MA",IF(MAX(0,$AY38-MIN(($BD37+$Q38+$R38+$S38),2000)-IF($AS38=0,0,IF($AS38=1,4400,1000*$AS38+3400)))&gt;=1107750,0.09,0.05),IF($AN38="MI",IF($AY38&gt;5900*$AS38,0.0425,0),IF($AN38="MS",IF($AI38-IF($AU38="Head of household",3400,IF($AU38="Married",4600,2300))-'Second Earner'!$C$85&gt;10000,0.04,0),IF($AN38="PA",0.0307,"")))))))))))))))</f>
      </c>
      <c r="CD38" s="21">
        <f>IF(YEAR(IF('Second Earner'!$C$7="Weekly",'Second Earner'!$C$9+7*(($BE37+1)-1),IF('Second Earner'!$C$7="Biweekly",'Second Earner'!$C$9+14*(($BE37+1)-1),IF('Second Earner'!$C$7="Semimonthly",DATE(YEAR('Second Earner'!$C$9),MONTH('Second Earner'!$C$9)+INT((($BE37+1)-1)/2),MIN(DAY('Second Earner'!$C$9),DAY(EOMONTH(DATE(YEAR('Second Earner'!$C$9),MONTH('Second Earner'!$C$9)+INT((($BE37+1)-1)/2),1),0))))+IF(MOD(($BE37+1)-1,2)=1,15,0),EDATE('Second Earner'!$C$9,($BE37+1)-1)))))&lt;&gt;'Second Earner'!$C$10,"",IF('Second Earner'!$C$7="Weekly",'Second Earner'!$C$9+7*(($BE37+1)-1),IF('Second Earner'!$C$7="Biweekly",'Second Earner'!$C$9+14*(($BE37+1)-1),IF('Second Earner'!$C$7="Semimonthly",DATE(YEAR('Second Earner'!$C$9),MONTH('Second Earner'!$C$9)+INT((($BE37+1)-1)/2),MIN(DAY('Second Earner'!$C$9),DAY(EOMONTH(DATE(YEAR('Second Earner'!$C$9),MONTH('Second Earner'!$C$9)+INT((($BE37+1)-1)/2),1),0))))+IF(MOD(($BE37+1)-1,2)=1,15,0),EDATE('Second Earner'!$C$9,($BE37+1)-1)))))</f>
      </c>
      <c r="CE38" s="21">
        <f>IF(MIN(IF(AND('Second Earner'!$C$58&gt;MAX($B$6:$B37),'Second Earner'!$C$58&gt;=DATE('Second Earner'!$C$10,1,1),'Second Earner'!$C$58&lt;=DATE('Second Earner'!$C$10,12,31)),'Second Earner'!$C$58,999999),IF(AND('Second Earner'!$C$59&gt;MAX($B$6:$B37),'Second Earner'!$C$59&gt;=DATE('Second Earner'!$C$10,1,1),'Second Earner'!$C$59&lt;=DATE('Second Earner'!$C$10,12,31)),'Second Earner'!$C$59,999999),IF(AND('Second Earner'!$C$60&gt;MAX($B$6:$B37),'Second Earner'!$C$60&gt;=DATE('Second Earner'!$C$10,1,1),'Second Earner'!$C$60&lt;=DATE('Second Earner'!$C$10,12,31)),'Second Earner'!$C$60,999999),IF(AND('Second Earner'!$C$61&gt;MAX($B$6:$B37),'Second Earner'!$C$61&gt;=DATE('Second Earner'!$C$10,1,1),'Second Earner'!$C$61&lt;=DATE('Second Earner'!$C$10,12,31)),'Second Earner'!$C$61,999999),IF(AND('Second Earner'!$C$62&gt;MAX($B$6:$B37),'Second Earner'!$C$62&gt;=DATE('Second Earner'!$C$10,1,1),'Second Earner'!$C$62&lt;=DATE('Second Earner'!$C$10,12,31)),'Second Earner'!$C$62,999999),IF(AND('Second Earner'!$C$63&gt;MAX($B$6:$B37),'Second Earner'!$C$63&gt;=DATE('Second Earner'!$C$10,1,1),'Second Earner'!$C$63&lt;=DATE('Second Earner'!$C$10,12,31)),'Second Earner'!$C$63,999999),IF(AND('Second Earner'!$C$64&gt;MAX($B$6:$B37),'Second Earner'!$C$64&gt;=DATE('Second Earner'!$C$10,1,1),'Second Earner'!$C$64&lt;=DATE('Second Earner'!$C$10,12,31)),'Second Earner'!$C$64,999999),IF(AND('Second Earner'!$C$65&gt;MAX($B$6:$B37),'Second Earner'!$C$65&gt;=DATE('Second Earner'!$C$10,1,1),'Second Earner'!$C$65&lt;=DATE('Second Earner'!$C$10,12,31)),'Second Earner'!$C$65,999999),IF(AND('Second Earner'!$C$66&gt;MAX($B$6:$B37),'Second Earner'!$C$66&gt;=DATE('Second Earner'!$C$10,1,1),'Second Earner'!$C$66&lt;=DATE('Second Earner'!$C$10,12,31)),'Second Earner'!$C$66,999999),IF(AND('Second Earner'!$C$67&gt;MAX($B$6:$B37),'Second Earner'!$C$67&gt;=DATE('Second Earner'!$C$10,1,1),'Second Earner'!$C$67&lt;=DATE('Second Earner'!$C$10,12,31)),'Second Earner'!$C$67,999999))=999999,"",MIN(IF(AND('Second Earner'!$C$58&gt;MAX($B$6:$B37),'Second Earner'!$C$58&gt;=DATE('Second Earner'!$C$10,1,1),'Second Earner'!$C$58&lt;=DATE('Second Earner'!$C$10,12,31)),'Second Earner'!$C$58,999999),IF(AND('Second Earner'!$C$59&gt;MAX($B$6:$B37),'Second Earner'!$C$59&gt;=DATE('Second Earner'!$C$10,1,1),'Second Earner'!$C$59&lt;=DATE('Second Earner'!$C$10,12,31)),'Second Earner'!$C$59,999999),IF(AND('Second Earner'!$C$60&gt;MAX($B$6:$B37),'Second Earner'!$C$60&gt;=DATE('Second Earner'!$C$10,1,1),'Second Earner'!$C$60&lt;=DATE('Second Earner'!$C$10,12,31)),'Second Earner'!$C$60,999999),IF(AND('Second Earner'!$C$61&gt;MAX($B$6:$B37),'Second Earner'!$C$61&gt;=DATE('Second Earner'!$C$10,1,1),'Second Earner'!$C$61&lt;=DATE('Second Earner'!$C$10,12,31)),'Second Earner'!$C$61,999999),IF(AND('Second Earner'!$C$62&gt;MAX($B$6:$B37),'Second Earner'!$C$62&gt;=DATE('Second Earner'!$C$10,1,1),'Second Earner'!$C$62&lt;=DATE('Second Earner'!$C$10,12,31)),'Second Earner'!$C$62,999999),IF(AND('Second Earner'!$C$63&gt;MAX($B$6:$B37),'Second Earner'!$C$63&gt;=DATE('Second Earner'!$C$10,1,1),'Second Earner'!$C$63&lt;=DATE('Second Earner'!$C$10,12,31)),'Second Earner'!$C$63,999999),IF(AND('Second Earner'!$C$64&gt;MAX($B$6:$B37),'Second Earner'!$C$64&gt;=DATE('Second Earner'!$C$10,1,1),'Second Earner'!$C$64&lt;=DATE('Second Earner'!$C$10,12,31)),'Second Earner'!$C$64,999999),IF(AND('Second Earner'!$C$65&gt;MAX($B$6:$B37),'Second Earner'!$C$65&gt;=DATE('Second Earner'!$C$10,1,1),'Second Earner'!$C$65&lt;=DATE('Second Earner'!$C$10,12,31)),'Second Earner'!$C$65,999999),IF(AND('Second Earner'!$C$66&gt;MAX($B$6:$B37),'Second Earner'!$C$66&gt;=DATE('Second Earner'!$C$10,1,1),'Second Earner'!$C$66&lt;=DATE('Second Earner'!$C$10,12,31)),'Second Earner'!$C$66,999999),IF(AND('Second Earner'!$C$67&gt;MAX($B$6:$B37),'Second Earner'!$C$67&gt;=DATE('Second Earner'!$C$10,1,1),'Second Earner'!$C$67&lt;=DATE('Second Earner'!$C$10,12,31)),'Second Earner'!$C$67,999999)))</f>
      </c>
      <c r="CF38">
        <f>IF($B38="","",IF($D38=0,$Y38,""))</f>
      </c>
    </row>
    <row r="39">
      <c r="A39" t="n">
        <v>34</v>
      </c>
      <c r="B39" s="21">
        <f>IF(AND($CD39="",$CE39=""),"",IF($CE39="",$CD39,IF($CD39="",$CE39,MIN($CD39,$CE39))))</f>
      </c>
      <c r="C39" s="7">
        <f>IF($B39="","",IF($BF39=0,0,IF('Second Earner'!$C$4="Annual salary",ROUND($AK39/IF(AND('Second Earner'!$C$88="Actual paydays",MONTH('Second Earner'!$C$9)=1),MAX(1,MAX($BE$6:$BE$68)),'Second Earner'!$C$8),2),$AK39)))</f>
      </c>
      <c r="D39" s="7">
        <f>IF($B39="","",SUMIF('Second Earner'!$C$58:$C$67,$B39,'Second Earner'!$D$58:$D$67))</f>
      </c>
      <c r="E39" s="7">
        <f>IF($B39="","",ROUND(MAX(0,MIN(IF($AL39="Percent",$AM39*($C39+$D39),$AM39),MAX(0,'Second Earner'!$C$34-$AC38))),2))</f>
      </c>
      <c r="F39" s="7">
        <f>IF($B39="","",ROUND(MAX(0,MIN(IF('Second Earner'!$C$32="Percent",'Second Earner'!$D$32*($C39+$D39),'Second Earner'!$D$32),MAX(0,'Second Earner'!$C$34-$AC38-$E39))),2))</f>
      </c>
      <c r="G39" s="7">
        <f>IF($B39="","",IF($BF39=0,0,ROUND(MAX(0,MIN($BL39,'Second Earner'!$C$37-'Second Earner'!$C$54-$BI38)),2)))</f>
      </c>
      <c r="H39" s="7">
        <f>IF($B39="","",IF(OR($BF39=0,$BQ39=1),0,ROUND(MAX(0,MIN(IF($BS39=1,ROUND(MAX(0,MIN($BJ39,'How This Works &amp; Sources'!$C$13)-$BG38)/MAX(1,MAX($BE$6:$BE$68)-($BE38)),2),ROUND(MIN($BJ39,'How This Works &amp; Sources'!$C$13)/'Second Earner'!$C$8,2)),MIN($BJ39,'How This Works &amp; Sources'!$C$13)-$BG38)),2)))</f>
      </c>
      <c r="I39" s="7">
        <f>IF($B39="","",IF(OR($BF39=0,$BR39=1),0,ROUND(MAX(0,MIN(IF($BT39=1,ROUND(MAX(0,MIN($BK39,IF('Second Earner'!$C$12="MFJ",'How This Works &amp; Sources'!$C$14,'How This Works &amp; Sources'!$C$15))-$BH38)/MAX(1,MAX($BE$6:$BE$68)-($BE38)),2),ROUND(MIN($BK39,IF('Second Earner'!$C$12="MFJ",'How This Works &amp; Sources'!$C$14,'How This Works &amp; Sources'!$C$15))/'Second Earner'!$C$8,2)),MIN($BK39,IF('Second Earner'!$C$12="MFJ",'How This Works &amp; Sources'!$C$14,'How This Works &amp; Sources'!$C$15))-$BH38)),2)))</f>
      </c>
      <c r="J39" s="7">
        <f>IF($B39="","",IF($BF39=0,0,$BM39))</f>
      </c>
      <c r="K39" s="7">
        <f>IF($B39="","",IF($BF39=0,0,$BN39+$BO39))</f>
      </c>
      <c r="L39" s="7">
        <f>IF($B39="","",IF($BF39=0,0,'Second Earner'!$D$46))</f>
      </c>
      <c r="M39" s="7">
        <f>IF($B39="","",$C39+$D39+$L39-$E39-$G39-$H39-$I39-$J39-$K39)</f>
      </c>
      <c r="N39" s="7">
        <f>IF($B39="","",$C39+$D39+$L39-$G39-$H39-$I39-$J39-$K39)</f>
      </c>
      <c r="O39" s="7">
        <f>IF($B39="","",$C39+$D39+$L39-$E39-$H39-$I39-$J39-$K39-IF(OR($AN39="CA",$AN39="NJ"),0,$G39))</f>
      </c>
      <c r="P39" s="7">
        <f>IF($B39="","",IF('Second Earner'!$C$18,0,ROUND(MAX(0,IF('Second Earner'!$C$13,SUMPRODUCT(($AH39&gt;INDEX('How This Works &amp; Sources'!$B$29:$J$36,0,IF('Second Earner'!$C$12="MFJ",1,IF('Second Earner'!$C$12="HoH",7,4))))*($AH39-INDEX('How This Works &amp; Sources'!$B$29:$J$36,0,IF('Second Earner'!$C$12="MFJ",1,IF('Second Earner'!$C$12="HoH",7,4))))*INDEX('How This Works &amp; Sources'!$B$29:$J$36,0,IF('Second Earner'!$C$12="MFJ",1,IF('Second Earner'!$C$12="HoH",7,4))+2)),SUMPRODUCT(($AH39&gt;INDEX('How This Works &amp; Sources'!$B$19:$J$26,0,IF('Second Earner'!$C$12="MFJ",1,IF('Second Earner'!$C$12="HoH",7,4))))*($AH39-INDEX('How This Works &amp; Sources'!$B$19:$J$26,0,IF('Second Earner'!$C$12="MFJ",1,IF('Second Earner'!$C$12="HoH",7,4))))*INDEX('How This Works &amp; Sources'!$B$19:$J$26,0,IF('Second Earner'!$C$12="MFJ",1,IF('Second Earner'!$C$12="HoH",7,4))+2)))/'Second Earner'!$C$8-$AO39/'Second Earner'!$C$8)+$AR39+IF('Second Earner'!$C$89="Aggregate",MAX(0,IF('Second Earner'!$C$13,SUMPRODUCT((($AH39+$D39)&gt;INDEX('How This Works &amp; Sources'!$B$29:$J$36,0,IF('Second Earner'!$C$12="MFJ",1,IF('Second Earner'!$C$12="HoH",7,4))))*(($AH39+$D39)-INDEX('How This Works &amp; Sources'!$B$29:$J$36,0,IF('Second Earner'!$C$12="MFJ",1,IF('Second Earner'!$C$12="HoH",7,4))))*INDEX('How This Works &amp; Sources'!$B$29:$J$36,0,IF('Second Earner'!$C$12="MFJ",1,IF('Second Earner'!$C$12="HoH",7,4))+2)),SUMPRODUCT((($AH39+$D39)&gt;INDEX('How This Works &amp; Sources'!$B$19:$J$26,0,IF('Second Earner'!$C$12="MFJ",1,IF('Second Earner'!$C$12="HoH",7,4))))*(($AH39+$D39)-INDEX('How This Works &amp; Sources'!$B$19:$J$26,0,IF('Second Earner'!$C$12="MFJ",1,IF('Second Earner'!$C$12="HoH",7,4))))*INDEX('How This Works &amp; Sources'!$B$19:$J$26,0,IF('Second Earner'!$C$12="MFJ",1,IF('Second Earner'!$C$12="HoH",7,4))+2)))-IF('Second Earner'!$C$13,SUMPRODUCT(($AH39&gt;INDEX('How This Works &amp; Sources'!$B$29:$J$36,0,IF('Second Earner'!$C$12="MFJ",1,IF('Second Earner'!$C$12="HoH",7,4))))*($AH39-INDEX('How This Works &amp; Sources'!$B$29:$J$36,0,IF('Second Earner'!$C$12="MFJ",1,IF('Second Earner'!$C$12="HoH",7,4))))*INDEX('How This Works &amp; Sources'!$B$29:$J$36,0,IF('Second Earner'!$C$12="MFJ",1,IF('Second Earner'!$C$12="HoH",7,4))+2)),SUMPRODUCT(($AH39&gt;INDEX('How This Works &amp; Sources'!$B$19:$J$26,0,IF('Second Earner'!$C$12="MFJ",1,IF('Second Earner'!$C$12="HoH",7,4))))*($AH39-INDEX('How This Works &amp; Sources'!$B$19:$J$26,0,IF('Second Earner'!$C$12="MFJ",1,IF('Second Earner'!$C$12="HoH",7,4))))*INDEX('How This Works &amp; Sources'!$B$19:$J$26,0,IF('Second Earner'!$C$12="MFJ",1,IF('Second Earner'!$C$12="HoH",7,4))+2)))),'How This Works &amp; Sources'!$C$10*$D39),2)))</f>
      </c>
      <c r="Q39" s="7">
        <f>IF($B39="","",ROUND('How This Works &amp; Sources'!$C$4*MIN($N39,MAX(0,'How This Works &amp; Sources'!$C$3-($AX39+$AB38-$AW39))),2))</f>
      </c>
      <c r="R39" s="7">
        <f>IF($B39="","",ROUND('How This Works &amp; Sources'!$C$5*$N39,2))</f>
      </c>
      <c r="S39" s="7">
        <f>IF($B39="","",ROUND('How This Works &amp; Sources'!$C$6*MAX(0,MIN($N39,$AG38+$N39-'How This Works &amp; Sources'!$C$7)),2))</f>
      </c>
      <c r="T39" s="7">
        <f>IF($B39="","",IF('Second Earner'!$C$26,0,IF($AN39="CA",ROUND(IF($AI39&lt;=IF(($AS39+$AT39)&gt;=2,VLOOKUP($AN39,StateTables!$A$6:$AB$56,10,FALSE),VLOOKUP($AN39,StateTables!$A$6:$AB$56,9,FALSE)),0,MAX(0,SUMPRODUCT(($AJ39&gt;INDEX('How This Works &amp; Sources'!$B$39:$J$48,0,IF($AU39="Married",4,IF($AU39="Head of household",7,1))))*($AJ39-INDEX('How This Works &amp; Sources'!$B$39:$J$48,0,IF($AU39="Married",4,IF($AU39="Head of household",7,1))))*INDEX('How This Works &amp; Sources'!$B$39:$J$48,0,IF($AU39="Married",4,IF($AU39="Head of household",7,1))+2))-VLOOKUP($AN39,StateTables!$A$6:$AB$56,11,FALSE)*$AS39)/'Second Earner'!$C$8)+'Second Earner'!$C$25+VLOOKUP($AN39,StateTables!$A$6:$AB$56,13,FALSE)*$D39,2),IF(VLOOKUP($AN39,StateTables!$A$6:$AB$56,4,FALSE)="None",0,IF(ISNUMBER(SEARCH("MANUAL",VLOOKUP($AN39,StateTables!$A$6:$AB$56,5,FALSE))),'Second Earner'!$C$28,ROUND(MAX(0,$BA39+$BB39)/'Second Earner'!$C$8+'Second Earner'!$C$25+$BC39,2))))))</f>
      </c>
      <c r="U39" s="7">
        <f>IF($B39="","",IF(VLOOKUP($AN39,StateTables!$A$6:$AB$56,24,FALSE)="flatq",IF(OR(MONTH($B39)=1,MONTH($B39)=4,MONTH($B39)=7,MONTH($B39)=10),VLOOKUP($AN39,StateTables!$A$6:$AB$56,25,FALSE),0),IF(VLOOKUP($AN39,StateTables!$A$6:$AB$56,24,FALSE)="dbl",MIN(ROUND(0.005*$N39,2),ROUND(0.6*52/'Second Earner'!$C$8,2)),IF(OR(VLOOKUP($AN39,StateTables!$A$6:$AB$56,15,FALSE)="",VLOOKUP($AN39,StateTables!$A$6:$AB$56,15,FALSE)=0),0,ROUND(VLOOKUP($AN39,StateTables!$A$6:$AB$56,15,FALSE)*IF(OR(VLOOKUP($AN39,StateTables!$A$6:$AB$56,16,FALSE)="",VLOOKUP($AN39,StateTables!$A$6:$AB$56,16,FALSE)=0),$N39,MIN($N39,MAX(0,VLOOKUP($AN39,StateTables!$A$6:$AB$56,16,FALSE)-($AX39+$AB38-$AW39)))),2))))+IF(VLOOKUP($AN39,StateTables!$A$6:$AB$56,27,FALSE)="flatq",IF(OR(MONTH($B39)=1,MONTH($B39)=4,MONTH($B39)=7,MONTH($B39)=10),VLOOKUP($AN39,StateTables!$A$6:$AB$56,28,FALSE),0),IF(VLOOKUP($AN39,StateTables!$A$6:$AB$56,27,FALSE)="dbl",MIN(ROUND(0.005*$N39,2),ROUND(0.6*52/'Second Earner'!$C$8,2)),IF(OR(VLOOKUP($AN39,StateTables!$A$6:$AB$56,18,FALSE)="",VLOOKUP($AN39,StateTables!$A$6:$AB$56,18,FALSE)=0),0,ROUND(VLOOKUP($AN39,StateTables!$A$6:$AB$56,18,FALSE)*IF(OR(VLOOKUP($AN39,StateTables!$A$6:$AB$56,19,FALSE)="",VLOOKUP($AN39,StateTables!$A$6:$AB$56,19,FALSE)=0),$N39,MIN($N39,MAX(0,VLOOKUP($AN39,StateTables!$A$6:$AB$56,19,FALSE)-($AX39+$AB38-$AW39)))),2)))))</f>
      </c>
      <c r="V39" s="7">
        <f>IF($B39="","",IF($AN39="NY",IF('Second Earner'!$C$78,ROUND(SUMPRODUCT((MAX(0,($O39-$D39)*'Second Earner'!$C$8-(IF($AU39="Married",5500,5000)+1000*$AS39))&gt;INDEX('How This Works &amp; Sources'!$B$184:$J$198,0,4))*(MAX(0,($O39-$D39)*'Second Earner'!$C$8-(IF($AU39="Married",5500,5000)+1000*$AS39))-INDEX('How This Works &amp; Sources'!$B$184:$J$198,0,4))*INDEX('How This Works &amp; Sources'!$B$184:$J$198,0,4+2))/'Second Earner'!$C$8+0.0425*$D39,2),0)+IF('Second Earner'!$C$79="Resident",ROUND(0.1675*$T39,2),IF('Second Earner'!$C$79="Nonresident",ROUND(0.005*MAX(0,($O39-$D39)-(IF($AU39="Married",7950,7400)+1000*$AS39)/'Second Earner'!$C$8),2),0)),IF($AN39="PA",IF('Second Earner'!$C$80="None",'Second Earner'!$C$27+ROUND('Second Earner'!$C$81*($C39+$D39),2),ROUND(IF('Second Earner'!$C$80="Resident",IF($B39&lt;DATE(2026,7,1),0.0374,0.03735),IF($B39&lt;DATE(2026,7,1),0.0343,0.03425))*($C39+$D39),2)),IF($BF39=0,ROUND('Second Earner'!$C$81*($C39+$D39),2),'Second Earner'!$C$27+ROUND('Second Earner'!$C$81*($C39+$D39),2)))))</f>
      </c>
      <c r="W39" s="7">
        <f>IF($B39="","",IF($BF39=0,0,$BP39))</f>
      </c>
      <c r="X39" s="7">
        <f>IF($B39="","",SUM($E39:$K39)+$P39+$Q39+$R39+$S39+$T39+$U39+$V39+$W39)</f>
      </c>
      <c r="Y39" s="22">
        <f>IF($B39="","",$C39+$D39-$X39)</f>
      </c>
      <c r="Z39" s="7">
        <f>IF($B39="","",$Z38+$C39+$D39)</f>
      </c>
      <c r="AA39" s="7">
        <f>IF($B39="","",$AA38+$Y39)</f>
      </c>
      <c r="AB39" s="7">
        <f>IF($B39="","",$AB38+MIN($N39,MAX(0,'How This Works &amp; Sources'!$C$3-($AX39+$AB38-$AW39))))</f>
      </c>
      <c r="AC39" s="7">
        <f>IF($B39="","",$AC38+$E39+$F39)</f>
      </c>
      <c r="AD39" s="3">
        <f>IF($B39="","",IF(AND($AB38&lt;'How This Works &amp; Sources'!$C$3,$AB39&gt;='How This Works &amp; Sources'!$C$3),"★ Social Security maxed on this check — from the next check your net rises by about $"&amp;TEXT(ROUND('How This Works &amp; Sources'!$C$4*$N39,2),"#,##0.00")&amp;". ","")&amp;IF(AND($AC38&lt;'Second Earner'!$C$34,$AC39&gt;='Second Earner'!$C$34),"★ 401(k) reaches the $"&amp;TEXT('Second Earner'!$C$34,"#,##0")&amp;" cap on this check — deferrals stop and net pay rises. ","")&amp;IF(AND($AG38&lt;'How This Works &amp; Sources'!$C$7,$AG39&gt;='How This Works &amp; Sources'!$C$7),"★ Wages pass $200,000 — the 0.9% Additional Medicare Tax starts here. ","")&amp;IF(AND($BJ39&gt;0,$H39&gt;0,$BG38&lt;MIN($BJ39,'How This Works &amp; Sources'!$C$13),$BG38+$H39&gt;=MIN($BJ39,'How This Works &amp; Sources'!$C$13)),"★ Health FSA election is now fully deferred for the year. ",""))</f>
      </c>
      <c r="AE39" s="41" t="n"/>
      <c r="AF39" s="7">
        <f>IF(OR($B39="",$AE39=""),"",$AE39-$Y39)</f>
      </c>
      <c r="AG39" s="7">
        <f>IF($B39="","",$AG38+$N39)</f>
      </c>
      <c r="AH39" s="7">
        <f>IF($B39="","",MAX(0,($M39-$D39)*'Second Earner'!$C$8+$AP39-$AQ39-IF('Second Earner'!$C$13,0,IF('Second Earner'!$C$12="MFJ",'How This Works &amp; Sources'!$C$8,'How This Works &amp; Sources'!$C$9))))</f>
      </c>
      <c r="AI39" s="7">
        <f>IF($B39="","",$O39*'Second Earner'!$C$8)</f>
      </c>
      <c r="AJ39" s="7">
        <f>IF($B39="","",MAX(0,$AI39-VLOOKUP($AN39,StateTables!$A$6:$AB$56,12,FALSE)*$AT39-IF(($AS39+$AT39)&gt;=2,VLOOKUP($AN39,StateTables!$A$6:$AB$56,8,FALSE),VLOOKUP($AN39,StateTables!$A$6:$AB$56,7,FALSE))))</f>
      </c>
      <c r="AK39" s="7">
        <f>IF($B39="","",IFERROR(LOOKUP(2,1/(('Changes — Earner 2'!$C$6:$C$17="Salary change")*('Changes — Earner 2'!$B$6:$B$17&lt;=$B39)*('Changes — Earner 2'!$B$6:$B$17&lt;&gt;"")),'Changes — Earner 2'!$D$6:$D$17),IF('Second Earner'!$C$4="Annual salary",'Second Earner'!$C$5,'Second Earner'!$C$6)))</f>
      </c>
      <c r="AL39">
        <f>IF($B39="","",IFERROR(LOOKUP(2,1/(('Changes — Earner 2'!$C$6:$C$17="401(k) change")*('Changes — Earner 2'!$B$6:$B$17&lt;=$B39)*('Changes — Earner 2'!$B$6:$B$17&lt;&gt;"")),'Changes — Earner 2'!$D$6:$D$17),'Second Earner'!$C$30))</f>
      </c>
      <c r="AM39" s="7">
        <f>IF($B39="","",IFERROR(LOOKUP(2,1/(('Changes — Earner 2'!$C$6:$C$17="401(k) change")*('Changes — Earner 2'!$B$6:$B$17&lt;=$B39)*('Changes — Earner 2'!$B$6:$B$17&lt;&gt;"")),'Changes — Earner 2'!$E$6:$E$17),'Second Earner'!$D$31))</f>
      </c>
      <c r="AN39">
        <f>IF($B39="","",IFERROR(LOOKUP(2,1/(('Changes — Earner 2'!$C$6:$C$17="State move")*('Changes — Earner 2'!$B$6:$B$17&lt;=$B39)*('Changes — Earner 2'!$B$6:$B$17&lt;&gt;"")),'Changes — Earner 2'!$D$6:$D$17),'Second Earner'!$C$21))</f>
      </c>
      <c r="AO39" s="7">
        <f>IF($B39="","",IFERROR(LOOKUP(2,1/(('Changes — Earner 2'!$C$6:$C$17="W-4 change")*('Changes — Earner 2'!$B$6:$B$17&lt;=$B39)*('Changes — Earner 2'!$B$6:$B$17&lt;&gt;"")),'Changes — Earner 2'!$D$6:$D$17),'Second Earner'!$C$14))</f>
      </c>
      <c r="AP39" s="7">
        <f>IF($B39="","",IFERROR(LOOKUP(2,1/(('Changes — Earner 2'!$C$6:$C$17="W-4 change")*('Changes — Earner 2'!$B$6:$B$17&lt;=$B39)*('Changes — Earner 2'!$B$6:$B$17&lt;&gt;"")),'Changes — Earner 2'!$E$6:$E$17),'Second Earner'!$C$15))</f>
      </c>
      <c r="AQ39" s="7">
        <f>IF($B39="","",IFERROR(LOOKUP(2,1/(('Changes — Earner 2'!$C$6:$C$17="W-4 change")*('Changes — Earner 2'!$B$6:$B$17&lt;=$B39)*('Changes — Earner 2'!$B$6:$B$17&lt;&gt;"")),'Changes — Earner 2'!$F$6:$F$17),'Second Earner'!$C$16))</f>
      </c>
      <c r="AR39" s="7">
        <f>IF($B39="","",IFERROR(LOOKUP(2,1/(('Changes — Earner 2'!$C$6:$C$17="W-4 change")*('Changes — Earner 2'!$B$6:$B$17&lt;=$B39)*('Changes — Earner 2'!$B$6:$B$17&lt;&gt;"")),'Changes — Earner 2'!$G$6:$G$17),'Second Earner'!$C$17))</f>
      </c>
      <c r="AS39" s="6">
        <f>IF($B39="","",IFERROR(LOOKUP(2,1/((('Changes — Earner 2'!$C$6:$C$17="State move")+('Changes — Earner 2'!$C$6:$C$17="State cert change"))*('Changes — Earner 2'!$B$6:$B$17&lt;=$B39)*('Changes — Earner 2'!$B$6:$B$17&lt;&gt;"")),'Changes — Earner 2'!$F$6:$F$17),'Second Earner'!$C$23))</f>
      </c>
      <c r="AT39" s="6">
        <f>IF($B39="","",IFERROR(LOOKUP(2,1/((('Changes — Earner 2'!$C$6:$C$17="State move")+('Changes — Earner 2'!$C$6:$C$17="State cert change"))*('Changes — Earner 2'!$B$6:$B$17&lt;=$B39)*('Changes — Earner 2'!$B$6:$B$17&lt;&gt;"")),'Changes — Earner 2'!$G$6:$G$17),'Second Earner'!$C$24))</f>
      </c>
      <c r="AU39">
        <f>IF($B39="","",IFERROR(LOOKUP(2,1/(('Changes — Earner 2'!$C$6:$C$17="State move")*('Changes — Earner 2'!$B$6:$B$17&lt;=$B39)*('Changes — Earner 2'!$B$6:$B$17&lt;&gt;"")),'Changes — Earner 2'!$E$6:$E$17),'Second Earner'!$C$22))</f>
      </c>
      <c r="AV39" s="6">
        <f>IF($B39="","",1+COUNTIFS('Changes — Earner 2'!$C$6:$C$17,"Employer change",'Changes — Earner 2'!$B$6:$B$17,"&lt;="&amp;$B39,'Changes — Earner 2'!$B$6:$B$17,"&lt;&gt;"))</f>
      </c>
      <c r="AW39" s="7">
        <f>IF($B39="","",IF($AV39=1,'Second Earner'!$C$49,IF(IFERROR(MATCH(IFERROR(LOOKUP(2,1/(('Changes — Earner 2'!$C$6:$C$17="Employer change")*('Changes — Earner 2'!$B$6:$B$17&lt;=$B39)*('Changes — Earner 2'!$B$6:$B$17&lt;&gt;"")),'Changes — Earner 2'!$B$6:$B$17),""),$B$6:$B$68,1),1)&lt;=1,'Second Earner'!$C$49,INDEX($AB$6:$AB$68,MATCH(IFERROR(LOOKUP(2,1/(('Changes — Earner 2'!$C$6:$C$17="Employer change")*('Changes — Earner 2'!$B$6:$B$17&lt;=$B39)*('Changes — Earner 2'!$B$6:$B$17&lt;&gt;"")),'Changes — Earner 2'!$B$6:$B$17),""),$B$6:$B$68,1)-1))))</f>
      </c>
      <c r="AX39" s="7">
        <f>IF($B39="","",IF($AV39=1,'Second Earner'!$C$49,IFERROR(LOOKUP(2,1/(('Changes — Earner 2'!$C$6:$C$17="Employer change")*('Changes — Earner 2'!$B$6:$B$17&lt;=$B39)*('Changes — Earner 2'!$B$6:$B$17&lt;&gt;"")),'Changes — Earner 2'!$D$6:$D$17),0)))</f>
      </c>
      <c r="AY39" s="7">
        <f>IF($B39="","",($O39-$D39)*'Second Earner'!$C$8)</f>
      </c>
      <c r="AZ39" s="7">
        <f>IF($B39="","",IF($AN39="AL",MAX(0,$AY39-IF($AU39="Married",IF($AY39&lt;=25999,8500,MAX(5000,8500-175*CEILING(($AY39-25999)/500,1))),IF($AU39="Head of household",IF($AY39&lt;=25999,5200,MAX(2500,5200-135*CEILING(($AY39-25999)/500,1))),IF($AY39&lt;=25999,3000,MAX(2500,3000-25*CEILING(($AY39-25999)/500,1)))))-($P39-'How This Works &amp; Sources'!$C$10*$D39)*'Second Earner'!$C$8-IF(OR($AU39="Married",$AU39="Head of household"),3000,1500)-$AT39*IF($AY39&lt;=50000,1000,IF($AY39&lt;=100000,500,300))),IF($AN39="AR",IF(MAX(0,$AY39-2470)&lt;97701,INT(MAX(0,$AY39-2470)/100)*100+50,MAX(0,$AY39-2470)),IF($AN39="DE",MAX(0,$AI39-3250),IF($AN39="HI",MAX(0,$AI39-1144*$AS39-4350),IF($AN39="KS",MAX(0,$AI39-(9160*IF($AU39="Married",2,1)+2320*$AT39+IF($AU39="Head of household",2320,0))),IF($AN39="MD",MAX(0,$AI39-3400-3200*$AS39),IF($AN39="MN",MAX(0,$AY39-5300*$AS39),IF($AN39="MO",MAX(0,$AI39-IF($AU39="Head of household",24150,IF($AU39="Married",IF('Second Earner'!$C$83,16100,32200),16100))),IF($AN39="MT",$AY39,IF($AN39="ND",($C39+$L39)*'Second Earner'!$C$8,IF($AN39="NE",MAX(0,$AY39-2440*$AS39),IF($AN39="NJ",MAX(0,$AY39-1000*$AS39),IF($AN39="NY",MAX(0,$AY39-(IF($AU39="Married",7950,7400)+1000*$AS39)),IF($AN39="OH",MAX(0,$AY39-650*$AS39),IF($AN39="OK",MAX(0,$AY39-1000*$AS39),IF($AN39="RI",MAX(0,$AI39-1000*$AS39),IF($AN39="SC",MAX(0,$AI39-5000*$AS39-IF($AS39=0,0,MIN(0.1*$AI39,7500))),IF($AN39="VA",MAX(0,$AI39-IF($AU39="Married",17500,8750)-930*$AS39-800*$AT39),IF($AN39="VT",MAX(0,$AI39-5400*$AS39),IF($AN39="WI",MAX(0,$AI39-MAX(0,IF($AU39="Married",9461-0.2*MAX(0,$AI39-25727),6702-0.12*MAX(0,$AI39-17780)))-400*$AS39),IF($AN39="WV",MAX(0,$AI39-2000*$AS39),$AI39))))))))))))))))))))))</f>
      </c>
      <c r="BA39" s="7">
        <f>IF($B39="","",IF($BW39&lt;&gt;"",$BW39,IF($BX39&lt;&gt;"",$BX39,IF($BY39&lt;&gt;"",$BY39,0))))</f>
      </c>
      <c r="BB39" s="7">
        <f>IF($B39="","",IF($AN39="AR",-29*$AS39,IF($AN39="DE",-110*$AS39,IF($AN39="MD",$AZ39*'Second Earner'!$C$74,IF($AN39="AZ",'Second Earner'!$C$82*($M39-$D39)*'Second Earner'!$C$8,IF($AN39="CO",0.044*MAX(0,$AY39-IF($AU39="Married",10000,5000)),IF($AN39="IA",MAX(0,0.038*MAX(0,$AY39-IF($AU39="Head of household",19500,IF($AU39="Married",26000,13000)))-40*$AS39),IF($AN39="ID",0.053*MAX(0,$AY39-IF($AU39="Married",32000,16094)),IF($AN39="IL",0.0495*MAX(0,$AY39-(2925*$AS39+1000*$AT39)),IF($AN39="IN",(0.0295+'Second Earner'!$C$76)*MAX(0,$AY39-(1000*$AS39+1500*$AT39+3000*'Second Earner'!$C$86)),IF($AN39="KY",0.035*MAX(0,$AI39-3360),IF($AN39="LA",IF('Second Earner'!$C$84="0",0.0309*$AI39,0.0309*MAX(0,$AI39-IF('Second Earner'!$C$84="2",25750,12875))),IF($AN39="MA",0.05*MIN(MAX(0,$AY39-MIN(($BD38+$Q39+$R39+$S39),2000)-IF($AS39=0,0,IF($AS39=1,4400,1000*$AS39+3400))),1107750)+0.09*MAX(0,MAX(0,$AY39-MIN(($BD38+$Q39+$R39+$S39),2000)-IF($AS39=0,0,IF($AS39=1,4400,1000*$AS39+3400)))-1107750)-IF($AU39="Head of household",120,0)-110*'Second Earner'!$C$75,IF($AN39="MI",0.0425*MAX(0,$AY39-5900*$AS39),IF($AN39="MS",0.04*MAX(0,$AI39-IF($AU39="Head of household",3400,IF($AU39="Married",4600,2300))-'Second Earner'!$C$85-10000),IF($AN39="OR",IF(OR($AU39="Married",AND($AU39="Single",$AS39&gt;=3)),SUMPRODUCT((MAX(0,$AY39-MIN(($P39-'How This Works &amp; Sources'!$C$10*$D39)*'Second Earner'!$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Sources'!$B$211:$J$214,0,4))*(MAX(0,$AY39-MIN(($P39-'How This Works &amp; Sources'!$C$10*$D39)*'Second Earner'!$C$8,IF(OR($AU39="Married",AND($AU39="Single",$AS39&gt;=3)),IF($AY39&lt;250000,8750,IF($AY39&lt;260000,7000,IF($AY39&lt;270000,5250,IF($AY39&lt;280000,3500,IF($AY39&lt;290000,1750,0))))),IF($AY39&lt;125000,8750,IF($AY39&lt;130000,7000,IF($AY39&lt;135000,5250,IF($AY39&lt;140000,3500,IF($AY39&lt;145000,1750,0)))))))-IF(OR($AU39="Married",AND($AU39="Single",$AS39&gt;=3)),5820,2910))-INDEX('How This Works &amp; Sources'!$B$211:$J$214,0,4))*INDEX('How This Works &amp; Sources'!$B$211:$J$214,0,4+2)),SUMPRODUCT((MAX(0,$AY39-MIN(($P39-'How This Works &amp; Sources'!$C$10*$D39)*'Second Earner'!$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Sources'!$B$211:$J$214,0,1))*(MAX(0,$AY39-MIN(($P39-'How This Works &amp; Sources'!$C$10*$D39)*'Second Earner'!$C$8,IF(OR($AU39="Married",AND($AU39="Single",$AS39&gt;=3)),IF($AY39&lt;250000,8750,IF($AY39&lt;260000,7000,IF($AY39&lt;270000,5250,IF($AY39&lt;280000,3500,IF($AY39&lt;290000,1750,0))))),IF($AY39&lt;125000,8750,IF($AY39&lt;130000,7000,IF($AY39&lt;135000,5250,IF($AY39&lt;140000,3500,IF($AY39&lt;145000,1750,0)))))))-IF(OR($AU39="Married",AND($AU39="Single",$AS39&gt;=3)),5820,2910))-INDEX('How This Works &amp; Sources'!$B$211:$J$214,0,1))*INDEX('How This Works &amp; Sources'!$B$211:$J$214,0,1+2)))+263-263*IF(IF($AU39="Married",$AY39&gt;200000,$AY39&gt;100000),0,$AS39),IF($AN39="PA",0.0307*(($O39+$E39+$G39)*'Second Earner'!$C$8),IF($AN39="NY",IF($AU39="Married",IF($AZ39&gt;=2155350,0,IF($AZ39&gt;=1077550,0.48,IF($AZ39&gt;=373200,1.21,IF($AZ39&gt;=323200,0.21,IF($AZ39&gt;=211550,-0.19,IF($AZ39&gt;=157650,-2.8,IF($AZ39&gt;=107650,-0.8,IF($AZ39&gt;=96800,0.05,IF($AZ39&gt;=80650,-0.1,IF($AZ39&gt;=13900,0.4,IF($AZ39&gt;=11700,-0.3,IF($AZ39&gt;=8500,0.5,0)))))))))))),IF($AZ39&gt;=1077550,0,IF($AZ39&gt;=265400,4.29,IF($AZ39&gt;=215400,2.29,IF($AZ39&gt;=157650,2.29,IF($AZ39&gt;=107650,0.29,IF($AZ39&gt;=96800,0.05,IF($AZ39&gt;=80650,-0.1,IF($AZ39&gt;=13900,0.4,IF($AZ39&gt;=11700,-0.3,IF($AZ39&gt;=8500,0.5,0))))))))))),0))))))))))))))))))</f>
      </c>
      <c r="BC39" s="7">
        <f>IF($B39="","",IF($AN39="AL",0.05*$D39,IF($AN39="AR",0.039*$D39,IF($AN39="ID",0.053*$D39,IF($AN39="IN",(0.0295+'Second Earner'!$C$76)*$D39,IF($AN39="KS",0.05*$D39,IF($AN39="MA",0.09*MIN($D39,MAX(0,MAX(0,$AY39-MIN(($BD38+$Q39+$R39+$S39),2000)-IF($AS39=0,0,IF($AS39=1,4400,1000*$AS39+3400)))+$D39-1107750))+0.05*($D39-MIN($D39,MAX(0,MAX(0,$AY39-MIN(($BD38+$Q39+$R39+$S39),2000)-IF($AS39=0,0,IF($AS39=1,4400,1000*$AS39+3400)))+$D39-1107750))),IF($AN39="MD",(0.065+'Second Earner'!$C$74)*$D39,IF($AN39="MI",0.0425*$D39,IF($AN39="MN",0.0625*$D39,IF($AN39="MO",0.047*$D39,IF($AN39="MT",0.05*$D39,IF($AN39="ND",0.015*$D39,IF($AN39="NE",0.035*$D39,IF($AN39="NJ",IF('Second Earner'!$C$77="B",SUMPRODUCT(($D39*'Second Earner'!$C$8&gt;INDEX('How This Works &amp; Sources'!$B$155:$J$162,0,4))*($D39*'Second Earner'!$C$8-INDEX('How This Works &amp; Sources'!$B$155:$J$162,0,4))*INDEX('How This Works &amp; Sources'!$B$155:$J$162,0,4+2)),IF('Second Earner'!$C$77="C",SUMPRODUCT(($D39*'Second Earner'!$C$8&gt;INDEX('How This Works &amp; Sources'!$B$155:$J$162,0,7))*($D39*'Second Earner'!$C$8-INDEX('How This Works &amp; Sources'!$B$155:$J$162,0,7))*INDEX('How This Works &amp; Sources'!$B$155:$J$162,0,7+2)),IF('Second Earner'!$C$77="D",SUMPRODUCT(($D39*'Second Earner'!$C$8&gt;INDEX('How This Works &amp; Sources'!$B$167:$J$179,0,1))*($D39*'Second Earner'!$C$8-INDEX('How This Works &amp; Sources'!$B$167:$J$179,0,1))*INDEX('How This Works &amp; Sources'!$B$167:$J$179,0,1+2)),IF('Second Earner'!$C$77="E",SUMPRODUCT(($D39*'Second Earner'!$C$8&gt;INDEX('How This Works &amp; Sources'!$B$167:$J$179,0,4))*($D39*'Second Earner'!$C$8-INDEX('How This Works &amp; Sources'!$B$167:$J$179,0,4))*INDEX('How This Works &amp; Sources'!$B$167:$J$179,0,4+2)),SUMPRODUCT(($D39*'Second Earner'!$C$8&gt;INDEX('How This Works &amp; Sources'!$B$155:$J$162,0,1))*($D39*'Second Earner'!$C$8-INDEX('How This Works &amp; Sources'!$B$155:$J$162,0,1))*INDEX('How This Works &amp; Sources'!$B$155:$J$162,0,1+2))))))/'Second Earner'!$C$8,IF($AN39="NY",0.117*$D39,IF($AN39="OH",0.0275*$D39,IF($AN39="OK",0.045*$D39,IF($AN39="OR",0.08*$D39,IF($AN39="WI",IF($AY39&lt;12760,0.0354,IF($AY39&lt;25520,0.0465,IF($AY39&lt;280950,0.053,0.0765)))*$D39,0))))))))))))))))))))</f>
      </c>
      <c r="BD39" s="7">
        <f>IF($B39="","",$BD38+$Q39+$R39+$S39)</f>
      </c>
      <c r="BE39" s="6">
        <f>IF($B39="",$BE38,$BE38+$BF39)</f>
      </c>
      <c r="BF39" s="6">
        <f>IF($B39="","",IF(AND(IF(YEAR(IF('Second Earner'!$C$7="Weekly",'Second Earner'!$C$9+7*(($BE38+1)-1),IF('Second Earner'!$C$7="Biweekly",'Second Earner'!$C$9+14*(($BE38+1)-1),IF('Second Earner'!$C$7="Semimonthly",DATE(YEAR('Second Earner'!$C$9),MONTH('Second Earner'!$C$9)+INT((($BE38+1)-1)/2),MIN(DAY('Second Earner'!$C$9),DAY(EOMONTH(DATE(YEAR('Second Earner'!$C$9),MONTH('Second Earner'!$C$9)+INT((($BE38+1)-1)/2),1),0))))+IF(MOD(($BE38+1)-1,2)=1,15,0),EDATE('Second Earner'!$C$9,($BE38+1)-1)))))&lt;&gt;'Second Earner'!$C$10,"",IF('Second Earner'!$C$7="Weekly",'Second Earner'!$C$9+7*(($BE38+1)-1),IF('Second Earner'!$C$7="Biweekly",'Second Earner'!$C$9+14*(($BE38+1)-1),IF('Second Earner'!$C$7="Semimonthly",DATE(YEAR('Second Earner'!$C$9),MONTH('Second Earner'!$C$9)+INT((($BE38+1)-1)/2),MIN(DAY('Second Earner'!$C$9),DAY(EOMONTH(DATE(YEAR('Second Earner'!$C$9),MONTH('Second Earner'!$C$9)+INT((($BE38+1)-1)/2),1),0))))+IF(MOD(($BE38+1)-1,2)=1,15,0),EDATE('Second Earner'!$C$9,($BE38+1)-1)))))&lt;&gt;"",$B39=IF(YEAR(IF('Second Earner'!$C$7="Weekly",'Second Earner'!$C$9+7*(($BE38+1)-1),IF('Second Earner'!$C$7="Biweekly",'Second Earner'!$C$9+14*(($BE38+1)-1),IF('Second Earner'!$C$7="Semimonthly",DATE(YEAR('Second Earner'!$C$9),MONTH('Second Earner'!$C$9)+INT((($BE38+1)-1)/2),MIN(DAY('Second Earner'!$C$9),DAY(EOMONTH(DATE(YEAR('Second Earner'!$C$9),MONTH('Second Earner'!$C$9)+INT((($BE38+1)-1)/2),1),0))))+IF(MOD(($BE38+1)-1,2)=1,15,0),EDATE('Second Earner'!$C$9,($BE38+1)-1)))))&lt;&gt;'Second Earner'!$C$10,"",IF('Second Earner'!$C$7="Weekly",'Second Earner'!$C$9+7*(($BE38+1)-1),IF('Second Earner'!$C$7="Biweekly",'Second Earner'!$C$9+14*(($BE38+1)-1),IF('Second Earner'!$C$7="Semimonthly",DATE(YEAR('Second Earner'!$C$9),MONTH('Second Earner'!$C$9)+INT((($BE38+1)-1)/2),MIN(DAY('Second Earner'!$C$9),DAY(EOMONTH(DATE(YEAR('Second Earner'!$C$9),MONTH('Second Earner'!$C$9)+INT((($BE38+1)-1)/2),1),0))))+IF(MOD(($BE38+1)-1,2)=1,15,0),EDATE('Second Earner'!$C$9,($BE38+1)-1)))))),1,0))</f>
      </c>
      <c r="BG39" s="7">
        <f>IF($B39="","",$BG38+$H39)</f>
      </c>
      <c r="BH39" s="7">
        <f>IF($B39="","",$BH38+$I39)</f>
      </c>
      <c r="BI39" s="7">
        <f>IF($B39="","",$BI38+$G39)</f>
      </c>
      <c r="BJ39" s="7">
        <f>IF($B39="","",IFERROR(LOOKUP(2,1/(((('Changes — Earner 2'!$C$6:$C$17="Deduction start"))*('Changes — Earner 2'!$D$6:$D$17="Health FSA"))*('Changes — Earner 2'!$B$6:$B$17&lt;=$B39)*('Changes — Earner 2'!$B$6:$B$17&lt;&gt;"")),'Changes — Earner 2'!$E$6:$E$17),'Second Earner'!$D$38))</f>
      </c>
      <c r="BK39" s="7">
        <f>IF($B39="","",IFERROR(LOOKUP(2,1/(((('Changes — Earner 2'!$C$6:$C$17="Deduction start"))*('Changes — Earner 2'!$D$6:$D$17="Dependent-care FSA"))*('Changes — Earner 2'!$B$6:$B$17&lt;=$B39)*('Changes — Earner 2'!$B$6:$B$17&lt;&gt;"")),'Changes — Earner 2'!$E$6:$E$17),'Second Earner'!$D$39))</f>
      </c>
      <c r="BL39" s="7">
        <f>IF($B39="","",IFERROR(LOOKUP(2,1/(((('Changes — Earner 2'!$C$6:$C$17="Deduction start")+('Changes — Earner 2'!$C$6:$C$17="Deduction stop"))*('Changes — Earner 2'!$D$6:$D$17="HSA"))*('Changes — Earner 2'!$B$6:$B$17&lt;=$B39)*('Changes — Earner 2'!$B$6:$B$17&lt;&gt;"")),'Changes — Earner 2'!$I$6:$I$17),'Second Earner'!$D$35))</f>
      </c>
      <c r="BM39" s="7">
        <f>IF($B39="","",IFERROR(LOOKUP(2,1/(((('Changes — Earner 2'!$C$6:$C$17="Deduction start")+('Changes — Earner 2'!$C$6:$C$17="Deduction stop"))*('Changes — Earner 2'!$D$6:$D$17="Premiums"))*('Changes — Earner 2'!$B$6:$B$17&lt;=$B39)*('Changes — Earner 2'!$B$6:$B$17&lt;&gt;"")),'Changes — Earner 2'!$I$6:$I$17),'Second Earner'!$D$40+'Second Earner'!$D$41+'Second Earner'!$D$42))</f>
      </c>
      <c r="BN39" s="7">
        <f>IF($B39="","",IFERROR(LOOKUP(2,1/(((('Changes — Earner 2'!$C$6:$C$17="Deduction start")+('Changes — Earner 2'!$C$6:$C$17="Deduction stop"))*('Changes — Earner 2'!$D$6:$D$17="Commuter"))*('Changes — Earner 2'!$B$6:$B$17&lt;=$B39)*('Changes — Earner 2'!$B$6:$B$17&lt;&gt;"")),'Changes — Earner 2'!$I$6:$I$17),'Second Earner'!$D$43))</f>
      </c>
      <c r="BO39" s="7">
        <f>IF($B39="","",IFERROR(LOOKUP(2,1/(((('Changes — Earner 2'!$C$6:$C$17="Deduction start")+('Changes — Earner 2'!$C$6:$C$17="Deduction stop"))*('Changes — Earner 2'!$D$6:$D$17="Other pre-tax"))*('Changes — Earner 2'!$B$6:$B$17&lt;=$B39)*('Changes — Earner 2'!$B$6:$B$17&lt;&gt;"")),'Changes — Earner 2'!$I$6:$I$17),'Second Earner'!$D$44))</f>
      </c>
      <c r="BP39" s="7">
        <f>IF($B39="","",IFERROR(LOOKUP(2,1/(((('Changes — Earner 2'!$C$6:$C$17="Deduction start")+('Changes — Earner 2'!$C$6:$C$17="Deduction stop"))*('Changes — Earner 2'!$D$6:$D$17="Other post-tax"))*('Changes — Earner 2'!$B$6:$B$17&lt;=$B39)*('Changes — Earner 2'!$B$6:$B$17&lt;&gt;"")),'Changes — Earner 2'!$I$6:$I$17),'Second Earner'!$D$45))</f>
      </c>
      <c r="BQ39" s="6">
        <f>IF($B39="","",IFERROR(LOOKUP(2,1/(((('Changes — Earner 2'!$C$6:$C$17="Deduction start")+('Changes — Earner 2'!$C$6:$C$17="Deduction stop"))*('Changes — Earner 2'!$D$6:$D$17="Health FSA"))*('Changes — Earner 2'!$B$6:$B$17&lt;=$B39)*('Changes — Earner 2'!$B$6:$B$17&lt;&gt;"")),'Changes — Earner 2'!$J$6:$J$17),0))</f>
      </c>
      <c r="BR39" s="6">
        <f>IF($B39="","",IFERROR(LOOKUP(2,1/(((('Changes — Earner 2'!$C$6:$C$17="Deduction start")+('Changes — Earner 2'!$C$6:$C$17="Deduction stop"))*('Changes — Earner 2'!$D$6:$D$17="Dependent-care FSA"))*('Changes — Earner 2'!$B$6:$B$17&lt;=$B39)*('Changes — Earner 2'!$B$6:$B$17&lt;&gt;"")),'Changes — Earner 2'!$J$6:$J$17),0))</f>
      </c>
      <c r="BS39" s="6">
        <f>IF($B39="","",IF(SUMPRODUCT(('Changes — Earner 2'!$C$6:$C$17="Deduction start")*('Changes — Earner 2'!$B$6:$B$17&lt;=$B39)*('Changes — Earner 2'!$B$6:$B$17&lt;&gt;"")*('Changes — Earner 2'!$D$6:$D$17="Health FSA"))&gt;0,1,0))</f>
      </c>
      <c r="BT39" s="6">
        <f>IF($B39="","",IF(SUMPRODUCT(('Changes — Earner 2'!$C$6:$C$17="Deduction start")*('Changes — Earner 2'!$B$6:$B$17&lt;=$B39)*('Changes — Earner 2'!$B$6:$B$17&lt;&gt;"")*('Changes — Earner 2'!$D$6:$D$17="Dependent-care FSA"))&gt;0,1,0))</f>
      </c>
      <c r="BU39" s="24">
        <f>IF($B39="","",IF('Second Earner'!$C$13,SUMPRODUCT(($AH39&gt;=INDEX('How This Works &amp; Sources'!$B$29:$J$36,0,IF('Second Earner'!$C$12="MFJ",1,IF('Second Earner'!$C$12="HoH",7,4))))*INDEX('How This Works &amp; Sources'!$B$29:$J$36,0,IF('Second Earner'!$C$12="MFJ",1,IF('Second Earner'!$C$12="HoH",7,4))+2)),SUMPRODUCT(($AH39&gt;=INDEX('How This Works &amp; Sources'!$B$19:$J$26,0,IF('Second Earner'!$C$12="MFJ",1,IF('Second Earner'!$C$12="HoH",7,4))))*INDEX('How This Works &amp; Sources'!$B$19:$J$26,0,IF('Second Earner'!$C$12="MFJ",1,IF('Second Earner'!$C$12="HoH",7,4))+2))))</f>
      </c>
      <c r="BV39" s="24">
        <f>IF($B39="","",IF($BZ39&lt;&gt;"",$BZ39,IF($CA39&lt;&gt;"",$CA39,IF($CB39&lt;&gt;"",$CB39,IF($CC39&lt;&gt;"",$CC39,0)))))</f>
      </c>
      <c r="BW39" s="7">
        <f>IF($B39="","",IF($AN39="AR",SUMPRODUCT(($AZ39&gt;INDEX('How This Works &amp; Sources'!$B$82:$J$86,0,7))*($AZ39-INDEX('How This Works &amp; Sources'!$B$82:$J$86,0,7))*INDEX('How This Works &amp; Sources'!$B$82:$J$86,0,7+2)),IF($AN39="MD",IF(OR($AU39="Married",$AU39="Head of household"),SUMPRODUCT(($AZ39&gt;INDEX('How This Works &amp; Sources'!$B$114:$J$120,0,1))*($AZ39-INDEX('How This Works &amp; Sources'!$B$114:$J$120,0,1))*INDEX('How This Works &amp; Sources'!$B$114:$J$120,0,1+2)),SUMPRODUCT(($AZ39&gt;INDEX('How This Works &amp; Sources'!$B$103:$J$109,0,7))*($AZ39-INDEX('How This Works &amp; Sources'!$B$103:$J$109,0,7))*INDEX('How This Works &amp; Sources'!$B$103:$J$109,0,7+2))),IF($AN39="MT",IF($AU39="Head of household",SUMPRODUCT(($AZ39&gt;INDEX('How This Works &amp; Sources'!$B$137:$J$139,0,1))*($AZ39-INDEX('How This Works &amp; Sources'!$B$137:$J$139,0,1))*INDEX('How This Works &amp; Sources'!$B$137:$J$139,0,1+2)),IF($AU39="Married",SUMPRODUCT(($AZ39&gt;INDEX('How This Works &amp; Sources'!$B$125:$J$132,0,7))*($AZ39-INDEX('How This Works &amp; Sources'!$B$125:$J$132,0,7))*INDEX('How This Works &amp; Sources'!$B$125:$J$132,0,7+2)),SUMPRODUCT(($AZ39&gt;INDEX('How This Works &amp; Sources'!$B$125:$J$132,0,4))*($AZ39-INDEX('How This Works &amp; Sources'!$B$125:$J$132,0,4))*INDEX('How This Works &amp; Sources'!$B$125:$J$132,0,4+2)))),IF($AN39="ND",IF($AU39="Head of household",SUMPRODUCT(($AZ39&gt;INDEX('How This Works &amp; Sources'!$B$144:$J$150,0,1))*($AZ39-INDEX('How This Works &amp; Sources'!$B$144:$J$150,0,1))*INDEX('How This Works &amp; Sources'!$B$144:$J$150,0,1+2)),IF($AU39="Married",SUMPRODUCT(($AZ39&gt;INDEX('How This Works &amp; Sources'!$B$137:$J$139,0,7))*($AZ39-INDEX('How This Works &amp; Sources'!$B$137:$J$139,0,7))*INDEX('How This Works &amp; Sources'!$B$137:$J$139,0,7+2)),SUMPRODUCT(($AZ39&gt;INDEX('How This Works &amp; Sources'!$B$137:$J$139,0,4))*($AZ39-INDEX('How This Works &amp; Sources'!$B$137:$J$139,0,4))*INDEX('How This Works &amp; Sources'!$B$137:$J$139,0,4+2)))),IF($AN39="NJ",IF('Second Earner'!$C$77="B",SUMPRODUCT(($AZ39&gt;INDEX('How This Works &amp; Sources'!$B$155:$J$162,0,4))*($AZ39-INDEX('How This Works &amp; Sources'!$B$155:$J$162,0,4))*INDEX('How This Works &amp; Sources'!$B$155:$J$162,0,4+2)),IF('Second Earner'!$C$77="C",SUMPRODUCT(($AZ39&gt;INDEX('How This Works &amp; Sources'!$B$155:$J$162,0,7))*($AZ39-INDEX('How This Works &amp; Sources'!$B$155:$J$162,0,7))*INDEX('How This Works &amp; Sources'!$B$155:$J$162,0,7+2)),IF('Second Earner'!$C$77="D",SUMPRODUCT(($AZ39&gt;INDEX('How This Works &amp; Sources'!$B$167:$J$179,0,1))*($AZ39-INDEX('How This Works &amp; Sources'!$B$167:$J$179,0,1))*INDEX('How This Works &amp; Sources'!$B$167:$J$179,0,1+2)),IF('Second Earner'!$C$77="E",SUMPRODUCT(($AZ39&gt;INDEX('How This Works &amp; Sources'!$B$167:$J$179,0,4))*($AZ39-INDEX('How This Works &amp; Sources'!$B$167:$J$179,0,4))*INDEX('How This Works &amp; Sources'!$B$167:$J$179,0,4+2)),SUMPRODUCT(($AZ39&gt;INDEX('How This Works &amp; Sources'!$B$155:$J$162,0,1))*($AZ39-INDEX('How This Works &amp; Sources'!$B$155:$J$162,0,1))*INDEX('How This Works &amp; Sources'!$B$155:$J$162,0,1+2)))))),IF($AN39="NY",IF($AU39="Married",IF($AZ39&gt;=2155350,$AZ39*IF($AZ39&gt;25000000,0.117,IF($AZ39&gt;5000000,0.111,0.1045)),SUMPRODUCT(($AZ39&gt;INDEX('How This Works &amp; Sources'!$B$184:$J$198,0,1))*($AZ39-INDEX('How This Works &amp; Sources'!$B$184:$J$198,0,1))*INDEX('How This Works &amp; Sources'!$B$184:$J$198,0,1+2))),IF($AZ39&gt;=1077550,$AZ39*IF($AZ39&gt;25000000,0.117,IF($AZ39&gt;5000000,0.111,0.1045)),SUMPRODUCT(($AZ39&gt;INDEX('How This Works &amp; Sources'!$B$167:$J$179,0,7))*($AZ39-INDEX('How This Works &amp; Sources'!$B$167:$J$179,0,7))*INDEX('How This Works &amp; Sources'!$B$167:$J$179,0,7+2)))),"")))))))</f>
      </c>
      <c r="BX39" s="7">
        <f>IF($B39="","",IF($AN39="AL",IF(OR($AU39="Married",$AU39="Head of household"),SUMPRODUCT(($AZ39&gt;INDEX('How This Works &amp; Sources'!$B$82:$J$86,0,4))*($AZ39-INDEX('How This Works &amp; Sources'!$B$82:$J$86,0,4))*INDEX('How This Works &amp; Sources'!$B$82:$J$86,0,4+2)),SUMPRODUCT(($AZ39&gt;INDEX('How This Works &amp; Sources'!$B$82:$J$86,0,1))*($AZ39-INDEX('How This Works &amp; Sources'!$B$82:$J$86,0,1))*INDEX('How This Works &amp; Sources'!$B$82:$J$86,0,1+2))),IF($AN39="KS",IF($AU39="Married",SUMPRODUCT(($AZ39&gt;INDEX('How This Works &amp; Sources'!$B$103:$J$109,0,4))*($AZ39-INDEX('How This Works &amp; Sources'!$B$103:$J$109,0,4))*INDEX('How This Works &amp; Sources'!$B$103:$J$109,0,4+2)),SUMPRODUCT(($AZ39&gt;INDEX('How This Works &amp; Sources'!$B$103:$J$109,0,1))*($AZ39-INDEX('How This Works &amp; Sources'!$B$103:$J$109,0,1))*INDEX('How This Works &amp; Sources'!$B$103:$J$109,0,1+2))),IF($AN39="MN",IF($AU39="Married",SUMPRODUCT(($AZ39&gt;INDEX('How This Works &amp; Sources'!$B$114:$J$120,0,7))*($AZ39-INDEX('How This Works &amp; Sources'!$B$114:$J$120,0,7))*INDEX('How This Works &amp; Sources'!$B$114:$J$120,0,7+2)),SUMPRODUCT(($AZ39&gt;INDEX('How This Works &amp; Sources'!$B$114:$J$120,0,4))*($AZ39-INDEX('How This Works &amp; Sources'!$B$114:$J$120,0,4))*INDEX('How This Works &amp; Sources'!$B$114:$J$120,0,4+2))),IF($AN39="MO",SUMPRODUCT(($AZ39&gt;INDEX('How This Works &amp; Sources'!$B$125:$J$132,0,1))*($AZ39-INDEX('How This Works &amp; Sources'!$B$125:$J$132,0,1))*INDEX('How This Works &amp; Sources'!$B$125:$J$132,0,1+2)),IF($AN39="NE",MAX(IF($AU39="Married",SUMPRODUCT(($AZ39&gt;INDEX('How This Works &amp; Sources'!$B$144:$J$150,0,7))*($AZ39-INDEX('How This Works &amp; Sources'!$B$144:$J$150,0,7))*INDEX('How This Works &amp; Sources'!$B$144:$J$150,0,7+2)),SUMPRODUCT(($AZ39&gt;INDEX('How This Works &amp; Sources'!$B$144:$J$150,0,4))*($AZ39-INDEX('How This Works &amp; Sources'!$B$144:$J$150,0,4))*INDEX('How This Works &amp; Sources'!$B$144:$J$150,0,4+2))),0.015*$AZ39),IF($AN39="OH",IF($B39&gt;=DATE(2026,8,1),SUMPRODUCT(($AZ39&gt;INDEX('How This Works &amp; Sources'!$B$203:$J$206,0,1))*($AZ39-INDEX('How This Works &amp; Sources'!$B$203:$J$206,0,1))*INDEX('How This Works &amp; Sources'!$B$203:$J$206,0,1+2)),SUMPRODUCT(($AZ39&gt;INDEX('How This Works &amp; Sources'!$B$184:$J$198,0,7))*($AZ39-INDEX('How This Works &amp; Sources'!$B$184:$J$198,0,7))*INDEX('How This Works &amp; Sources'!$B$184:$J$198,0,7+2))),IF($AN39="OK",IF($AU39="Married",SUMPRODUCT(($AZ39&gt;INDEX('How This Works &amp; Sources'!$B$203:$J$206,0,7))*($AZ39-INDEX('How This Works &amp; Sources'!$B$203:$J$206,0,7))*INDEX('How This Works &amp; Sources'!$B$203:$J$206,0,7+2)),SUMPRODUCT(($AZ39&gt;INDEX('How This Works &amp; Sources'!$B$203:$J$206,0,4))*($AZ39-INDEX('How This Works &amp; Sources'!$B$203:$J$206,0,4))*INDEX('How This Works &amp; Sources'!$B$203:$J$206,0,4+2))),IF($AN39="VT",IF($AU39="Married",SUMPRODUCT(($AZ39&gt;INDEX('How This Works &amp; Sources'!$B$228:$J$232,0,1))*($AZ39-INDEX('How This Works &amp; Sources'!$B$228:$J$232,0,1))*INDEX('How This Works &amp; Sources'!$B$228:$J$232,0,1+2)),SUMPRODUCT(($AZ39&gt;INDEX('How This Works &amp; Sources'!$B$219:$J$223,0,7))*($AZ39-INDEX('How This Works &amp; Sources'!$B$219:$J$223,0,7))*INDEX('How This Works &amp; Sources'!$B$219:$J$223,0,7+2))),IF($AN39="WV",IF($AU39="Married",SUMPRODUCT(($AZ39&gt;INDEX('How This Works &amp; Sources'!$B$237:$J$241,0,7))*($AZ39-INDEX('How This Works &amp; Sources'!$B$237:$J$241,0,7))*INDEX('How This Works &amp; Sources'!$B$237:$J$241,0,7+2)),SUMPRODUCT(($AZ39&gt;INDEX('How This Works &amp; Sources'!$B$228:$J$232,0,7))*($AZ39-INDEX('How This Works &amp; Sources'!$B$228:$J$232,0,7))*INDEX('How This Works &amp; Sources'!$B$228:$J$232,0,7+2))),""))))))))))</f>
      </c>
      <c r="BY39" s="7">
        <f>IF($B39="","",IF($AN39="DE",SUMPRODUCT(($AZ39&gt;INDEX('How This Works &amp; Sources'!$B$91:$J$98,0,1))*($AZ39-INDEX('How This Works &amp; Sources'!$B$91:$J$98,0,1))*INDEX('How This Works &amp; Sources'!$B$91:$J$98,0,1+2)),IF($AN39="HI",IF($AU39="Married",SUMPRODUCT(($AZ39&gt;INDEX('How This Works &amp; Sources'!$B$91:$J$98,0,7))*($AZ39-INDEX('How This Works &amp; Sources'!$B$91:$J$98,0,7))*INDEX('How This Works &amp; Sources'!$B$91:$J$98,0,7+2)),SUMPRODUCT(($AZ39&gt;INDEX('How This Works &amp; Sources'!$B$91:$J$98,0,4))*($AZ39-INDEX('How This Works &amp; Sources'!$B$91:$J$98,0,4))*INDEX('How This Works &amp; Sources'!$B$91:$J$98,0,4+2))),IF($AN39="RI",SUMPRODUCT(($AZ39&gt;INDEX('How This Works &amp; Sources'!$B$211:$J$214,0,7))*($AZ39-INDEX('How This Works &amp; Sources'!$B$211:$J$214,0,7))*INDEX('How This Works &amp; Sources'!$B$211:$J$214,0,7+2)),IF($AN39="SC",SUMPRODUCT(($AZ39&gt;INDEX('How This Works &amp; Sources'!$B$219:$J$223,0,1))*($AZ39-INDEX('How This Works &amp; Sources'!$B$219:$J$223,0,1))*INDEX('How This Works &amp; Sources'!$B$219:$J$223,0,1+2)),IF($AN39="VA",SUMPRODUCT(($AZ39&gt;INDEX('How This Works &amp; Sources'!$B$219:$J$223,0,4))*($AZ39-INDEX('How This Works &amp; Sources'!$B$219:$J$223,0,4))*INDEX('How This Works &amp; Sources'!$B$219:$J$223,0,4+2)),IF($AN39="WI",SUMPRODUCT(($AZ39&gt;INDEX('How This Works &amp; Sources'!$B$228:$J$232,0,4))*($AZ39-INDEX('How This Works &amp; Sources'!$B$228:$J$232,0,4))*INDEX('How This Works &amp; Sources'!$B$228:$J$232,0,4+2)),"")))))))</f>
      </c>
      <c r="BZ39" s="24">
        <f>IF($B39="","",IF($AN39="KS",IF($AU39="Married",SUMPRODUCT(($AZ39&gt;=INDEX('How This Works &amp; Sources'!$B$103:$J$109,0,4))*INDEX('How This Works &amp; Sources'!$B$103:$J$109,0,4+2)),SUMPRODUCT(($AZ39&gt;=INDEX('How This Works &amp; Sources'!$B$103:$J$109,0,1))*INDEX('How This Works &amp; Sources'!$B$103:$J$109,0,1+2))),IF($AN39="MT",IF($AU39="Head of household",SUMPRODUCT(($AZ39&gt;=INDEX('How This Works &amp; Sources'!$B$137:$J$139,0,1))*INDEX('How This Works &amp; Sources'!$B$137:$J$139,0,1+2)),IF($AU39="Married",SUMPRODUCT(($AZ39&gt;=INDEX('How This Works &amp; Sources'!$B$125:$J$132,0,7))*INDEX('How This Works &amp; Sources'!$B$125:$J$132,0,7+2)),SUMPRODUCT(($AZ39&gt;=INDEX('How This Works &amp; Sources'!$B$125:$J$132,0,4))*INDEX('How This Works &amp; Sources'!$B$125:$J$132,0,4+2)))),IF($AN39="OR",IF(OR($AU39="Married",AND($AU39="Single",$AS39&gt;=3)),SUMPRODUCT((MAX(0,$AY39-MIN(($P39-'How This Works &amp; Sources'!$C$10*$D39)*'Second Earner'!$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Sources'!$B$211:$J$214,0,4))*INDEX('How This Works &amp; Sources'!$B$211:$J$214,0,4+2)),SUMPRODUCT((MAX(0,$AY39-MIN(($P39-'How This Works &amp; Sources'!$C$10*$D39)*'Second Earner'!$C$8,IF(OR($AU39="Married",AND($AU39="Single",$AS39&gt;=3)),IF($AY39&lt;250000,8750,IF($AY39&lt;260000,7000,IF($AY39&lt;270000,5250,IF($AY39&lt;280000,3500,IF($AY39&lt;290000,1750,0))))),IF($AY39&lt;125000,8750,IF($AY39&lt;130000,7000,IF($AY39&lt;135000,5250,IF($AY39&lt;140000,3500,IF($AY39&lt;145000,1750,0)))))))-IF(OR($AU39="Married",AND($AU39="Single",$AS39&gt;=3)),5820,2910))&gt;=INDEX('How This Works &amp; Sources'!$B$211:$J$214,0,1))*INDEX('How This Works &amp; Sources'!$B$211:$J$214,0,1+2)))*IF(($P39-'How This Works &amp; Sources'!$C$10*$D39)*'Second Earner'!$C$8&gt;=IF(OR($AU39="Married",AND($AU39="Single",$AS39&gt;=3)),IF($AY39&lt;250000,8750,IF($AY39&lt;260000,7000,IF($AY39&lt;270000,5250,IF($AY39&lt;280000,3500,IF($AY39&lt;290000,1750,0))))),IF($AY39&lt;125000,8750,IF($AY39&lt;130000,7000,IF($AY39&lt;135000,5250,IF($AY39&lt;140000,3500,IF($AY39&lt;145000,1750,0)))))),1,1-IF('Second Earner'!$C$13,SUMPRODUCT(($AH39&gt;=INDEX('How This Works &amp; Sources'!$B$29:$J$36,0,IF('Second Earner'!$C$12="MFJ",1,IF('Second Earner'!$C$12="HoH",7,4))))*INDEX('How This Works &amp; Sources'!$B$29:$J$36,0,IF('Second Earner'!$C$12="MFJ",1,IF('Second Earner'!$C$12="HoH",7,4))+2)),SUMPRODUCT(($AH39&gt;=INDEX('How This Works &amp; Sources'!$B$19:$J$26,0,IF('Second Earner'!$C$12="MFJ",1,IF('Second Earner'!$C$12="HoH",7,4))))*INDEX('How This Works &amp; Sources'!$B$19:$J$26,0,IF('Second Earner'!$C$12="MFJ",1,IF('Second Earner'!$C$12="HoH",7,4))+2)))),""))))</f>
      </c>
      <c r="CA39" s="24">
        <f>IF($B39="","",IF($AN39="CA",SUMPRODUCT(($AJ39&gt;=INDEX('How This Works &amp; Sources'!$B$39:$J$48,0,IF($AU39="Married",4,IF($AU39="Head of household",7,1))))*INDEX('How This Works &amp; Sources'!$B$39:$J$48,0,IF($AU39="Married",4,IF($AU39="Head of household",7,1))+2)),IF($AN39="AL",IF(OR($AU39="Married",$AU39="Head of household"),SUMPRODUCT(($AZ39&gt;=INDEX('How This Works &amp; Sources'!$B$82:$J$86,0,4))*INDEX('How This Works &amp; Sources'!$B$82:$J$86,0,4+2)),SUMPRODUCT(($AZ39&gt;=INDEX('How This Works &amp; Sources'!$B$82:$J$86,0,1))*INDEX('How This Works &amp; Sources'!$B$82:$J$86,0,1+2)))*(1-IF('Second Earner'!$C$13,SUMPRODUCT(($AH39&gt;=INDEX('How This Works &amp; Sources'!$B$29:$J$36,0,IF('Second Earner'!$C$12="MFJ",1,IF('Second Earner'!$C$12="HoH",7,4))))*INDEX('How This Works &amp; Sources'!$B$29:$J$36,0,IF('Second Earner'!$C$12="MFJ",1,IF('Second Earner'!$C$12="HoH",7,4))+2)),SUMPRODUCT(($AH39&gt;=INDEX('How This Works &amp; Sources'!$B$19:$J$26,0,IF('Second Earner'!$C$12="MFJ",1,IF('Second Earner'!$C$12="HoH",7,4))))*INDEX('How This Works &amp; Sources'!$B$19:$J$26,0,IF('Second Earner'!$C$12="MFJ",1,IF('Second Earner'!$C$12="HoH",7,4))+2)))),IF($AN39="ND",IF($AU39="Head of household",SUMPRODUCT(($AZ39&gt;=INDEX('How This Works &amp; Sources'!$B$144:$J$150,0,1))*INDEX('How This Works &amp; Sources'!$B$144:$J$150,0,1+2)),IF($AU39="Married",SUMPRODUCT(($AZ39&gt;=INDEX('How This Works &amp; Sources'!$B$137:$J$139,0,7))*INDEX('How This Works &amp; Sources'!$B$137:$J$139,0,7+2)),SUMPRODUCT(($AZ39&gt;=INDEX('How This Works &amp; Sources'!$B$137:$J$139,0,4))*INDEX('How This Works &amp; Sources'!$B$137:$J$139,0,4+2)))),IF($AN39="NJ",IF('Second Earner'!$C$77="B",SUMPRODUCT(($AZ39&gt;=INDEX('How This Works &amp; Sources'!$B$155:$J$162,0,4))*INDEX('How This Works &amp; Sources'!$B$155:$J$162,0,4+2)),IF('Second Earner'!$C$77="C",SUMPRODUCT(($AZ39&gt;=INDEX('How This Works &amp; Sources'!$B$155:$J$162,0,7))*INDEX('How This Works &amp; Sources'!$B$155:$J$162,0,7+2)),IF('Second Earner'!$C$77="D",SUMPRODUCT(($AZ39&gt;=INDEX('How This Works &amp; Sources'!$B$167:$J$179,0,1))*INDEX('How This Works &amp; Sources'!$B$167:$J$179,0,1+2)),IF('Second Earner'!$C$77="E",SUMPRODUCT(($AZ39&gt;=INDEX('How This Works &amp; Sources'!$B$167:$J$179,0,4))*INDEX('How This Works &amp; Sources'!$B$167:$J$179,0,4+2)),SUMPRODUCT(($AZ39&gt;=INDEX('How This Works &amp; Sources'!$B$155:$J$162,0,1))*INDEX('How This Works &amp; Sources'!$B$155:$J$162,0,1+2)))))),IF($AN39="NY",IF($AU39="Married",IF($AZ39&gt;=2155350,IF($AZ39&gt;25000000,0.117,IF($AZ39&gt;5000000,0.111,0.1045)),SUMPRODUCT(($AZ39&gt;=INDEX('How This Works &amp; Sources'!$B$184:$J$198,0,1))*INDEX('How This Works &amp; Sources'!$B$184:$J$198,0,1+2))),IF($AZ39&gt;=1077550,IF($AZ39&gt;25000000,0.117,IF($AZ39&gt;5000000,0.111,0.1045)),SUMPRODUCT(($AZ39&gt;=INDEX('How This Works &amp; Sources'!$B$167:$J$179,0,7))*INDEX('How This Works &amp; Sources'!$B$167:$J$179,0,7+2)))),IF($AN39="LA",0.0309,"")))))))</f>
      </c>
      <c r="CB39" s="24">
        <f>IF($B39="","",IF($AN39="HI",IF($AU39="Married",SUMPRODUCT(($AZ39&gt;=INDEX('How This Works &amp; Sources'!$B$91:$J$98,0,7))*INDEX('How This Works &amp; Sources'!$B$91:$J$98,0,7+2)),SUMPRODUCT(($AZ39&gt;=INDEX('How This Works &amp; Sources'!$B$91:$J$98,0,4))*INDEX('How This Works &amp; Sources'!$B$91:$J$98,0,4+2))),IF($AN39="MD",IF(OR($AU39="Married",$AU39="Head of household"),SUMPRODUCT(($AZ39&gt;=INDEX('How This Works &amp; Sources'!$B$114:$J$120,0,1))*INDEX('How This Works &amp; Sources'!$B$114:$J$120,0,1+2)),SUMPRODUCT(($AZ39&gt;=INDEX('How This Works &amp; Sources'!$B$103:$J$109,0,7))*INDEX('How This Works &amp; Sources'!$B$103:$J$109,0,7+2)))+'Second Earner'!$C$74,IF($AN39="MN",IF($AU39="Married",SUMPRODUCT(($AZ39&gt;=INDEX('How This Works &amp; Sources'!$B$114:$J$120,0,7))*INDEX('How This Works &amp; Sources'!$B$114:$J$120,0,7+2)),SUMPRODUCT(($AZ39&gt;=INDEX('How This Works &amp; Sources'!$B$114:$J$120,0,4))*INDEX('How This Works &amp; Sources'!$B$114:$J$120,0,4+2))),IF($AN39="MO",SUMPRODUCT(($AZ39&gt;=INDEX('How This Works &amp; Sources'!$B$125:$J$132,0,1))*INDEX('How This Works &amp; Sources'!$B$125:$J$132,0,1+2)),IF($AN39="NE",MAX(IF($AU39="Married",SUMPRODUCT(($AZ39&gt;=INDEX('How This Works &amp; Sources'!$B$144:$J$150,0,7))*INDEX('How This Works &amp; Sources'!$B$144:$J$150,0,7+2)),SUMPRODUCT(($AZ39&gt;=INDEX('How This Works &amp; Sources'!$B$144:$J$150,0,4))*INDEX('How This Works &amp; Sources'!$B$144:$J$150,0,4+2))),0.015),IF($AN39="OH",IF($B39&gt;=DATE(2026,8,1),SUMPRODUCT(($AZ39&gt;=INDEX('How This Works &amp; Sources'!$B$203:$J$206,0,1))*INDEX('How This Works &amp; Sources'!$B$203:$J$206,0,1+2)),SUMPRODUCT(($AZ39&gt;=INDEX('How This Works &amp; Sources'!$B$184:$J$198,0,7))*INDEX('How This Works &amp; Sources'!$B$184:$J$198,0,7+2))),IF($AN39="OK",IF($AU39="Married",SUMPRODUCT(($AZ39&gt;=INDEX('How This Works &amp; Sources'!$B$203:$J$206,0,7))*INDEX('How This Works &amp; Sources'!$B$203:$J$206,0,7+2)),SUMPRODUCT(($AZ39&gt;=INDEX('How This Works &amp; Sources'!$B$203:$J$206,0,4))*INDEX('How This Works &amp; Sources'!$B$203:$J$206,0,4+2))),IF($AN39="RI",SUMPRODUCT(($AZ39&gt;=INDEX('How This Works &amp; Sources'!$B$211:$J$214,0,7))*INDEX('How This Works &amp; Sources'!$B$211:$J$214,0,7+2)),IF($AN39="VT",IF($AU39="Married",SUMPRODUCT(($AZ39&gt;=INDEX('How This Works &amp; Sources'!$B$228:$J$232,0,1))*INDEX('How This Works &amp; Sources'!$B$228:$J$232,0,1+2)),SUMPRODUCT(($AZ39&gt;=INDEX('How This Works &amp; Sources'!$B$219:$J$223,0,7))*INDEX('How This Works &amp; Sources'!$B$219:$J$223,0,7+2))),IF($AN39="WV",IF($AU39="Married",SUMPRODUCT(($AZ39&gt;=INDEX('How This Works &amp; Sources'!$B$237:$J$241,0,7))*INDEX('How This Works &amp; Sources'!$B$237:$J$241,0,7+2)),SUMPRODUCT(($AZ39&gt;=INDEX('How This Works &amp; Sources'!$B$228:$J$232,0,7))*INDEX('How This Works &amp; Sources'!$B$228:$J$232,0,7+2))),IF($AN39="AZ",'Second Earner'!$C$82,IF($AN39="ID",IF($AY39&gt;IF($AU39="Married",32000,16094),0.053,0),"")))))))))))))</f>
      </c>
      <c r="CC39" s="24">
        <f>IF($B39="","",IF($AN39="AR",SUMPRODUCT(($AZ39&gt;=INDEX('How This Works &amp; Sources'!$B$82:$J$86,0,7))*INDEX('How This Works &amp; Sources'!$B$82:$J$86,0,7+2)),IF($AN39="DE",SUMPRODUCT(($AZ39&gt;=INDEX('How This Works &amp; Sources'!$B$91:$J$98,0,1))*INDEX('How This Works &amp; Sources'!$B$91:$J$98,0,1+2)),IF($AN39="SC",SUMPRODUCT(($AZ39&gt;=INDEX('How This Works &amp; Sources'!$B$219:$J$223,0,1))*INDEX('How This Works &amp; Sources'!$B$219:$J$223,0,1+2)),IF($AN39="VA",SUMPRODUCT(($AZ39&gt;=INDEX('How This Works &amp; Sources'!$B$219:$J$223,0,4))*INDEX('How This Works &amp; Sources'!$B$219:$J$223,0,4+2)),IF($AN39="WI",SUMPRODUCT(($AZ39&gt;=INDEX('How This Works &amp; Sources'!$B$228:$J$232,0,4))*INDEX('How This Works &amp; Sources'!$B$228:$J$232,0,4+2)),IF($AN39="CO",IF($AY39&gt;IF($AU39="Married",10000,5000),0.044,0),IF($AN39="IA",IF($AY39&gt;IF($AU39="Head of household",19500,IF($AU39="Married",26000,13000)),0.038,0),IF($AN39="IL",IF($AY39&gt;(2925*$AS39+1000*$AT39),0.0495,0),IF($AN39="IN",(0.0295+'Second Earner'!$C$76),IF($AN39="KY",IF($AI39&gt;3360,0.035,0),IF($AN39="MA",IF(MAX(0,$AY39-MIN(($BD38+$Q39+$R39+$S39),2000)-IF($AS39=0,0,IF($AS39=1,4400,1000*$AS39+3400)))&gt;=1107750,0.09,0.05),IF($AN39="MI",IF($AY39&gt;5900*$AS39,0.0425,0),IF($AN39="MS",IF($AI39-IF($AU39="Head of household",3400,IF($AU39="Married",4600,2300))-'Second Earner'!$C$85&gt;10000,0.04,0),IF($AN39="PA",0.0307,"")))))))))))))))</f>
      </c>
      <c r="CD39" s="21">
        <f>IF(YEAR(IF('Second Earner'!$C$7="Weekly",'Second Earner'!$C$9+7*(($BE38+1)-1),IF('Second Earner'!$C$7="Biweekly",'Second Earner'!$C$9+14*(($BE38+1)-1),IF('Second Earner'!$C$7="Semimonthly",DATE(YEAR('Second Earner'!$C$9),MONTH('Second Earner'!$C$9)+INT((($BE38+1)-1)/2),MIN(DAY('Second Earner'!$C$9),DAY(EOMONTH(DATE(YEAR('Second Earner'!$C$9),MONTH('Second Earner'!$C$9)+INT((($BE38+1)-1)/2),1),0))))+IF(MOD(($BE38+1)-1,2)=1,15,0),EDATE('Second Earner'!$C$9,($BE38+1)-1)))))&lt;&gt;'Second Earner'!$C$10,"",IF('Second Earner'!$C$7="Weekly",'Second Earner'!$C$9+7*(($BE38+1)-1),IF('Second Earner'!$C$7="Biweekly",'Second Earner'!$C$9+14*(($BE38+1)-1),IF('Second Earner'!$C$7="Semimonthly",DATE(YEAR('Second Earner'!$C$9),MONTH('Second Earner'!$C$9)+INT((($BE38+1)-1)/2),MIN(DAY('Second Earner'!$C$9),DAY(EOMONTH(DATE(YEAR('Second Earner'!$C$9),MONTH('Second Earner'!$C$9)+INT((($BE38+1)-1)/2),1),0))))+IF(MOD(($BE38+1)-1,2)=1,15,0),EDATE('Second Earner'!$C$9,($BE38+1)-1)))))</f>
      </c>
      <c r="CE39" s="21">
        <f>IF(MIN(IF(AND('Second Earner'!$C$58&gt;MAX($B$6:$B38),'Second Earner'!$C$58&gt;=DATE('Second Earner'!$C$10,1,1),'Second Earner'!$C$58&lt;=DATE('Second Earner'!$C$10,12,31)),'Second Earner'!$C$58,999999),IF(AND('Second Earner'!$C$59&gt;MAX($B$6:$B38),'Second Earner'!$C$59&gt;=DATE('Second Earner'!$C$10,1,1),'Second Earner'!$C$59&lt;=DATE('Second Earner'!$C$10,12,31)),'Second Earner'!$C$59,999999),IF(AND('Second Earner'!$C$60&gt;MAX($B$6:$B38),'Second Earner'!$C$60&gt;=DATE('Second Earner'!$C$10,1,1),'Second Earner'!$C$60&lt;=DATE('Second Earner'!$C$10,12,31)),'Second Earner'!$C$60,999999),IF(AND('Second Earner'!$C$61&gt;MAX($B$6:$B38),'Second Earner'!$C$61&gt;=DATE('Second Earner'!$C$10,1,1),'Second Earner'!$C$61&lt;=DATE('Second Earner'!$C$10,12,31)),'Second Earner'!$C$61,999999),IF(AND('Second Earner'!$C$62&gt;MAX($B$6:$B38),'Second Earner'!$C$62&gt;=DATE('Second Earner'!$C$10,1,1),'Second Earner'!$C$62&lt;=DATE('Second Earner'!$C$10,12,31)),'Second Earner'!$C$62,999999),IF(AND('Second Earner'!$C$63&gt;MAX($B$6:$B38),'Second Earner'!$C$63&gt;=DATE('Second Earner'!$C$10,1,1),'Second Earner'!$C$63&lt;=DATE('Second Earner'!$C$10,12,31)),'Second Earner'!$C$63,999999),IF(AND('Second Earner'!$C$64&gt;MAX($B$6:$B38),'Second Earner'!$C$64&gt;=DATE('Second Earner'!$C$10,1,1),'Second Earner'!$C$64&lt;=DATE('Second Earner'!$C$10,12,31)),'Second Earner'!$C$64,999999),IF(AND('Second Earner'!$C$65&gt;MAX($B$6:$B38),'Second Earner'!$C$65&gt;=DATE('Second Earner'!$C$10,1,1),'Second Earner'!$C$65&lt;=DATE('Second Earner'!$C$10,12,31)),'Second Earner'!$C$65,999999),IF(AND('Second Earner'!$C$66&gt;MAX($B$6:$B38),'Second Earner'!$C$66&gt;=DATE('Second Earner'!$C$10,1,1),'Second Earner'!$C$66&lt;=DATE('Second Earner'!$C$10,12,31)),'Second Earner'!$C$66,999999),IF(AND('Second Earner'!$C$67&gt;MAX($B$6:$B38),'Second Earner'!$C$67&gt;=DATE('Second Earner'!$C$10,1,1),'Second Earner'!$C$67&lt;=DATE('Second Earner'!$C$10,12,31)),'Second Earner'!$C$67,999999))=999999,"",MIN(IF(AND('Second Earner'!$C$58&gt;MAX($B$6:$B38),'Second Earner'!$C$58&gt;=DATE('Second Earner'!$C$10,1,1),'Second Earner'!$C$58&lt;=DATE('Second Earner'!$C$10,12,31)),'Second Earner'!$C$58,999999),IF(AND('Second Earner'!$C$59&gt;MAX($B$6:$B38),'Second Earner'!$C$59&gt;=DATE('Second Earner'!$C$10,1,1),'Second Earner'!$C$59&lt;=DATE('Second Earner'!$C$10,12,31)),'Second Earner'!$C$59,999999),IF(AND('Second Earner'!$C$60&gt;MAX($B$6:$B38),'Second Earner'!$C$60&gt;=DATE('Second Earner'!$C$10,1,1),'Second Earner'!$C$60&lt;=DATE('Second Earner'!$C$10,12,31)),'Second Earner'!$C$60,999999),IF(AND('Second Earner'!$C$61&gt;MAX($B$6:$B38),'Second Earner'!$C$61&gt;=DATE('Second Earner'!$C$10,1,1),'Second Earner'!$C$61&lt;=DATE('Second Earner'!$C$10,12,31)),'Second Earner'!$C$61,999999),IF(AND('Second Earner'!$C$62&gt;MAX($B$6:$B38),'Second Earner'!$C$62&gt;=DATE('Second Earner'!$C$10,1,1),'Second Earner'!$C$62&lt;=DATE('Second Earner'!$C$10,12,31)),'Second Earner'!$C$62,999999),IF(AND('Second Earner'!$C$63&gt;MAX($B$6:$B38),'Second Earner'!$C$63&gt;=DATE('Second Earner'!$C$10,1,1),'Second Earner'!$C$63&lt;=DATE('Second Earner'!$C$10,12,31)),'Second Earner'!$C$63,999999),IF(AND('Second Earner'!$C$64&gt;MAX($B$6:$B38),'Second Earner'!$C$64&gt;=DATE('Second Earner'!$C$10,1,1),'Second Earner'!$C$64&lt;=DATE('Second Earner'!$C$10,12,31)),'Second Earner'!$C$64,999999),IF(AND('Second Earner'!$C$65&gt;MAX($B$6:$B38),'Second Earner'!$C$65&gt;=DATE('Second Earner'!$C$10,1,1),'Second Earner'!$C$65&lt;=DATE('Second Earner'!$C$10,12,31)),'Second Earner'!$C$65,999999),IF(AND('Second Earner'!$C$66&gt;MAX($B$6:$B38),'Second Earner'!$C$66&gt;=DATE('Second Earner'!$C$10,1,1),'Second Earner'!$C$66&lt;=DATE('Second Earner'!$C$10,12,31)),'Second Earner'!$C$66,999999),IF(AND('Second Earner'!$C$67&gt;MAX($B$6:$B38),'Second Earner'!$C$67&gt;=DATE('Second Earner'!$C$10,1,1),'Second Earner'!$C$67&lt;=DATE('Second Earner'!$C$10,12,31)),'Second Earner'!$C$67,999999)))</f>
      </c>
      <c r="CF39">
        <f>IF($B39="","",IF($D39=0,$Y39,""))</f>
      </c>
    </row>
    <row r="40">
      <c r="A40" t="n">
        <v>35</v>
      </c>
      <c r="B40" s="21">
        <f>IF(AND($CD40="",$CE40=""),"",IF($CE40="",$CD40,IF($CD40="",$CE40,MIN($CD40,$CE40))))</f>
      </c>
      <c r="C40" s="7">
        <f>IF($B40="","",IF($BF40=0,0,IF('Second Earner'!$C$4="Annual salary",ROUND($AK40/IF(AND('Second Earner'!$C$88="Actual paydays",MONTH('Second Earner'!$C$9)=1),MAX(1,MAX($BE$6:$BE$68)),'Second Earner'!$C$8),2),$AK40)))</f>
      </c>
      <c r="D40" s="7">
        <f>IF($B40="","",SUMIF('Second Earner'!$C$58:$C$67,$B40,'Second Earner'!$D$58:$D$67))</f>
      </c>
      <c r="E40" s="7">
        <f>IF($B40="","",ROUND(MAX(0,MIN(IF($AL40="Percent",$AM40*($C40+$D40),$AM40),MAX(0,'Second Earner'!$C$34-$AC39))),2))</f>
      </c>
      <c r="F40" s="7">
        <f>IF($B40="","",ROUND(MAX(0,MIN(IF('Second Earner'!$C$32="Percent",'Second Earner'!$D$32*($C40+$D40),'Second Earner'!$D$32),MAX(0,'Second Earner'!$C$34-$AC39-$E40))),2))</f>
      </c>
      <c r="G40" s="7">
        <f>IF($B40="","",IF($BF40=0,0,ROUND(MAX(0,MIN($BL40,'Second Earner'!$C$37-'Second Earner'!$C$54-$BI39)),2)))</f>
      </c>
      <c r="H40" s="7">
        <f>IF($B40="","",IF(OR($BF40=0,$BQ40=1),0,ROUND(MAX(0,MIN(IF($BS40=1,ROUND(MAX(0,MIN($BJ40,'How This Works &amp; Sources'!$C$13)-$BG39)/MAX(1,MAX($BE$6:$BE$68)-($BE39)),2),ROUND(MIN($BJ40,'How This Works &amp; Sources'!$C$13)/'Second Earner'!$C$8,2)),MIN($BJ40,'How This Works &amp; Sources'!$C$13)-$BG39)),2)))</f>
      </c>
      <c r="I40" s="7">
        <f>IF($B40="","",IF(OR($BF40=0,$BR40=1),0,ROUND(MAX(0,MIN(IF($BT40=1,ROUND(MAX(0,MIN($BK40,IF('Second Earner'!$C$12="MFJ",'How This Works &amp; Sources'!$C$14,'How This Works &amp; Sources'!$C$15))-$BH39)/MAX(1,MAX($BE$6:$BE$68)-($BE39)),2),ROUND(MIN($BK40,IF('Second Earner'!$C$12="MFJ",'How This Works &amp; Sources'!$C$14,'How This Works &amp; Sources'!$C$15))/'Second Earner'!$C$8,2)),MIN($BK40,IF('Second Earner'!$C$12="MFJ",'How This Works &amp; Sources'!$C$14,'How This Works &amp; Sources'!$C$15))-$BH39)),2)))</f>
      </c>
      <c r="J40" s="7">
        <f>IF($B40="","",IF($BF40=0,0,$BM40))</f>
      </c>
      <c r="K40" s="7">
        <f>IF($B40="","",IF($BF40=0,0,$BN40+$BO40))</f>
      </c>
      <c r="L40" s="7">
        <f>IF($B40="","",IF($BF40=0,0,'Second Earner'!$D$46))</f>
      </c>
      <c r="M40" s="7">
        <f>IF($B40="","",$C40+$D40+$L40-$E40-$G40-$H40-$I40-$J40-$K40)</f>
      </c>
      <c r="N40" s="7">
        <f>IF($B40="","",$C40+$D40+$L40-$G40-$H40-$I40-$J40-$K40)</f>
      </c>
      <c r="O40" s="7">
        <f>IF($B40="","",$C40+$D40+$L40-$E40-$H40-$I40-$J40-$K40-IF(OR($AN40="CA",$AN40="NJ"),0,$G40))</f>
      </c>
      <c r="P40" s="7">
        <f>IF($B40="","",IF('Second Earner'!$C$18,0,ROUND(MAX(0,IF('Second Earner'!$C$13,SUMPRODUCT(($AH40&gt;INDEX('How This Works &amp; Sources'!$B$29:$J$36,0,IF('Second Earner'!$C$12="MFJ",1,IF('Second Earner'!$C$12="HoH",7,4))))*($AH40-INDEX('How This Works &amp; Sources'!$B$29:$J$36,0,IF('Second Earner'!$C$12="MFJ",1,IF('Second Earner'!$C$12="HoH",7,4))))*INDEX('How This Works &amp; Sources'!$B$29:$J$36,0,IF('Second Earner'!$C$12="MFJ",1,IF('Second Earner'!$C$12="HoH",7,4))+2)),SUMPRODUCT(($AH40&gt;INDEX('How This Works &amp; Sources'!$B$19:$J$26,0,IF('Second Earner'!$C$12="MFJ",1,IF('Second Earner'!$C$12="HoH",7,4))))*($AH40-INDEX('How This Works &amp; Sources'!$B$19:$J$26,0,IF('Second Earner'!$C$12="MFJ",1,IF('Second Earner'!$C$12="HoH",7,4))))*INDEX('How This Works &amp; Sources'!$B$19:$J$26,0,IF('Second Earner'!$C$12="MFJ",1,IF('Second Earner'!$C$12="HoH",7,4))+2)))/'Second Earner'!$C$8-$AO40/'Second Earner'!$C$8)+$AR40+IF('Second Earner'!$C$89="Aggregate",MAX(0,IF('Second Earner'!$C$13,SUMPRODUCT((($AH40+$D40)&gt;INDEX('How This Works &amp; Sources'!$B$29:$J$36,0,IF('Second Earner'!$C$12="MFJ",1,IF('Second Earner'!$C$12="HoH",7,4))))*(($AH40+$D40)-INDEX('How This Works &amp; Sources'!$B$29:$J$36,0,IF('Second Earner'!$C$12="MFJ",1,IF('Second Earner'!$C$12="HoH",7,4))))*INDEX('How This Works &amp; Sources'!$B$29:$J$36,0,IF('Second Earner'!$C$12="MFJ",1,IF('Second Earner'!$C$12="HoH",7,4))+2)),SUMPRODUCT((($AH40+$D40)&gt;INDEX('How This Works &amp; Sources'!$B$19:$J$26,0,IF('Second Earner'!$C$12="MFJ",1,IF('Second Earner'!$C$12="HoH",7,4))))*(($AH40+$D40)-INDEX('How This Works &amp; Sources'!$B$19:$J$26,0,IF('Second Earner'!$C$12="MFJ",1,IF('Second Earner'!$C$12="HoH",7,4))))*INDEX('How This Works &amp; Sources'!$B$19:$J$26,0,IF('Second Earner'!$C$12="MFJ",1,IF('Second Earner'!$C$12="HoH",7,4))+2)))-IF('Second Earner'!$C$13,SUMPRODUCT(($AH40&gt;INDEX('How This Works &amp; Sources'!$B$29:$J$36,0,IF('Second Earner'!$C$12="MFJ",1,IF('Second Earner'!$C$12="HoH",7,4))))*($AH40-INDEX('How This Works &amp; Sources'!$B$29:$J$36,0,IF('Second Earner'!$C$12="MFJ",1,IF('Second Earner'!$C$12="HoH",7,4))))*INDEX('How This Works &amp; Sources'!$B$29:$J$36,0,IF('Second Earner'!$C$12="MFJ",1,IF('Second Earner'!$C$12="HoH",7,4))+2)),SUMPRODUCT(($AH40&gt;INDEX('How This Works &amp; Sources'!$B$19:$J$26,0,IF('Second Earner'!$C$12="MFJ",1,IF('Second Earner'!$C$12="HoH",7,4))))*($AH40-INDEX('How This Works &amp; Sources'!$B$19:$J$26,0,IF('Second Earner'!$C$12="MFJ",1,IF('Second Earner'!$C$12="HoH",7,4))))*INDEX('How This Works &amp; Sources'!$B$19:$J$26,0,IF('Second Earner'!$C$12="MFJ",1,IF('Second Earner'!$C$12="HoH",7,4))+2)))),'How This Works &amp; Sources'!$C$10*$D40),2)))</f>
      </c>
      <c r="Q40" s="7">
        <f>IF($B40="","",ROUND('How This Works &amp; Sources'!$C$4*MIN($N40,MAX(0,'How This Works &amp; Sources'!$C$3-($AX40+$AB39-$AW40))),2))</f>
      </c>
      <c r="R40" s="7">
        <f>IF($B40="","",ROUND('How This Works &amp; Sources'!$C$5*$N40,2))</f>
      </c>
      <c r="S40" s="7">
        <f>IF($B40="","",ROUND('How This Works &amp; Sources'!$C$6*MAX(0,MIN($N40,$AG39+$N40-'How This Works &amp; Sources'!$C$7)),2))</f>
      </c>
      <c r="T40" s="7">
        <f>IF($B40="","",IF('Second Earner'!$C$26,0,IF($AN40="CA",ROUND(IF($AI40&lt;=IF(($AS40+$AT40)&gt;=2,VLOOKUP($AN40,StateTables!$A$6:$AB$56,10,FALSE),VLOOKUP($AN40,StateTables!$A$6:$AB$56,9,FALSE)),0,MAX(0,SUMPRODUCT(($AJ40&gt;INDEX('How This Works &amp; Sources'!$B$39:$J$48,0,IF($AU40="Married",4,IF($AU40="Head of household",7,1))))*($AJ40-INDEX('How This Works &amp; Sources'!$B$39:$J$48,0,IF($AU40="Married",4,IF($AU40="Head of household",7,1))))*INDEX('How This Works &amp; Sources'!$B$39:$J$48,0,IF($AU40="Married",4,IF($AU40="Head of household",7,1))+2))-VLOOKUP($AN40,StateTables!$A$6:$AB$56,11,FALSE)*$AS40)/'Second Earner'!$C$8)+'Second Earner'!$C$25+VLOOKUP($AN40,StateTables!$A$6:$AB$56,13,FALSE)*$D40,2),IF(VLOOKUP($AN40,StateTables!$A$6:$AB$56,4,FALSE)="None",0,IF(ISNUMBER(SEARCH("MANUAL",VLOOKUP($AN40,StateTables!$A$6:$AB$56,5,FALSE))),'Second Earner'!$C$28,ROUND(MAX(0,$BA40+$BB40)/'Second Earner'!$C$8+'Second Earner'!$C$25+$BC40,2))))))</f>
      </c>
      <c r="U40" s="7">
        <f>IF($B40="","",IF(VLOOKUP($AN40,StateTables!$A$6:$AB$56,24,FALSE)="flatq",IF(OR(MONTH($B40)=1,MONTH($B40)=4,MONTH($B40)=7,MONTH($B40)=10),VLOOKUP($AN40,StateTables!$A$6:$AB$56,25,FALSE),0),IF(VLOOKUP($AN40,StateTables!$A$6:$AB$56,24,FALSE)="dbl",MIN(ROUND(0.005*$N40,2),ROUND(0.6*52/'Second Earner'!$C$8,2)),IF(OR(VLOOKUP($AN40,StateTables!$A$6:$AB$56,15,FALSE)="",VLOOKUP($AN40,StateTables!$A$6:$AB$56,15,FALSE)=0),0,ROUND(VLOOKUP($AN40,StateTables!$A$6:$AB$56,15,FALSE)*IF(OR(VLOOKUP($AN40,StateTables!$A$6:$AB$56,16,FALSE)="",VLOOKUP($AN40,StateTables!$A$6:$AB$56,16,FALSE)=0),$N40,MIN($N40,MAX(0,VLOOKUP($AN40,StateTables!$A$6:$AB$56,16,FALSE)-($AX40+$AB39-$AW40)))),2))))+IF(VLOOKUP($AN40,StateTables!$A$6:$AB$56,27,FALSE)="flatq",IF(OR(MONTH($B40)=1,MONTH($B40)=4,MONTH($B40)=7,MONTH($B40)=10),VLOOKUP($AN40,StateTables!$A$6:$AB$56,28,FALSE),0),IF(VLOOKUP($AN40,StateTables!$A$6:$AB$56,27,FALSE)="dbl",MIN(ROUND(0.005*$N40,2),ROUND(0.6*52/'Second Earner'!$C$8,2)),IF(OR(VLOOKUP($AN40,StateTables!$A$6:$AB$56,18,FALSE)="",VLOOKUP($AN40,StateTables!$A$6:$AB$56,18,FALSE)=0),0,ROUND(VLOOKUP($AN40,StateTables!$A$6:$AB$56,18,FALSE)*IF(OR(VLOOKUP($AN40,StateTables!$A$6:$AB$56,19,FALSE)="",VLOOKUP($AN40,StateTables!$A$6:$AB$56,19,FALSE)=0),$N40,MIN($N40,MAX(0,VLOOKUP($AN40,StateTables!$A$6:$AB$56,19,FALSE)-($AX40+$AB39-$AW40)))),2)))))</f>
      </c>
      <c r="V40" s="7">
        <f>IF($B40="","",IF($AN40="NY",IF('Second Earner'!$C$78,ROUND(SUMPRODUCT((MAX(0,($O40-$D40)*'Second Earner'!$C$8-(IF($AU40="Married",5500,5000)+1000*$AS40))&gt;INDEX('How This Works &amp; Sources'!$B$184:$J$198,0,4))*(MAX(0,($O40-$D40)*'Second Earner'!$C$8-(IF($AU40="Married",5500,5000)+1000*$AS40))-INDEX('How This Works &amp; Sources'!$B$184:$J$198,0,4))*INDEX('How This Works &amp; Sources'!$B$184:$J$198,0,4+2))/'Second Earner'!$C$8+0.0425*$D40,2),0)+IF('Second Earner'!$C$79="Resident",ROUND(0.1675*$T40,2),IF('Second Earner'!$C$79="Nonresident",ROUND(0.005*MAX(0,($O40-$D40)-(IF($AU40="Married",7950,7400)+1000*$AS40)/'Second Earner'!$C$8),2),0)),IF($AN40="PA",IF('Second Earner'!$C$80="None",'Second Earner'!$C$27+ROUND('Second Earner'!$C$81*($C40+$D40),2),ROUND(IF('Second Earner'!$C$80="Resident",IF($B40&lt;DATE(2026,7,1),0.0374,0.03735),IF($B40&lt;DATE(2026,7,1),0.0343,0.03425))*($C40+$D40),2)),IF($BF40=0,ROUND('Second Earner'!$C$81*($C40+$D40),2),'Second Earner'!$C$27+ROUND('Second Earner'!$C$81*($C40+$D40),2)))))</f>
      </c>
      <c r="W40" s="7">
        <f>IF($B40="","",IF($BF40=0,0,$BP40))</f>
      </c>
      <c r="X40" s="7">
        <f>IF($B40="","",SUM($E40:$K40)+$P40+$Q40+$R40+$S40+$T40+$U40+$V40+$W40)</f>
      </c>
      <c r="Y40" s="22">
        <f>IF($B40="","",$C40+$D40-$X40)</f>
      </c>
      <c r="Z40" s="7">
        <f>IF($B40="","",$Z39+$C40+$D40)</f>
      </c>
      <c r="AA40" s="7">
        <f>IF($B40="","",$AA39+$Y40)</f>
      </c>
      <c r="AB40" s="7">
        <f>IF($B40="","",$AB39+MIN($N40,MAX(0,'How This Works &amp; Sources'!$C$3-($AX40+$AB39-$AW40))))</f>
      </c>
      <c r="AC40" s="7">
        <f>IF($B40="","",$AC39+$E40+$F40)</f>
      </c>
      <c r="AD40" s="3">
        <f>IF($B40="","",IF(AND($AB39&lt;'How This Works &amp; Sources'!$C$3,$AB40&gt;='How This Works &amp; Sources'!$C$3),"★ Social Security maxed on this check — from the next check your net rises by about $"&amp;TEXT(ROUND('How This Works &amp; Sources'!$C$4*$N40,2),"#,##0.00")&amp;". ","")&amp;IF(AND($AC39&lt;'Second Earner'!$C$34,$AC40&gt;='Second Earner'!$C$34),"★ 401(k) reaches the $"&amp;TEXT('Second Earner'!$C$34,"#,##0")&amp;" cap on this check — deferrals stop and net pay rises. ","")&amp;IF(AND($AG39&lt;'How This Works &amp; Sources'!$C$7,$AG40&gt;='How This Works &amp; Sources'!$C$7),"★ Wages pass $200,000 — the 0.9% Additional Medicare Tax starts here. ","")&amp;IF(AND($BJ40&gt;0,$H40&gt;0,$BG39&lt;MIN($BJ40,'How This Works &amp; Sources'!$C$13),$BG39+$H40&gt;=MIN($BJ40,'How This Works &amp; Sources'!$C$13)),"★ Health FSA election is now fully deferred for the year. ",""))</f>
      </c>
      <c r="AE40" s="41" t="n"/>
      <c r="AF40" s="7">
        <f>IF(OR($B40="",$AE40=""),"",$AE40-$Y40)</f>
      </c>
      <c r="AG40" s="7">
        <f>IF($B40="","",$AG39+$N40)</f>
      </c>
      <c r="AH40" s="7">
        <f>IF($B40="","",MAX(0,($M40-$D40)*'Second Earner'!$C$8+$AP40-$AQ40-IF('Second Earner'!$C$13,0,IF('Second Earner'!$C$12="MFJ",'How This Works &amp; Sources'!$C$8,'How This Works &amp; Sources'!$C$9))))</f>
      </c>
      <c r="AI40" s="7">
        <f>IF($B40="","",$O40*'Second Earner'!$C$8)</f>
      </c>
      <c r="AJ40" s="7">
        <f>IF($B40="","",MAX(0,$AI40-VLOOKUP($AN40,StateTables!$A$6:$AB$56,12,FALSE)*$AT40-IF(($AS40+$AT40)&gt;=2,VLOOKUP($AN40,StateTables!$A$6:$AB$56,8,FALSE),VLOOKUP($AN40,StateTables!$A$6:$AB$56,7,FALSE))))</f>
      </c>
      <c r="AK40" s="7">
        <f>IF($B40="","",IFERROR(LOOKUP(2,1/(('Changes — Earner 2'!$C$6:$C$17="Salary change")*('Changes — Earner 2'!$B$6:$B$17&lt;=$B40)*('Changes — Earner 2'!$B$6:$B$17&lt;&gt;"")),'Changes — Earner 2'!$D$6:$D$17),IF('Second Earner'!$C$4="Annual salary",'Second Earner'!$C$5,'Second Earner'!$C$6)))</f>
      </c>
      <c r="AL40">
        <f>IF($B40="","",IFERROR(LOOKUP(2,1/(('Changes — Earner 2'!$C$6:$C$17="401(k) change")*('Changes — Earner 2'!$B$6:$B$17&lt;=$B40)*('Changes — Earner 2'!$B$6:$B$17&lt;&gt;"")),'Changes — Earner 2'!$D$6:$D$17),'Second Earner'!$C$30))</f>
      </c>
      <c r="AM40" s="7">
        <f>IF($B40="","",IFERROR(LOOKUP(2,1/(('Changes — Earner 2'!$C$6:$C$17="401(k) change")*('Changes — Earner 2'!$B$6:$B$17&lt;=$B40)*('Changes — Earner 2'!$B$6:$B$17&lt;&gt;"")),'Changes — Earner 2'!$E$6:$E$17),'Second Earner'!$D$31))</f>
      </c>
      <c r="AN40">
        <f>IF($B40="","",IFERROR(LOOKUP(2,1/(('Changes — Earner 2'!$C$6:$C$17="State move")*('Changes — Earner 2'!$B$6:$B$17&lt;=$B40)*('Changes — Earner 2'!$B$6:$B$17&lt;&gt;"")),'Changes — Earner 2'!$D$6:$D$17),'Second Earner'!$C$21))</f>
      </c>
      <c r="AO40" s="7">
        <f>IF($B40="","",IFERROR(LOOKUP(2,1/(('Changes — Earner 2'!$C$6:$C$17="W-4 change")*('Changes — Earner 2'!$B$6:$B$17&lt;=$B40)*('Changes — Earner 2'!$B$6:$B$17&lt;&gt;"")),'Changes — Earner 2'!$D$6:$D$17),'Second Earner'!$C$14))</f>
      </c>
      <c r="AP40" s="7">
        <f>IF($B40="","",IFERROR(LOOKUP(2,1/(('Changes — Earner 2'!$C$6:$C$17="W-4 change")*('Changes — Earner 2'!$B$6:$B$17&lt;=$B40)*('Changes — Earner 2'!$B$6:$B$17&lt;&gt;"")),'Changes — Earner 2'!$E$6:$E$17),'Second Earner'!$C$15))</f>
      </c>
      <c r="AQ40" s="7">
        <f>IF($B40="","",IFERROR(LOOKUP(2,1/(('Changes — Earner 2'!$C$6:$C$17="W-4 change")*('Changes — Earner 2'!$B$6:$B$17&lt;=$B40)*('Changes — Earner 2'!$B$6:$B$17&lt;&gt;"")),'Changes — Earner 2'!$F$6:$F$17),'Second Earner'!$C$16))</f>
      </c>
      <c r="AR40" s="7">
        <f>IF($B40="","",IFERROR(LOOKUP(2,1/(('Changes — Earner 2'!$C$6:$C$17="W-4 change")*('Changes — Earner 2'!$B$6:$B$17&lt;=$B40)*('Changes — Earner 2'!$B$6:$B$17&lt;&gt;"")),'Changes — Earner 2'!$G$6:$G$17),'Second Earner'!$C$17))</f>
      </c>
      <c r="AS40" s="6">
        <f>IF($B40="","",IFERROR(LOOKUP(2,1/((('Changes — Earner 2'!$C$6:$C$17="State move")+('Changes — Earner 2'!$C$6:$C$17="State cert change"))*('Changes — Earner 2'!$B$6:$B$17&lt;=$B40)*('Changes — Earner 2'!$B$6:$B$17&lt;&gt;"")),'Changes — Earner 2'!$F$6:$F$17),'Second Earner'!$C$23))</f>
      </c>
      <c r="AT40" s="6">
        <f>IF($B40="","",IFERROR(LOOKUP(2,1/((('Changes — Earner 2'!$C$6:$C$17="State move")+('Changes — Earner 2'!$C$6:$C$17="State cert change"))*('Changes — Earner 2'!$B$6:$B$17&lt;=$B40)*('Changes — Earner 2'!$B$6:$B$17&lt;&gt;"")),'Changes — Earner 2'!$G$6:$G$17),'Second Earner'!$C$24))</f>
      </c>
      <c r="AU40">
        <f>IF($B40="","",IFERROR(LOOKUP(2,1/(('Changes — Earner 2'!$C$6:$C$17="State move")*('Changes — Earner 2'!$B$6:$B$17&lt;=$B40)*('Changes — Earner 2'!$B$6:$B$17&lt;&gt;"")),'Changes — Earner 2'!$E$6:$E$17),'Second Earner'!$C$22))</f>
      </c>
      <c r="AV40" s="6">
        <f>IF($B40="","",1+COUNTIFS('Changes — Earner 2'!$C$6:$C$17,"Employer change",'Changes — Earner 2'!$B$6:$B$17,"&lt;="&amp;$B40,'Changes — Earner 2'!$B$6:$B$17,"&lt;&gt;"))</f>
      </c>
      <c r="AW40" s="7">
        <f>IF($B40="","",IF($AV40=1,'Second Earner'!$C$49,IF(IFERROR(MATCH(IFERROR(LOOKUP(2,1/(('Changes — Earner 2'!$C$6:$C$17="Employer change")*('Changes — Earner 2'!$B$6:$B$17&lt;=$B40)*('Changes — Earner 2'!$B$6:$B$17&lt;&gt;"")),'Changes — Earner 2'!$B$6:$B$17),""),$B$6:$B$68,1),1)&lt;=1,'Second Earner'!$C$49,INDEX($AB$6:$AB$68,MATCH(IFERROR(LOOKUP(2,1/(('Changes — Earner 2'!$C$6:$C$17="Employer change")*('Changes — Earner 2'!$B$6:$B$17&lt;=$B40)*('Changes — Earner 2'!$B$6:$B$17&lt;&gt;"")),'Changes — Earner 2'!$B$6:$B$17),""),$B$6:$B$68,1)-1))))</f>
      </c>
      <c r="AX40" s="7">
        <f>IF($B40="","",IF($AV40=1,'Second Earner'!$C$49,IFERROR(LOOKUP(2,1/(('Changes — Earner 2'!$C$6:$C$17="Employer change")*('Changes — Earner 2'!$B$6:$B$17&lt;=$B40)*('Changes — Earner 2'!$B$6:$B$17&lt;&gt;"")),'Changes — Earner 2'!$D$6:$D$17),0)))</f>
      </c>
      <c r="AY40" s="7">
        <f>IF($B40="","",($O40-$D40)*'Second Earner'!$C$8)</f>
      </c>
      <c r="AZ40" s="7">
        <f>IF($B40="","",IF($AN40="AL",MAX(0,$AY40-IF($AU40="Married",IF($AY40&lt;=25999,8500,MAX(5000,8500-175*CEILING(($AY40-25999)/500,1))),IF($AU40="Head of household",IF($AY40&lt;=25999,5200,MAX(2500,5200-135*CEILING(($AY40-25999)/500,1))),IF($AY40&lt;=25999,3000,MAX(2500,3000-25*CEILING(($AY40-25999)/500,1)))))-($P40-'How This Works &amp; Sources'!$C$10*$D40)*'Second Earner'!$C$8-IF(OR($AU40="Married",$AU40="Head of household"),3000,1500)-$AT40*IF($AY40&lt;=50000,1000,IF($AY40&lt;=100000,500,300))),IF($AN40="AR",IF(MAX(0,$AY40-2470)&lt;97701,INT(MAX(0,$AY40-2470)/100)*100+50,MAX(0,$AY40-2470)),IF($AN40="DE",MAX(0,$AI40-3250),IF($AN40="HI",MAX(0,$AI40-1144*$AS40-4350),IF($AN40="KS",MAX(0,$AI40-(9160*IF($AU40="Married",2,1)+2320*$AT40+IF($AU40="Head of household",2320,0))),IF($AN40="MD",MAX(0,$AI40-3400-3200*$AS40),IF($AN40="MN",MAX(0,$AY40-5300*$AS40),IF($AN40="MO",MAX(0,$AI40-IF($AU40="Head of household",24150,IF($AU40="Married",IF('Second Earner'!$C$83,16100,32200),16100))),IF($AN40="MT",$AY40,IF($AN40="ND",($C40+$L40)*'Second Earner'!$C$8,IF($AN40="NE",MAX(0,$AY40-2440*$AS40),IF($AN40="NJ",MAX(0,$AY40-1000*$AS40),IF($AN40="NY",MAX(0,$AY40-(IF($AU40="Married",7950,7400)+1000*$AS40)),IF($AN40="OH",MAX(0,$AY40-650*$AS40),IF($AN40="OK",MAX(0,$AY40-1000*$AS40),IF($AN40="RI",MAX(0,$AI40-1000*$AS40),IF($AN40="SC",MAX(0,$AI40-5000*$AS40-IF($AS40=0,0,MIN(0.1*$AI40,7500))),IF($AN40="VA",MAX(0,$AI40-IF($AU40="Married",17500,8750)-930*$AS40-800*$AT40),IF($AN40="VT",MAX(0,$AI40-5400*$AS40),IF($AN40="WI",MAX(0,$AI40-MAX(0,IF($AU40="Married",9461-0.2*MAX(0,$AI40-25727),6702-0.12*MAX(0,$AI40-17780)))-400*$AS40),IF($AN40="WV",MAX(0,$AI40-2000*$AS40),$AI40))))))))))))))))))))))</f>
      </c>
      <c r="BA40" s="7">
        <f>IF($B40="","",IF($BW40&lt;&gt;"",$BW40,IF($BX40&lt;&gt;"",$BX40,IF($BY40&lt;&gt;"",$BY40,0))))</f>
      </c>
      <c r="BB40" s="7">
        <f>IF($B40="","",IF($AN40="AR",-29*$AS40,IF($AN40="DE",-110*$AS40,IF($AN40="MD",$AZ40*'Second Earner'!$C$74,IF($AN40="AZ",'Second Earner'!$C$82*($M40-$D40)*'Second Earner'!$C$8,IF($AN40="CO",0.044*MAX(0,$AY40-IF($AU40="Married",10000,5000)),IF($AN40="IA",MAX(0,0.038*MAX(0,$AY40-IF($AU40="Head of household",19500,IF($AU40="Married",26000,13000)))-40*$AS40),IF($AN40="ID",0.053*MAX(0,$AY40-IF($AU40="Married",32000,16094)),IF($AN40="IL",0.0495*MAX(0,$AY40-(2925*$AS40+1000*$AT40)),IF($AN40="IN",(0.0295+'Second Earner'!$C$76)*MAX(0,$AY40-(1000*$AS40+1500*$AT40+3000*'Second Earner'!$C$86)),IF($AN40="KY",0.035*MAX(0,$AI40-3360),IF($AN40="LA",IF('Second Earner'!$C$84="0",0.0309*$AI40,0.0309*MAX(0,$AI40-IF('Second Earner'!$C$84="2",25750,12875))),IF($AN40="MA",0.05*MIN(MAX(0,$AY40-MIN(($BD39+$Q40+$R40+$S40),2000)-IF($AS40=0,0,IF($AS40=1,4400,1000*$AS40+3400))),1107750)+0.09*MAX(0,MAX(0,$AY40-MIN(($BD39+$Q40+$R40+$S40),2000)-IF($AS40=0,0,IF($AS40=1,4400,1000*$AS40+3400)))-1107750)-IF($AU40="Head of household",120,0)-110*'Second Earner'!$C$75,IF($AN40="MI",0.0425*MAX(0,$AY40-5900*$AS40),IF($AN40="MS",0.04*MAX(0,$AI40-IF($AU40="Head of household",3400,IF($AU40="Married",4600,2300))-'Second Earner'!$C$85-10000),IF($AN40="OR",IF(OR($AU40="Married",AND($AU40="Single",$AS40&gt;=3)),SUMPRODUCT((MAX(0,$AY40-MIN(($P40-'How This Works &amp; Sources'!$C$10*$D40)*'Second Earner'!$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Sources'!$B$211:$J$214,0,4))*(MAX(0,$AY40-MIN(($P40-'How This Works &amp; Sources'!$C$10*$D40)*'Second Earner'!$C$8,IF(OR($AU40="Married",AND($AU40="Single",$AS40&gt;=3)),IF($AY40&lt;250000,8750,IF($AY40&lt;260000,7000,IF($AY40&lt;270000,5250,IF($AY40&lt;280000,3500,IF($AY40&lt;290000,1750,0))))),IF($AY40&lt;125000,8750,IF($AY40&lt;130000,7000,IF($AY40&lt;135000,5250,IF($AY40&lt;140000,3500,IF($AY40&lt;145000,1750,0)))))))-IF(OR($AU40="Married",AND($AU40="Single",$AS40&gt;=3)),5820,2910))-INDEX('How This Works &amp; Sources'!$B$211:$J$214,0,4))*INDEX('How This Works &amp; Sources'!$B$211:$J$214,0,4+2)),SUMPRODUCT((MAX(0,$AY40-MIN(($P40-'How This Works &amp; Sources'!$C$10*$D40)*'Second Earner'!$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Sources'!$B$211:$J$214,0,1))*(MAX(0,$AY40-MIN(($P40-'How This Works &amp; Sources'!$C$10*$D40)*'Second Earner'!$C$8,IF(OR($AU40="Married",AND($AU40="Single",$AS40&gt;=3)),IF($AY40&lt;250000,8750,IF($AY40&lt;260000,7000,IF($AY40&lt;270000,5250,IF($AY40&lt;280000,3500,IF($AY40&lt;290000,1750,0))))),IF($AY40&lt;125000,8750,IF($AY40&lt;130000,7000,IF($AY40&lt;135000,5250,IF($AY40&lt;140000,3500,IF($AY40&lt;145000,1750,0)))))))-IF(OR($AU40="Married",AND($AU40="Single",$AS40&gt;=3)),5820,2910))-INDEX('How This Works &amp; Sources'!$B$211:$J$214,0,1))*INDEX('How This Works &amp; Sources'!$B$211:$J$214,0,1+2)))+263-263*IF(IF($AU40="Married",$AY40&gt;200000,$AY40&gt;100000),0,$AS40),IF($AN40="PA",0.0307*(($O40+$E40+$G40)*'Second Earner'!$C$8),IF($AN40="NY",IF($AU40="Married",IF($AZ40&gt;=2155350,0,IF($AZ40&gt;=1077550,0.48,IF($AZ40&gt;=373200,1.21,IF($AZ40&gt;=323200,0.21,IF($AZ40&gt;=211550,-0.19,IF($AZ40&gt;=157650,-2.8,IF($AZ40&gt;=107650,-0.8,IF($AZ40&gt;=96800,0.05,IF($AZ40&gt;=80650,-0.1,IF($AZ40&gt;=13900,0.4,IF($AZ40&gt;=11700,-0.3,IF($AZ40&gt;=8500,0.5,0)))))))))))),IF($AZ40&gt;=1077550,0,IF($AZ40&gt;=265400,4.29,IF($AZ40&gt;=215400,2.29,IF($AZ40&gt;=157650,2.29,IF($AZ40&gt;=107650,0.29,IF($AZ40&gt;=96800,0.05,IF($AZ40&gt;=80650,-0.1,IF($AZ40&gt;=13900,0.4,IF($AZ40&gt;=11700,-0.3,IF($AZ40&gt;=8500,0.5,0))))))))))),0))))))))))))))))))</f>
      </c>
      <c r="BC40" s="7">
        <f>IF($B40="","",IF($AN40="AL",0.05*$D40,IF($AN40="AR",0.039*$D40,IF($AN40="ID",0.053*$D40,IF($AN40="IN",(0.0295+'Second Earner'!$C$76)*$D40,IF($AN40="KS",0.05*$D40,IF($AN40="MA",0.09*MIN($D40,MAX(0,MAX(0,$AY40-MIN(($BD39+$Q40+$R40+$S40),2000)-IF($AS40=0,0,IF($AS40=1,4400,1000*$AS40+3400)))+$D40-1107750))+0.05*($D40-MIN($D40,MAX(0,MAX(0,$AY40-MIN(($BD39+$Q40+$R40+$S40),2000)-IF($AS40=0,0,IF($AS40=1,4400,1000*$AS40+3400)))+$D40-1107750))),IF($AN40="MD",(0.065+'Second Earner'!$C$74)*$D40,IF($AN40="MI",0.0425*$D40,IF($AN40="MN",0.0625*$D40,IF($AN40="MO",0.047*$D40,IF($AN40="MT",0.05*$D40,IF($AN40="ND",0.015*$D40,IF($AN40="NE",0.035*$D40,IF($AN40="NJ",IF('Second Earner'!$C$77="B",SUMPRODUCT(($D40*'Second Earner'!$C$8&gt;INDEX('How This Works &amp; Sources'!$B$155:$J$162,0,4))*($D40*'Second Earner'!$C$8-INDEX('How This Works &amp; Sources'!$B$155:$J$162,0,4))*INDEX('How This Works &amp; Sources'!$B$155:$J$162,0,4+2)),IF('Second Earner'!$C$77="C",SUMPRODUCT(($D40*'Second Earner'!$C$8&gt;INDEX('How This Works &amp; Sources'!$B$155:$J$162,0,7))*($D40*'Second Earner'!$C$8-INDEX('How This Works &amp; Sources'!$B$155:$J$162,0,7))*INDEX('How This Works &amp; Sources'!$B$155:$J$162,0,7+2)),IF('Second Earner'!$C$77="D",SUMPRODUCT(($D40*'Second Earner'!$C$8&gt;INDEX('How This Works &amp; Sources'!$B$167:$J$179,0,1))*($D40*'Second Earner'!$C$8-INDEX('How This Works &amp; Sources'!$B$167:$J$179,0,1))*INDEX('How This Works &amp; Sources'!$B$167:$J$179,0,1+2)),IF('Second Earner'!$C$77="E",SUMPRODUCT(($D40*'Second Earner'!$C$8&gt;INDEX('How This Works &amp; Sources'!$B$167:$J$179,0,4))*($D40*'Second Earner'!$C$8-INDEX('How This Works &amp; Sources'!$B$167:$J$179,0,4))*INDEX('How This Works &amp; Sources'!$B$167:$J$179,0,4+2)),SUMPRODUCT(($D40*'Second Earner'!$C$8&gt;INDEX('How This Works &amp; Sources'!$B$155:$J$162,0,1))*($D40*'Second Earner'!$C$8-INDEX('How This Works &amp; Sources'!$B$155:$J$162,0,1))*INDEX('How This Works &amp; Sources'!$B$155:$J$162,0,1+2))))))/'Second Earner'!$C$8,IF($AN40="NY",0.117*$D40,IF($AN40="OH",0.0275*$D40,IF($AN40="OK",0.045*$D40,IF($AN40="OR",0.08*$D40,IF($AN40="WI",IF($AY40&lt;12760,0.0354,IF($AY40&lt;25520,0.0465,IF($AY40&lt;280950,0.053,0.0765)))*$D40,0))))))))))))))))))))</f>
      </c>
      <c r="BD40" s="7">
        <f>IF($B40="","",$BD39+$Q40+$R40+$S40)</f>
      </c>
      <c r="BE40" s="6">
        <f>IF($B40="",$BE39,$BE39+$BF40)</f>
      </c>
      <c r="BF40" s="6">
        <f>IF($B40="","",IF(AND(IF(YEAR(IF('Second Earner'!$C$7="Weekly",'Second Earner'!$C$9+7*(($BE39+1)-1),IF('Second Earner'!$C$7="Biweekly",'Second Earner'!$C$9+14*(($BE39+1)-1),IF('Second Earner'!$C$7="Semimonthly",DATE(YEAR('Second Earner'!$C$9),MONTH('Second Earner'!$C$9)+INT((($BE39+1)-1)/2),MIN(DAY('Second Earner'!$C$9),DAY(EOMONTH(DATE(YEAR('Second Earner'!$C$9),MONTH('Second Earner'!$C$9)+INT((($BE39+1)-1)/2),1),0))))+IF(MOD(($BE39+1)-1,2)=1,15,0),EDATE('Second Earner'!$C$9,($BE39+1)-1)))))&lt;&gt;'Second Earner'!$C$10,"",IF('Second Earner'!$C$7="Weekly",'Second Earner'!$C$9+7*(($BE39+1)-1),IF('Second Earner'!$C$7="Biweekly",'Second Earner'!$C$9+14*(($BE39+1)-1),IF('Second Earner'!$C$7="Semimonthly",DATE(YEAR('Second Earner'!$C$9),MONTH('Second Earner'!$C$9)+INT((($BE39+1)-1)/2),MIN(DAY('Second Earner'!$C$9),DAY(EOMONTH(DATE(YEAR('Second Earner'!$C$9),MONTH('Second Earner'!$C$9)+INT((($BE39+1)-1)/2),1),0))))+IF(MOD(($BE39+1)-1,2)=1,15,0),EDATE('Second Earner'!$C$9,($BE39+1)-1)))))&lt;&gt;"",$B40=IF(YEAR(IF('Second Earner'!$C$7="Weekly",'Second Earner'!$C$9+7*(($BE39+1)-1),IF('Second Earner'!$C$7="Biweekly",'Second Earner'!$C$9+14*(($BE39+1)-1),IF('Second Earner'!$C$7="Semimonthly",DATE(YEAR('Second Earner'!$C$9),MONTH('Second Earner'!$C$9)+INT((($BE39+1)-1)/2),MIN(DAY('Second Earner'!$C$9),DAY(EOMONTH(DATE(YEAR('Second Earner'!$C$9),MONTH('Second Earner'!$C$9)+INT((($BE39+1)-1)/2),1),0))))+IF(MOD(($BE39+1)-1,2)=1,15,0),EDATE('Second Earner'!$C$9,($BE39+1)-1)))))&lt;&gt;'Second Earner'!$C$10,"",IF('Second Earner'!$C$7="Weekly",'Second Earner'!$C$9+7*(($BE39+1)-1),IF('Second Earner'!$C$7="Biweekly",'Second Earner'!$C$9+14*(($BE39+1)-1),IF('Second Earner'!$C$7="Semimonthly",DATE(YEAR('Second Earner'!$C$9),MONTH('Second Earner'!$C$9)+INT((($BE39+1)-1)/2),MIN(DAY('Second Earner'!$C$9),DAY(EOMONTH(DATE(YEAR('Second Earner'!$C$9),MONTH('Second Earner'!$C$9)+INT((($BE39+1)-1)/2),1),0))))+IF(MOD(($BE39+1)-1,2)=1,15,0),EDATE('Second Earner'!$C$9,($BE39+1)-1)))))),1,0))</f>
      </c>
      <c r="BG40" s="7">
        <f>IF($B40="","",$BG39+$H40)</f>
      </c>
      <c r="BH40" s="7">
        <f>IF($B40="","",$BH39+$I40)</f>
      </c>
      <c r="BI40" s="7">
        <f>IF($B40="","",$BI39+$G40)</f>
      </c>
      <c r="BJ40" s="7">
        <f>IF($B40="","",IFERROR(LOOKUP(2,1/(((('Changes — Earner 2'!$C$6:$C$17="Deduction start"))*('Changes — Earner 2'!$D$6:$D$17="Health FSA"))*('Changes — Earner 2'!$B$6:$B$17&lt;=$B40)*('Changes — Earner 2'!$B$6:$B$17&lt;&gt;"")),'Changes — Earner 2'!$E$6:$E$17),'Second Earner'!$D$38))</f>
      </c>
      <c r="BK40" s="7">
        <f>IF($B40="","",IFERROR(LOOKUP(2,1/(((('Changes — Earner 2'!$C$6:$C$17="Deduction start"))*('Changes — Earner 2'!$D$6:$D$17="Dependent-care FSA"))*('Changes — Earner 2'!$B$6:$B$17&lt;=$B40)*('Changes — Earner 2'!$B$6:$B$17&lt;&gt;"")),'Changes — Earner 2'!$E$6:$E$17),'Second Earner'!$D$39))</f>
      </c>
      <c r="BL40" s="7">
        <f>IF($B40="","",IFERROR(LOOKUP(2,1/(((('Changes — Earner 2'!$C$6:$C$17="Deduction start")+('Changes — Earner 2'!$C$6:$C$17="Deduction stop"))*('Changes — Earner 2'!$D$6:$D$17="HSA"))*('Changes — Earner 2'!$B$6:$B$17&lt;=$B40)*('Changes — Earner 2'!$B$6:$B$17&lt;&gt;"")),'Changes — Earner 2'!$I$6:$I$17),'Second Earner'!$D$35))</f>
      </c>
      <c r="BM40" s="7">
        <f>IF($B40="","",IFERROR(LOOKUP(2,1/(((('Changes — Earner 2'!$C$6:$C$17="Deduction start")+('Changes — Earner 2'!$C$6:$C$17="Deduction stop"))*('Changes — Earner 2'!$D$6:$D$17="Premiums"))*('Changes — Earner 2'!$B$6:$B$17&lt;=$B40)*('Changes — Earner 2'!$B$6:$B$17&lt;&gt;"")),'Changes — Earner 2'!$I$6:$I$17),'Second Earner'!$D$40+'Second Earner'!$D$41+'Second Earner'!$D$42))</f>
      </c>
      <c r="BN40" s="7">
        <f>IF($B40="","",IFERROR(LOOKUP(2,1/(((('Changes — Earner 2'!$C$6:$C$17="Deduction start")+('Changes — Earner 2'!$C$6:$C$17="Deduction stop"))*('Changes — Earner 2'!$D$6:$D$17="Commuter"))*('Changes — Earner 2'!$B$6:$B$17&lt;=$B40)*('Changes — Earner 2'!$B$6:$B$17&lt;&gt;"")),'Changes — Earner 2'!$I$6:$I$17),'Second Earner'!$D$43))</f>
      </c>
      <c r="BO40" s="7">
        <f>IF($B40="","",IFERROR(LOOKUP(2,1/(((('Changes — Earner 2'!$C$6:$C$17="Deduction start")+('Changes — Earner 2'!$C$6:$C$17="Deduction stop"))*('Changes — Earner 2'!$D$6:$D$17="Other pre-tax"))*('Changes — Earner 2'!$B$6:$B$17&lt;=$B40)*('Changes — Earner 2'!$B$6:$B$17&lt;&gt;"")),'Changes — Earner 2'!$I$6:$I$17),'Second Earner'!$D$44))</f>
      </c>
      <c r="BP40" s="7">
        <f>IF($B40="","",IFERROR(LOOKUP(2,1/(((('Changes — Earner 2'!$C$6:$C$17="Deduction start")+('Changes — Earner 2'!$C$6:$C$17="Deduction stop"))*('Changes — Earner 2'!$D$6:$D$17="Other post-tax"))*('Changes — Earner 2'!$B$6:$B$17&lt;=$B40)*('Changes — Earner 2'!$B$6:$B$17&lt;&gt;"")),'Changes — Earner 2'!$I$6:$I$17),'Second Earner'!$D$45))</f>
      </c>
      <c r="BQ40" s="6">
        <f>IF($B40="","",IFERROR(LOOKUP(2,1/(((('Changes — Earner 2'!$C$6:$C$17="Deduction start")+('Changes — Earner 2'!$C$6:$C$17="Deduction stop"))*('Changes — Earner 2'!$D$6:$D$17="Health FSA"))*('Changes — Earner 2'!$B$6:$B$17&lt;=$B40)*('Changes — Earner 2'!$B$6:$B$17&lt;&gt;"")),'Changes — Earner 2'!$J$6:$J$17),0))</f>
      </c>
      <c r="BR40" s="6">
        <f>IF($B40="","",IFERROR(LOOKUP(2,1/(((('Changes — Earner 2'!$C$6:$C$17="Deduction start")+('Changes — Earner 2'!$C$6:$C$17="Deduction stop"))*('Changes — Earner 2'!$D$6:$D$17="Dependent-care FSA"))*('Changes — Earner 2'!$B$6:$B$17&lt;=$B40)*('Changes — Earner 2'!$B$6:$B$17&lt;&gt;"")),'Changes — Earner 2'!$J$6:$J$17),0))</f>
      </c>
      <c r="BS40" s="6">
        <f>IF($B40="","",IF(SUMPRODUCT(('Changes — Earner 2'!$C$6:$C$17="Deduction start")*('Changes — Earner 2'!$B$6:$B$17&lt;=$B40)*('Changes — Earner 2'!$B$6:$B$17&lt;&gt;"")*('Changes — Earner 2'!$D$6:$D$17="Health FSA"))&gt;0,1,0))</f>
      </c>
      <c r="BT40" s="6">
        <f>IF($B40="","",IF(SUMPRODUCT(('Changes — Earner 2'!$C$6:$C$17="Deduction start")*('Changes — Earner 2'!$B$6:$B$17&lt;=$B40)*('Changes — Earner 2'!$B$6:$B$17&lt;&gt;"")*('Changes — Earner 2'!$D$6:$D$17="Dependent-care FSA"))&gt;0,1,0))</f>
      </c>
      <c r="BU40" s="24">
        <f>IF($B40="","",IF('Second Earner'!$C$13,SUMPRODUCT(($AH40&gt;=INDEX('How This Works &amp; Sources'!$B$29:$J$36,0,IF('Second Earner'!$C$12="MFJ",1,IF('Second Earner'!$C$12="HoH",7,4))))*INDEX('How This Works &amp; Sources'!$B$29:$J$36,0,IF('Second Earner'!$C$12="MFJ",1,IF('Second Earner'!$C$12="HoH",7,4))+2)),SUMPRODUCT(($AH40&gt;=INDEX('How This Works &amp; Sources'!$B$19:$J$26,0,IF('Second Earner'!$C$12="MFJ",1,IF('Second Earner'!$C$12="HoH",7,4))))*INDEX('How This Works &amp; Sources'!$B$19:$J$26,0,IF('Second Earner'!$C$12="MFJ",1,IF('Second Earner'!$C$12="HoH",7,4))+2))))</f>
      </c>
      <c r="BV40" s="24">
        <f>IF($B40="","",IF($BZ40&lt;&gt;"",$BZ40,IF($CA40&lt;&gt;"",$CA40,IF($CB40&lt;&gt;"",$CB40,IF($CC40&lt;&gt;"",$CC40,0)))))</f>
      </c>
      <c r="BW40" s="7">
        <f>IF($B40="","",IF($AN40="AR",SUMPRODUCT(($AZ40&gt;INDEX('How This Works &amp; Sources'!$B$82:$J$86,0,7))*($AZ40-INDEX('How This Works &amp; Sources'!$B$82:$J$86,0,7))*INDEX('How This Works &amp; Sources'!$B$82:$J$86,0,7+2)),IF($AN40="MD",IF(OR($AU40="Married",$AU40="Head of household"),SUMPRODUCT(($AZ40&gt;INDEX('How This Works &amp; Sources'!$B$114:$J$120,0,1))*($AZ40-INDEX('How This Works &amp; Sources'!$B$114:$J$120,0,1))*INDEX('How This Works &amp; Sources'!$B$114:$J$120,0,1+2)),SUMPRODUCT(($AZ40&gt;INDEX('How This Works &amp; Sources'!$B$103:$J$109,0,7))*($AZ40-INDEX('How This Works &amp; Sources'!$B$103:$J$109,0,7))*INDEX('How This Works &amp; Sources'!$B$103:$J$109,0,7+2))),IF($AN40="MT",IF($AU40="Head of household",SUMPRODUCT(($AZ40&gt;INDEX('How This Works &amp; Sources'!$B$137:$J$139,0,1))*($AZ40-INDEX('How This Works &amp; Sources'!$B$137:$J$139,0,1))*INDEX('How This Works &amp; Sources'!$B$137:$J$139,0,1+2)),IF($AU40="Married",SUMPRODUCT(($AZ40&gt;INDEX('How This Works &amp; Sources'!$B$125:$J$132,0,7))*($AZ40-INDEX('How This Works &amp; Sources'!$B$125:$J$132,0,7))*INDEX('How This Works &amp; Sources'!$B$125:$J$132,0,7+2)),SUMPRODUCT(($AZ40&gt;INDEX('How This Works &amp; Sources'!$B$125:$J$132,0,4))*($AZ40-INDEX('How This Works &amp; Sources'!$B$125:$J$132,0,4))*INDEX('How This Works &amp; Sources'!$B$125:$J$132,0,4+2)))),IF($AN40="ND",IF($AU40="Head of household",SUMPRODUCT(($AZ40&gt;INDEX('How This Works &amp; Sources'!$B$144:$J$150,0,1))*($AZ40-INDEX('How This Works &amp; Sources'!$B$144:$J$150,0,1))*INDEX('How This Works &amp; Sources'!$B$144:$J$150,0,1+2)),IF($AU40="Married",SUMPRODUCT(($AZ40&gt;INDEX('How This Works &amp; Sources'!$B$137:$J$139,0,7))*($AZ40-INDEX('How This Works &amp; Sources'!$B$137:$J$139,0,7))*INDEX('How This Works &amp; Sources'!$B$137:$J$139,0,7+2)),SUMPRODUCT(($AZ40&gt;INDEX('How This Works &amp; Sources'!$B$137:$J$139,0,4))*($AZ40-INDEX('How This Works &amp; Sources'!$B$137:$J$139,0,4))*INDEX('How This Works &amp; Sources'!$B$137:$J$139,0,4+2)))),IF($AN40="NJ",IF('Second Earner'!$C$77="B",SUMPRODUCT(($AZ40&gt;INDEX('How This Works &amp; Sources'!$B$155:$J$162,0,4))*($AZ40-INDEX('How This Works &amp; Sources'!$B$155:$J$162,0,4))*INDEX('How This Works &amp; Sources'!$B$155:$J$162,0,4+2)),IF('Second Earner'!$C$77="C",SUMPRODUCT(($AZ40&gt;INDEX('How This Works &amp; Sources'!$B$155:$J$162,0,7))*($AZ40-INDEX('How This Works &amp; Sources'!$B$155:$J$162,0,7))*INDEX('How This Works &amp; Sources'!$B$155:$J$162,0,7+2)),IF('Second Earner'!$C$77="D",SUMPRODUCT(($AZ40&gt;INDEX('How This Works &amp; Sources'!$B$167:$J$179,0,1))*($AZ40-INDEX('How This Works &amp; Sources'!$B$167:$J$179,0,1))*INDEX('How This Works &amp; Sources'!$B$167:$J$179,0,1+2)),IF('Second Earner'!$C$77="E",SUMPRODUCT(($AZ40&gt;INDEX('How This Works &amp; Sources'!$B$167:$J$179,0,4))*($AZ40-INDEX('How This Works &amp; Sources'!$B$167:$J$179,0,4))*INDEX('How This Works &amp; Sources'!$B$167:$J$179,0,4+2)),SUMPRODUCT(($AZ40&gt;INDEX('How This Works &amp; Sources'!$B$155:$J$162,0,1))*($AZ40-INDEX('How This Works &amp; Sources'!$B$155:$J$162,0,1))*INDEX('How This Works &amp; Sources'!$B$155:$J$162,0,1+2)))))),IF($AN40="NY",IF($AU40="Married",IF($AZ40&gt;=2155350,$AZ40*IF($AZ40&gt;25000000,0.117,IF($AZ40&gt;5000000,0.111,0.1045)),SUMPRODUCT(($AZ40&gt;INDEX('How This Works &amp; Sources'!$B$184:$J$198,0,1))*($AZ40-INDEX('How This Works &amp; Sources'!$B$184:$J$198,0,1))*INDEX('How This Works &amp; Sources'!$B$184:$J$198,0,1+2))),IF($AZ40&gt;=1077550,$AZ40*IF($AZ40&gt;25000000,0.117,IF($AZ40&gt;5000000,0.111,0.1045)),SUMPRODUCT(($AZ40&gt;INDEX('How This Works &amp; Sources'!$B$167:$J$179,0,7))*($AZ40-INDEX('How This Works &amp; Sources'!$B$167:$J$179,0,7))*INDEX('How This Works &amp; Sources'!$B$167:$J$179,0,7+2)))),"")))))))</f>
      </c>
      <c r="BX40" s="7">
        <f>IF($B40="","",IF($AN40="AL",IF(OR($AU40="Married",$AU40="Head of household"),SUMPRODUCT(($AZ40&gt;INDEX('How This Works &amp; Sources'!$B$82:$J$86,0,4))*($AZ40-INDEX('How This Works &amp; Sources'!$B$82:$J$86,0,4))*INDEX('How This Works &amp; Sources'!$B$82:$J$86,0,4+2)),SUMPRODUCT(($AZ40&gt;INDEX('How This Works &amp; Sources'!$B$82:$J$86,0,1))*($AZ40-INDEX('How This Works &amp; Sources'!$B$82:$J$86,0,1))*INDEX('How This Works &amp; Sources'!$B$82:$J$86,0,1+2))),IF($AN40="KS",IF($AU40="Married",SUMPRODUCT(($AZ40&gt;INDEX('How This Works &amp; Sources'!$B$103:$J$109,0,4))*($AZ40-INDEX('How This Works &amp; Sources'!$B$103:$J$109,0,4))*INDEX('How This Works &amp; Sources'!$B$103:$J$109,0,4+2)),SUMPRODUCT(($AZ40&gt;INDEX('How This Works &amp; Sources'!$B$103:$J$109,0,1))*($AZ40-INDEX('How This Works &amp; Sources'!$B$103:$J$109,0,1))*INDEX('How This Works &amp; Sources'!$B$103:$J$109,0,1+2))),IF($AN40="MN",IF($AU40="Married",SUMPRODUCT(($AZ40&gt;INDEX('How This Works &amp; Sources'!$B$114:$J$120,0,7))*($AZ40-INDEX('How This Works &amp; Sources'!$B$114:$J$120,0,7))*INDEX('How This Works &amp; Sources'!$B$114:$J$120,0,7+2)),SUMPRODUCT(($AZ40&gt;INDEX('How This Works &amp; Sources'!$B$114:$J$120,0,4))*($AZ40-INDEX('How This Works &amp; Sources'!$B$114:$J$120,0,4))*INDEX('How This Works &amp; Sources'!$B$114:$J$120,0,4+2))),IF($AN40="MO",SUMPRODUCT(($AZ40&gt;INDEX('How This Works &amp; Sources'!$B$125:$J$132,0,1))*($AZ40-INDEX('How This Works &amp; Sources'!$B$125:$J$132,0,1))*INDEX('How This Works &amp; Sources'!$B$125:$J$132,0,1+2)),IF($AN40="NE",MAX(IF($AU40="Married",SUMPRODUCT(($AZ40&gt;INDEX('How This Works &amp; Sources'!$B$144:$J$150,0,7))*($AZ40-INDEX('How This Works &amp; Sources'!$B$144:$J$150,0,7))*INDEX('How This Works &amp; Sources'!$B$144:$J$150,0,7+2)),SUMPRODUCT(($AZ40&gt;INDEX('How This Works &amp; Sources'!$B$144:$J$150,0,4))*($AZ40-INDEX('How This Works &amp; Sources'!$B$144:$J$150,0,4))*INDEX('How This Works &amp; Sources'!$B$144:$J$150,0,4+2))),0.015*$AZ40),IF($AN40="OH",IF($B40&gt;=DATE(2026,8,1),SUMPRODUCT(($AZ40&gt;INDEX('How This Works &amp; Sources'!$B$203:$J$206,0,1))*($AZ40-INDEX('How This Works &amp; Sources'!$B$203:$J$206,0,1))*INDEX('How This Works &amp; Sources'!$B$203:$J$206,0,1+2)),SUMPRODUCT(($AZ40&gt;INDEX('How This Works &amp; Sources'!$B$184:$J$198,0,7))*($AZ40-INDEX('How This Works &amp; Sources'!$B$184:$J$198,0,7))*INDEX('How This Works &amp; Sources'!$B$184:$J$198,0,7+2))),IF($AN40="OK",IF($AU40="Married",SUMPRODUCT(($AZ40&gt;INDEX('How This Works &amp; Sources'!$B$203:$J$206,0,7))*($AZ40-INDEX('How This Works &amp; Sources'!$B$203:$J$206,0,7))*INDEX('How This Works &amp; Sources'!$B$203:$J$206,0,7+2)),SUMPRODUCT(($AZ40&gt;INDEX('How This Works &amp; Sources'!$B$203:$J$206,0,4))*($AZ40-INDEX('How This Works &amp; Sources'!$B$203:$J$206,0,4))*INDEX('How This Works &amp; Sources'!$B$203:$J$206,0,4+2))),IF($AN40="VT",IF($AU40="Married",SUMPRODUCT(($AZ40&gt;INDEX('How This Works &amp; Sources'!$B$228:$J$232,0,1))*($AZ40-INDEX('How This Works &amp; Sources'!$B$228:$J$232,0,1))*INDEX('How This Works &amp; Sources'!$B$228:$J$232,0,1+2)),SUMPRODUCT(($AZ40&gt;INDEX('How This Works &amp; Sources'!$B$219:$J$223,0,7))*($AZ40-INDEX('How This Works &amp; Sources'!$B$219:$J$223,0,7))*INDEX('How This Works &amp; Sources'!$B$219:$J$223,0,7+2))),IF($AN40="WV",IF($AU40="Married",SUMPRODUCT(($AZ40&gt;INDEX('How This Works &amp; Sources'!$B$237:$J$241,0,7))*($AZ40-INDEX('How This Works &amp; Sources'!$B$237:$J$241,0,7))*INDEX('How This Works &amp; Sources'!$B$237:$J$241,0,7+2)),SUMPRODUCT(($AZ40&gt;INDEX('How This Works &amp; Sources'!$B$228:$J$232,0,7))*($AZ40-INDEX('How This Works &amp; Sources'!$B$228:$J$232,0,7))*INDEX('How This Works &amp; Sources'!$B$228:$J$232,0,7+2))),""))))))))))</f>
      </c>
      <c r="BY40" s="7">
        <f>IF($B40="","",IF($AN40="DE",SUMPRODUCT(($AZ40&gt;INDEX('How This Works &amp; Sources'!$B$91:$J$98,0,1))*($AZ40-INDEX('How This Works &amp; Sources'!$B$91:$J$98,0,1))*INDEX('How This Works &amp; Sources'!$B$91:$J$98,0,1+2)),IF($AN40="HI",IF($AU40="Married",SUMPRODUCT(($AZ40&gt;INDEX('How This Works &amp; Sources'!$B$91:$J$98,0,7))*($AZ40-INDEX('How This Works &amp; Sources'!$B$91:$J$98,0,7))*INDEX('How This Works &amp; Sources'!$B$91:$J$98,0,7+2)),SUMPRODUCT(($AZ40&gt;INDEX('How This Works &amp; Sources'!$B$91:$J$98,0,4))*($AZ40-INDEX('How This Works &amp; Sources'!$B$91:$J$98,0,4))*INDEX('How This Works &amp; Sources'!$B$91:$J$98,0,4+2))),IF($AN40="RI",SUMPRODUCT(($AZ40&gt;INDEX('How This Works &amp; Sources'!$B$211:$J$214,0,7))*($AZ40-INDEX('How This Works &amp; Sources'!$B$211:$J$214,0,7))*INDEX('How This Works &amp; Sources'!$B$211:$J$214,0,7+2)),IF($AN40="SC",SUMPRODUCT(($AZ40&gt;INDEX('How This Works &amp; Sources'!$B$219:$J$223,0,1))*($AZ40-INDEX('How This Works &amp; Sources'!$B$219:$J$223,0,1))*INDEX('How This Works &amp; Sources'!$B$219:$J$223,0,1+2)),IF($AN40="VA",SUMPRODUCT(($AZ40&gt;INDEX('How This Works &amp; Sources'!$B$219:$J$223,0,4))*($AZ40-INDEX('How This Works &amp; Sources'!$B$219:$J$223,0,4))*INDEX('How This Works &amp; Sources'!$B$219:$J$223,0,4+2)),IF($AN40="WI",SUMPRODUCT(($AZ40&gt;INDEX('How This Works &amp; Sources'!$B$228:$J$232,0,4))*($AZ40-INDEX('How This Works &amp; Sources'!$B$228:$J$232,0,4))*INDEX('How This Works &amp; Sources'!$B$228:$J$232,0,4+2)),"")))))))</f>
      </c>
      <c r="BZ40" s="24">
        <f>IF($B40="","",IF($AN40="KS",IF($AU40="Married",SUMPRODUCT(($AZ40&gt;=INDEX('How This Works &amp; Sources'!$B$103:$J$109,0,4))*INDEX('How This Works &amp; Sources'!$B$103:$J$109,0,4+2)),SUMPRODUCT(($AZ40&gt;=INDEX('How This Works &amp; Sources'!$B$103:$J$109,0,1))*INDEX('How This Works &amp; Sources'!$B$103:$J$109,0,1+2))),IF($AN40="MT",IF($AU40="Head of household",SUMPRODUCT(($AZ40&gt;=INDEX('How This Works &amp; Sources'!$B$137:$J$139,0,1))*INDEX('How This Works &amp; Sources'!$B$137:$J$139,0,1+2)),IF($AU40="Married",SUMPRODUCT(($AZ40&gt;=INDEX('How This Works &amp; Sources'!$B$125:$J$132,0,7))*INDEX('How This Works &amp; Sources'!$B$125:$J$132,0,7+2)),SUMPRODUCT(($AZ40&gt;=INDEX('How This Works &amp; Sources'!$B$125:$J$132,0,4))*INDEX('How This Works &amp; Sources'!$B$125:$J$132,0,4+2)))),IF($AN40="OR",IF(OR($AU40="Married",AND($AU40="Single",$AS40&gt;=3)),SUMPRODUCT((MAX(0,$AY40-MIN(($P40-'How This Works &amp; Sources'!$C$10*$D40)*'Second Earner'!$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Sources'!$B$211:$J$214,0,4))*INDEX('How This Works &amp; Sources'!$B$211:$J$214,0,4+2)),SUMPRODUCT((MAX(0,$AY40-MIN(($P40-'How This Works &amp; Sources'!$C$10*$D40)*'Second Earner'!$C$8,IF(OR($AU40="Married",AND($AU40="Single",$AS40&gt;=3)),IF($AY40&lt;250000,8750,IF($AY40&lt;260000,7000,IF($AY40&lt;270000,5250,IF($AY40&lt;280000,3500,IF($AY40&lt;290000,1750,0))))),IF($AY40&lt;125000,8750,IF($AY40&lt;130000,7000,IF($AY40&lt;135000,5250,IF($AY40&lt;140000,3500,IF($AY40&lt;145000,1750,0)))))))-IF(OR($AU40="Married",AND($AU40="Single",$AS40&gt;=3)),5820,2910))&gt;=INDEX('How This Works &amp; Sources'!$B$211:$J$214,0,1))*INDEX('How This Works &amp; Sources'!$B$211:$J$214,0,1+2)))*IF(($P40-'How This Works &amp; Sources'!$C$10*$D40)*'Second Earner'!$C$8&gt;=IF(OR($AU40="Married",AND($AU40="Single",$AS40&gt;=3)),IF($AY40&lt;250000,8750,IF($AY40&lt;260000,7000,IF($AY40&lt;270000,5250,IF($AY40&lt;280000,3500,IF($AY40&lt;290000,1750,0))))),IF($AY40&lt;125000,8750,IF($AY40&lt;130000,7000,IF($AY40&lt;135000,5250,IF($AY40&lt;140000,3500,IF($AY40&lt;145000,1750,0)))))),1,1-IF('Second Earner'!$C$13,SUMPRODUCT(($AH40&gt;=INDEX('How This Works &amp; Sources'!$B$29:$J$36,0,IF('Second Earner'!$C$12="MFJ",1,IF('Second Earner'!$C$12="HoH",7,4))))*INDEX('How This Works &amp; Sources'!$B$29:$J$36,0,IF('Second Earner'!$C$12="MFJ",1,IF('Second Earner'!$C$12="HoH",7,4))+2)),SUMPRODUCT(($AH40&gt;=INDEX('How This Works &amp; Sources'!$B$19:$J$26,0,IF('Second Earner'!$C$12="MFJ",1,IF('Second Earner'!$C$12="HoH",7,4))))*INDEX('How This Works &amp; Sources'!$B$19:$J$26,0,IF('Second Earner'!$C$12="MFJ",1,IF('Second Earner'!$C$12="HoH",7,4))+2)))),""))))</f>
      </c>
      <c r="CA40" s="24">
        <f>IF($B40="","",IF($AN40="CA",SUMPRODUCT(($AJ40&gt;=INDEX('How This Works &amp; Sources'!$B$39:$J$48,0,IF($AU40="Married",4,IF($AU40="Head of household",7,1))))*INDEX('How This Works &amp; Sources'!$B$39:$J$48,0,IF($AU40="Married",4,IF($AU40="Head of household",7,1))+2)),IF($AN40="AL",IF(OR($AU40="Married",$AU40="Head of household"),SUMPRODUCT(($AZ40&gt;=INDEX('How This Works &amp; Sources'!$B$82:$J$86,0,4))*INDEX('How This Works &amp; Sources'!$B$82:$J$86,0,4+2)),SUMPRODUCT(($AZ40&gt;=INDEX('How This Works &amp; Sources'!$B$82:$J$86,0,1))*INDEX('How This Works &amp; Sources'!$B$82:$J$86,0,1+2)))*(1-IF('Second Earner'!$C$13,SUMPRODUCT(($AH40&gt;=INDEX('How This Works &amp; Sources'!$B$29:$J$36,0,IF('Second Earner'!$C$12="MFJ",1,IF('Second Earner'!$C$12="HoH",7,4))))*INDEX('How This Works &amp; Sources'!$B$29:$J$36,0,IF('Second Earner'!$C$12="MFJ",1,IF('Second Earner'!$C$12="HoH",7,4))+2)),SUMPRODUCT(($AH40&gt;=INDEX('How This Works &amp; Sources'!$B$19:$J$26,0,IF('Second Earner'!$C$12="MFJ",1,IF('Second Earner'!$C$12="HoH",7,4))))*INDEX('How This Works &amp; Sources'!$B$19:$J$26,0,IF('Second Earner'!$C$12="MFJ",1,IF('Second Earner'!$C$12="HoH",7,4))+2)))),IF($AN40="ND",IF($AU40="Head of household",SUMPRODUCT(($AZ40&gt;=INDEX('How This Works &amp; Sources'!$B$144:$J$150,0,1))*INDEX('How This Works &amp; Sources'!$B$144:$J$150,0,1+2)),IF($AU40="Married",SUMPRODUCT(($AZ40&gt;=INDEX('How This Works &amp; Sources'!$B$137:$J$139,0,7))*INDEX('How This Works &amp; Sources'!$B$137:$J$139,0,7+2)),SUMPRODUCT(($AZ40&gt;=INDEX('How This Works &amp; Sources'!$B$137:$J$139,0,4))*INDEX('How This Works &amp; Sources'!$B$137:$J$139,0,4+2)))),IF($AN40="NJ",IF('Second Earner'!$C$77="B",SUMPRODUCT(($AZ40&gt;=INDEX('How This Works &amp; Sources'!$B$155:$J$162,0,4))*INDEX('How This Works &amp; Sources'!$B$155:$J$162,0,4+2)),IF('Second Earner'!$C$77="C",SUMPRODUCT(($AZ40&gt;=INDEX('How This Works &amp; Sources'!$B$155:$J$162,0,7))*INDEX('How This Works &amp; Sources'!$B$155:$J$162,0,7+2)),IF('Second Earner'!$C$77="D",SUMPRODUCT(($AZ40&gt;=INDEX('How This Works &amp; Sources'!$B$167:$J$179,0,1))*INDEX('How This Works &amp; Sources'!$B$167:$J$179,0,1+2)),IF('Second Earner'!$C$77="E",SUMPRODUCT(($AZ40&gt;=INDEX('How This Works &amp; Sources'!$B$167:$J$179,0,4))*INDEX('How This Works &amp; Sources'!$B$167:$J$179,0,4+2)),SUMPRODUCT(($AZ40&gt;=INDEX('How This Works &amp; Sources'!$B$155:$J$162,0,1))*INDEX('How This Works &amp; Sources'!$B$155:$J$162,0,1+2)))))),IF($AN40="NY",IF($AU40="Married",IF($AZ40&gt;=2155350,IF($AZ40&gt;25000000,0.117,IF($AZ40&gt;5000000,0.111,0.1045)),SUMPRODUCT(($AZ40&gt;=INDEX('How This Works &amp; Sources'!$B$184:$J$198,0,1))*INDEX('How This Works &amp; Sources'!$B$184:$J$198,0,1+2))),IF($AZ40&gt;=1077550,IF($AZ40&gt;25000000,0.117,IF($AZ40&gt;5000000,0.111,0.1045)),SUMPRODUCT(($AZ40&gt;=INDEX('How This Works &amp; Sources'!$B$167:$J$179,0,7))*INDEX('How This Works &amp; Sources'!$B$167:$J$179,0,7+2)))),IF($AN40="LA",0.0309,"")))))))</f>
      </c>
      <c r="CB40" s="24">
        <f>IF($B40="","",IF($AN40="HI",IF($AU40="Married",SUMPRODUCT(($AZ40&gt;=INDEX('How This Works &amp; Sources'!$B$91:$J$98,0,7))*INDEX('How This Works &amp; Sources'!$B$91:$J$98,0,7+2)),SUMPRODUCT(($AZ40&gt;=INDEX('How This Works &amp; Sources'!$B$91:$J$98,0,4))*INDEX('How This Works &amp; Sources'!$B$91:$J$98,0,4+2))),IF($AN40="MD",IF(OR($AU40="Married",$AU40="Head of household"),SUMPRODUCT(($AZ40&gt;=INDEX('How This Works &amp; Sources'!$B$114:$J$120,0,1))*INDEX('How This Works &amp; Sources'!$B$114:$J$120,0,1+2)),SUMPRODUCT(($AZ40&gt;=INDEX('How This Works &amp; Sources'!$B$103:$J$109,0,7))*INDEX('How This Works &amp; Sources'!$B$103:$J$109,0,7+2)))+'Second Earner'!$C$74,IF($AN40="MN",IF($AU40="Married",SUMPRODUCT(($AZ40&gt;=INDEX('How This Works &amp; Sources'!$B$114:$J$120,0,7))*INDEX('How This Works &amp; Sources'!$B$114:$J$120,0,7+2)),SUMPRODUCT(($AZ40&gt;=INDEX('How This Works &amp; Sources'!$B$114:$J$120,0,4))*INDEX('How This Works &amp; Sources'!$B$114:$J$120,0,4+2))),IF($AN40="MO",SUMPRODUCT(($AZ40&gt;=INDEX('How This Works &amp; Sources'!$B$125:$J$132,0,1))*INDEX('How This Works &amp; Sources'!$B$125:$J$132,0,1+2)),IF($AN40="NE",MAX(IF($AU40="Married",SUMPRODUCT(($AZ40&gt;=INDEX('How This Works &amp; Sources'!$B$144:$J$150,0,7))*INDEX('How This Works &amp; Sources'!$B$144:$J$150,0,7+2)),SUMPRODUCT(($AZ40&gt;=INDEX('How This Works &amp; Sources'!$B$144:$J$150,0,4))*INDEX('How This Works &amp; Sources'!$B$144:$J$150,0,4+2))),0.015),IF($AN40="OH",IF($B40&gt;=DATE(2026,8,1),SUMPRODUCT(($AZ40&gt;=INDEX('How This Works &amp; Sources'!$B$203:$J$206,0,1))*INDEX('How This Works &amp; Sources'!$B$203:$J$206,0,1+2)),SUMPRODUCT(($AZ40&gt;=INDEX('How This Works &amp; Sources'!$B$184:$J$198,0,7))*INDEX('How This Works &amp; Sources'!$B$184:$J$198,0,7+2))),IF($AN40="OK",IF($AU40="Married",SUMPRODUCT(($AZ40&gt;=INDEX('How This Works &amp; Sources'!$B$203:$J$206,0,7))*INDEX('How This Works &amp; Sources'!$B$203:$J$206,0,7+2)),SUMPRODUCT(($AZ40&gt;=INDEX('How This Works &amp; Sources'!$B$203:$J$206,0,4))*INDEX('How This Works &amp; Sources'!$B$203:$J$206,0,4+2))),IF($AN40="RI",SUMPRODUCT(($AZ40&gt;=INDEX('How This Works &amp; Sources'!$B$211:$J$214,0,7))*INDEX('How This Works &amp; Sources'!$B$211:$J$214,0,7+2)),IF($AN40="VT",IF($AU40="Married",SUMPRODUCT(($AZ40&gt;=INDEX('How This Works &amp; Sources'!$B$228:$J$232,0,1))*INDEX('How This Works &amp; Sources'!$B$228:$J$232,0,1+2)),SUMPRODUCT(($AZ40&gt;=INDEX('How This Works &amp; Sources'!$B$219:$J$223,0,7))*INDEX('How This Works &amp; Sources'!$B$219:$J$223,0,7+2))),IF($AN40="WV",IF($AU40="Married",SUMPRODUCT(($AZ40&gt;=INDEX('How This Works &amp; Sources'!$B$237:$J$241,0,7))*INDEX('How This Works &amp; Sources'!$B$237:$J$241,0,7+2)),SUMPRODUCT(($AZ40&gt;=INDEX('How This Works &amp; Sources'!$B$228:$J$232,0,7))*INDEX('How This Works &amp; Sources'!$B$228:$J$232,0,7+2))),IF($AN40="AZ",'Second Earner'!$C$82,IF($AN40="ID",IF($AY40&gt;IF($AU40="Married",32000,16094),0.053,0),"")))))))))))))</f>
      </c>
      <c r="CC40" s="24">
        <f>IF($B40="","",IF($AN40="AR",SUMPRODUCT(($AZ40&gt;=INDEX('How This Works &amp; Sources'!$B$82:$J$86,0,7))*INDEX('How This Works &amp; Sources'!$B$82:$J$86,0,7+2)),IF($AN40="DE",SUMPRODUCT(($AZ40&gt;=INDEX('How This Works &amp; Sources'!$B$91:$J$98,0,1))*INDEX('How This Works &amp; Sources'!$B$91:$J$98,0,1+2)),IF($AN40="SC",SUMPRODUCT(($AZ40&gt;=INDEX('How This Works &amp; Sources'!$B$219:$J$223,0,1))*INDEX('How This Works &amp; Sources'!$B$219:$J$223,0,1+2)),IF($AN40="VA",SUMPRODUCT(($AZ40&gt;=INDEX('How This Works &amp; Sources'!$B$219:$J$223,0,4))*INDEX('How This Works &amp; Sources'!$B$219:$J$223,0,4+2)),IF($AN40="WI",SUMPRODUCT(($AZ40&gt;=INDEX('How This Works &amp; Sources'!$B$228:$J$232,0,4))*INDEX('How This Works &amp; Sources'!$B$228:$J$232,0,4+2)),IF($AN40="CO",IF($AY40&gt;IF($AU40="Married",10000,5000),0.044,0),IF($AN40="IA",IF($AY40&gt;IF($AU40="Head of household",19500,IF($AU40="Married",26000,13000)),0.038,0),IF($AN40="IL",IF($AY40&gt;(2925*$AS40+1000*$AT40),0.0495,0),IF($AN40="IN",(0.0295+'Second Earner'!$C$76),IF($AN40="KY",IF($AI40&gt;3360,0.035,0),IF($AN40="MA",IF(MAX(0,$AY40-MIN(($BD39+$Q40+$R40+$S40),2000)-IF($AS40=0,0,IF($AS40=1,4400,1000*$AS40+3400)))&gt;=1107750,0.09,0.05),IF($AN40="MI",IF($AY40&gt;5900*$AS40,0.0425,0),IF($AN40="MS",IF($AI40-IF($AU40="Head of household",3400,IF($AU40="Married",4600,2300))-'Second Earner'!$C$85&gt;10000,0.04,0),IF($AN40="PA",0.0307,"")))))))))))))))</f>
      </c>
      <c r="CD40" s="21">
        <f>IF(YEAR(IF('Second Earner'!$C$7="Weekly",'Second Earner'!$C$9+7*(($BE39+1)-1),IF('Second Earner'!$C$7="Biweekly",'Second Earner'!$C$9+14*(($BE39+1)-1),IF('Second Earner'!$C$7="Semimonthly",DATE(YEAR('Second Earner'!$C$9),MONTH('Second Earner'!$C$9)+INT((($BE39+1)-1)/2),MIN(DAY('Second Earner'!$C$9),DAY(EOMONTH(DATE(YEAR('Second Earner'!$C$9),MONTH('Second Earner'!$C$9)+INT((($BE39+1)-1)/2),1),0))))+IF(MOD(($BE39+1)-1,2)=1,15,0),EDATE('Second Earner'!$C$9,($BE39+1)-1)))))&lt;&gt;'Second Earner'!$C$10,"",IF('Second Earner'!$C$7="Weekly",'Second Earner'!$C$9+7*(($BE39+1)-1),IF('Second Earner'!$C$7="Biweekly",'Second Earner'!$C$9+14*(($BE39+1)-1),IF('Second Earner'!$C$7="Semimonthly",DATE(YEAR('Second Earner'!$C$9),MONTH('Second Earner'!$C$9)+INT((($BE39+1)-1)/2),MIN(DAY('Second Earner'!$C$9),DAY(EOMONTH(DATE(YEAR('Second Earner'!$C$9),MONTH('Second Earner'!$C$9)+INT((($BE39+1)-1)/2),1),0))))+IF(MOD(($BE39+1)-1,2)=1,15,0),EDATE('Second Earner'!$C$9,($BE39+1)-1)))))</f>
      </c>
      <c r="CE40" s="21">
        <f>IF(MIN(IF(AND('Second Earner'!$C$58&gt;MAX($B$6:$B39),'Second Earner'!$C$58&gt;=DATE('Second Earner'!$C$10,1,1),'Second Earner'!$C$58&lt;=DATE('Second Earner'!$C$10,12,31)),'Second Earner'!$C$58,999999),IF(AND('Second Earner'!$C$59&gt;MAX($B$6:$B39),'Second Earner'!$C$59&gt;=DATE('Second Earner'!$C$10,1,1),'Second Earner'!$C$59&lt;=DATE('Second Earner'!$C$10,12,31)),'Second Earner'!$C$59,999999),IF(AND('Second Earner'!$C$60&gt;MAX($B$6:$B39),'Second Earner'!$C$60&gt;=DATE('Second Earner'!$C$10,1,1),'Second Earner'!$C$60&lt;=DATE('Second Earner'!$C$10,12,31)),'Second Earner'!$C$60,999999),IF(AND('Second Earner'!$C$61&gt;MAX($B$6:$B39),'Second Earner'!$C$61&gt;=DATE('Second Earner'!$C$10,1,1),'Second Earner'!$C$61&lt;=DATE('Second Earner'!$C$10,12,31)),'Second Earner'!$C$61,999999),IF(AND('Second Earner'!$C$62&gt;MAX($B$6:$B39),'Second Earner'!$C$62&gt;=DATE('Second Earner'!$C$10,1,1),'Second Earner'!$C$62&lt;=DATE('Second Earner'!$C$10,12,31)),'Second Earner'!$C$62,999999),IF(AND('Second Earner'!$C$63&gt;MAX($B$6:$B39),'Second Earner'!$C$63&gt;=DATE('Second Earner'!$C$10,1,1),'Second Earner'!$C$63&lt;=DATE('Second Earner'!$C$10,12,31)),'Second Earner'!$C$63,999999),IF(AND('Second Earner'!$C$64&gt;MAX($B$6:$B39),'Second Earner'!$C$64&gt;=DATE('Second Earner'!$C$10,1,1),'Second Earner'!$C$64&lt;=DATE('Second Earner'!$C$10,12,31)),'Second Earner'!$C$64,999999),IF(AND('Second Earner'!$C$65&gt;MAX($B$6:$B39),'Second Earner'!$C$65&gt;=DATE('Second Earner'!$C$10,1,1),'Second Earner'!$C$65&lt;=DATE('Second Earner'!$C$10,12,31)),'Second Earner'!$C$65,999999),IF(AND('Second Earner'!$C$66&gt;MAX($B$6:$B39),'Second Earner'!$C$66&gt;=DATE('Second Earner'!$C$10,1,1),'Second Earner'!$C$66&lt;=DATE('Second Earner'!$C$10,12,31)),'Second Earner'!$C$66,999999),IF(AND('Second Earner'!$C$67&gt;MAX($B$6:$B39),'Second Earner'!$C$67&gt;=DATE('Second Earner'!$C$10,1,1),'Second Earner'!$C$67&lt;=DATE('Second Earner'!$C$10,12,31)),'Second Earner'!$C$67,999999))=999999,"",MIN(IF(AND('Second Earner'!$C$58&gt;MAX($B$6:$B39),'Second Earner'!$C$58&gt;=DATE('Second Earner'!$C$10,1,1),'Second Earner'!$C$58&lt;=DATE('Second Earner'!$C$10,12,31)),'Second Earner'!$C$58,999999),IF(AND('Second Earner'!$C$59&gt;MAX($B$6:$B39),'Second Earner'!$C$59&gt;=DATE('Second Earner'!$C$10,1,1),'Second Earner'!$C$59&lt;=DATE('Second Earner'!$C$10,12,31)),'Second Earner'!$C$59,999999),IF(AND('Second Earner'!$C$60&gt;MAX($B$6:$B39),'Second Earner'!$C$60&gt;=DATE('Second Earner'!$C$10,1,1),'Second Earner'!$C$60&lt;=DATE('Second Earner'!$C$10,12,31)),'Second Earner'!$C$60,999999),IF(AND('Second Earner'!$C$61&gt;MAX($B$6:$B39),'Second Earner'!$C$61&gt;=DATE('Second Earner'!$C$10,1,1),'Second Earner'!$C$61&lt;=DATE('Second Earner'!$C$10,12,31)),'Second Earner'!$C$61,999999),IF(AND('Second Earner'!$C$62&gt;MAX($B$6:$B39),'Second Earner'!$C$62&gt;=DATE('Second Earner'!$C$10,1,1),'Second Earner'!$C$62&lt;=DATE('Second Earner'!$C$10,12,31)),'Second Earner'!$C$62,999999),IF(AND('Second Earner'!$C$63&gt;MAX($B$6:$B39),'Second Earner'!$C$63&gt;=DATE('Second Earner'!$C$10,1,1),'Second Earner'!$C$63&lt;=DATE('Second Earner'!$C$10,12,31)),'Second Earner'!$C$63,999999),IF(AND('Second Earner'!$C$64&gt;MAX($B$6:$B39),'Second Earner'!$C$64&gt;=DATE('Second Earner'!$C$10,1,1),'Second Earner'!$C$64&lt;=DATE('Second Earner'!$C$10,12,31)),'Second Earner'!$C$64,999999),IF(AND('Second Earner'!$C$65&gt;MAX($B$6:$B39),'Second Earner'!$C$65&gt;=DATE('Second Earner'!$C$10,1,1),'Second Earner'!$C$65&lt;=DATE('Second Earner'!$C$10,12,31)),'Second Earner'!$C$65,999999),IF(AND('Second Earner'!$C$66&gt;MAX($B$6:$B39),'Second Earner'!$C$66&gt;=DATE('Second Earner'!$C$10,1,1),'Second Earner'!$C$66&lt;=DATE('Second Earner'!$C$10,12,31)),'Second Earner'!$C$66,999999),IF(AND('Second Earner'!$C$67&gt;MAX($B$6:$B39),'Second Earner'!$C$67&gt;=DATE('Second Earner'!$C$10,1,1),'Second Earner'!$C$67&lt;=DATE('Second Earner'!$C$10,12,31)),'Second Earner'!$C$67,999999)))</f>
      </c>
      <c r="CF40">
        <f>IF($B40="","",IF($D40=0,$Y40,""))</f>
      </c>
    </row>
    <row r="41">
      <c r="A41" t="n">
        <v>36</v>
      </c>
      <c r="B41" s="21">
        <f>IF(AND($CD41="",$CE41=""),"",IF($CE41="",$CD41,IF($CD41="",$CE41,MIN($CD41,$CE41))))</f>
      </c>
      <c r="C41" s="7">
        <f>IF($B41="","",IF($BF41=0,0,IF('Second Earner'!$C$4="Annual salary",ROUND($AK41/IF(AND('Second Earner'!$C$88="Actual paydays",MONTH('Second Earner'!$C$9)=1),MAX(1,MAX($BE$6:$BE$68)),'Second Earner'!$C$8),2),$AK41)))</f>
      </c>
      <c r="D41" s="7">
        <f>IF($B41="","",SUMIF('Second Earner'!$C$58:$C$67,$B41,'Second Earner'!$D$58:$D$67))</f>
      </c>
      <c r="E41" s="7">
        <f>IF($B41="","",ROUND(MAX(0,MIN(IF($AL41="Percent",$AM41*($C41+$D41),$AM41),MAX(0,'Second Earner'!$C$34-$AC40))),2))</f>
      </c>
      <c r="F41" s="7">
        <f>IF($B41="","",ROUND(MAX(0,MIN(IF('Second Earner'!$C$32="Percent",'Second Earner'!$D$32*($C41+$D41),'Second Earner'!$D$32),MAX(0,'Second Earner'!$C$34-$AC40-$E41))),2))</f>
      </c>
      <c r="G41" s="7">
        <f>IF($B41="","",IF($BF41=0,0,ROUND(MAX(0,MIN($BL41,'Second Earner'!$C$37-'Second Earner'!$C$54-$BI40)),2)))</f>
      </c>
      <c r="H41" s="7">
        <f>IF($B41="","",IF(OR($BF41=0,$BQ41=1),0,ROUND(MAX(0,MIN(IF($BS41=1,ROUND(MAX(0,MIN($BJ41,'How This Works &amp; Sources'!$C$13)-$BG40)/MAX(1,MAX($BE$6:$BE$68)-($BE40)),2),ROUND(MIN($BJ41,'How This Works &amp; Sources'!$C$13)/'Second Earner'!$C$8,2)),MIN($BJ41,'How This Works &amp; Sources'!$C$13)-$BG40)),2)))</f>
      </c>
      <c r="I41" s="7">
        <f>IF($B41="","",IF(OR($BF41=0,$BR41=1),0,ROUND(MAX(0,MIN(IF($BT41=1,ROUND(MAX(0,MIN($BK41,IF('Second Earner'!$C$12="MFJ",'How This Works &amp; Sources'!$C$14,'How This Works &amp; Sources'!$C$15))-$BH40)/MAX(1,MAX($BE$6:$BE$68)-($BE40)),2),ROUND(MIN($BK41,IF('Second Earner'!$C$12="MFJ",'How This Works &amp; Sources'!$C$14,'How This Works &amp; Sources'!$C$15))/'Second Earner'!$C$8,2)),MIN($BK41,IF('Second Earner'!$C$12="MFJ",'How This Works &amp; Sources'!$C$14,'How This Works &amp; Sources'!$C$15))-$BH40)),2)))</f>
      </c>
      <c r="J41" s="7">
        <f>IF($B41="","",IF($BF41=0,0,$BM41))</f>
      </c>
      <c r="K41" s="7">
        <f>IF($B41="","",IF($BF41=0,0,$BN41+$BO41))</f>
      </c>
      <c r="L41" s="7">
        <f>IF($B41="","",IF($BF41=0,0,'Second Earner'!$D$46))</f>
      </c>
      <c r="M41" s="7">
        <f>IF($B41="","",$C41+$D41+$L41-$E41-$G41-$H41-$I41-$J41-$K41)</f>
      </c>
      <c r="N41" s="7">
        <f>IF($B41="","",$C41+$D41+$L41-$G41-$H41-$I41-$J41-$K41)</f>
      </c>
      <c r="O41" s="7">
        <f>IF($B41="","",$C41+$D41+$L41-$E41-$H41-$I41-$J41-$K41-IF(OR($AN41="CA",$AN41="NJ"),0,$G41))</f>
      </c>
      <c r="P41" s="7">
        <f>IF($B41="","",IF('Second Earner'!$C$18,0,ROUND(MAX(0,IF('Second Earner'!$C$13,SUMPRODUCT(($AH41&gt;INDEX('How This Works &amp; Sources'!$B$29:$J$36,0,IF('Second Earner'!$C$12="MFJ",1,IF('Second Earner'!$C$12="HoH",7,4))))*($AH41-INDEX('How This Works &amp; Sources'!$B$29:$J$36,0,IF('Second Earner'!$C$12="MFJ",1,IF('Second Earner'!$C$12="HoH",7,4))))*INDEX('How This Works &amp; Sources'!$B$29:$J$36,0,IF('Second Earner'!$C$12="MFJ",1,IF('Second Earner'!$C$12="HoH",7,4))+2)),SUMPRODUCT(($AH41&gt;INDEX('How This Works &amp; Sources'!$B$19:$J$26,0,IF('Second Earner'!$C$12="MFJ",1,IF('Second Earner'!$C$12="HoH",7,4))))*($AH41-INDEX('How This Works &amp; Sources'!$B$19:$J$26,0,IF('Second Earner'!$C$12="MFJ",1,IF('Second Earner'!$C$12="HoH",7,4))))*INDEX('How This Works &amp; Sources'!$B$19:$J$26,0,IF('Second Earner'!$C$12="MFJ",1,IF('Second Earner'!$C$12="HoH",7,4))+2)))/'Second Earner'!$C$8-$AO41/'Second Earner'!$C$8)+$AR41+IF('Second Earner'!$C$89="Aggregate",MAX(0,IF('Second Earner'!$C$13,SUMPRODUCT((($AH41+$D41)&gt;INDEX('How This Works &amp; Sources'!$B$29:$J$36,0,IF('Second Earner'!$C$12="MFJ",1,IF('Second Earner'!$C$12="HoH",7,4))))*(($AH41+$D41)-INDEX('How This Works &amp; Sources'!$B$29:$J$36,0,IF('Second Earner'!$C$12="MFJ",1,IF('Second Earner'!$C$12="HoH",7,4))))*INDEX('How This Works &amp; Sources'!$B$29:$J$36,0,IF('Second Earner'!$C$12="MFJ",1,IF('Second Earner'!$C$12="HoH",7,4))+2)),SUMPRODUCT((($AH41+$D41)&gt;INDEX('How This Works &amp; Sources'!$B$19:$J$26,0,IF('Second Earner'!$C$12="MFJ",1,IF('Second Earner'!$C$12="HoH",7,4))))*(($AH41+$D41)-INDEX('How This Works &amp; Sources'!$B$19:$J$26,0,IF('Second Earner'!$C$12="MFJ",1,IF('Second Earner'!$C$12="HoH",7,4))))*INDEX('How This Works &amp; Sources'!$B$19:$J$26,0,IF('Second Earner'!$C$12="MFJ",1,IF('Second Earner'!$C$12="HoH",7,4))+2)))-IF('Second Earner'!$C$13,SUMPRODUCT(($AH41&gt;INDEX('How This Works &amp; Sources'!$B$29:$J$36,0,IF('Second Earner'!$C$12="MFJ",1,IF('Second Earner'!$C$12="HoH",7,4))))*($AH41-INDEX('How This Works &amp; Sources'!$B$29:$J$36,0,IF('Second Earner'!$C$12="MFJ",1,IF('Second Earner'!$C$12="HoH",7,4))))*INDEX('How This Works &amp; Sources'!$B$29:$J$36,0,IF('Second Earner'!$C$12="MFJ",1,IF('Second Earner'!$C$12="HoH",7,4))+2)),SUMPRODUCT(($AH41&gt;INDEX('How This Works &amp; Sources'!$B$19:$J$26,0,IF('Second Earner'!$C$12="MFJ",1,IF('Second Earner'!$C$12="HoH",7,4))))*($AH41-INDEX('How This Works &amp; Sources'!$B$19:$J$26,0,IF('Second Earner'!$C$12="MFJ",1,IF('Second Earner'!$C$12="HoH",7,4))))*INDEX('How This Works &amp; Sources'!$B$19:$J$26,0,IF('Second Earner'!$C$12="MFJ",1,IF('Second Earner'!$C$12="HoH",7,4))+2)))),'How This Works &amp; Sources'!$C$10*$D41),2)))</f>
      </c>
      <c r="Q41" s="7">
        <f>IF($B41="","",ROUND('How This Works &amp; Sources'!$C$4*MIN($N41,MAX(0,'How This Works &amp; Sources'!$C$3-($AX41+$AB40-$AW41))),2))</f>
      </c>
      <c r="R41" s="7">
        <f>IF($B41="","",ROUND('How This Works &amp; Sources'!$C$5*$N41,2))</f>
      </c>
      <c r="S41" s="7">
        <f>IF($B41="","",ROUND('How This Works &amp; Sources'!$C$6*MAX(0,MIN($N41,$AG40+$N41-'How This Works &amp; Sources'!$C$7)),2))</f>
      </c>
      <c r="T41" s="7">
        <f>IF($B41="","",IF('Second Earner'!$C$26,0,IF($AN41="CA",ROUND(IF($AI41&lt;=IF(($AS41+$AT41)&gt;=2,VLOOKUP($AN41,StateTables!$A$6:$AB$56,10,FALSE),VLOOKUP($AN41,StateTables!$A$6:$AB$56,9,FALSE)),0,MAX(0,SUMPRODUCT(($AJ41&gt;INDEX('How This Works &amp; Sources'!$B$39:$J$48,0,IF($AU41="Married",4,IF($AU41="Head of household",7,1))))*($AJ41-INDEX('How This Works &amp; Sources'!$B$39:$J$48,0,IF($AU41="Married",4,IF($AU41="Head of household",7,1))))*INDEX('How This Works &amp; Sources'!$B$39:$J$48,0,IF($AU41="Married",4,IF($AU41="Head of household",7,1))+2))-VLOOKUP($AN41,StateTables!$A$6:$AB$56,11,FALSE)*$AS41)/'Second Earner'!$C$8)+'Second Earner'!$C$25+VLOOKUP($AN41,StateTables!$A$6:$AB$56,13,FALSE)*$D41,2),IF(VLOOKUP($AN41,StateTables!$A$6:$AB$56,4,FALSE)="None",0,IF(ISNUMBER(SEARCH("MANUAL",VLOOKUP($AN41,StateTables!$A$6:$AB$56,5,FALSE))),'Second Earner'!$C$28,ROUND(MAX(0,$BA41+$BB41)/'Second Earner'!$C$8+'Second Earner'!$C$25+$BC41,2))))))</f>
      </c>
      <c r="U41" s="7">
        <f>IF($B41="","",IF(VLOOKUP($AN41,StateTables!$A$6:$AB$56,24,FALSE)="flatq",IF(OR(MONTH($B41)=1,MONTH($B41)=4,MONTH($B41)=7,MONTH($B41)=10),VLOOKUP($AN41,StateTables!$A$6:$AB$56,25,FALSE),0),IF(VLOOKUP($AN41,StateTables!$A$6:$AB$56,24,FALSE)="dbl",MIN(ROUND(0.005*$N41,2),ROUND(0.6*52/'Second Earner'!$C$8,2)),IF(OR(VLOOKUP($AN41,StateTables!$A$6:$AB$56,15,FALSE)="",VLOOKUP($AN41,StateTables!$A$6:$AB$56,15,FALSE)=0),0,ROUND(VLOOKUP($AN41,StateTables!$A$6:$AB$56,15,FALSE)*IF(OR(VLOOKUP($AN41,StateTables!$A$6:$AB$56,16,FALSE)="",VLOOKUP($AN41,StateTables!$A$6:$AB$56,16,FALSE)=0),$N41,MIN($N41,MAX(0,VLOOKUP($AN41,StateTables!$A$6:$AB$56,16,FALSE)-($AX41+$AB40-$AW41)))),2))))+IF(VLOOKUP($AN41,StateTables!$A$6:$AB$56,27,FALSE)="flatq",IF(OR(MONTH($B41)=1,MONTH($B41)=4,MONTH($B41)=7,MONTH($B41)=10),VLOOKUP($AN41,StateTables!$A$6:$AB$56,28,FALSE),0),IF(VLOOKUP($AN41,StateTables!$A$6:$AB$56,27,FALSE)="dbl",MIN(ROUND(0.005*$N41,2),ROUND(0.6*52/'Second Earner'!$C$8,2)),IF(OR(VLOOKUP($AN41,StateTables!$A$6:$AB$56,18,FALSE)="",VLOOKUP($AN41,StateTables!$A$6:$AB$56,18,FALSE)=0),0,ROUND(VLOOKUP($AN41,StateTables!$A$6:$AB$56,18,FALSE)*IF(OR(VLOOKUP($AN41,StateTables!$A$6:$AB$56,19,FALSE)="",VLOOKUP($AN41,StateTables!$A$6:$AB$56,19,FALSE)=0),$N41,MIN($N41,MAX(0,VLOOKUP($AN41,StateTables!$A$6:$AB$56,19,FALSE)-($AX41+$AB40-$AW41)))),2)))))</f>
      </c>
      <c r="V41" s="7">
        <f>IF($B41="","",IF($AN41="NY",IF('Second Earner'!$C$78,ROUND(SUMPRODUCT((MAX(0,($O41-$D41)*'Second Earner'!$C$8-(IF($AU41="Married",5500,5000)+1000*$AS41))&gt;INDEX('How This Works &amp; Sources'!$B$184:$J$198,0,4))*(MAX(0,($O41-$D41)*'Second Earner'!$C$8-(IF($AU41="Married",5500,5000)+1000*$AS41))-INDEX('How This Works &amp; Sources'!$B$184:$J$198,0,4))*INDEX('How This Works &amp; Sources'!$B$184:$J$198,0,4+2))/'Second Earner'!$C$8+0.0425*$D41,2),0)+IF('Second Earner'!$C$79="Resident",ROUND(0.1675*$T41,2),IF('Second Earner'!$C$79="Nonresident",ROUND(0.005*MAX(0,($O41-$D41)-(IF($AU41="Married",7950,7400)+1000*$AS41)/'Second Earner'!$C$8),2),0)),IF($AN41="PA",IF('Second Earner'!$C$80="None",'Second Earner'!$C$27+ROUND('Second Earner'!$C$81*($C41+$D41),2),ROUND(IF('Second Earner'!$C$80="Resident",IF($B41&lt;DATE(2026,7,1),0.0374,0.03735),IF($B41&lt;DATE(2026,7,1),0.0343,0.03425))*($C41+$D41),2)),IF($BF41=0,ROUND('Second Earner'!$C$81*($C41+$D41),2),'Second Earner'!$C$27+ROUND('Second Earner'!$C$81*($C41+$D41),2)))))</f>
      </c>
      <c r="W41" s="7">
        <f>IF($B41="","",IF($BF41=0,0,$BP41))</f>
      </c>
      <c r="X41" s="7">
        <f>IF($B41="","",SUM($E41:$K41)+$P41+$Q41+$R41+$S41+$T41+$U41+$V41+$W41)</f>
      </c>
      <c r="Y41" s="22">
        <f>IF($B41="","",$C41+$D41-$X41)</f>
      </c>
      <c r="Z41" s="7">
        <f>IF($B41="","",$Z40+$C41+$D41)</f>
      </c>
      <c r="AA41" s="7">
        <f>IF($B41="","",$AA40+$Y41)</f>
      </c>
      <c r="AB41" s="7">
        <f>IF($B41="","",$AB40+MIN($N41,MAX(0,'How This Works &amp; Sources'!$C$3-($AX41+$AB40-$AW41))))</f>
      </c>
      <c r="AC41" s="7">
        <f>IF($B41="","",$AC40+$E41+$F41)</f>
      </c>
      <c r="AD41" s="3">
        <f>IF($B41="","",IF(AND($AB40&lt;'How This Works &amp; Sources'!$C$3,$AB41&gt;='How This Works &amp; Sources'!$C$3),"★ Social Security maxed on this check — from the next check your net rises by about $"&amp;TEXT(ROUND('How This Works &amp; Sources'!$C$4*$N41,2),"#,##0.00")&amp;". ","")&amp;IF(AND($AC40&lt;'Second Earner'!$C$34,$AC41&gt;='Second Earner'!$C$34),"★ 401(k) reaches the $"&amp;TEXT('Second Earner'!$C$34,"#,##0")&amp;" cap on this check — deferrals stop and net pay rises. ","")&amp;IF(AND($AG40&lt;'How This Works &amp; Sources'!$C$7,$AG41&gt;='How This Works &amp; Sources'!$C$7),"★ Wages pass $200,000 — the 0.9% Additional Medicare Tax starts here. ","")&amp;IF(AND($BJ41&gt;0,$H41&gt;0,$BG40&lt;MIN($BJ41,'How This Works &amp; Sources'!$C$13),$BG40+$H41&gt;=MIN($BJ41,'How This Works &amp; Sources'!$C$13)),"★ Health FSA election is now fully deferred for the year. ",""))</f>
      </c>
      <c r="AE41" s="41" t="n"/>
      <c r="AF41" s="7">
        <f>IF(OR($B41="",$AE41=""),"",$AE41-$Y41)</f>
      </c>
      <c r="AG41" s="7">
        <f>IF($B41="","",$AG40+$N41)</f>
      </c>
      <c r="AH41" s="7">
        <f>IF($B41="","",MAX(0,($M41-$D41)*'Second Earner'!$C$8+$AP41-$AQ41-IF('Second Earner'!$C$13,0,IF('Second Earner'!$C$12="MFJ",'How This Works &amp; Sources'!$C$8,'How This Works &amp; Sources'!$C$9))))</f>
      </c>
      <c r="AI41" s="7">
        <f>IF($B41="","",$O41*'Second Earner'!$C$8)</f>
      </c>
      <c r="AJ41" s="7">
        <f>IF($B41="","",MAX(0,$AI41-VLOOKUP($AN41,StateTables!$A$6:$AB$56,12,FALSE)*$AT41-IF(($AS41+$AT41)&gt;=2,VLOOKUP($AN41,StateTables!$A$6:$AB$56,8,FALSE),VLOOKUP($AN41,StateTables!$A$6:$AB$56,7,FALSE))))</f>
      </c>
      <c r="AK41" s="7">
        <f>IF($B41="","",IFERROR(LOOKUP(2,1/(('Changes — Earner 2'!$C$6:$C$17="Salary change")*('Changes — Earner 2'!$B$6:$B$17&lt;=$B41)*('Changes — Earner 2'!$B$6:$B$17&lt;&gt;"")),'Changes — Earner 2'!$D$6:$D$17),IF('Second Earner'!$C$4="Annual salary",'Second Earner'!$C$5,'Second Earner'!$C$6)))</f>
      </c>
      <c r="AL41">
        <f>IF($B41="","",IFERROR(LOOKUP(2,1/(('Changes — Earner 2'!$C$6:$C$17="401(k) change")*('Changes — Earner 2'!$B$6:$B$17&lt;=$B41)*('Changes — Earner 2'!$B$6:$B$17&lt;&gt;"")),'Changes — Earner 2'!$D$6:$D$17),'Second Earner'!$C$30))</f>
      </c>
      <c r="AM41" s="7">
        <f>IF($B41="","",IFERROR(LOOKUP(2,1/(('Changes — Earner 2'!$C$6:$C$17="401(k) change")*('Changes — Earner 2'!$B$6:$B$17&lt;=$B41)*('Changes — Earner 2'!$B$6:$B$17&lt;&gt;"")),'Changes — Earner 2'!$E$6:$E$17),'Second Earner'!$D$31))</f>
      </c>
      <c r="AN41">
        <f>IF($B41="","",IFERROR(LOOKUP(2,1/(('Changes — Earner 2'!$C$6:$C$17="State move")*('Changes — Earner 2'!$B$6:$B$17&lt;=$B41)*('Changes — Earner 2'!$B$6:$B$17&lt;&gt;"")),'Changes — Earner 2'!$D$6:$D$17),'Second Earner'!$C$21))</f>
      </c>
      <c r="AO41" s="7">
        <f>IF($B41="","",IFERROR(LOOKUP(2,1/(('Changes — Earner 2'!$C$6:$C$17="W-4 change")*('Changes — Earner 2'!$B$6:$B$17&lt;=$B41)*('Changes — Earner 2'!$B$6:$B$17&lt;&gt;"")),'Changes — Earner 2'!$D$6:$D$17),'Second Earner'!$C$14))</f>
      </c>
      <c r="AP41" s="7">
        <f>IF($B41="","",IFERROR(LOOKUP(2,1/(('Changes — Earner 2'!$C$6:$C$17="W-4 change")*('Changes — Earner 2'!$B$6:$B$17&lt;=$B41)*('Changes — Earner 2'!$B$6:$B$17&lt;&gt;"")),'Changes — Earner 2'!$E$6:$E$17),'Second Earner'!$C$15))</f>
      </c>
      <c r="AQ41" s="7">
        <f>IF($B41="","",IFERROR(LOOKUP(2,1/(('Changes — Earner 2'!$C$6:$C$17="W-4 change")*('Changes — Earner 2'!$B$6:$B$17&lt;=$B41)*('Changes — Earner 2'!$B$6:$B$17&lt;&gt;"")),'Changes — Earner 2'!$F$6:$F$17),'Second Earner'!$C$16))</f>
      </c>
      <c r="AR41" s="7">
        <f>IF($B41="","",IFERROR(LOOKUP(2,1/(('Changes — Earner 2'!$C$6:$C$17="W-4 change")*('Changes — Earner 2'!$B$6:$B$17&lt;=$B41)*('Changes — Earner 2'!$B$6:$B$17&lt;&gt;"")),'Changes — Earner 2'!$G$6:$G$17),'Second Earner'!$C$17))</f>
      </c>
      <c r="AS41" s="6">
        <f>IF($B41="","",IFERROR(LOOKUP(2,1/((('Changes — Earner 2'!$C$6:$C$17="State move")+('Changes — Earner 2'!$C$6:$C$17="State cert change"))*('Changes — Earner 2'!$B$6:$B$17&lt;=$B41)*('Changes — Earner 2'!$B$6:$B$17&lt;&gt;"")),'Changes — Earner 2'!$F$6:$F$17),'Second Earner'!$C$23))</f>
      </c>
      <c r="AT41" s="6">
        <f>IF($B41="","",IFERROR(LOOKUP(2,1/((('Changes — Earner 2'!$C$6:$C$17="State move")+('Changes — Earner 2'!$C$6:$C$17="State cert change"))*('Changes — Earner 2'!$B$6:$B$17&lt;=$B41)*('Changes — Earner 2'!$B$6:$B$17&lt;&gt;"")),'Changes — Earner 2'!$G$6:$G$17),'Second Earner'!$C$24))</f>
      </c>
      <c r="AU41">
        <f>IF($B41="","",IFERROR(LOOKUP(2,1/(('Changes — Earner 2'!$C$6:$C$17="State move")*('Changes — Earner 2'!$B$6:$B$17&lt;=$B41)*('Changes — Earner 2'!$B$6:$B$17&lt;&gt;"")),'Changes — Earner 2'!$E$6:$E$17),'Second Earner'!$C$22))</f>
      </c>
      <c r="AV41" s="6">
        <f>IF($B41="","",1+COUNTIFS('Changes — Earner 2'!$C$6:$C$17,"Employer change",'Changes — Earner 2'!$B$6:$B$17,"&lt;="&amp;$B41,'Changes — Earner 2'!$B$6:$B$17,"&lt;&gt;"))</f>
      </c>
      <c r="AW41" s="7">
        <f>IF($B41="","",IF($AV41=1,'Second Earner'!$C$49,IF(IFERROR(MATCH(IFERROR(LOOKUP(2,1/(('Changes — Earner 2'!$C$6:$C$17="Employer change")*('Changes — Earner 2'!$B$6:$B$17&lt;=$B41)*('Changes — Earner 2'!$B$6:$B$17&lt;&gt;"")),'Changes — Earner 2'!$B$6:$B$17),""),$B$6:$B$68,1),1)&lt;=1,'Second Earner'!$C$49,INDEX($AB$6:$AB$68,MATCH(IFERROR(LOOKUP(2,1/(('Changes — Earner 2'!$C$6:$C$17="Employer change")*('Changes — Earner 2'!$B$6:$B$17&lt;=$B41)*('Changes — Earner 2'!$B$6:$B$17&lt;&gt;"")),'Changes — Earner 2'!$B$6:$B$17),""),$B$6:$B$68,1)-1))))</f>
      </c>
      <c r="AX41" s="7">
        <f>IF($B41="","",IF($AV41=1,'Second Earner'!$C$49,IFERROR(LOOKUP(2,1/(('Changes — Earner 2'!$C$6:$C$17="Employer change")*('Changes — Earner 2'!$B$6:$B$17&lt;=$B41)*('Changes — Earner 2'!$B$6:$B$17&lt;&gt;"")),'Changes — Earner 2'!$D$6:$D$17),0)))</f>
      </c>
      <c r="AY41" s="7">
        <f>IF($B41="","",($O41-$D41)*'Second Earner'!$C$8)</f>
      </c>
      <c r="AZ41" s="7">
        <f>IF($B41="","",IF($AN41="AL",MAX(0,$AY41-IF($AU41="Married",IF($AY41&lt;=25999,8500,MAX(5000,8500-175*CEILING(($AY41-25999)/500,1))),IF($AU41="Head of household",IF($AY41&lt;=25999,5200,MAX(2500,5200-135*CEILING(($AY41-25999)/500,1))),IF($AY41&lt;=25999,3000,MAX(2500,3000-25*CEILING(($AY41-25999)/500,1)))))-($P41-'How This Works &amp; Sources'!$C$10*$D41)*'Second Earner'!$C$8-IF(OR($AU41="Married",$AU41="Head of household"),3000,1500)-$AT41*IF($AY41&lt;=50000,1000,IF($AY41&lt;=100000,500,300))),IF($AN41="AR",IF(MAX(0,$AY41-2470)&lt;97701,INT(MAX(0,$AY41-2470)/100)*100+50,MAX(0,$AY41-2470)),IF($AN41="DE",MAX(0,$AI41-3250),IF($AN41="HI",MAX(0,$AI41-1144*$AS41-4350),IF($AN41="KS",MAX(0,$AI41-(9160*IF($AU41="Married",2,1)+2320*$AT41+IF($AU41="Head of household",2320,0))),IF($AN41="MD",MAX(0,$AI41-3400-3200*$AS41),IF($AN41="MN",MAX(0,$AY41-5300*$AS41),IF($AN41="MO",MAX(0,$AI41-IF($AU41="Head of household",24150,IF($AU41="Married",IF('Second Earner'!$C$83,16100,32200),16100))),IF($AN41="MT",$AY41,IF($AN41="ND",($C41+$L41)*'Second Earner'!$C$8,IF($AN41="NE",MAX(0,$AY41-2440*$AS41),IF($AN41="NJ",MAX(0,$AY41-1000*$AS41),IF($AN41="NY",MAX(0,$AY41-(IF($AU41="Married",7950,7400)+1000*$AS41)),IF($AN41="OH",MAX(0,$AY41-650*$AS41),IF($AN41="OK",MAX(0,$AY41-1000*$AS41),IF($AN41="RI",MAX(0,$AI41-1000*$AS41),IF($AN41="SC",MAX(0,$AI41-5000*$AS41-IF($AS41=0,0,MIN(0.1*$AI41,7500))),IF($AN41="VA",MAX(0,$AI41-IF($AU41="Married",17500,8750)-930*$AS41-800*$AT41),IF($AN41="VT",MAX(0,$AI41-5400*$AS41),IF($AN41="WI",MAX(0,$AI41-MAX(0,IF($AU41="Married",9461-0.2*MAX(0,$AI41-25727),6702-0.12*MAX(0,$AI41-17780)))-400*$AS41),IF($AN41="WV",MAX(0,$AI41-2000*$AS41),$AI41))))))))))))))))))))))</f>
      </c>
      <c r="BA41" s="7">
        <f>IF($B41="","",IF($BW41&lt;&gt;"",$BW41,IF($BX41&lt;&gt;"",$BX41,IF($BY41&lt;&gt;"",$BY41,0))))</f>
      </c>
      <c r="BB41" s="7">
        <f>IF($B41="","",IF($AN41="AR",-29*$AS41,IF($AN41="DE",-110*$AS41,IF($AN41="MD",$AZ41*'Second Earner'!$C$74,IF($AN41="AZ",'Second Earner'!$C$82*($M41-$D41)*'Second Earner'!$C$8,IF($AN41="CO",0.044*MAX(0,$AY41-IF($AU41="Married",10000,5000)),IF($AN41="IA",MAX(0,0.038*MAX(0,$AY41-IF($AU41="Head of household",19500,IF($AU41="Married",26000,13000)))-40*$AS41),IF($AN41="ID",0.053*MAX(0,$AY41-IF($AU41="Married",32000,16094)),IF($AN41="IL",0.0495*MAX(0,$AY41-(2925*$AS41+1000*$AT41)),IF($AN41="IN",(0.0295+'Second Earner'!$C$76)*MAX(0,$AY41-(1000*$AS41+1500*$AT41+3000*'Second Earner'!$C$86)),IF($AN41="KY",0.035*MAX(0,$AI41-3360),IF($AN41="LA",IF('Second Earner'!$C$84="0",0.0309*$AI41,0.0309*MAX(0,$AI41-IF('Second Earner'!$C$84="2",25750,12875))),IF($AN41="MA",0.05*MIN(MAX(0,$AY41-MIN(($BD40+$Q41+$R41+$S41),2000)-IF($AS41=0,0,IF($AS41=1,4400,1000*$AS41+3400))),1107750)+0.09*MAX(0,MAX(0,$AY41-MIN(($BD40+$Q41+$R41+$S41),2000)-IF($AS41=0,0,IF($AS41=1,4400,1000*$AS41+3400)))-1107750)-IF($AU41="Head of household",120,0)-110*'Second Earner'!$C$75,IF($AN41="MI",0.0425*MAX(0,$AY41-5900*$AS41),IF($AN41="MS",0.04*MAX(0,$AI41-IF($AU41="Head of household",3400,IF($AU41="Married",4600,2300))-'Second Earner'!$C$85-10000),IF($AN41="OR",IF(OR($AU41="Married",AND($AU41="Single",$AS41&gt;=3)),SUMPRODUCT((MAX(0,$AY41-MIN(($P41-'How This Works &amp; Sources'!$C$10*$D41)*'Second Earner'!$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Sources'!$B$211:$J$214,0,4))*(MAX(0,$AY41-MIN(($P41-'How This Works &amp; Sources'!$C$10*$D41)*'Second Earner'!$C$8,IF(OR($AU41="Married",AND($AU41="Single",$AS41&gt;=3)),IF($AY41&lt;250000,8750,IF($AY41&lt;260000,7000,IF($AY41&lt;270000,5250,IF($AY41&lt;280000,3500,IF($AY41&lt;290000,1750,0))))),IF($AY41&lt;125000,8750,IF($AY41&lt;130000,7000,IF($AY41&lt;135000,5250,IF($AY41&lt;140000,3500,IF($AY41&lt;145000,1750,0)))))))-IF(OR($AU41="Married",AND($AU41="Single",$AS41&gt;=3)),5820,2910))-INDEX('How This Works &amp; Sources'!$B$211:$J$214,0,4))*INDEX('How This Works &amp; Sources'!$B$211:$J$214,0,4+2)),SUMPRODUCT((MAX(0,$AY41-MIN(($P41-'How This Works &amp; Sources'!$C$10*$D41)*'Second Earner'!$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Sources'!$B$211:$J$214,0,1))*(MAX(0,$AY41-MIN(($P41-'How This Works &amp; Sources'!$C$10*$D41)*'Second Earner'!$C$8,IF(OR($AU41="Married",AND($AU41="Single",$AS41&gt;=3)),IF($AY41&lt;250000,8750,IF($AY41&lt;260000,7000,IF($AY41&lt;270000,5250,IF($AY41&lt;280000,3500,IF($AY41&lt;290000,1750,0))))),IF($AY41&lt;125000,8750,IF($AY41&lt;130000,7000,IF($AY41&lt;135000,5250,IF($AY41&lt;140000,3500,IF($AY41&lt;145000,1750,0)))))))-IF(OR($AU41="Married",AND($AU41="Single",$AS41&gt;=3)),5820,2910))-INDEX('How This Works &amp; Sources'!$B$211:$J$214,0,1))*INDEX('How This Works &amp; Sources'!$B$211:$J$214,0,1+2)))+263-263*IF(IF($AU41="Married",$AY41&gt;200000,$AY41&gt;100000),0,$AS41),IF($AN41="PA",0.0307*(($O41+$E41+$G41)*'Second Earner'!$C$8),IF($AN41="NY",IF($AU41="Married",IF($AZ41&gt;=2155350,0,IF($AZ41&gt;=1077550,0.48,IF($AZ41&gt;=373200,1.21,IF($AZ41&gt;=323200,0.21,IF($AZ41&gt;=211550,-0.19,IF($AZ41&gt;=157650,-2.8,IF($AZ41&gt;=107650,-0.8,IF($AZ41&gt;=96800,0.05,IF($AZ41&gt;=80650,-0.1,IF($AZ41&gt;=13900,0.4,IF($AZ41&gt;=11700,-0.3,IF($AZ41&gt;=8500,0.5,0)))))))))))),IF($AZ41&gt;=1077550,0,IF($AZ41&gt;=265400,4.29,IF($AZ41&gt;=215400,2.29,IF($AZ41&gt;=157650,2.29,IF($AZ41&gt;=107650,0.29,IF($AZ41&gt;=96800,0.05,IF($AZ41&gt;=80650,-0.1,IF($AZ41&gt;=13900,0.4,IF($AZ41&gt;=11700,-0.3,IF($AZ41&gt;=8500,0.5,0))))))))))),0))))))))))))))))))</f>
      </c>
      <c r="BC41" s="7">
        <f>IF($B41="","",IF($AN41="AL",0.05*$D41,IF($AN41="AR",0.039*$D41,IF($AN41="ID",0.053*$D41,IF($AN41="IN",(0.0295+'Second Earner'!$C$76)*$D41,IF($AN41="KS",0.05*$D41,IF($AN41="MA",0.09*MIN($D41,MAX(0,MAX(0,$AY41-MIN(($BD40+$Q41+$R41+$S41),2000)-IF($AS41=0,0,IF($AS41=1,4400,1000*$AS41+3400)))+$D41-1107750))+0.05*($D41-MIN($D41,MAX(0,MAX(0,$AY41-MIN(($BD40+$Q41+$R41+$S41),2000)-IF($AS41=0,0,IF($AS41=1,4400,1000*$AS41+3400)))+$D41-1107750))),IF($AN41="MD",(0.065+'Second Earner'!$C$74)*$D41,IF($AN41="MI",0.0425*$D41,IF($AN41="MN",0.0625*$D41,IF($AN41="MO",0.047*$D41,IF($AN41="MT",0.05*$D41,IF($AN41="ND",0.015*$D41,IF($AN41="NE",0.035*$D41,IF($AN41="NJ",IF('Second Earner'!$C$77="B",SUMPRODUCT(($D41*'Second Earner'!$C$8&gt;INDEX('How This Works &amp; Sources'!$B$155:$J$162,0,4))*($D41*'Second Earner'!$C$8-INDEX('How This Works &amp; Sources'!$B$155:$J$162,0,4))*INDEX('How This Works &amp; Sources'!$B$155:$J$162,0,4+2)),IF('Second Earner'!$C$77="C",SUMPRODUCT(($D41*'Second Earner'!$C$8&gt;INDEX('How This Works &amp; Sources'!$B$155:$J$162,0,7))*($D41*'Second Earner'!$C$8-INDEX('How This Works &amp; Sources'!$B$155:$J$162,0,7))*INDEX('How This Works &amp; Sources'!$B$155:$J$162,0,7+2)),IF('Second Earner'!$C$77="D",SUMPRODUCT(($D41*'Second Earner'!$C$8&gt;INDEX('How This Works &amp; Sources'!$B$167:$J$179,0,1))*($D41*'Second Earner'!$C$8-INDEX('How This Works &amp; Sources'!$B$167:$J$179,0,1))*INDEX('How This Works &amp; Sources'!$B$167:$J$179,0,1+2)),IF('Second Earner'!$C$77="E",SUMPRODUCT(($D41*'Second Earner'!$C$8&gt;INDEX('How This Works &amp; Sources'!$B$167:$J$179,0,4))*($D41*'Second Earner'!$C$8-INDEX('How This Works &amp; Sources'!$B$167:$J$179,0,4))*INDEX('How This Works &amp; Sources'!$B$167:$J$179,0,4+2)),SUMPRODUCT(($D41*'Second Earner'!$C$8&gt;INDEX('How This Works &amp; Sources'!$B$155:$J$162,0,1))*($D41*'Second Earner'!$C$8-INDEX('How This Works &amp; Sources'!$B$155:$J$162,0,1))*INDEX('How This Works &amp; Sources'!$B$155:$J$162,0,1+2))))))/'Second Earner'!$C$8,IF($AN41="NY",0.117*$D41,IF($AN41="OH",0.0275*$D41,IF($AN41="OK",0.045*$D41,IF($AN41="OR",0.08*$D41,IF($AN41="WI",IF($AY41&lt;12760,0.0354,IF($AY41&lt;25520,0.0465,IF($AY41&lt;280950,0.053,0.0765)))*$D41,0))))))))))))))))))))</f>
      </c>
      <c r="BD41" s="7">
        <f>IF($B41="","",$BD40+$Q41+$R41+$S41)</f>
      </c>
      <c r="BE41" s="6">
        <f>IF($B41="",$BE40,$BE40+$BF41)</f>
      </c>
      <c r="BF41" s="6">
        <f>IF($B41="","",IF(AND(IF(YEAR(IF('Second Earner'!$C$7="Weekly",'Second Earner'!$C$9+7*(($BE40+1)-1),IF('Second Earner'!$C$7="Biweekly",'Second Earner'!$C$9+14*(($BE40+1)-1),IF('Second Earner'!$C$7="Semimonthly",DATE(YEAR('Second Earner'!$C$9),MONTH('Second Earner'!$C$9)+INT((($BE40+1)-1)/2),MIN(DAY('Second Earner'!$C$9),DAY(EOMONTH(DATE(YEAR('Second Earner'!$C$9),MONTH('Second Earner'!$C$9)+INT((($BE40+1)-1)/2),1),0))))+IF(MOD(($BE40+1)-1,2)=1,15,0),EDATE('Second Earner'!$C$9,($BE40+1)-1)))))&lt;&gt;'Second Earner'!$C$10,"",IF('Second Earner'!$C$7="Weekly",'Second Earner'!$C$9+7*(($BE40+1)-1),IF('Second Earner'!$C$7="Biweekly",'Second Earner'!$C$9+14*(($BE40+1)-1),IF('Second Earner'!$C$7="Semimonthly",DATE(YEAR('Second Earner'!$C$9),MONTH('Second Earner'!$C$9)+INT((($BE40+1)-1)/2),MIN(DAY('Second Earner'!$C$9),DAY(EOMONTH(DATE(YEAR('Second Earner'!$C$9),MONTH('Second Earner'!$C$9)+INT((($BE40+1)-1)/2),1),0))))+IF(MOD(($BE40+1)-1,2)=1,15,0),EDATE('Second Earner'!$C$9,($BE40+1)-1)))))&lt;&gt;"",$B41=IF(YEAR(IF('Second Earner'!$C$7="Weekly",'Second Earner'!$C$9+7*(($BE40+1)-1),IF('Second Earner'!$C$7="Biweekly",'Second Earner'!$C$9+14*(($BE40+1)-1),IF('Second Earner'!$C$7="Semimonthly",DATE(YEAR('Second Earner'!$C$9),MONTH('Second Earner'!$C$9)+INT((($BE40+1)-1)/2),MIN(DAY('Second Earner'!$C$9),DAY(EOMONTH(DATE(YEAR('Second Earner'!$C$9),MONTH('Second Earner'!$C$9)+INT((($BE40+1)-1)/2),1),0))))+IF(MOD(($BE40+1)-1,2)=1,15,0),EDATE('Second Earner'!$C$9,($BE40+1)-1)))))&lt;&gt;'Second Earner'!$C$10,"",IF('Second Earner'!$C$7="Weekly",'Second Earner'!$C$9+7*(($BE40+1)-1),IF('Second Earner'!$C$7="Biweekly",'Second Earner'!$C$9+14*(($BE40+1)-1),IF('Second Earner'!$C$7="Semimonthly",DATE(YEAR('Second Earner'!$C$9),MONTH('Second Earner'!$C$9)+INT((($BE40+1)-1)/2),MIN(DAY('Second Earner'!$C$9),DAY(EOMONTH(DATE(YEAR('Second Earner'!$C$9),MONTH('Second Earner'!$C$9)+INT((($BE40+1)-1)/2),1),0))))+IF(MOD(($BE40+1)-1,2)=1,15,0),EDATE('Second Earner'!$C$9,($BE40+1)-1)))))),1,0))</f>
      </c>
      <c r="BG41" s="7">
        <f>IF($B41="","",$BG40+$H41)</f>
      </c>
      <c r="BH41" s="7">
        <f>IF($B41="","",$BH40+$I41)</f>
      </c>
      <c r="BI41" s="7">
        <f>IF($B41="","",$BI40+$G41)</f>
      </c>
      <c r="BJ41" s="7">
        <f>IF($B41="","",IFERROR(LOOKUP(2,1/(((('Changes — Earner 2'!$C$6:$C$17="Deduction start"))*('Changes — Earner 2'!$D$6:$D$17="Health FSA"))*('Changes — Earner 2'!$B$6:$B$17&lt;=$B41)*('Changes — Earner 2'!$B$6:$B$17&lt;&gt;"")),'Changes — Earner 2'!$E$6:$E$17),'Second Earner'!$D$38))</f>
      </c>
      <c r="BK41" s="7">
        <f>IF($B41="","",IFERROR(LOOKUP(2,1/(((('Changes — Earner 2'!$C$6:$C$17="Deduction start"))*('Changes — Earner 2'!$D$6:$D$17="Dependent-care FSA"))*('Changes — Earner 2'!$B$6:$B$17&lt;=$B41)*('Changes — Earner 2'!$B$6:$B$17&lt;&gt;"")),'Changes — Earner 2'!$E$6:$E$17),'Second Earner'!$D$39))</f>
      </c>
      <c r="BL41" s="7">
        <f>IF($B41="","",IFERROR(LOOKUP(2,1/(((('Changes — Earner 2'!$C$6:$C$17="Deduction start")+('Changes — Earner 2'!$C$6:$C$17="Deduction stop"))*('Changes — Earner 2'!$D$6:$D$17="HSA"))*('Changes — Earner 2'!$B$6:$B$17&lt;=$B41)*('Changes — Earner 2'!$B$6:$B$17&lt;&gt;"")),'Changes — Earner 2'!$I$6:$I$17),'Second Earner'!$D$35))</f>
      </c>
      <c r="BM41" s="7">
        <f>IF($B41="","",IFERROR(LOOKUP(2,1/(((('Changes — Earner 2'!$C$6:$C$17="Deduction start")+('Changes — Earner 2'!$C$6:$C$17="Deduction stop"))*('Changes — Earner 2'!$D$6:$D$17="Premiums"))*('Changes — Earner 2'!$B$6:$B$17&lt;=$B41)*('Changes — Earner 2'!$B$6:$B$17&lt;&gt;"")),'Changes — Earner 2'!$I$6:$I$17),'Second Earner'!$D$40+'Second Earner'!$D$41+'Second Earner'!$D$42))</f>
      </c>
      <c r="BN41" s="7">
        <f>IF($B41="","",IFERROR(LOOKUP(2,1/(((('Changes — Earner 2'!$C$6:$C$17="Deduction start")+('Changes — Earner 2'!$C$6:$C$17="Deduction stop"))*('Changes — Earner 2'!$D$6:$D$17="Commuter"))*('Changes — Earner 2'!$B$6:$B$17&lt;=$B41)*('Changes — Earner 2'!$B$6:$B$17&lt;&gt;"")),'Changes — Earner 2'!$I$6:$I$17),'Second Earner'!$D$43))</f>
      </c>
      <c r="BO41" s="7">
        <f>IF($B41="","",IFERROR(LOOKUP(2,1/(((('Changes — Earner 2'!$C$6:$C$17="Deduction start")+('Changes — Earner 2'!$C$6:$C$17="Deduction stop"))*('Changes — Earner 2'!$D$6:$D$17="Other pre-tax"))*('Changes — Earner 2'!$B$6:$B$17&lt;=$B41)*('Changes — Earner 2'!$B$6:$B$17&lt;&gt;"")),'Changes — Earner 2'!$I$6:$I$17),'Second Earner'!$D$44))</f>
      </c>
      <c r="BP41" s="7">
        <f>IF($B41="","",IFERROR(LOOKUP(2,1/(((('Changes — Earner 2'!$C$6:$C$17="Deduction start")+('Changes — Earner 2'!$C$6:$C$17="Deduction stop"))*('Changes — Earner 2'!$D$6:$D$17="Other post-tax"))*('Changes — Earner 2'!$B$6:$B$17&lt;=$B41)*('Changes — Earner 2'!$B$6:$B$17&lt;&gt;"")),'Changes — Earner 2'!$I$6:$I$17),'Second Earner'!$D$45))</f>
      </c>
      <c r="BQ41" s="6">
        <f>IF($B41="","",IFERROR(LOOKUP(2,1/(((('Changes — Earner 2'!$C$6:$C$17="Deduction start")+('Changes — Earner 2'!$C$6:$C$17="Deduction stop"))*('Changes — Earner 2'!$D$6:$D$17="Health FSA"))*('Changes — Earner 2'!$B$6:$B$17&lt;=$B41)*('Changes — Earner 2'!$B$6:$B$17&lt;&gt;"")),'Changes — Earner 2'!$J$6:$J$17),0))</f>
      </c>
      <c r="BR41" s="6">
        <f>IF($B41="","",IFERROR(LOOKUP(2,1/(((('Changes — Earner 2'!$C$6:$C$17="Deduction start")+('Changes — Earner 2'!$C$6:$C$17="Deduction stop"))*('Changes — Earner 2'!$D$6:$D$17="Dependent-care FSA"))*('Changes — Earner 2'!$B$6:$B$17&lt;=$B41)*('Changes — Earner 2'!$B$6:$B$17&lt;&gt;"")),'Changes — Earner 2'!$J$6:$J$17),0))</f>
      </c>
      <c r="BS41" s="6">
        <f>IF($B41="","",IF(SUMPRODUCT(('Changes — Earner 2'!$C$6:$C$17="Deduction start")*('Changes — Earner 2'!$B$6:$B$17&lt;=$B41)*('Changes — Earner 2'!$B$6:$B$17&lt;&gt;"")*('Changes — Earner 2'!$D$6:$D$17="Health FSA"))&gt;0,1,0))</f>
      </c>
      <c r="BT41" s="6">
        <f>IF($B41="","",IF(SUMPRODUCT(('Changes — Earner 2'!$C$6:$C$17="Deduction start")*('Changes — Earner 2'!$B$6:$B$17&lt;=$B41)*('Changes — Earner 2'!$B$6:$B$17&lt;&gt;"")*('Changes — Earner 2'!$D$6:$D$17="Dependent-care FSA"))&gt;0,1,0))</f>
      </c>
      <c r="BU41" s="24">
        <f>IF($B41="","",IF('Second Earner'!$C$13,SUMPRODUCT(($AH41&gt;=INDEX('How This Works &amp; Sources'!$B$29:$J$36,0,IF('Second Earner'!$C$12="MFJ",1,IF('Second Earner'!$C$12="HoH",7,4))))*INDEX('How This Works &amp; Sources'!$B$29:$J$36,0,IF('Second Earner'!$C$12="MFJ",1,IF('Second Earner'!$C$12="HoH",7,4))+2)),SUMPRODUCT(($AH41&gt;=INDEX('How This Works &amp; Sources'!$B$19:$J$26,0,IF('Second Earner'!$C$12="MFJ",1,IF('Second Earner'!$C$12="HoH",7,4))))*INDEX('How This Works &amp; Sources'!$B$19:$J$26,0,IF('Second Earner'!$C$12="MFJ",1,IF('Second Earner'!$C$12="HoH",7,4))+2))))</f>
      </c>
      <c r="BV41" s="24">
        <f>IF($B41="","",IF($BZ41&lt;&gt;"",$BZ41,IF($CA41&lt;&gt;"",$CA41,IF($CB41&lt;&gt;"",$CB41,IF($CC41&lt;&gt;"",$CC41,0)))))</f>
      </c>
      <c r="BW41" s="7">
        <f>IF($B41="","",IF($AN41="AR",SUMPRODUCT(($AZ41&gt;INDEX('How This Works &amp; Sources'!$B$82:$J$86,0,7))*($AZ41-INDEX('How This Works &amp; Sources'!$B$82:$J$86,0,7))*INDEX('How This Works &amp; Sources'!$B$82:$J$86,0,7+2)),IF($AN41="MD",IF(OR($AU41="Married",$AU41="Head of household"),SUMPRODUCT(($AZ41&gt;INDEX('How This Works &amp; Sources'!$B$114:$J$120,0,1))*($AZ41-INDEX('How This Works &amp; Sources'!$B$114:$J$120,0,1))*INDEX('How This Works &amp; Sources'!$B$114:$J$120,0,1+2)),SUMPRODUCT(($AZ41&gt;INDEX('How This Works &amp; Sources'!$B$103:$J$109,0,7))*($AZ41-INDEX('How This Works &amp; Sources'!$B$103:$J$109,0,7))*INDEX('How This Works &amp; Sources'!$B$103:$J$109,0,7+2))),IF($AN41="MT",IF($AU41="Head of household",SUMPRODUCT(($AZ41&gt;INDEX('How This Works &amp; Sources'!$B$137:$J$139,0,1))*($AZ41-INDEX('How This Works &amp; Sources'!$B$137:$J$139,0,1))*INDEX('How This Works &amp; Sources'!$B$137:$J$139,0,1+2)),IF($AU41="Married",SUMPRODUCT(($AZ41&gt;INDEX('How This Works &amp; Sources'!$B$125:$J$132,0,7))*($AZ41-INDEX('How This Works &amp; Sources'!$B$125:$J$132,0,7))*INDEX('How This Works &amp; Sources'!$B$125:$J$132,0,7+2)),SUMPRODUCT(($AZ41&gt;INDEX('How This Works &amp; Sources'!$B$125:$J$132,0,4))*($AZ41-INDEX('How This Works &amp; Sources'!$B$125:$J$132,0,4))*INDEX('How This Works &amp; Sources'!$B$125:$J$132,0,4+2)))),IF($AN41="ND",IF($AU41="Head of household",SUMPRODUCT(($AZ41&gt;INDEX('How This Works &amp; Sources'!$B$144:$J$150,0,1))*($AZ41-INDEX('How This Works &amp; Sources'!$B$144:$J$150,0,1))*INDEX('How This Works &amp; Sources'!$B$144:$J$150,0,1+2)),IF($AU41="Married",SUMPRODUCT(($AZ41&gt;INDEX('How This Works &amp; Sources'!$B$137:$J$139,0,7))*($AZ41-INDEX('How This Works &amp; Sources'!$B$137:$J$139,0,7))*INDEX('How This Works &amp; Sources'!$B$137:$J$139,0,7+2)),SUMPRODUCT(($AZ41&gt;INDEX('How This Works &amp; Sources'!$B$137:$J$139,0,4))*($AZ41-INDEX('How This Works &amp; Sources'!$B$137:$J$139,0,4))*INDEX('How This Works &amp; Sources'!$B$137:$J$139,0,4+2)))),IF($AN41="NJ",IF('Second Earner'!$C$77="B",SUMPRODUCT(($AZ41&gt;INDEX('How This Works &amp; Sources'!$B$155:$J$162,0,4))*($AZ41-INDEX('How This Works &amp; Sources'!$B$155:$J$162,0,4))*INDEX('How This Works &amp; Sources'!$B$155:$J$162,0,4+2)),IF('Second Earner'!$C$77="C",SUMPRODUCT(($AZ41&gt;INDEX('How This Works &amp; Sources'!$B$155:$J$162,0,7))*($AZ41-INDEX('How This Works &amp; Sources'!$B$155:$J$162,0,7))*INDEX('How This Works &amp; Sources'!$B$155:$J$162,0,7+2)),IF('Second Earner'!$C$77="D",SUMPRODUCT(($AZ41&gt;INDEX('How This Works &amp; Sources'!$B$167:$J$179,0,1))*($AZ41-INDEX('How This Works &amp; Sources'!$B$167:$J$179,0,1))*INDEX('How This Works &amp; Sources'!$B$167:$J$179,0,1+2)),IF('Second Earner'!$C$77="E",SUMPRODUCT(($AZ41&gt;INDEX('How This Works &amp; Sources'!$B$167:$J$179,0,4))*($AZ41-INDEX('How This Works &amp; Sources'!$B$167:$J$179,0,4))*INDEX('How This Works &amp; Sources'!$B$167:$J$179,0,4+2)),SUMPRODUCT(($AZ41&gt;INDEX('How This Works &amp; Sources'!$B$155:$J$162,0,1))*($AZ41-INDEX('How This Works &amp; Sources'!$B$155:$J$162,0,1))*INDEX('How This Works &amp; Sources'!$B$155:$J$162,0,1+2)))))),IF($AN41="NY",IF($AU41="Married",IF($AZ41&gt;=2155350,$AZ41*IF($AZ41&gt;25000000,0.117,IF($AZ41&gt;5000000,0.111,0.1045)),SUMPRODUCT(($AZ41&gt;INDEX('How This Works &amp; Sources'!$B$184:$J$198,0,1))*($AZ41-INDEX('How This Works &amp; Sources'!$B$184:$J$198,0,1))*INDEX('How This Works &amp; Sources'!$B$184:$J$198,0,1+2))),IF($AZ41&gt;=1077550,$AZ41*IF($AZ41&gt;25000000,0.117,IF($AZ41&gt;5000000,0.111,0.1045)),SUMPRODUCT(($AZ41&gt;INDEX('How This Works &amp; Sources'!$B$167:$J$179,0,7))*($AZ41-INDEX('How This Works &amp; Sources'!$B$167:$J$179,0,7))*INDEX('How This Works &amp; Sources'!$B$167:$J$179,0,7+2)))),"")))))))</f>
      </c>
      <c r="BX41" s="7">
        <f>IF($B41="","",IF($AN41="AL",IF(OR($AU41="Married",$AU41="Head of household"),SUMPRODUCT(($AZ41&gt;INDEX('How This Works &amp; Sources'!$B$82:$J$86,0,4))*($AZ41-INDEX('How This Works &amp; Sources'!$B$82:$J$86,0,4))*INDEX('How This Works &amp; Sources'!$B$82:$J$86,0,4+2)),SUMPRODUCT(($AZ41&gt;INDEX('How This Works &amp; Sources'!$B$82:$J$86,0,1))*($AZ41-INDEX('How This Works &amp; Sources'!$B$82:$J$86,0,1))*INDEX('How This Works &amp; Sources'!$B$82:$J$86,0,1+2))),IF($AN41="KS",IF($AU41="Married",SUMPRODUCT(($AZ41&gt;INDEX('How This Works &amp; Sources'!$B$103:$J$109,0,4))*($AZ41-INDEX('How This Works &amp; Sources'!$B$103:$J$109,0,4))*INDEX('How This Works &amp; Sources'!$B$103:$J$109,0,4+2)),SUMPRODUCT(($AZ41&gt;INDEX('How This Works &amp; Sources'!$B$103:$J$109,0,1))*($AZ41-INDEX('How This Works &amp; Sources'!$B$103:$J$109,0,1))*INDEX('How This Works &amp; Sources'!$B$103:$J$109,0,1+2))),IF($AN41="MN",IF($AU41="Married",SUMPRODUCT(($AZ41&gt;INDEX('How This Works &amp; Sources'!$B$114:$J$120,0,7))*($AZ41-INDEX('How This Works &amp; Sources'!$B$114:$J$120,0,7))*INDEX('How This Works &amp; Sources'!$B$114:$J$120,0,7+2)),SUMPRODUCT(($AZ41&gt;INDEX('How This Works &amp; Sources'!$B$114:$J$120,0,4))*($AZ41-INDEX('How This Works &amp; Sources'!$B$114:$J$120,0,4))*INDEX('How This Works &amp; Sources'!$B$114:$J$120,0,4+2))),IF($AN41="MO",SUMPRODUCT(($AZ41&gt;INDEX('How This Works &amp; Sources'!$B$125:$J$132,0,1))*($AZ41-INDEX('How This Works &amp; Sources'!$B$125:$J$132,0,1))*INDEX('How This Works &amp; Sources'!$B$125:$J$132,0,1+2)),IF($AN41="NE",MAX(IF($AU41="Married",SUMPRODUCT(($AZ41&gt;INDEX('How This Works &amp; Sources'!$B$144:$J$150,0,7))*($AZ41-INDEX('How This Works &amp; Sources'!$B$144:$J$150,0,7))*INDEX('How This Works &amp; Sources'!$B$144:$J$150,0,7+2)),SUMPRODUCT(($AZ41&gt;INDEX('How This Works &amp; Sources'!$B$144:$J$150,0,4))*($AZ41-INDEX('How This Works &amp; Sources'!$B$144:$J$150,0,4))*INDEX('How This Works &amp; Sources'!$B$144:$J$150,0,4+2))),0.015*$AZ41),IF($AN41="OH",IF($B41&gt;=DATE(2026,8,1),SUMPRODUCT(($AZ41&gt;INDEX('How This Works &amp; Sources'!$B$203:$J$206,0,1))*($AZ41-INDEX('How This Works &amp; Sources'!$B$203:$J$206,0,1))*INDEX('How This Works &amp; Sources'!$B$203:$J$206,0,1+2)),SUMPRODUCT(($AZ41&gt;INDEX('How This Works &amp; Sources'!$B$184:$J$198,0,7))*($AZ41-INDEX('How This Works &amp; Sources'!$B$184:$J$198,0,7))*INDEX('How This Works &amp; Sources'!$B$184:$J$198,0,7+2))),IF($AN41="OK",IF($AU41="Married",SUMPRODUCT(($AZ41&gt;INDEX('How This Works &amp; Sources'!$B$203:$J$206,0,7))*($AZ41-INDEX('How This Works &amp; Sources'!$B$203:$J$206,0,7))*INDEX('How This Works &amp; Sources'!$B$203:$J$206,0,7+2)),SUMPRODUCT(($AZ41&gt;INDEX('How This Works &amp; Sources'!$B$203:$J$206,0,4))*($AZ41-INDEX('How This Works &amp; Sources'!$B$203:$J$206,0,4))*INDEX('How This Works &amp; Sources'!$B$203:$J$206,0,4+2))),IF($AN41="VT",IF($AU41="Married",SUMPRODUCT(($AZ41&gt;INDEX('How This Works &amp; Sources'!$B$228:$J$232,0,1))*($AZ41-INDEX('How This Works &amp; Sources'!$B$228:$J$232,0,1))*INDEX('How This Works &amp; Sources'!$B$228:$J$232,0,1+2)),SUMPRODUCT(($AZ41&gt;INDEX('How This Works &amp; Sources'!$B$219:$J$223,0,7))*($AZ41-INDEX('How This Works &amp; Sources'!$B$219:$J$223,0,7))*INDEX('How This Works &amp; Sources'!$B$219:$J$223,0,7+2))),IF($AN41="WV",IF($AU41="Married",SUMPRODUCT(($AZ41&gt;INDEX('How This Works &amp; Sources'!$B$237:$J$241,0,7))*($AZ41-INDEX('How This Works &amp; Sources'!$B$237:$J$241,0,7))*INDEX('How This Works &amp; Sources'!$B$237:$J$241,0,7+2)),SUMPRODUCT(($AZ41&gt;INDEX('How This Works &amp; Sources'!$B$228:$J$232,0,7))*($AZ41-INDEX('How This Works &amp; Sources'!$B$228:$J$232,0,7))*INDEX('How This Works &amp; Sources'!$B$228:$J$232,0,7+2))),""))))))))))</f>
      </c>
      <c r="BY41" s="7">
        <f>IF($B41="","",IF($AN41="DE",SUMPRODUCT(($AZ41&gt;INDEX('How This Works &amp; Sources'!$B$91:$J$98,0,1))*($AZ41-INDEX('How This Works &amp; Sources'!$B$91:$J$98,0,1))*INDEX('How This Works &amp; Sources'!$B$91:$J$98,0,1+2)),IF($AN41="HI",IF($AU41="Married",SUMPRODUCT(($AZ41&gt;INDEX('How This Works &amp; Sources'!$B$91:$J$98,0,7))*($AZ41-INDEX('How This Works &amp; Sources'!$B$91:$J$98,0,7))*INDEX('How This Works &amp; Sources'!$B$91:$J$98,0,7+2)),SUMPRODUCT(($AZ41&gt;INDEX('How This Works &amp; Sources'!$B$91:$J$98,0,4))*($AZ41-INDEX('How This Works &amp; Sources'!$B$91:$J$98,0,4))*INDEX('How This Works &amp; Sources'!$B$91:$J$98,0,4+2))),IF($AN41="RI",SUMPRODUCT(($AZ41&gt;INDEX('How This Works &amp; Sources'!$B$211:$J$214,0,7))*($AZ41-INDEX('How This Works &amp; Sources'!$B$211:$J$214,0,7))*INDEX('How This Works &amp; Sources'!$B$211:$J$214,0,7+2)),IF($AN41="SC",SUMPRODUCT(($AZ41&gt;INDEX('How This Works &amp; Sources'!$B$219:$J$223,0,1))*($AZ41-INDEX('How This Works &amp; Sources'!$B$219:$J$223,0,1))*INDEX('How This Works &amp; Sources'!$B$219:$J$223,0,1+2)),IF($AN41="VA",SUMPRODUCT(($AZ41&gt;INDEX('How This Works &amp; Sources'!$B$219:$J$223,0,4))*($AZ41-INDEX('How This Works &amp; Sources'!$B$219:$J$223,0,4))*INDEX('How This Works &amp; Sources'!$B$219:$J$223,0,4+2)),IF($AN41="WI",SUMPRODUCT(($AZ41&gt;INDEX('How This Works &amp; Sources'!$B$228:$J$232,0,4))*($AZ41-INDEX('How This Works &amp; Sources'!$B$228:$J$232,0,4))*INDEX('How This Works &amp; Sources'!$B$228:$J$232,0,4+2)),"")))))))</f>
      </c>
      <c r="BZ41" s="24">
        <f>IF($B41="","",IF($AN41="KS",IF($AU41="Married",SUMPRODUCT(($AZ41&gt;=INDEX('How This Works &amp; Sources'!$B$103:$J$109,0,4))*INDEX('How This Works &amp; Sources'!$B$103:$J$109,0,4+2)),SUMPRODUCT(($AZ41&gt;=INDEX('How This Works &amp; Sources'!$B$103:$J$109,0,1))*INDEX('How This Works &amp; Sources'!$B$103:$J$109,0,1+2))),IF($AN41="MT",IF($AU41="Head of household",SUMPRODUCT(($AZ41&gt;=INDEX('How This Works &amp; Sources'!$B$137:$J$139,0,1))*INDEX('How This Works &amp; Sources'!$B$137:$J$139,0,1+2)),IF($AU41="Married",SUMPRODUCT(($AZ41&gt;=INDEX('How This Works &amp; Sources'!$B$125:$J$132,0,7))*INDEX('How This Works &amp; Sources'!$B$125:$J$132,0,7+2)),SUMPRODUCT(($AZ41&gt;=INDEX('How This Works &amp; Sources'!$B$125:$J$132,0,4))*INDEX('How This Works &amp; Sources'!$B$125:$J$132,0,4+2)))),IF($AN41="OR",IF(OR($AU41="Married",AND($AU41="Single",$AS41&gt;=3)),SUMPRODUCT((MAX(0,$AY41-MIN(($P41-'How This Works &amp; Sources'!$C$10*$D41)*'Second Earner'!$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Sources'!$B$211:$J$214,0,4))*INDEX('How This Works &amp; Sources'!$B$211:$J$214,0,4+2)),SUMPRODUCT((MAX(0,$AY41-MIN(($P41-'How This Works &amp; Sources'!$C$10*$D41)*'Second Earner'!$C$8,IF(OR($AU41="Married",AND($AU41="Single",$AS41&gt;=3)),IF($AY41&lt;250000,8750,IF($AY41&lt;260000,7000,IF($AY41&lt;270000,5250,IF($AY41&lt;280000,3500,IF($AY41&lt;290000,1750,0))))),IF($AY41&lt;125000,8750,IF($AY41&lt;130000,7000,IF($AY41&lt;135000,5250,IF($AY41&lt;140000,3500,IF($AY41&lt;145000,1750,0)))))))-IF(OR($AU41="Married",AND($AU41="Single",$AS41&gt;=3)),5820,2910))&gt;=INDEX('How This Works &amp; Sources'!$B$211:$J$214,0,1))*INDEX('How This Works &amp; Sources'!$B$211:$J$214,0,1+2)))*IF(($P41-'How This Works &amp; Sources'!$C$10*$D41)*'Second Earner'!$C$8&gt;=IF(OR($AU41="Married",AND($AU41="Single",$AS41&gt;=3)),IF($AY41&lt;250000,8750,IF($AY41&lt;260000,7000,IF($AY41&lt;270000,5250,IF($AY41&lt;280000,3500,IF($AY41&lt;290000,1750,0))))),IF($AY41&lt;125000,8750,IF($AY41&lt;130000,7000,IF($AY41&lt;135000,5250,IF($AY41&lt;140000,3500,IF($AY41&lt;145000,1750,0)))))),1,1-IF('Second Earner'!$C$13,SUMPRODUCT(($AH41&gt;=INDEX('How This Works &amp; Sources'!$B$29:$J$36,0,IF('Second Earner'!$C$12="MFJ",1,IF('Second Earner'!$C$12="HoH",7,4))))*INDEX('How This Works &amp; Sources'!$B$29:$J$36,0,IF('Second Earner'!$C$12="MFJ",1,IF('Second Earner'!$C$12="HoH",7,4))+2)),SUMPRODUCT(($AH41&gt;=INDEX('How This Works &amp; Sources'!$B$19:$J$26,0,IF('Second Earner'!$C$12="MFJ",1,IF('Second Earner'!$C$12="HoH",7,4))))*INDEX('How This Works &amp; Sources'!$B$19:$J$26,0,IF('Second Earner'!$C$12="MFJ",1,IF('Second Earner'!$C$12="HoH",7,4))+2)))),""))))</f>
      </c>
      <c r="CA41" s="24">
        <f>IF($B41="","",IF($AN41="CA",SUMPRODUCT(($AJ41&gt;=INDEX('How This Works &amp; Sources'!$B$39:$J$48,0,IF($AU41="Married",4,IF($AU41="Head of household",7,1))))*INDEX('How This Works &amp; Sources'!$B$39:$J$48,0,IF($AU41="Married",4,IF($AU41="Head of household",7,1))+2)),IF($AN41="AL",IF(OR($AU41="Married",$AU41="Head of household"),SUMPRODUCT(($AZ41&gt;=INDEX('How This Works &amp; Sources'!$B$82:$J$86,0,4))*INDEX('How This Works &amp; Sources'!$B$82:$J$86,0,4+2)),SUMPRODUCT(($AZ41&gt;=INDEX('How This Works &amp; Sources'!$B$82:$J$86,0,1))*INDEX('How This Works &amp; Sources'!$B$82:$J$86,0,1+2)))*(1-IF('Second Earner'!$C$13,SUMPRODUCT(($AH41&gt;=INDEX('How This Works &amp; Sources'!$B$29:$J$36,0,IF('Second Earner'!$C$12="MFJ",1,IF('Second Earner'!$C$12="HoH",7,4))))*INDEX('How This Works &amp; Sources'!$B$29:$J$36,0,IF('Second Earner'!$C$12="MFJ",1,IF('Second Earner'!$C$12="HoH",7,4))+2)),SUMPRODUCT(($AH41&gt;=INDEX('How This Works &amp; Sources'!$B$19:$J$26,0,IF('Second Earner'!$C$12="MFJ",1,IF('Second Earner'!$C$12="HoH",7,4))))*INDEX('How This Works &amp; Sources'!$B$19:$J$26,0,IF('Second Earner'!$C$12="MFJ",1,IF('Second Earner'!$C$12="HoH",7,4))+2)))),IF($AN41="ND",IF($AU41="Head of household",SUMPRODUCT(($AZ41&gt;=INDEX('How This Works &amp; Sources'!$B$144:$J$150,0,1))*INDEX('How This Works &amp; Sources'!$B$144:$J$150,0,1+2)),IF($AU41="Married",SUMPRODUCT(($AZ41&gt;=INDEX('How This Works &amp; Sources'!$B$137:$J$139,0,7))*INDEX('How This Works &amp; Sources'!$B$137:$J$139,0,7+2)),SUMPRODUCT(($AZ41&gt;=INDEX('How This Works &amp; Sources'!$B$137:$J$139,0,4))*INDEX('How This Works &amp; Sources'!$B$137:$J$139,0,4+2)))),IF($AN41="NJ",IF('Second Earner'!$C$77="B",SUMPRODUCT(($AZ41&gt;=INDEX('How This Works &amp; Sources'!$B$155:$J$162,0,4))*INDEX('How This Works &amp; Sources'!$B$155:$J$162,0,4+2)),IF('Second Earner'!$C$77="C",SUMPRODUCT(($AZ41&gt;=INDEX('How This Works &amp; Sources'!$B$155:$J$162,0,7))*INDEX('How This Works &amp; Sources'!$B$155:$J$162,0,7+2)),IF('Second Earner'!$C$77="D",SUMPRODUCT(($AZ41&gt;=INDEX('How This Works &amp; Sources'!$B$167:$J$179,0,1))*INDEX('How This Works &amp; Sources'!$B$167:$J$179,0,1+2)),IF('Second Earner'!$C$77="E",SUMPRODUCT(($AZ41&gt;=INDEX('How This Works &amp; Sources'!$B$167:$J$179,0,4))*INDEX('How This Works &amp; Sources'!$B$167:$J$179,0,4+2)),SUMPRODUCT(($AZ41&gt;=INDEX('How This Works &amp; Sources'!$B$155:$J$162,0,1))*INDEX('How This Works &amp; Sources'!$B$155:$J$162,0,1+2)))))),IF($AN41="NY",IF($AU41="Married",IF($AZ41&gt;=2155350,IF($AZ41&gt;25000000,0.117,IF($AZ41&gt;5000000,0.111,0.1045)),SUMPRODUCT(($AZ41&gt;=INDEX('How This Works &amp; Sources'!$B$184:$J$198,0,1))*INDEX('How This Works &amp; Sources'!$B$184:$J$198,0,1+2))),IF($AZ41&gt;=1077550,IF($AZ41&gt;25000000,0.117,IF($AZ41&gt;5000000,0.111,0.1045)),SUMPRODUCT(($AZ41&gt;=INDEX('How This Works &amp; Sources'!$B$167:$J$179,0,7))*INDEX('How This Works &amp; Sources'!$B$167:$J$179,0,7+2)))),IF($AN41="LA",0.0309,"")))))))</f>
      </c>
      <c r="CB41" s="24">
        <f>IF($B41="","",IF($AN41="HI",IF($AU41="Married",SUMPRODUCT(($AZ41&gt;=INDEX('How This Works &amp; Sources'!$B$91:$J$98,0,7))*INDEX('How This Works &amp; Sources'!$B$91:$J$98,0,7+2)),SUMPRODUCT(($AZ41&gt;=INDEX('How This Works &amp; Sources'!$B$91:$J$98,0,4))*INDEX('How This Works &amp; Sources'!$B$91:$J$98,0,4+2))),IF($AN41="MD",IF(OR($AU41="Married",$AU41="Head of household"),SUMPRODUCT(($AZ41&gt;=INDEX('How This Works &amp; Sources'!$B$114:$J$120,0,1))*INDEX('How This Works &amp; Sources'!$B$114:$J$120,0,1+2)),SUMPRODUCT(($AZ41&gt;=INDEX('How This Works &amp; Sources'!$B$103:$J$109,0,7))*INDEX('How This Works &amp; Sources'!$B$103:$J$109,0,7+2)))+'Second Earner'!$C$74,IF($AN41="MN",IF($AU41="Married",SUMPRODUCT(($AZ41&gt;=INDEX('How This Works &amp; Sources'!$B$114:$J$120,0,7))*INDEX('How This Works &amp; Sources'!$B$114:$J$120,0,7+2)),SUMPRODUCT(($AZ41&gt;=INDEX('How This Works &amp; Sources'!$B$114:$J$120,0,4))*INDEX('How This Works &amp; Sources'!$B$114:$J$120,0,4+2))),IF($AN41="MO",SUMPRODUCT(($AZ41&gt;=INDEX('How This Works &amp; Sources'!$B$125:$J$132,0,1))*INDEX('How This Works &amp; Sources'!$B$125:$J$132,0,1+2)),IF($AN41="NE",MAX(IF($AU41="Married",SUMPRODUCT(($AZ41&gt;=INDEX('How This Works &amp; Sources'!$B$144:$J$150,0,7))*INDEX('How This Works &amp; Sources'!$B$144:$J$150,0,7+2)),SUMPRODUCT(($AZ41&gt;=INDEX('How This Works &amp; Sources'!$B$144:$J$150,0,4))*INDEX('How This Works &amp; Sources'!$B$144:$J$150,0,4+2))),0.015),IF($AN41="OH",IF($B41&gt;=DATE(2026,8,1),SUMPRODUCT(($AZ41&gt;=INDEX('How This Works &amp; Sources'!$B$203:$J$206,0,1))*INDEX('How This Works &amp; Sources'!$B$203:$J$206,0,1+2)),SUMPRODUCT(($AZ41&gt;=INDEX('How This Works &amp; Sources'!$B$184:$J$198,0,7))*INDEX('How This Works &amp; Sources'!$B$184:$J$198,0,7+2))),IF($AN41="OK",IF($AU41="Married",SUMPRODUCT(($AZ41&gt;=INDEX('How This Works &amp; Sources'!$B$203:$J$206,0,7))*INDEX('How This Works &amp; Sources'!$B$203:$J$206,0,7+2)),SUMPRODUCT(($AZ41&gt;=INDEX('How This Works &amp; Sources'!$B$203:$J$206,0,4))*INDEX('How This Works &amp; Sources'!$B$203:$J$206,0,4+2))),IF($AN41="RI",SUMPRODUCT(($AZ41&gt;=INDEX('How This Works &amp; Sources'!$B$211:$J$214,0,7))*INDEX('How This Works &amp; Sources'!$B$211:$J$214,0,7+2)),IF($AN41="VT",IF($AU41="Married",SUMPRODUCT(($AZ41&gt;=INDEX('How This Works &amp; Sources'!$B$228:$J$232,0,1))*INDEX('How This Works &amp; Sources'!$B$228:$J$232,0,1+2)),SUMPRODUCT(($AZ41&gt;=INDEX('How This Works &amp; Sources'!$B$219:$J$223,0,7))*INDEX('How This Works &amp; Sources'!$B$219:$J$223,0,7+2))),IF($AN41="WV",IF($AU41="Married",SUMPRODUCT(($AZ41&gt;=INDEX('How This Works &amp; Sources'!$B$237:$J$241,0,7))*INDEX('How This Works &amp; Sources'!$B$237:$J$241,0,7+2)),SUMPRODUCT(($AZ41&gt;=INDEX('How This Works &amp; Sources'!$B$228:$J$232,0,7))*INDEX('How This Works &amp; Sources'!$B$228:$J$232,0,7+2))),IF($AN41="AZ",'Second Earner'!$C$82,IF($AN41="ID",IF($AY41&gt;IF($AU41="Married",32000,16094),0.053,0),"")))))))))))))</f>
      </c>
      <c r="CC41" s="24">
        <f>IF($B41="","",IF($AN41="AR",SUMPRODUCT(($AZ41&gt;=INDEX('How This Works &amp; Sources'!$B$82:$J$86,0,7))*INDEX('How This Works &amp; Sources'!$B$82:$J$86,0,7+2)),IF($AN41="DE",SUMPRODUCT(($AZ41&gt;=INDEX('How This Works &amp; Sources'!$B$91:$J$98,0,1))*INDEX('How This Works &amp; Sources'!$B$91:$J$98,0,1+2)),IF($AN41="SC",SUMPRODUCT(($AZ41&gt;=INDEX('How This Works &amp; Sources'!$B$219:$J$223,0,1))*INDEX('How This Works &amp; Sources'!$B$219:$J$223,0,1+2)),IF($AN41="VA",SUMPRODUCT(($AZ41&gt;=INDEX('How This Works &amp; Sources'!$B$219:$J$223,0,4))*INDEX('How This Works &amp; Sources'!$B$219:$J$223,0,4+2)),IF($AN41="WI",SUMPRODUCT(($AZ41&gt;=INDEX('How This Works &amp; Sources'!$B$228:$J$232,0,4))*INDEX('How This Works &amp; Sources'!$B$228:$J$232,0,4+2)),IF($AN41="CO",IF($AY41&gt;IF($AU41="Married",10000,5000),0.044,0),IF($AN41="IA",IF($AY41&gt;IF($AU41="Head of household",19500,IF($AU41="Married",26000,13000)),0.038,0),IF($AN41="IL",IF($AY41&gt;(2925*$AS41+1000*$AT41),0.0495,0),IF($AN41="IN",(0.0295+'Second Earner'!$C$76),IF($AN41="KY",IF($AI41&gt;3360,0.035,0),IF($AN41="MA",IF(MAX(0,$AY41-MIN(($BD40+$Q41+$R41+$S41),2000)-IF($AS41=0,0,IF($AS41=1,4400,1000*$AS41+3400)))&gt;=1107750,0.09,0.05),IF($AN41="MI",IF($AY41&gt;5900*$AS41,0.0425,0),IF($AN41="MS",IF($AI41-IF($AU41="Head of household",3400,IF($AU41="Married",4600,2300))-'Second Earner'!$C$85&gt;10000,0.04,0),IF($AN41="PA",0.0307,"")))))))))))))))</f>
      </c>
      <c r="CD41" s="21">
        <f>IF(YEAR(IF('Second Earner'!$C$7="Weekly",'Second Earner'!$C$9+7*(($BE40+1)-1),IF('Second Earner'!$C$7="Biweekly",'Second Earner'!$C$9+14*(($BE40+1)-1),IF('Second Earner'!$C$7="Semimonthly",DATE(YEAR('Second Earner'!$C$9),MONTH('Second Earner'!$C$9)+INT((($BE40+1)-1)/2),MIN(DAY('Second Earner'!$C$9),DAY(EOMONTH(DATE(YEAR('Second Earner'!$C$9),MONTH('Second Earner'!$C$9)+INT((($BE40+1)-1)/2),1),0))))+IF(MOD(($BE40+1)-1,2)=1,15,0),EDATE('Second Earner'!$C$9,($BE40+1)-1)))))&lt;&gt;'Second Earner'!$C$10,"",IF('Second Earner'!$C$7="Weekly",'Second Earner'!$C$9+7*(($BE40+1)-1),IF('Second Earner'!$C$7="Biweekly",'Second Earner'!$C$9+14*(($BE40+1)-1),IF('Second Earner'!$C$7="Semimonthly",DATE(YEAR('Second Earner'!$C$9),MONTH('Second Earner'!$C$9)+INT((($BE40+1)-1)/2),MIN(DAY('Second Earner'!$C$9),DAY(EOMONTH(DATE(YEAR('Second Earner'!$C$9),MONTH('Second Earner'!$C$9)+INT((($BE40+1)-1)/2),1),0))))+IF(MOD(($BE40+1)-1,2)=1,15,0),EDATE('Second Earner'!$C$9,($BE40+1)-1)))))</f>
      </c>
      <c r="CE41" s="21">
        <f>IF(MIN(IF(AND('Second Earner'!$C$58&gt;MAX($B$6:$B40),'Second Earner'!$C$58&gt;=DATE('Second Earner'!$C$10,1,1),'Second Earner'!$C$58&lt;=DATE('Second Earner'!$C$10,12,31)),'Second Earner'!$C$58,999999),IF(AND('Second Earner'!$C$59&gt;MAX($B$6:$B40),'Second Earner'!$C$59&gt;=DATE('Second Earner'!$C$10,1,1),'Second Earner'!$C$59&lt;=DATE('Second Earner'!$C$10,12,31)),'Second Earner'!$C$59,999999),IF(AND('Second Earner'!$C$60&gt;MAX($B$6:$B40),'Second Earner'!$C$60&gt;=DATE('Second Earner'!$C$10,1,1),'Second Earner'!$C$60&lt;=DATE('Second Earner'!$C$10,12,31)),'Second Earner'!$C$60,999999),IF(AND('Second Earner'!$C$61&gt;MAX($B$6:$B40),'Second Earner'!$C$61&gt;=DATE('Second Earner'!$C$10,1,1),'Second Earner'!$C$61&lt;=DATE('Second Earner'!$C$10,12,31)),'Second Earner'!$C$61,999999),IF(AND('Second Earner'!$C$62&gt;MAX($B$6:$B40),'Second Earner'!$C$62&gt;=DATE('Second Earner'!$C$10,1,1),'Second Earner'!$C$62&lt;=DATE('Second Earner'!$C$10,12,31)),'Second Earner'!$C$62,999999),IF(AND('Second Earner'!$C$63&gt;MAX($B$6:$B40),'Second Earner'!$C$63&gt;=DATE('Second Earner'!$C$10,1,1),'Second Earner'!$C$63&lt;=DATE('Second Earner'!$C$10,12,31)),'Second Earner'!$C$63,999999),IF(AND('Second Earner'!$C$64&gt;MAX($B$6:$B40),'Second Earner'!$C$64&gt;=DATE('Second Earner'!$C$10,1,1),'Second Earner'!$C$64&lt;=DATE('Second Earner'!$C$10,12,31)),'Second Earner'!$C$64,999999),IF(AND('Second Earner'!$C$65&gt;MAX($B$6:$B40),'Second Earner'!$C$65&gt;=DATE('Second Earner'!$C$10,1,1),'Second Earner'!$C$65&lt;=DATE('Second Earner'!$C$10,12,31)),'Second Earner'!$C$65,999999),IF(AND('Second Earner'!$C$66&gt;MAX($B$6:$B40),'Second Earner'!$C$66&gt;=DATE('Second Earner'!$C$10,1,1),'Second Earner'!$C$66&lt;=DATE('Second Earner'!$C$10,12,31)),'Second Earner'!$C$66,999999),IF(AND('Second Earner'!$C$67&gt;MAX($B$6:$B40),'Second Earner'!$C$67&gt;=DATE('Second Earner'!$C$10,1,1),'Second Earner'!$C$67&lt;=DATE('Second Earner'!$C$10,12,31)),'Second Earner'!$C$67,999999))=999999,"",MIN(IF(AND('Second Earner'!$C$58&gt;MAX($B$6:$B40),'Second Earner'!$C$58&gt;=DATE('Second Earner'!$C$10,1,1),'Second Earner'!$C$58&lt;=DATE('Second Earner'!$C$10,12,31)),'Second Earner'!$C$58,999999),IF(AND('Second Earner'!$C$59&gt;MAX($B$6:$B40),'Second Earner'!$C$59&gt;=DATE('Second Earner'!$C$10,1,1),'Second Earner'!$C$59&lt;=DATE('Second Earner'!$C$10,12,31)),'Second Earner'!$C$59,999999),IF(AND('Second Earner'!$C$60&gt;MAX($B$6:$B40),'Second Earner'!$C$60&gt;=DATE('Second Earner'!$C$10,1,1),'Second Earner'!$C$60&lt;=DATE('Second Earner'!$C$10,12,31)),'Second Earner'!$C$60,999999),IF(AND('Second Earner'!$C$61&gt;MAX($B$6:$B40),'Second Earner'!$C$61&gt;=DATE('Second Earner'!$C$10,1,1),'Second Earner'!$C$61&lt;=DATE('Second Earner'!$C$10,12,31)),'Second Earner'!$C$61,999999),IF(AND('Second Earner'!$C$62&gt;MAX($B$6:$B40),'Second Earner'!$C$62&gt;=DATE('Second Earner'!$C$10,1,1),'Second Earner'!$C$62&lt;=DATE('Second Earner'!$C$10,12,31)),'Second Earner'!$C$62,999999),IF(AND('Second Earner'!$C$63&gt;MAX($B$6:$B40),'Second Earner'!$C$63&gt;=DATE('Second Earner'!$C$10,1,1),'Second Earner'!$C$63&lt;=DATE('Second Earner'!$C$10,12,31)),'Second Earner'!$C$63,999999),IF(AND('Second Earner'!$C$64&gt;MAX($B$6:$B40),'Second Earner'!$C$64&gt;=DATE('Second Earner'!$C$10,1,1),'Second Earner'!$C$64&lt;=DATE('Second Earner'!$C$10,12,31)),'Second Earner'!$C$64,999999),IF(AND('Second Earner'!$C$65&gt;MAX($B$6:$B40),'Second Earner'!$C$65&gt;=DATE('Second Earner'!$C$10,1,1),'Second Earner'!$C$65&lt;=DATE('Second Earner'!$C$10,12,31)),'Second Earner'!$C$65,999999),IF(AND('Second Earner'!$C$66&gt;MAX($B$6:$B40),'Second Earner'!$C$66&gt;=DATE('Second Earner'!$C$10,1,1),'Second Earner'!$C$66&lt;=DATE('Second Earner'!$C$10,12,31)),'Second Earner'!$C$66,999999),IF(AND('Second Earner'!$C$67&gt;MAX($B$6:$B40),'Second Earner'!$C$67&gt;=DATE('Second Earner'!$C$10,1,1),'Second Earner'!$C$67&lt;=DATE('Second Earner'!$C$10,12,31)),'Second Earner'!$C$67,999999)))</f>
      </c>
      <c r="CF41">
        <f>IF($B41="","",IF($D41=0,$Y41,""))</f>
      </c>
    </row>
    <row r="42">
      <c r="A42" t="n">
        <v>37</v>
      </c>
      <c r="B42" s="21">
        <f>IF(AND($CD42="",$CE42=""),"",IF($CE42="",$CD42,IF($CD42="",$CE42,MIN($CD42,$CE42))))</f>
      </c>
      <c r="C42" s="7">
        <f>IF($B42="","",IF($BF42=0,0,IF('Second Earner'!$C$4="Annual salary",ROUND($AK42/IF(AND('Second Earner'!$C$88="Actual paydays",MONTH('Second Earner'!$C$9)=1),MAX(1,MAX($BE$6:$BE$68)),'Second Earner'!$C$8),2),$AK42)))</f>
      </c>
      <c r="D42" s="7">
        <f>IF($B42="","",SUMIF('Second Earner'!$C$58:$C$67,$B42,'Second Earner'!$D$58:$D$67))</f>
      </c>
      <c r="E42" s="7">
        <f>IF($B42="","",ROUND(MAX(0,MIN(IF($AL42="Percent",$AM42*($C42+$D42),$AM42),MAX(0,'Second Earner'!$C$34-$AC41))),2))</f>
      </c>
      <c r="F42" s="7">
        <f>IF($B42="","",ROUND(MAX(0,MIN(IF('Second Earner'!$C$32="Percent",'Second Earner'!$D$32*($C42+$D42),'Second Earner'!$D$32),MAX(0,'Second Earner'!$C$34-$AC41-$E42))),2))</f>
      </c>
      <c r="G42" s="7">
        <f>IF($B42="","",IF($BF42=0,0,ROUND(MAX(0,MIN($BL42,'Second Earner'!$C$37-'Second Earner'!$C$54-$BI41)),2)))</f>
      </c>
      <c r="H42" s="7">
        <f>IF($B42="","",IF(OR($BF42=0,$BQ42=1),0,ROUND(MAX(0,MIN(IF($BS42=1,ROUND(MAX(0,MIN($BJ42,'How This Works &amp; Sources'!$C$13)-$BG41)/MAX(1,MAX($BE$6:$BE$68)-($BE41)),2),ROUND(MIN($BJ42,'How This Works &amp; Sources'!$C$13)/'Second Earner'!$C$8,2)),MIN($BJ42,'How This Works &amp; Sources'!$C$13)-$BG41)),2)))</f>
      </c>
      <c r="I42" s="7">
        <f>IF($B42="","",IF(OR($BF42=0,$BR42=1),0,ROUND(MAX(0,MIN(IF($BT42=1,ROUND(MAX(0,MIN($BK42,IF('Second Earner'!$C$12="MFJ",'How This Works &amp; Sources'!$C$14,'How This Works &amp; Sources'!$C$15))-$BH41)/MAX(1,MAX($BE$6:$BE$68)-($BE41)),2),ROUND(MIN($BK42,IF('Second Earner'!$C$12="MFJ",'How This Works &amp; Sources'!$C$14,'How This Works &amp; Sources'!$C$15))/'Second Earner'!$C$8,2)),MIN($BK42,IF('Second Earner'!$C$12="MFJ",'How This Works &amp; Sources'!$C$14,'How This Works &amp; Sources'!$C$15))-$BH41)),2)))</f>
      </c>
      <c r="J42" s="7">
        <f>IF($B42="","",IF($BF42=0,0,$BM42))</f>
      </c>
      <c r="K42" s="7">
        <f>IF($B42="","",IF($BF42=0,0,$BN42+$BO42))</f>
      </c>
      <c r="L42" s="7">
        <f>IF($B42="","",IF($BF42=0,0,'Second Earner'!$D$46))</f>
      </c>
      <c r="M42" s="7">
        <f>IF($B42="","",$C42+$D42+$L42-$E42-$G42-$H42-$I42-$J42-$K42)</f>
      </c>
      <c r="N42" s="7">
        <f>IF($B42="","",$C42+$D42+$L42-$G42-$H42-$I42-$J42-$K42)</f>
      </c>
      <c r="O42" s="7">
        <f>IF($B42="","",$C42+$D42+$L42-$E42-$H42-$I42-$J42-$K42-IF(OR($AN42="CA",$AN42="NJ"),0,$G42))</f>
      </c>
      <c r="P42" s="7">
        <f>IF($B42="","",IF('Second Earner'!$C$18,0,ROUND(MAX(0,IF('Second Earner'!$C$13,SUMPRODUCT(($AH42&gt;INDEX('How This Works &amp; Sources'!$B$29:$J$36,0,IF('Second Earner'!$C$12="MFJ",1,IF('Second Earner'!$C$12="HoH",7,4))))*($AH42-INDEX('How This Works &amp; Sources'!$B$29:$J$36,0,IF('Second Earner'!$C$12="MFJ",1,IF('Second Earner'!$C$12="HoH",7,4))))*INDEX('How This Works &amp; Sources'!$B$29:$J$36,0,IF('Second Earner'!$C$12="MFJ",1,IF('Second Earner'!$C$12="HoH",7,4))+2)),SUMPRODUCT(($AH42&gt;INDEX('How This Works &amp; Sources'!$B$19:$J$26,0,IF('Second Earner'!$C$12="MFJ",1,IF('Second Earner'!$C$12="HoH",7,4))))*($AH42-INDEX('How This Works &amp; Sources'!$B$19:$J$26,0,IF('Second Earner'!$C$12="MFJ",1,IF('Second Earner'!$C$12="HoH",7,4))))*INDEX('How This Works &amp; Sources'!$B$19:$J$26,0,IF('Second Earner'!$C$12="MFJ",1,IF('Second Earner'!$C$12="HoH",7,4))+2)))/'Second Earner'!$C$8-$AO42/'Second Earner'!$C$8)+$AR42+IF('Second Earner'!$C$89="Aggregate",MAX(0,IF('Second Earner'!$C$13,SUMPRODUCT((($AH42+$D42)&gt;INDEX('How This Works &amp; Sources'!$B$29:$J$36,0,IF('Second Earner'!$C$12="MFJ",1,IF('Second Earner'!$C$12="HoH",7,4))))*(($AH42+$D42)-INDEX('How This Works &amp; Sources'!$B$29:$J$36,0,IF('Second Earner'!$C$12="MFJ",1,IF('Second Earner'!$C$12="HoH",7,4))))*INDEX('How This Works &amp; Sources'!$B$29:$J$36,0,IF('Second Earner'!$C$12="MFJ",1,IF('Second Earner'!$C$12="HoH",7,4))+2)),SUMPRODUCT((($AH42+$D42)&gt;INDEX('How This Works &amp; Sources'!$B$19:$J$26,0,IF('Second Earner'!$C$12="MFJ",1,IF('Second Earner'!$C$12="HoH",7,4))))*(($AH42+$D42)-INDEX('How This Works &amp; Sources'!$B$19:$J$26,0,IF('Second Earner'!$C$12="MFJ",1,IF('Second Earner'!$C$12="HoH",7,4))))*INDEX('How This Works &amp; Sources'!$B$19:$J$26,0,IF('Second Earner'!$C$12="MFJ",1,IF('Second Earner'!$C$12="HoH",7,4))+2)))-IF('Second Earner'!$C$13,SUMPRODUCT(($AH42&gt;INDEX('How This Works &amp; Sources'!$B$29:$J$36,0,IF('Second Earner'!$C$12="MFJ",1,IF('Second Earner'!$C$12="HoH",7,4))))*($AH42-INDEX('How This Works &amp; Sources'!$B$29:$J$36,0,IF('Second Earner'!$C$12="MFJ",1,IF('Second Earner'!$C$12="HoH",7,4))))*INDEX('How This Works &amp; Sources'!$B$29:$J$36,0,IF('Second Earner'!$C$12="MFJ",1,IF('Second Earner'!$C$12="HoH",7,4))+2)),SUMPRODUCT(($AH42&gt;INDEX('How This Works &amp; Sources'!$B$19:$J$26,0,IF('Second Earner'!$C$12="MFJ",1,IF('Second Earner'!$C$12="HoH",7,4))))*($AH42-INDEX('How This Works &amp; Sources'!$B$19:$J$26,0,IF('Second Earner'!$C$12="MFJ",1,IF('Second Earner'!$C$12="HoH",7,4))))*INDEX('How This Works &amp; Sources'!$B$19:$J$26,0,IF('Second Earner'!$C$12="MFJ",1,IF('Second Earner'!$C$12="HoH",7,4))+2)))),'How This Works &amp; Sources'!$C$10*$D42),2)))</f>
      </c>
      <c r="Q42" s="7">
        <f>IF($B42="","",ROUND('How This Works &amp; Sources'!$C$4*MIN($N42,MAX(0,'How This Works &amp; Sources'!$C$3-($AX42+$AB41-$AW42))),2))</f>
      </c>
      <c r="R42" s="7">
        <f>IF($B42="","",ROUND('How This Works &amp; Sources'!$C$5*$N42,2))</f>
      </c>
      <c r="S42" s="7">
        <f>IF($B42="","",ROUND('How This Works &amp; Sources'!$C$6*MAX(0,MIN($N42,$AG41+$N42-'How This Works &amp; Sources'!$C$7)),2))</f>
      </c>
      <c r="T42" s="7">
        <f>IF($B42="","",IF('Second Earner'!$C$26,0,IF($AN42="CA",ROUND(IF($AI42&lt;=IF(($AS42+$AT42)&gt;=2,VLOOKUP($AN42,StateTables!$A$6:$AB$56,10,FALSE),VLOOKUP($AN42,StateTables!$A$6:$AB$56,9,FALSE)),0,MAX(0,SUMPRODUCT(($AJ42&gt;INDEX('How This Works &amp; Sources'!$B$39:$J$48,0,IF($AU42="Married",4,IF($AU42="Head of household",7,1))))*($AJ42-INDEX('How This Works &amp; Sources'!$B$39:$J$48,0,IF($AU42="Married",4,IF($AU42="Head of household",7,1))))*INDEX('How This Works &amp; Sources'!$B$39:$J$48,0,IF($AU42="Married",4,IF($AU42="Head of household",7,1))+2))-VLOOKUP($AN42,StateTables!$A$6:$AB$56,11,FALSE)*$AS42)/'Second Earner'!$C$8)+'Second Earner'!$C$25+VLOOKUP($AN42,StateTables!$A$6:$AB$56,13,FALSE)*$D42,2),IF(VLOOKUP($AN42,StateTables!$A$6:$AB$56,4,FALSE)="None",0,IF(ISNUMBER(SEARCH("MANUAL",VLOOKUP($AN42,StateTables!$A$6:$AB$56,5,FALSE))),'Second Earner'!$C$28,ROUND(MAX(0,$BA42+$BB42)/'Second Earner'!$C$8+'Second Earner'!$C$25+$BC42,2))))))</f>
      </c>
      <c r="U42" s="7">
        <f>IF($B42="","",IF(VLOOKUP($AN42,StateTables!$A$6:$AB$56,24,FALSE)="flatq",IF(OR(MONTH($B42)=1,MONTH($B42)=4,MONTH($B42)=7,MONTH($B42)=10),VLOOKUP($AN42,StateTables!$A$6:$AB$56,25,FALSE),0),IF(VLOOKUP($AN42,StateTables!$A$6:$AB$56,24,FALSE)="dbl",MIN(ROUND(0.005*$N42,2),ROUND(0.6*52/'Second Earner'!$C$8,2)),IF(OR(VLOOKUP($AN42,StateTables!$A$6:$AB$56,15,FALSE)="",VLOOKUP($AN42,StateTables!$A$6:$AB$56,15,FALSE)=0),0,ROUND(VLOOKUP($AN42,StateTables!$A$6:$AB$56,15,FALSE)*IF(OR(VLOOKUP($AN42,StateTables!$A$6:$AB$56,16,FALSE)="",VLOOKUP($AN42,StateTables!$A$6:$AB$56,16,FALSE)=0),$N42,MIN($N42,MAX(0,VLOOKUP($AN42,StateTables!$A$6:$AB$56,16,FALSE)-($AX42+$AB41-$AW42)))),2))))+IF(VLOOKUP($AN42,StateTables!$A$6:$AB$56,27,FALSE)="flatq",IF(OR(MONTH($B42)=1,MONTH($B42)=4,MONTH($B42)=7,MONTH($B42)=10),VLOOKUP($AN42,StateTables!$A$6:$AB$56,28,FALSE),0),IF(VLOOKUP($AN42,StateTables!$A$6:$AB$56,27,FALSE)="dbl",MIN(ROUND(0.005*$N42,2),ROUND(0.6*52/'Second Earner'!$C$8,2)),IF(OR(VLOOKUP($AN42,StateTables!$A$6:$AB$56,18,FALSE)="",VLOOKUP($AN42,StateTables!$A$6:$AB$56,18,FALSE)=0),0,ROUND(VLOOKUP($AN42,StateTables!$A$6:$AB$56,18,FALSE)*IF(OR(VLOOKUP($AN42,StateTables!$A$6:$AB$56,19,FALSE)="",VLOOKUP($AN42,StateTables!$A$6:$AB$56,19,FALSE)=0),$N42,MIN($N42,MAX(0,VLOOKUP($AN42,StateTables!$A$6:$AB$56,19,FALSE)-($AX42+$AB41-$AW42)))),2)))))</f>
      </c>
      <c r="V42" s="7">
        <f>IF($B42="","",IF($AN42="NY",IF('Second Earner'!$C$78,ROUND(SUMPRODUCT((MAX(0,($O42-$D42)*'Second Earner'!$C$8-(IF($AU42="Married",5500,5000)+1000*$AS42))&gt;INDEX('How This Works &amp; Sources'!$B$184:$J$198,0,4))*(MAX(0,($O42-$D42)*'Second Earner'!$C$8-(IF($AU42="Married",5500,5000)+1000*$AS42))-INDEX('How This Works &amp; Sources'!$B$184:$J$198,0,4))*INDEX('How This Works &amp; Sources'!$B$184:$J$198,0,4+2))/'Second Earner'!$C$8+0.0425*$D42,2),0)+IF('Second Earner'!$C$79="Resident",ROUND(0.1675*$T42,2),IF('Second Earner'!$C$79="Nonresident",ROUND(0.005*MAX(0,($O42-$D42)-(IF($AU42="Married",7950,7400)+1000*$AS42)/'Second Earner'!$C$8),2),0)),IF($AN42="PA",IF('Second Earner'!$C$80="None",'Second Earner'!$C$27+ROUND('Second Earner'!$C$81*($C42+$D42),2),ROUND(IF('Second Earner'!$C$80="Resident",IF($B42&lt;DATE(2026,7,1),0.0374,0.03735),IF($B42&lt;DATE(2026,7,1),0.0343,0.03425))*($C42+$D42),2)),IF($BF42=0,ROUND('Second Earner'!$C$81*($C42+$D42),2),'Second Earner'!$C$27+ROUND('Second Earner'!$C$81*($C42+$D42),2)))))</f>
      </c>
      <c r="W42" s="7">
        <f>IF($B42="","",IF($BF42=0,0,$BP42))</f>
      </c>
      <c r="X42" s="7">
        <f>IF($B42="","",SUM($E42:$K42)+$P42+$Q42+$R42+$S42+$T42+$U42+$V42+$W42)</f>
      </c>
      <c r="Y42" s="22">
        <f>IF($B42="","",$C42+$D42-$X42)</f>
      </c>
      <c r="Z42" s="7">
        <f>IF($B42="","",$Z41+$C42+$D42)</f>
      </c>
      <c r="AA42" s="7">
        <f>IF($B42="","",$AA41+$Y42)</f>
      </c>
      <c r="AB42" s="7">
        <f>IF($B42="","",$AB41+MIN($N42,MAX(0,'How This Works &amp; Sources'!$C$3-($AX42+$AB41-$AW42))))</f>
      </c>
      <c r="AC42" s="7">
        <f>IF($B42="","",$AC41+$E42+$F42)</f>
      </c>
      <c r="AD42" s="3">
        <f>IF($B42="","",IF(AND($AB41&lt;'How This Works &amp; Sources'!$C$3,$AB42&gt;='How This Works &amp; Sources'!$C$3),"★ Social Security maxed on this check — from the next check your net rises by about $"&amp;TEXT(ROUND('How This Works &amp; Sources'!$C$4*$N42,2),"#,##0.00")&amp;". ","")&amp;IF(AND($AC41&lt;'Second Earner'!$C$34,$AC42&gt;='Second Earner'!$C$34),"★ 401(k) reaches the $"&amp;TEXT('Second Earner'!$C$34,"#,##0")&amp;" cap on this check — deferrals stop and net pay rises. ","")&amp;IF(AND($AG41&lt;'How This Works &amp; Sources'!$C$7,$AG42&gt;='How This Works &amp; Sources'!$C$7),"★ Wages pass $200,000 — the 0.9% Additional Medicare Tax starts here. ","")&amp;IF(AND($BJ42&gt;0,$H42&gt;0,$BG41&lt;MIN($BJ42,'How This Works &amp; Sources'!$C$13),$BG41+$H42&gt;=MIN($BJ42,'How This Works &amp; Sources'!$C$13)),"★ Health FSA election is now fully deferred for the year. ",""))</f>
      </c>
      <c r="AE42" s="41" t="n"/>
      <c r="AF42" s="7">
        <f>IF(OR($B42="",$AE42=""),"",$AE42-$Y42)</f>
      </c>
      <c r="AG42" s="7">
        <f>IF($B42="","",$AG41+$N42)</f>
      </c>
      <c r="AH42" s="7">
        <f>IF($B42="","",MAX(0,($M42-$D42)*'Second Earner'!$C$8+$AP42-$AQ42-IF('Second Earner'!$C$13,0,IF('Second Earner'!$C$12="MFJ",'How This Works &amp; Sources'!$C$8,'How This Works &amp; Sources'!$C$9))))</f>
      </c>
      <c r="AI42" s="7">
        <f>IF($B42="","",$O42*'Second Earner'!$C$8)</f>
      </c>
      <c r="AJ42" s="7">
        <f>IF($B42="","",MAX(0,$AI42-VLOOKUP($AN42,StateTables!$A$6:$AB$56,12,FALSE)*$AT42-IF(($AS42+$AT42)&gt;=2,VLOOKUP($AN42,StateTables!$A$6:$AB$56,8,FALSE),VLOOKUP($AN42,StateTables!$A$6:$AB$56,7,FALSE))))</f>
      </c>
      <c r="AK42" s="7">
        <f>IF($B42="","",IFERROR(LOOKUP(2,1/(('Changes — Earner 2'!$C$6:$C$17="Salary change")*('Changes — Earner 2'!$B$6:$B$17&lt;=$B42)*('Changes — Earner 2'!$B$6:$B$17&lt;&gt;"")),'Changes — Earner 2'!$D$6:$D$17),IF('Second Earner'!$C$4="Annual salary",'Second Earner'!$C$5,'Second Earner'!$C$6)))</f>
      </c>
      <c r="AL42">
        <f>IF($B42="","",IFERROR(LOOKUP(2,1/(('Changes — Earner 2'!$C$6:$C$17="401(k) change")*('Changes — Earner 2'!$B$6:$B$17&lt;=$B42)*('Changes — Earner 2'!$B$6:$B$17&lt;&gt;"")),'Changes — Earner 2'!$D$6:$D$17),'Second Earner'!$C$30))</f>
      </c>
      <c r="AM42" s="7">
        <f>IF($B42="","",IFERROR(LOOKUP(2,1/(('Changes — Earner 2'!$C$6:$C$17="401(k) change")*('Changes — Earner 2'!$B$6:$B$17&lt;=$B42)*('Changes — Earner 2'!$B$6:$B$17&lt;&gt;"")),'Changes — Earner 2'!$E$6:$E$17),'Second Earner'!$D$31))</f>
      </c>
      <c r="AN42">
        <f>IF($B42="","",IFERROR(LOOKUP(2,1/(('Changes — Earner 2'!$C$6:$C$17="State move")*('Changes — Earner 2'!$B$6:$B$17&lt;=$B42)*('Changes — Earner 2'!$B$6:$B$17&lt;&gt;"")),'Changes — Earner 2'!$D$6:$D$17),'Second Earner'!$C$21))</f>
      </c>
      <c r="AO42" s="7">
        <f>IF($B42="","",IFERROR(LOOKUP(2,1/(('Changes — Earner 2'!$C$6:$C$17="W-4 change")*('Changes — Earner 2'!$B$6:$B$17&lt;=$B42)*('Changes — Earner 2'!$B$6:$B$17&lt;&gt;"")),'Changes — Earner 2'!$D$6:$D$17),'Second Earner'!$C$14))</f>
      </c>
      <c r="AP42" s="7">
        <f>IF($B42="","",IFERROR(LOOKUP(2,1/(('Changes — Earner 2'!$C$6:$C$17="W-4 change")*('Changes — Earner 2'!$B$6:$B$17&lt;=$B42)*('Changes — Earner 2'!$B$6:$B$17&lt;&gt;"")),'Changes — Earner 2'!$E$6:$E$17),'Second Earner'!$C$15))</f>
      </c>
      <c r="AQ42" s="7">
        <f>IF($B42="","",IFERROR(LOOKUP(2,1/(('Changes — Earner 2'!$C$6:$C$17="W-4 change")*('Changes — Earner 2'!$B$6:$B$17&lt;=$B42)*('Changes — Earner 2'!$B$6:$B$17&lt;&gt;"")),'Changes — Earner 2'!$F$6:$F$17),'Second Earner'!$C$16))</f>
      </c>
      <c r="AR42" s="7">
        <f>IF($B42="","",IFERROR(LOOKUP(2,1/(('Changes — Earner 2'!$C$6:$C$17="W-4 change")*('Changes — Earner 2'!$B$6:$B$17&lt;=$B42)*('Changes — Earner 2'!$B$6:$B$17&lt;&gt;"")),'Changes — Earner 2'!$G$6:$G$17),'Second Earner'!$C$17))</f>
      </c>
      <c r="AS42" s="6">
        <f>IF($B42="","",IFERROR(LOOKUP(2,1/((('Changes — Earner 2'!$C$6:$C$17="State move")+('Changes — Earner 2'!$C$6:$C$17="State cert change"))*('Changes — Earner 2'!$B$6:$B$17&lt;=$B42)*('Changes — Earner 2'!$B$6:$B$17&lt;&gt;"")),'Changes — Earner 2'!$F$6:$F$17),'Second Earner'!$C$23))</f>
      </c>
      <c r="AT42" s="6">
        <f>IF($B42="","",IFERROR(LOOKUP(2,1/((('Changes — Earner 2'!$C$6:$C$17="State move")+('Changes — Earner 2'!$C$6:$C$17="State cert change"))*('Changes — Earner 2'!$B$6:$B$17&lt;=$B42)*('Changes — Earner 2'!$B$6:$B$17&lt;&gt;"")),'Changes — Earner 2'!$G$6:$G$17),'Second Earner'!$C$24))</f>
      </c>
      <c r="AU42">
        <f>IF($B42="","",IFERROR(LOOKUP(2,1/(('Changes — Earner 2'!$C$6:$C$17="State move")*('Changes — Earner 2'!$B$6:$B$17&lt;=$B42)*('Changes — Earner 2'!$B$6:$B$17&lt;&gt;"")),'Changes — Earner 2'!$E$6:$E$17),'Second Earner'!$C$22))</f>
      </c>
      <c r="AV42" s="6">
        <f>IF($B42="","",1+COUNTIFS('Changes — Earner 2'!$C$6:$C$17,"Employer change",'Changes — Earner 2'!$B$6:$B$17,"&lt;="&amp;$B42,'Changes — Earner 2'!$B$6:$B$17,"&lt;&gt;"))</f>
      </c>
      <c r="AW42" s="7">
        <f>IF($B42="","",IF($AV42=1,'Second Earner'!$C$49,IF(IFERROR(MATCH(IFERROR(LOOKUP(2,1/(('Changes — Earner 2'!$C$6:$C$17="Employer change")*('Changes — Earner 2'!$B$6:$B$17&lt;=$B42)*('Changes — Earner 2'!$B$6:$B$17&lt;&gt;"")),'Changes — Earner 2'!$B$6:$B$17),""),$B$6:$B$68,1),1)&lt;=1,'Second Earner'!$C$49,INDEX($AB$6:$AB$68,MATCH(IFERROR(LOOKUP(2,1/(('Changes — Earner 2'!$C$6:$C$17="Employer change")*('Changes — Earner 2'!$B$6:$B$17&lt;=$B42)*('Changes — Earner 2'!$B$6:$B$17&lt;&gt;"")),'Changes — Earner 2'!$B$6:$B$17),""),$B$6:$B$68,1)-1))))</f>
      </c>
      <c r="AX42" s="7">
        <f>IF($B42="","",IF($AV42=1,'Second Earner'!$C$49,IFERROR(LOOKUP(2,1/(('Changes — Earner 2'!$C$6:$C$17="Employer change")*('Changes — Earner 2'!$B$6:$B$17&lt;=$B42)*('Changes — Earner 2'!$B$6:$B$17&lt;&gt;"")),'Changes — Earner 2'!$D$6:$D$17),0)))</f>
      </c>
      <c r="AY42" s="7">
        <f>IF($B42="","",($O42-$D42)*'Second Earner'!$C$8)</f>
      </c>
      <c r="AZ42" s="7">
        <f>IF($B42="","",IF($AN42="AL",MAX(0,$AY42-IF($AU42="Married",IF($AY42&lt;=25999,8500,MAX(5000,8500-175*CEILING(($AY42-25999)/500,1))),IF($AU42="Head of household",IF($AY42&lt;=25999,5200,MAX(2500,5200-135*CEILING(($AY42-25999)/500,1))),IF($AY42&lt;=25999,3000,MAX(2500,3000-25*CEILING(($AY42-25999)/500,1)))))-($P42-'How This Works &amp; Sources'!$C$10*$D42)*'Second Earner'!$C$8-IF(OR($AU42="Married",$AU42="Head of household"),3000,1500)-$AT42*IF($AY42&lt;=50000,1000,IF($AY42&lt;=100000,500,300))),IF($AN42="AR",IF(MAX(0,$AY42-2470)&lt;97701,INT(MAX(0,$AY42-2470)/100)*100+50,MAX(0,$AY42-2470)),IF($AN42="DE",MAX(0,$AI42-3250),IF($AN42="HI",MAX(0,$AI42-1144*$AS42-4350),IF($AN42="KS",MAX(0,$AI42-(9160*IF($AU42="Married",2,1)+2320*$AT42+IF($AU42="Head of household",2320,0))),IF($AN42="MD",MAX(0,$AI42-3400-3200*$AS42),IF($AN42="MN",MAX(0,$AY42-5300*$AS42),IF($AN42="MO",MAX(0,$AI42-IF($AU42="Head of household",24150,IF($AU42="Married",IF('Second Earner'!$C$83,16100,32200),16100))),IF($AN42="MT",$AY42,IF($AN42="ND",($C42+$L42)*'Second Earner'!$C$8,IF($AN42="NE",MAX(0,$AY42-2440*$AS42),IF($AN42="NJ",MAX(0,$AY42-1000*$AS42),IF($AN42="NY",MAX(0,$AY42-(IF($AU42="Married",7950,7400)+1000*$AS42)),IF($AN42="OH",MAX(0,$AY42-650*$AS42),IF($AN42="OK",MAX(0,$AY42-1000*$AS42),IF($AN42="RI",MAX(0,$AI42-1000*$AS42),IF($AN42="SC",MAX(0,$AI42-5000*$AS42-IF($AS42=0,0,MIN(0.1*$AI42,7500))),IF($AN42="VA",MAX(0,$AI42-IF($AU42="Married",17500,8750)-930*$AS42-800*$AT42),IF($AN42="VT",MAX(0,$AI42-5400*$AS42),IF($AN42="WI",MAX(0,$AI42-MAX(0,IF($AU42="Married",9461-0.2*MAX(0,$AI42-25727),6702-0.12*MAX(0,$AI42-17780)))-400*$AS42),IF($AN42="WV",MAX(0,$AI42-2000*$AS42),$AI42))))))))))))))))))))))</f>
      </c>
      <c r="BA42" s="7">
        <f>IF($B42="","",IF($BW42&lt;&gt;"",$BW42,IF($BX42&lt;&gt;"",$BX42,IF($BY42&lt;&gt;"",$BY42,0))))</f>
      </c>
      <c r="BB42" s="7">
        <f>IF($B42="","",IF($AN42="AR",-29*$AS42,IF($AN42="DE",-110*$AS42,IF($AN42="MD",$AZ42*'Second Earner'!$C$74,IF($AN42="AZ",'Second Earner'!$C$82*($M42-$D42)*'Second Earner'!$C$8,IF($AN42="CO",0.044*MAX(0,$AY42-IF($AU42="Married",10000,5000)),IF($AN42="IA",MAX(0,0.038*MAX(0,$AY42-IF($AU42="Head of household",19500,IF($AU42="Married",26000,13000)))-40*$AS42),IF($AN42="ID",0.053*MAX(0,$AY42-IF($AU42="Married",32000,16094)),IF($AN42="IL",0.0495*MAX(0,$AY42-(2925*$AS42+1000*$AT42)),IF($AN42="IN",(0.0295+'Second Earner'!$C$76)*MAX(0,$AY42-(1000*$AS42+1500*$AT42+3000*'Second Earner'!$C$86)),IF($AN42="KY",0.035*MAX(0,$AI42-3360),IF($AN42="LA",IF('Second Earner'!$C$84="0",0.0309*$AI42,0.0309*MAX(0,$AI42-IF('Second Earner'!$C$84="2",25750,12875))),IF($AN42="MA",0.05*MIN(MAX(0,$AY42-MIN(($BD41+$Q42+$R42+$S42),2000)-IF($AS42=0,0,IF($AS42=1,4400,1000*$AS42+3400))),1107750)+0.09*MAX(0,MAX(0,$AY42-MIN(($BD41+$Q42+$R42+$S42),2000)-IF($AS42=0,0,IF($AS42=1,4400,1000*$AS42+3400)))-1107750)-IF($AU42="Head of household",120,0)-110*'Second Earner'!$C$75,IF($AN42="MI",0.0425*MAX(0,$AY42-5900*$AS42),IF($AN42="MS",0.04*MAX(0,$AI42-IF($AU42="Head of household",3400,IF($AU42="Married",4600,2300))-'Second Earner'!$C$85-10000),IF($AN42="OR",IF(OR($AU42="Married",AND($AU42="Single",$AS42&gt;=3)),SUMPRODUCT((MAX(0,$AY42-MIN(($P42-'How This Works &amp; Sources'!$C$10*$D42)*'Second Earner'!$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Sources'!$B$211:$J$214,0,4))*(MAX(0,$AY42-MIN(($P42-'How This Works &amp; Sources'!$C$10*$D42)*'Second Earner'!$C$8,IF(OR($AU42="Married",AND($AU42="Single",$AS42&gt;=3)),IF($AY42&lt;250000,8750,IF($AY42&lt;260000,7000,IF($AY42&lt;270000,5250,IF($AY42&lt;280000,3500,IF($AY42&lt;290000,1750,0))))),IF($AY42&lt;125000,8750,IF($AY42&lt;130000,7000,IF($AY42&lt;135000,5250,IF($AY42&lt;140000,3500,IF($AY42&lt;145000,1750,0)))))))-IF(OR($AU42="Married",AND($AU42="Single",$AS42&gt;=3)),5820,2910))-INDEX('How This Works &amp; Sources'!$B$211:$J$214,0,4))*INDEX('How This Works &amp; Sources'!$B$211:$J$214,0,4+2)),SUMPRODUCT((MAX(0,$AY42-MIN(($P42-'How This Works &amp; Sources'!$C$10*$D42)*'Second Earner'!$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Sources'!$B$211:$J$214,0,1))*(MAX(0,$AY42-MIN(($P42-'How This Works &amp; Sources'!$C$10*$D42)*'Second Earner'!$C$8,IF(OR($AU42="Married",AND($AU42="Single",$AS42&gt;=3)),IF($AY42&lt;250000,8750,IF($AY42&lt;260000,7000,IF($AY42&lt;270000,5250,IF($AY42&lt;280000,3500,IF($AY42&lt;290000,1750,0))))),IF($AY42&lt;125000,8750,IF($AY42&lt;130000,7000,IF($AY42&lt;135000,5250,IF($AY42&lt;140000,3500,IF($AY42&lt;145000,1750,0)))))))-IF(OR($AU42="Married",AND($AU42="Single",$AS42&gt;=3)),5820,2910))-INDEX('How This Works &amp; Sources'!$B$211:$J$214,0,1))*INDEX('How This Works &amp; Sources'!$B$211:$J$214,0,1+2)))+263-263*IF(IF($AU42="Married",$AY42&gt;200000,$AY42&gt;100000),0,$AS42),IF($AN42="PA",0.0307*(($O42+$E42+$G42)*'Second Earner'!$C$8),IF($AN42="NY",IF($AU42="Married",IF($AZ42&gt;=2155350,0,IF($AZ42&gt;=1077550,0.48,IF($AZ42&gt;=373200,1.21,IF($AZ42&gt;=323200,0.21,IF($AZ42&gt;=211550,-0.19,IF($AZ42&gt;=157650,-2.8,IF($AZ42&gt;=107650,-0.8,IF($AZ42&gt;=96800,0.05,IF($AZ42&gt;=80650,-0.1,IF($AZ42&gt;=13900,0.4,IF($AZ42&gt;=11700,-0.3,IF($AZ42&gt;=8500,0.5,0)))))))))))),IF($AZ42&gt;=1077550,0,IF($AZ42&gt;=265400,4.29,IF($AZ42&gt;=215400,2.29,IF($AZ42&gt;=157650,2.29,IF($AZ42&gt;=107650,0.29,IF($AZ42&gt;=96800,0.05,IF($AZ42&gt;=80650,-0.1,IF($AZ42&gt;=13900,0.4,IF($AZ42&gt;=11700,-0.3,IF($AZ42&gt;=8500,0.5,0))))))))))),0))))))))))))))))))</f>
      </c>
      <c r="BC42" s="7">
        <f>IF($B42="","",IF($AN42="AL",0.05*$D42,IF($AN42="AR",0.039*$D42,IF($AN42="ID",0.053*$D42,IF($AN42="IN",(0.0295+'Second Earner'!$C$76)*$D42,IF($AN42="KS",0.05*$D42,IF($AN42="MA",0.09*MIN($D42,MAX(0,MAX(0,$AY42-MIN(($BD41+$Q42+$R42+$S42),2000)-IF($AS42=0,0,IF($AS42=1,4400,1000*$AS42+3400)))+$D42-1107750))+0.05*($D42-MIN($D42,MAX(0,MAX(0,$AY42-MIN(($BD41+$Q42+$R42+$S42),2000)-IF($AS42=0,0,IF($AS42=1,4400,1000*$AS42+3400)))+$D42-1107750))),IF($AN42="MD",(0.065+'Second Earner'!$C$74)*$D42,IF($AN42="MI",0.0425*$D42,IF($AN42="MN",0.0625*$D42,IF($AN42="MO",0.047*$D42,IF($AN42="MT",0.05*$D42,IF($AN42="ND",0.015*$D42,IF($AN42="NE",0.035*$D42,IF($AN42="NJ",IF('Second Earner'!$C$77="B",SUMPRODUCT(($D42*'Second Earner'!$C$8&gt;INDEX('How This Works &amp; Sources'!$B$155:$J$162,0,4))*($D42*'Second Earner'!$C$8-INDEX('How This Works &amp; Sources'!$B$155:$J$162,0,4))*INDEX('How This Works &amp; Sources'!$B$155:$J$162,0,4+2)),IF('Second Earner'!$C$77="C",SUMPRODUCT(($D42*'Second Earner'!$C$8&gt;INDEX('How This Works &amp; Sources'!$B$155:$J$162,0,7))*($D42*'Second Earner'!$C$8-INDEX('How This Works &amp; Sources'!$B$155:$J$162,0,7))*INDEX('How This Works &amp; Sources'!$B$155:$J$162,0,7+2)),IF('Second Earner'!$C$77="D",SUMPRODUCT(($D42*'Second Earner'!$C$8&gt;INDEX('How This Works &amp; Sources'!$B$167:$J$179,0,1))*($D42*'Second Earner'!$C$8-INDEX('How This Works &amp; Sources'!$B$167:$J$179,0,1))*INDEX('How This Works &amp; Sources'!$B$167:$J$179,0,1+2)),IF('Second Earner'!$C$77="E",SUMPRODUCT(($D42*'Second Earner'!$C$8&gt;INDEX('How This Works &amp; Sources'!$B$167:$J$179,0,4))*($D42*'Second Earner'!$C$8-INDEX('How This Works &amp; Sources'!$B$167:$J$179,0,4))*INDEX('How This Works &amp; Sources'!$B$167:$J$179,0,4+2)),SUMPRODUCT(($D42*'Second Earner'!$C$8&gt;INDEX('How This Works &amp; Sources'!$B$155:$J$162,0,1))*($D42*'Second Earner'!$C$8-INDEX('How This Works &amp; Sources'!$B$155:$J$162,0,1))*INDEX('How This Works &amp; Sources'!$B$155:$J$162,0,1+2))))))/'Second Earner'!$C$8,IF($AN42="NY",0.117*$D42,IF($AN42="OH",0.0275*$D42,IF($AN42="OK",0.045*$D42,IF($AN42="OR",0.08*$D42,IF($AN42="WI",IF($AY42&lt;12760,0.0354,IF($AY42&lt;25520,0.0465,IF($AY42&lt;280950,0.053,0.0765)))*$D42,0))))))))))))))))))))</f>
      </c>
      <c r="BD42" s="7">
        <f>IF($B42="","",$BD41+$Q42+$R42+$S42)</f>
      </c>
      <c r="BE42" s="6">
        <f>IF($B42="",$BE41,$BE41+$BF42)</f>
      </c>
      <c r="BF42" s="6">
        <f>IF($B42="","",IF(AND(IF(YEAR(IF('Second Earner'!$C$7="Weekly",'Second Earner'!$C$9+7*(($BE41+1)-1),IF('Second Earner'!$C$7="Biweekly",'Second Earner'!$C$9+14*(($BE41+1)-1),IF('Second Earner'!$C$7="Semimonthly",DATE(YEAR('Second Earner'!$C$9),MONTH('Second Earner'!$C$9)+INT((($BE41+1)-1)/2),MIN(DAY('Second Earner'!$C$9),DAY(EOMONTH(DATE(YEAR('Second Earner'!$C$9),MONTH('Second Earner'!$C$9)+INT((($BE41+1)-1)/2),1),0))))+IF(MOD(($BE41+1)-1,2)=1,15,0),EDATE('Second Earner'!$C$9,($BE41+1)-1)))))&lt;&gt;'Second Earner'!$C$10,"",IF('Second Earner'!$C$7="Weekly",'Second Earner'!$C$9+7*(($BE41+1)-1),IF('Second Earner'!$C$7="Biweekly",'Second Earner'!$C$9+14*(($BE41+1)-1),IF('Second Earner'!$C$7="Semimonthly",DATE(YEAR('Second Earner'!$C$9),MONTH('Second Earner'!$C$9)+INT((($BE41+1)-1)/2),MIN(DAY('Second Earner'!$C$9),DAY(EOMONTH(DATE(YEAR('Second Earner'!$C$9),MONTH('Second Earner'!$C$9)+INT((($BE41+1)-1)/2),1),0))))+IF(MOD(($BE41+1)-1,2)=1,15,0),EDATE('Second Earner'!$C$9,($BE41+1)-1)))))&lt;&gt;"",$B42=IF(YEAR(IF('Second Earner'!$C$7="Weekly",'Second Earner'!$C$9+7*(($BE41+1)-1),IF('Second Earner'!$C$7="Biweekly",'Second Earner'!$C$9+14*(($BE41+1)-1),IF('Second Earner'!$C$7="Semimonthly",DATE(YEAR('Second Earner'!$C$9),MONTH('Second Earner'!$C$9)+INT((($BE41+1)-1)/2),MIN(DAY('Second Earner'!$C$9),DAY(EOMONTH(DATE(YEAR('Second Earner'!$C$9),MONTH('Second Earner'!$C$9)+INT((($BE41+1)-1)/2),1),0))))+IF(MOD(($BE41+1)-1,2)=1,15,0),EDATE('Second Earner'!$C$9,($BE41+1)-1)))))&lt;&gt;'Second Earner'!$C$10,"",IF('Second Earner'!$C$7="Weekly",'Second Earner'!$C$9+7*(($BE41+1)-1),IF('Second Earner'!$C$7="Biweekly",'Second Earner'!$C$9+14*(($BE41+1)-1),IF('Second Earner'!$C$7="Semimonthly",DATE(YEAR('Second Earner'!$C$9),MONTH('Second Earner'!$C$9)+INT((($BE41+1)-1)/2),MIN(DAY('Second Earner'!$C$9),DAY(EOMONTH(DATE(YEAR('Second Earner'!$C$9),MONTH('Second Earner'!$C$9)+INT((($BE41+1)-1)/2),1),0))))+IF(MOD(($BE41+1)-1,2)=1,15,0),EDATE('Second Earner'!$C$9,($BE41+1)-1)))))),1,0))</f>
      </c>
      <c r="BG42" s="7">
        <f>IF($B42="","",$BG41+$H42)</f>
      </c>
      <c r="BH42" s="7">
        <f>IF($B42="","",$BH41+$I42)</f>
      </c>
      <c r="BI42" s="7">
        <f>IF($B42="","",$BI41+$G42)</f>
      </c>
      <c r="BJ42" s="7">
        <f>IF($B42="","",IFERROR(LOOKUP(2,1/(((('Changes — Earner 2'!$C$6:$C$17="Deduction start"))*('Changes — Earner 2'!$D$6:$D$17="Health FSA"))*('Changes — Earner 2'!$B$6:$B$17&lt;=$B42)*('Changes — Earner 2'!$B$6:$B$17&lt;&gt;"")),'Changes — Earner 2'!$E$6:$E$17),'Second Earner'!$D$38))</f>
      </c>
      <c r="BK42" s="7">
        <f>IF($B42="","",IFERROR(LOOKUP(2,1/(((('Changes — Earner 2'!$C$6:$C$17="Deduction start"))*('Changes — Earner 2'!$D$6:$D$17="Dependent-care FSA"))*('Changes — Earner 2'!$B$6:$B$17&lt;=$B42)*('Changes — Earner 2'!$B$6:$B$17&lt;&gt;"")),'Changes — Earner 2'!$E$6:$E$17),'Second Earner'!$D$39))</f>
      </c>
      <c r="BL42" s="7">
        <f>IF($B42="","",IFERROR(LOOKUP(2,1/(((('Changes — Earner 2'!$C$6:$C$17="Deduction start")+('Changes — Earner 2'!$C$6:$C$17="Deduction stop"))*('Changes — Earner 2'!$D$6:$D$17="HSA"))*('Changes — Earner 2'!$B$6:$B$17&lt;=$B42)*('Changes — Earner 2'!$B$6:$B$17&lt;&gt;"")),'Changes — Earner 2'!$I$6:$I$17),'Second Earner'!$D$35))</f>
      </c>
      <c r="BM42" s="7">
        <f>IF($B42="","",IFERROR(LOOKUP(2,1/(((('Changes — Earner 2'!$C$6:$C$17="Deduction start")+('Changes — Earner 2'!$C$6:$C$17="Deduction stop"))*('Changes — Earner 2'!$D$6:$D$17="Premiums"))*('Changes — Earner 2'!$B$6:$B$17&lt;=$B42)*('Changes — Earner 2'!$B$6:$B$17&lt;&gt;"")),'Changes — Earner 2'!$I$6:$I$17),'Second Earner'!$D$40+'Second Earner'!$D$41+'Second Earner'!$D$42))</f>
      </c>
      <c r="BN42" s="7">
        <f>IF($B42="","",IFERROR(LOOKUP(2,1/(((('Changes — Earner 2'!$C$6:$C$17="Deduction start")+('Changes — Earner 2'!$C$6:$C$17="Deduction stop"))*('Changes — Earner 2'!$D$6:$D$17="Commuter"))*('Changes — Earner 2'!$B$6:$B$17&lt;=$B42)*('Changes — Earner 2'!$B$6:$B$17&lt;&gt;"")),'Changes — Earner 2'!$I$6:$I$17),'Second Earner'!$D$43))</f>
      </c>
      <c r="BO42" s="7">
        <f>IF($B42="","",IFERROR(LOOKUP(2,1/(((('Changes — Earner 2'!$C$6:$C$17="Deduction start")+('Changes — Earner 2'!$C$6:$C$17="Deduction stop"))*('Changes — Earner 2'!$D$6:$D$17="Other pre-tax"))*('Changes — Earner 2'!$B$6:$B$17&lt;=$B42)*('Changes — Earner 2'!$B$6:$B$17&lt;&gt;"")),'Changes — Earner 2'!$I$6:$I$17),'Second Earner'!$D$44))</f>
      </c>
      <c r="BP42" s="7">
        <f>IF($B42="","",IFERROR(LOOKUP(2,1/(((('Changes — Earner 2'!$C$6:$C$17="Deduction start")+('Changes — Earner 2'!$C$6:$C$17="Deduction stop"))*('Changes — Earner 2'!$D$6:$D$17="Other post-tax"))*('Changes — Earner 2'!$B$6:$B$17&lt;=$B42)*('Changes — Earner 2'!$B$6:$B$17&lt;&gt;"")),'Changes — Earner 2'!$I$6:$I$17),'Second Earner'!$D$45))</f>
      </c>
      <c r="BQ42" s="6">
        <f>IF($B42="","",IFERROR(LOOKUP(2,1/(((('Changes — Earner 2'!$C$6:$C$17="Deduction start")+('Changes — Earner 2'!$C$6:$C$17="Deduction stop"))*('Changes — Earner 2'!$D$6:$D$17="Health FSA"))*('Changes — Earner 2'!$B$6:$B$17&lt;=$B42)*('Changes — Earner 2'!$B$6:$B$17&lt;&gt;"")),'Changes — Earner 2'!$J$6:$J$17),0))</f>
      </c>
      <c r="BR42" s="6">
        <f>IF($B42="","",IFERROR(LOOKUP(2,1/(((('Changes — Earner 2'!$C$6:$C$17="Deduction start")+('Changes — Earner 2'!$C$6:$C$17="Deduction stop"))*('Changes — Earner 2'!$D$6:$D$17="Dependent-care FSA"))*('Changes — Earner 2'!$B$6:$B$17&lt;=$B42)*('Changes — Earner 2'!$B$6:$B$17&lt;&gt;"")),'Changes — Earner 2'!$J$6:$J$17),0))</f>
      </c>
      <c r="BS42" s="6">
        <f>IF($B42="","",IF(SUMPRODUCT(('Changes — Earner 2'!$C$6:$C$17="Deduction start")*('Changes — Earner 2'!$B$6:$B$17&lt;=$B42)*('Changes — Earner 2'!$B$6:$B$17&lt;&gt;"")*('Changes — Earner 2'!$D$6:$D$17="Health FSA"))&gt;0,1,0))</f>
      </c>
      <c r="BT42" s="6">
        <f>IF($B42="","",IF(SUMPRODUCT(('Changes — Earner 2'!$C$6:$C$17="Deduction start")*('Changes — Earner 2'!$B$6:$B$17&lt;=$B42)*('Changes — Earner 2'!$B$6:$B$17&lt;&gt;"")*('Changes — Earner 2'!$D$6:$D$17="Dependent-care FSA"))&gt;0,1,0))</f>
      </c>
      <c r="BU42" s="24">
        <f>IF($B42="","",IF('Second Earner'!$C$13,SUMPRODUCT(($AH42&gt;=INDEX('How This Works &amp; Sources'!$B$29:$J$36,0,IF('Second Earner'!$C$12="MFJ",1,IF('Second Earner'!$C$12="HoH",7,4))))*INDEX('How This Works &amp; Sources'!$B$29:$J$36,0,IF('Second Earner'!$C$12="MFJ",1,IF('Second Earner'!$C$12="HoH",7,4))+2)),SUMPRODUCT(($AH42&gt;=INDEX('How This Works &amp; Sources'!$B$19:$J$26,0,IF('Second Earner'!$C$12="MFJ",1,IF('Second Earner'!$C$12="HoH",7,4))))*INDEX('How This Works &amp; Sources'!$B$19:$J$26,0,IF('Second Earner'!$C$12="MFJ",1,IF('Second Earner'!$C$12="HoH",7,4))+2))))</f>
      </c>
      <c r="BV42" s="24">
        <f>IF($B42="","",IF($BZ42&lt;&gt;"",$BZ42,IF($CA42&lt;&gt;"",$CA42,IF($CB42&lt;&gt;"",$CB42,IF($CC42&lt;&gt;"",$CC42,0)))))</f>
      </c>
      <c r="BW42" s="7">
        <f>IF($B42="","",IF($AN42="AR",SUMPRODUCT(($AZ42&gt;INDEX('How This Works &amp; Sources'!$B$82:$J$86,0,7))*($AZ42-INDEX('How This Works &amp; Sources'!$B$82:$J$86,0,7))*INDEX('How This Works &amp; Sources'!$B$82:$J$86,0,7+2)),IF($AN42="MD",IF(OR($AU42="Married",$AU42="Head of household"),SUMPRODUCT(($AZ42&gt;INDEX('How This Works &amp; Sources'!$B$114:$J$120,0,1))*($AZ42-INDEX('How This Works &amp; Sources'!$B$114:$J$120,0,1))*INDEX('How This Works &amp; Sources'!$B$114:$J$120,0,1+2)),SUMPRODUCT(($AZ42&gt;INDEX('How This Works &amp; Sources'!$B$103:$J$109,0,7))*($AZ42-INDEX('How This Works &amp; Sources'!$B$103:$J$109,0,7))*INDEX('How This Works &amp; Sources'!$B$103:$J$109,0,7+2))),IF($AN42="MT",IF($AU42="Head of household",SUMPRODUCT(($AZ42&gt;INDEX('How This Works &amp; Sources'!$B$137:$J$139,0,1))*($AZ42-INDEX('How This Works &amp; Sources'!$B$137:$J$139,0,1))*INDEX('How This Works &amp; Sources'!$B$137:$J$139,0,1+2)),IF($AU42="Married",SUMPRODUCT(($AZ42&gt;INDEX('How This Works &amp; Sources'!$B$125:$J$132,0,7))*($AZ42-INDEX('How This Works &amp; Sources'!$B$125:$J$132,0,7))*INDEX('How This Works &amp; Sources'!$B$125:$J$132,0,7+2)),SUMPRODUCT(($AZ42&gt;INDEX('How This Works &amp; Sources'!$B$125:$J$132,0,4))*($AZ42-INDEX('How This Works &amp; Sources'!$B$125:$J$132,0,4))*INDEX('How This Works &amp; Sources'!$B$125:$J$132,0,4+2)))),IF($AN42="ND",IF($AU42="Head of household",SUMPRODUCT(($AZ42&gt;INDEX('How This Works &amp; Sources'!$B$144:$J$150,0,1))*($AZ42-INDEX('How This Works &amp; Sources'!$B$144:$J$150,0,1))*INDEX('How This Works &amp; Sources'!$B$144:$J$150,0,1+2)),IF($AU42="Married",SUMPRODUCT(($AZ42&gt;INDEX('How This Works &amp; Sources'!$B$137:$J$139,0,7))*($AZ42-INDEX('How This Works &amp; Sources'!$B$137:$J$139,0,7))*INDEX('How This Works &amp; Sources'!$B$137:$J$139,0,7+2)),SUMPRODUCT(($AZ42&gt;INDEX('How This Works &amp; Sources'!$B$137:$J$139,0,4))*($AZ42-INDEX('How This Works &amp; Sources'!$B$137:$J$139,0,4))*INDEX('How This Works &amp; Sources'!$B$137:$J$139,0,4+2)))),IF($AN42="NJ",IF('Second Earner'!$C$77="B",SUMPRODUCT(($AZ42&gt;INDEX('How This Works &amp; Sources'!$B$155:$J$162,0,4))*($AZ42-INDEX('How This Works &amp; Sources'!$B$155:$J$162,0,4))*INDEX('How This Works &amp; Sources'!$B$155:$J$162,0,4+2)),IF('Second Earner'!$C$77="C",SUMPRODUCT(($AZ42&gt;INDEX('How This Works &amp; Sources'!$B$155:$J$162,0,7))*($AZ42-INDEX('How This Works &amp; Sources'!$B$155:$J$162,0,7))*INDEX('How This Works &amp; Sources'!$B$155:$J$162,0,7+2)),IF('Second Earner'!$C$77="D",SUMPRODUCT(($AZ42&gt;INDEX('How This Works &amp; Sources'!$B$167:$J$179,0,1))*($AZ42-INDEX('How This Works &amp; Sources'!$B$167:$J$179,0,1))*INDEX('How This Works &amp; Sources'!$B$167:$J$179,0,1+2)),IF('Second Earner'!$C$77="E",SUMPRODUCT(($AZ42&gt;INDEX('How This Works &amp; Sources'!$B$167:$J$179,0,4))*($AZ42-INDEX('How This Works &amp; Sources'!$B$167:$J$179,0,4))*INDEX('How This Works &amp; Sources'!$B$167:$J$179,0,4+2)),SUMPRODUCT(($AZ42&gt;INDEX('How This Works &amp; Sources'!$B$155:$J$162,0,1))*($AZ42-INDEX('How This Works &amp; Sources'!$B$155:$J$162,0,1))*INDEX('How This Works &amp; Sources'!$B$155:$J$162,0,1+2)))))),IF($AN42="NY",IF($AU42="Married",IF($AZ42&gt;=2155350,$AZ42*IF($AZ42&gt;25000000,0.117,IF($AZ42&gt;5000000,0.111,0.1045)),SUMPRODUCT(($AZ42&gt;INDEX('How This Works &amp; Sources'!$B$184:$J$198,0,1))*($AZ42-INDEX('How This Works &amp; Sources'!$B$184:$J$198,0,1))*INDEX('How This Works &amp; Sources'!$B$184:$J$198,0,1+2))),IF($AZ42&gt;=1077550,$AZ42*IF($AZ42&gt;25000000,0.117,IF($AZ42&gt;5000000,0.111,0.1045)),SUMPRODUCT(($AZ42&gt;INDEX('How This Works &amp; Sources'!$B$167:$J$179,0,7))*($AZ42-INDEX('How This Works &amp; Sources'!$B$167:$J$179,0,7))*INDEX('How This Works &amp; Sources'!$B$167:$J$179,0,7+2)))),"")))))))</f>
      </c>
      <c r="BX42" s="7">
        <f>IF($B42="","",IF($AN42="AL",IF(OR($AU42="Married",$AU42="Head of household"),SUMPRODUCT(($AZ42&gt;INDEX('How This Works &amp; Sources'!$B$82:$J$86,0,4))*($AZ42-INDEX('How This Works &amp; Sources'!$B$82:$J$86,0,4))*INDEX('How This Works &amp; Sources'!$B$82:$J$86,0,4+2)),SUMPRODUCT(($AZ42&gt;INDEX('How This Works &amp; Sources'!$B$82:$J$86,0,1))*($AZ42-INDEX('How This Works &amp; Sources'!$B$82:$J$86,0,1))*INDEX('How This Works &amp; Sources'!$B$82:$J$86,0,1+2))),IF($AN42="KS",IF($AU42="Married",SUMPRODUCT(($AZ42&gt;INDEX('How This Works &amp; Sources'!$B$103:$J$109,0,4))*($AZ42-INDEX('How This Works &amp; Sources'!$B$103:$J$109,0,4))*INDEX('How This Works &amp; Sources'!$B$103:$J$109,0,4+2)),SUMPRODUCT(($AZ42&gt;INDEX('How This Works &amp; Sources'!$B$103:$J$109,0,1))*($AZ42-INDEX('How This Works &amp; Sources'!$B$103:$J$109,0,1))*INDEX('How This Works &amp; Sources'!$B$103:$J$109,0,1+2))),IF($AN42="MN",IF($AU42="Married",SUMPRODUCT(($AZ42&gt;INDEX('How This Works &amp; Sources'!$B$114:$J$120,0,7))*($AZ42-INDEX('How This Works &amp; Sources'!$B$114:$J$120,0,7))*INDEX('How This Works &amp; Sources'!$B$114:$J$120,0,7+2)),SUMPRODUCT(($AZ42&gt;INDEX('How This Works &amp; Sources'!$B$114:$J$120,0,4))*($AZ42-INDEX('How This Works &amp; Sources'!$B$114:$J$120,0,4))*INDEX('How This Works &amp; Sources'!$B$114:$J$120,0,4+2))),IF($AN42="MO",SUMPRODUCT(($AZ42&gt;INDEX('How This Works &amp; Sources'!$B$125:$J$132,0,1))*($AZ42-INDEX('How This Works &amp; Sources'!$B$125:$J$132,0,1))*INDEX('How This Works &amp; Sources'!$B$125:$J$132,0,1+2)),IF($AN42="NE",MAX(IF($AU42="Married",SUMPRODUCT(($AZ42&gt;INDEX('How This Works &amp; Sources'!$B$144:$J$150,0,7))*($AZ42-INDEX('How This Works &amp; Sources'!$B$144:$J$150,0,7))*INDEX('How This Works &amp; Sources'!$B$144:$J$150,0,7+2)),SUMPRODUCT(($AZ42&gt;INDEX('How This Works &amp; Sources'!$B$144:$J$150,0,4))*($AZ42-INDEX('How This Works &amp; Sources'!$B$144:$J$150,0,4))*INDEX('How This Works &amp; Sources'!$B$144:$J$150,0,4+2))),0.015*$AZ42),IF($AN42="OH",IF($B42&gt;=DATE(2026,8,1),SUMPRODUCT(($AZ42&gt;INDEX('How This Works &amp; Sources'!$B$203:$J$206,0,1))*($AZ42-INDEX('How This Works &amp; Sources'!$B$203:$J$206,0,1))*INDEX('How This Works &amp; Sources'!$B$203:$J$206,0,1+2)),SUMPRODUCT(($AZ42&gt;INDEX('How This Works &amp; Sources'!$B$184:$J$198,0,7))*($AZ42-INDEX('How This Works &amp; Sources'!$B$184:$J$198,0,7))*INDEX('How This Works &amp; Sources'!$B$184:$J$198,0,7+2))),IF($AN42="OK",IF($AU42="Married",SUMPRODUCT(($AZ42&gt;INDEX('How This Works &amp; Sources'!$B$203:$J$206,0,7))*($AZ42-INDEX('How This Works &amp; Sources'!$B$203:$J$206,0,7))*INDEX('How This Works &amp; Sources'!$B$203:$J$206,0,7+2)),SUMPRODUCT(($AZ42&gt;INDEX('How This Works &amp; Sources'!$B$203:$J$206,0,4))*($AZ42-INDEX('How This Works &amp; Sources'!$B$203:$J$206,0,4))*INDEX('How This Works &amp; Sources'!$B$203:$J$206,0,4+2))),IF($AN42="VT",IF($AU42="Married",SUMPRODUCT(($AZ42&gt;INDEX('How This Works &amp; Sources'!$B$228:$J$232,0,1))*($AZ42-INDEX('How This Works &amp; Sources'!$B$228:$J$232,0,1))*INDEX('How This Works &amp; Sources'!$B$228:$J$232,0,1+2)),SUMPRODUCT(($AZ42&gt;INDEX('How This Works &amp; Sources'!$B$219:$J$223,0,7))*($AZ42-INDEX('How This Works &amp; Sources'!$B$219:$J$223,0,7))*INDEX('How This Works &amp; Sources'!$B$219:$J$223,0,7+2))),IF($AN42="WV",IF($AU42="Married",SUMPRODUCT(($AZ42&gt;INDEX('How This Works &amp; Sources'!$B$237:$J$241,0,7))*($AZ42-INDEX('How This Works &amp; Sources'!$B$237:$J$241,0,7))*INDEX('How This Works &amp; Sources'!$B$237:$J$241,0,7+2)),SUMPRODUCT(($AZ42&gt;INDEX('How This Works &amp; Sources'!$B$228:$J$232,0,7))*($AZ42-INDEX('How This Works &amp; Sources'!$B$228:$J$232,0,7))*INDEX('How This Works &amp; Sources'!$B$228:$J$232,0,7+2))),""))))))))))</f>
      </c>
      <c r="BY42" s="7">
        <f>IF($B42="","",IF($AN42="DE",SUMPRODUCT(($AZ42&gt;INDEX('How This Works &amp; Sources'!$B$91:$J$98,0,1))*($AZ42-INDEX('How This Works &amp; Sources'!$B$91:$J$98,0,1))*INDEX('How This Works &amp; Sources'!$B$91:$J$98,0,1+2)),IF($AN42="HI",IF($AU42="Married",SUMPRODUCT(($AZ42&gt;INDEX('How This Works &amp; Sources'!$B$91:$J$98,0,7))*($AZ42-INDEX('How This Works &amp; Sources'!$B$91:$J$98,0,7))*INDEX('How This Works &amp; Sources'!$B$91:$J$98,0,7+2)),SUMPRODUCT(($AZ42&gt;INDEX('How This Works &amp; Sources'!$B$91:$J$98,0,4))*($AZ42-INDEX('How This Works &amp; Sources'!$B$91:$J$98,0,4))*INDEX('How This Works &amp; Sources'!$B$91:$J$98,0,4+2))),IF($AN42="RI",SUMPRODUCT(($AZ42&gt;INDEX('How This Works &amp; Sources'!$B$211:$J$214,0,7))*($AZ42-INDEX('How This Works &amp; Sources'!$B$211:$J$214,0,7))*INDEX('How This Works &amp; Sources'!$B$211:$J$214,0,7+2)),IF($AN42="SC",SUMPRODUCT(($AZ42&gt;INDEX('How This Works &amp; Sources'!$B$219:$J$223,0,1))*($AZ42-INDEX('How This Works &amp; Sources'!$B$219:$J$223,0,1))*INDEX('How This Works &amp; Sources'!$B$219:$J$223,0,1+2)),IF($AN42="VA",SUMPRODUCT(($AZ42&gt;INDEX('How This Works &amp; Sources'!$B$219:$J$223,0,4))*($AZ42-INDEX('How This Works &amp; Sources'!$B$219:$J$223,0,4))*INDEX('How This Works &amp; Sources'!$B$219:$J$223,0,4+2)),IF($AN42="WI",SUMPRODUCT(($AZ42&gt;INDEX('How This Works &amp; Sources'!$B$228:$J$232,0,4))*($AZ42-INDEX('How This Works &amp; Sources'!$B$228:$J$232,0,4))*INDEX('How This Works &amp; Sources'!$B$228:$J$232,0,4+2)),"")))))))</f>
      </c>
      <c r="BZ42" s="24">
        <f>IF($B42="","",IF($AN42="KS",IF($AU42="Married",SUMPRODUCT(($AZ42&gt;=INDEX('How This Works &amp; Sources'!$B$103:$J$109,0,4))*INDEX('How This Works &amp; Sources'!$B$103:$J$109,0,4+2)),SUMPRODUCT(($AZ42&gt;=INDEX('How This Works &amp; Sources'!$B$103:$J$109,0,1))*INDEX('How This Works &amp; Sources'!$B$103:$J$109,0,1+2))),IF($AN42="MT",IF($AU42="Head of household",SUMPRODUCT(($AZ42&gt;=INDEX('How This Works &amp; Sources'!$B$137:$J$139,0,1))*INDEX('How This Works &amp; Sources'!$B$137:$J$139,0,1+2)),IF($AU42="Married",SUMPRODUCT(($AZ42&gt;=INDEX('How This Works &amp; Sources'!$B$125:$J$132,0,7))*INDEX('How This Works &amp; Sources'!$B$125:$J$132,0,7+2)),SUMPRODUCT(($AZ42&gt;=INDEX('How This Works &amp; Sources'!$B$125:$J$132,0,4))*INDEX('How This Works &amp; Sources'!$B$125:$J$132,0,4+2)))),IF($AN42="OR",IF(OR($AU42="Married",AND($AU42="Single",$AS42&gt;=3)),SUMPRODUCT((MAX(0,$AY42-MIN(($P42-'How This Works &amp; Sources'!$C$10*$D42)*'Second Earner'!$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Sources'!$B$211:$J$214,0,4))*INDEX('How This Works &amp; Sources'!$B$211:$J$214,0,4+2)),SUMPRODUCT((MAX(0,$AY42-MIN(($P42-'How This Works &amp; Sources'!$C$10*$D42)*'Second Earner'!$C$8,IF(OR($AU42="Married",AND($AU42="Single",$AS42&gt;=3)),IF($AY42&lt;250000,8750,IF($AY42&lt;260000,7000,IF($AY42&lt;270000,5250,IF($AY42&lt;280000,3500,IF($AY42&lt;290000,1750,0))))),IF($AY42&lt;125000,8750,IF($AY42&lt;130000,7000,IF($AY42&lt;135000,5250,IF($AY42&lt;140000,3500,IF($AY42&lt;145000,1750,0)))))))-IF(OR($AU42="Married",AND($AU42="Single",$AS42&gt;=3)),5820,2910))&gt;=INDEX('How This Works &amp; Sources'!$B$211:$J$214,0,1))*INDEX('How This Works &amp; Sources'!$B$211:$J$214,0,1+2)))*IF(($P42-'How This Works &amp; Sources'!$C$10*$D42)*'Second Earner'!$C$8&gt;=IF(OR($AU42="Married",AND($AU42="Single",$AS42&gt;=3)),IF($AY42&lt;250000,8750,IF($AY42&lt;260000,7000,IF($AY42&lt;270000,5250,IF($AY42&lt;280000,3500,IF($AY42&lt;290000,1750,0))))),IF($AY42&lt;125000,8750,IF($AY42&lt;130000,7000,IF($AY42&lt;135000,5250,IF($AY42&lt;140000,3500,IF($AY42&lt;145000,1750,0)))))),1,1-IF('Second Earner'!$C$13,SUMPRODUCT(($AH42&gt;=INDEX('How This Works &amp; Sources'!$B$29:$J$36,0,IF('Second Earner'!$C$12="MFJ",1,IF('Second Earner'!$C$12="HoH",7,4))))*INDEX('How This Works &amp; Sources'!$B$29:$J$36,0,IF('Second Earner'!$C$12="MFJ",1,IF('Second Earner'!$C$12="HoH",7,4))+2)),SUMPRODUCT(($AH42&gt;=INDEX('How This Works &amp; Sources'!$B$19:$J$26,0,IF('Second Earner'!$C$12="MFJ",1,IF('Second Earner'!$C$12="HoH",7,4))))*INDEX('How This Works &amp; Sources'!$B$19:$J$26,0,IF('Second Earner'!$C$12="MFJ",1,IF('Second Earner'!$C$12="HoH",7,4))+2)))),""))))</f>
      </c>
      <c r="CA42" s="24">
        <f>IF($B42="","",IF($AN42="CA",SUMPRODUCT(($AJ42&gt;=INDEX('How This Works &amp; Sources'!$B$39:$J$48,0,IF($AU42="Married",4,IF($AU42="Head of household",7,1))))*INDEX('How This Works &amp; Sources'!$B$39:$J$48,0,IF($AU42="Married",4,IF($AU42="Head of household",7,1))+2)),IF($AN42="AL",IF(OR($AU42="Married",$AU42="Head of household"),SUMPRODUCT(($AZ42&gt;=INDEX('How This Works &amp; Sources'!$B$82:$J$86,0,4))*INDEX('How This Works &amp; Sources'!$B$82:$J$86,0,4+2)),SUMPRODUCT(($AZ42&gt;=INDEX('How This Works &amp; Sources'!$B$82:$J$86,0,1))*INDEX('How This Works &amp; Sources'!$B$82:$J$86,0,1+2)))*(1-IF('Second Earner'!$C$13,SUMPRODUCT(($AH42&gt;=INDEX('How This Works &amp; Sources'!$B$29:$J$36,0,IF('Second Earner'!$C$12="MFJ",1,IF('Second Earner'!$C$12="HoH",7,4))))*INDEX('How This Works &amp; Sources'!$B$29:$J$36,0,IF('Second Earner'!$C$12="MFJ",1,IF('Second Earner'!$C$12="HoH",7,4))+2)),SUMPRODUCT(($AH42&gt;=INDEX('How This Works &amp; Sources'!$B$19:$J$26,0,IF('Second Earner'!$C$12="MFJ",1,IF('Second Earner'!$C$12="HoH",7,4))))*INDEX('How This Works &amp; Sources'!$B$19:$J$26,0,IF('Second Earner'!$C$12="MFJ",1,IF('Second Earner'!$C$12="HoH",7,4))+2)))),IF($AN42="ND",IF($AU42="Head of household",SUMPRODUCT(($AZ42&gt;=INDEX('How This Works &amp; Sources'!$B$144:$J$150,0,1))*INDEX('How This Works &amp; Sources'!$B$144:$J$150,0,1+2)),IF($AU42="Married",SUMPRODUCT(($AZ42&gt;=INDEX('How This Works &amp; Sources'!$B$137:$J$139,0,7))*INDEX('How This Works &amp; Sources'!$B$137:$J$139,0,7+2)),SUMPRODUCT(($AZ42&gt;=INDEX('How This Works &amp; Sources'!$B$137:$J$139,0,4))*INDEX('How This Works &amp; Sources'!$B$137:$J$139,0,4+2)))),IF($AN42="NJ",IF('Second Earner'!$C$77="B",SUMPRODUCT(($AZ42&gt;=INDEX('How This Works &amp; Sources'!$B$155:$J$162,0,4))*INDEX('How This Works &amp; Sources'!$B$155:$J$162,0,4+2)),IF('Second Earner'!$C$77="C",SUMPRODUCT(($AZ42&gt;=INDEX('How This Works &amp; Sources'!$B$155:$J$162,0,7))*INDEX('How This Works &amp; Sources'!$B$155:$J$162,0,7+2)),IF('Second Earner'!$C$77="D",SUMPRODUCT(($AZ42&gt;=INDEX('How This Works &amp; Sources'!$B$167:$J$179,0,1))*INDEX('How This Works &amp; Sources'!$B$167:$J$179,0,1+2)),IF('Second Earner'!$C$77="E",SUMPRODUCT(($AZ42&gt;=INDEX('How This Works &amp; Sources'!$B$167:$J$179,0,4))*INDEX('How This Works &amp; Sources'!$B$167:$J$179,0,4+2)),SUMPRODUCT(($AZ42&gt;=INDEX('How This Works &amp; Sources'!$B$155:$J$162,0,1))*INDEX('How This Works &amp; Sources'!$B$155:$J$162,0,1+2)))))),IF($AN42="NY",IF($AU42="Married",IF($AZ42&gt;=2155350,IF($AZ42&gt;25000000,0.117,IF($AZ42&gt;5000000,0.111,0.1045)),SUMPRODUCT(($AZ42&gt;=INDEX('How This Works &amp; Sources'!$B$184:$J$198,0,1))*INDEX('How This Works &amp; Sources'!$B$184:$J$198,0,1+2))),IF($AZ42&gt;=1077550,IF($AZ42&gt;25000000,0.117,IF($AZ42&gt;5000000,0.111,0.1045)),SUMPRODUCT(($AZ42&gt;=INDEX('How This Works &amp; Sources'!$B$167:$J$179,0,7))*INDEX('How This Works &amp; Sources'!$B$167:$J$179,0,7+2)))),IF($AN42="LA",0.0309,"")))))))</f>
      </c>
      <c r="CB42" s="24">
        <f>IF($B42="","",IF($AN42="HI",IF($AU42="Married",SUMPRODUCT(($AZ42&gt;=INDEX('How This Works &amp; Sources'!$B$91:$J$98,0,7))*INDEX('How This Works &amp; Sources'!$B$91:$J$98,0,7+2)),SUMPRODUCT(($AZ42&gt;=INDEX('How This Works &amp; Sources'!$B$91:$J$98,0,4))*INDEX('How This Works &amp; Sources'!$B$91:$J$98,0,4+2))),IF($AN42="MD",IF(OR($AU42="Married",$AU42="Head of household"),SUMPRODUCT(($AZ42&gt;=INDEX('How This Works &amp; Sources'!$B$114:$J$120,0,1))*INDEX('How This Works &amp; Sources'!$B$114:$J$120,0,1+2)),SUMPRODUCT(($AZ42&gt;=INDEX('How This Works &amp; Sources'!$B$103:$J$109,0,7))*INDEX('How This Works &amp; Sources'!$B$103:$J$109,0,7+2)))+'Second Earner'!$C$74,IF($AN42="MN",IF($AU42="Married",SUMPRODUCT(($AZ42&gt;=INDEX('How This Works &amp; Sources'!$B$114:$J$120,0,7))*INDEX('How This Works &amp; Sources'!$B$114:$J$120,0,7+2)),SUMPRODUCT(($AZ42&gt;=INDEX('How This Works &amp; Sources'!$B$114:$J$120,0,4))*INDEX('How This Works &amp; Sources'!$B$114:$J$120,0,4+2))),IF($AN42="MO",SUMPRODUCT(($AZ42&gt;=INDEX('How This Works &amp; Sources'!$B$125:$J$132,0,1))*INDEX('How This Works &amp; Sources'!$B$125:$J$132,0,1+2)),IF($AN42="NE",MAX(IF($AU42="Married",SUMPRODUCT(($AZ42&gt;=INDEX('How This Works &amp; Sources'!$B$144:$J$150,0,7))*INDEX('How This Works &amp; Sources'!$B$144:$J$150,0,7+2)),SUMPRODUCT(($AZ42&gt;=INDEX('How This Works &amp; Sources'!$B$144:$J$150,0,4))*INDEX('How This Works &amp; Sources'!$B$144:$J$150,0,4+2))),0.015),IF($AN42="OH",IF($B42&gt;=DATE(2026,8,1),SUMPRODUCT(($AZ42&gt;=INDEX('How This Works &amp; Sources'!$B$203:$J$206,0,1))*INDEX('How This Works &amp; Sources'!$B$203:$J$206,0,1+2)),SUMPRODUCT(($AZ42&gt;=INDEX('How This Works &amp; Sources'!$B$184:$J$198,0,7))*INDEX('How This Works &amp; Sources'!$B$184:$J$198,0,7+2))),IF($AN42="OK",IF($AU42="Married",SUMPRODUCT(($AZ42&gt;=INDEX('How This Works &amp; Sources'!$B$203:$J$206,0,7))*INDEX('How This Works &amp; Sources'!$B$203:$J$206,0,7+2)),SUMPRODUCT(($AZ42&gt;=INDEX('How This Works &amp; Sources'!$B$203:$J$206,0,4))*INDEX('How This Works &amp; Sources'!$B$203:$J$206,0,4+2))),IF($AN42="RI",SUMPRODUCT(($AZ42&gt;=INDEX('How This Works &amp; Sources'!$B$211:$J$214,0,7))*INDEX('How This Works &amp; Sources'!$B$211:$J$214,0,7+2)),IF($AN42="VT",IF($AU42="Married",SUMPRODUCT(($AZ42&gt;=INDEX('How This Works &amp; Sources'!$B$228:$J$232,0,1))*INDEX('How This Works &amp; Sources'!$B$228:$J$232,0,1+2)),SUMPRODUCT(($AZ42&gt;=INDEX('How This Works &amp; Sources'!$B$219:$J$223,0,7))*INDEX('How This Works &amp; Sources'!$B$219:$J$223,0,7+2))),IF($AN42="WV",IF($AU42="Married",SUMPRODUCT(($AZ42&gt;=INDEX('How This Works &amp; Sources'!$B$237:$J$241,0,7))*INDEX('How This Works &amp; Sources'!$B$237:$J$241,0,7+2)),SUMPRODUCT(($AZ42&gt;=INDEX('How This Works &amp; Sources'!$B$228:$J$232,0,7))*INDEX('How This Works &amp; Sources'!$B$228:$J$232,0,7+2))),IF($AN42="AZ",'Second Earner'!$C$82,IF($AN42="ID",IF($AY42&gt;IF($AU42="Married",32000,16094),0.053,0),"")))))))))))))</f>
      </c>
      <c r="CC42" s="24">
        <f>IF($B42="","",IF($AN42="AR",SUMPRODUCT(($AZ42&gt;=INDEX('How This Works &amp; Sources'!$B$82:$J$86,0,7))*INDEX('How This Works &amp; Sources'!$B$82:$J$86,0,7+2)),IF($AN42="DE",SUMPRODUCT(($AZ42&gt;=INDEX('How This Works &amp; Sources'!$B$91:$J$98,0,1))*INDEX('How This Works &amp; Sources'!$B$91:$J$98,0,1+2)),IF($AN42="SC",SUMPRODUCT(($AZ42&gt;=INDEX('How This Works &amp; Sources'!$B$219:$J$223,0,1))*INDEX('How This Works &amp; Sources'!$B$219:$J$223,0,1+2)),IF($AN42="VA",SUMPRODUCT(($AZ42&gt;=INDEX('How This Works &amp; Sources'!$B$219:$J$223,0,4))*INDEX('How This Works &amp; Sources'!$B$219:$J$223,0,4+2)),IF($AN42="WI",SUMPRODUCT(($AZ42&gt;=INDEX('How This Works &amp; Sources'!$B$228:$J$232,0,4))*INDEX('How This Works &amp; Sources'!$B$228:$J$232,0,4+2)),IF($AN42="CO",IF($AY42&gt;IF($AU42="Married",10000,5000),0.044,0),IF($AN42="IA",IF($AY42&gt;IF($AU42="Head of household",19500,IF($AU42="Married",26000,13000)),0.038,0),IF($AN42="IL",IF($AY42&gt;(2925*$AS42+1000*$AT42),0.0495,0),IF($AN42="IN",(0.0295+'Second Earner'!$C$76),IF($AN42="KY",IF($AI42&gt;3360,0.035,0),IF($AN42="MA",IF(MAX(0,$AY42-MIN(($BD41+$Q42+$R42+$S42),2000)-IF($AS42=0,0,IF($AS42=1,4400,1000*$AS42+3400)))&gt;=1107750,0.09,0.05),IF($AN42="MI",IF($AY42&gt;5900*$AS42,0.0425,0),IF($AN42="MS",IF($AI42-IF($AU42="Head of household",3400,IF($AU42="Married",4600,2300))-'Second Earner'!$C$85&gt;10000,0.04,0),IF($AN42="PA",0.0307,"")))))))))))))))</f>
      </c>
      <c r="CD42" s="21">
        <f>IF(YEAR(IF('Second Earner'!$C$7="Weekly",'Second Earner'!$C$9+7*(($BE41+1)-1),IF('Second Earner'!$C$7="Biweekly",'Second Earner'!$C$9+14*(($BE41+1)-1),IF('Second Earner'!$C$7="Semimonthly",DATE(YEAR('Second Earner'!$C$9),MONTH('Second Earner'!$C$9)+INT((($BE41+1)-1)/2),MIN(DAY('Second Earner'!$C$9),DAY(EOMONTH(DATE(YEAR('Second Earner'!$C$9),MONTH('Second Earner'!$C$9)+INT((($BE41+1)-1)/2),1),0))))+IF(MOD(($BE41+1)-1,2)=1,15,0),EDATE('Second Earner'!$C$9,($BE41+1)-1)))))&lt;&gt;'Second Earner'!$C$10,"",IF('Second Earner'!$C$7="Weekly",'Second Earner'!$C$9+7*(($BE41+1)-1),IF('Second Earner'!$C$7="Biweekly",'Second Earner'!$C$9+14*(($BE41+1)-1),IF('Second Earner'!$C$7="Semimonthly",DATE(YEAR('Second Earner'!$C$9),MONTH('Second Earner'!$C$9)+INT((($BE41+1)-1)/2),MIN(DAY('Second Earner'!$C$9),DAY(EOMONTH(DATE(YEAR('Second Earner'!$C$9),MONTH('Second Earner'!$C$9)+INT((($BE41+1)-1)/2),1),0))))+IF(MOD(($BE41+1)-1,2)=1,15,0),EDATE('Second Earner'!$C$9,($BE41+1)-1)))))</f>
      </c>
      <c r="CE42" s="21">
        <f>IF(MIN(IF(AND('Second Earner'!$C$58&gt;MAX($B$6:$B41),'Second Earner'!$C$58&gt;=DATE('Second Earner'!$C$10,1,1),'Second Earner'!$C$58&lt;=DATE('Second Earner'!$C$10,12,31)),'Second Earner'!$C$58,999999),IF(AND('Second Earner'!$C$59&gt;MAX($B$6:$B41),'Second Earner'!$C$59&gt;=DATE('Second Earner'!$C$10,1,1),'Second Earner'!$C$59&lt;=DATE('Second Earner'!$C$10,12,31)),'Second Earner'!$C$59,999999),IF(AND('Second Earner'!$C$60&gt;MAX($B$6:$B41),'Second Earner'!$C$60&gt;=DATE('Second Earner'!$C$10,1,1),'Second Earner'!$C$60&lt;=DATE('Second Earner'!$C$10,12,31)),'Second Earner'!$C$60,999999),IF(AND('Second Earner'!$C$61&gt;MAX($B$6:$B41),'Second Earner'!$C$61&gt;=DATE('Second Earner'!$C$10,1,1),'Second Earner'!$C$61&lt;=DATE('Second Earner'!$C$10,12,31)),'Second Earner'!$C$61,999999),IF(AND('Second Earner'!$C$62&gt;MAX($B$6:$B41),'Second Earner'!$C$62&gt;=DATE('Second Earner'!$C$10,1,1),'Second Earner'!$C$62&lt;=DATE('Second Earner'!$C$10,12,31)),'Second Earner'!$C$62,999999),IF(AND('Second Earner'!$C$63&gt;MAX($B$6:$B41),'Second Earner'!$C$63&gt;=DATE('Second Earner'!$C$10,1,1),'Second Earner'!$C$63&lt;=DATE('Second Earner'!$C$10,12,31)),'Second Earner'!$C$63,999999),IF(AND('Second Earner'!$C$64&gt;MAX($B$6:$B41),'Second Earner'!$C$64&gt;=DATE('Second Earner'!$C$10,1,1),'Second Earner'!$C$64&lt;=DATE('Second Earner'!$C$10,12,31)),'Second Earner'!$C$64,999999),IF(AND('Second Earner'!$C$65&gt;MAX($B$6:$B41),'Second Earner'!$C$65&gt;=DATE('Second Earner'!$C$10,1,1),'Second Earner'!$C$65&lt;=DATE('Second Earner'!$C$10,12,31)),'Second Earner'!$C$65,999999),IF(AND('Second Earner'!$C$66&gt;MAX($B$6:$B41),'Second Earner'!$C$66&gt;=DATE('Second Earner'!$C$10,1,1),'Second Earner'!$C$66&lt;=DATE('Second Earner'!$C$10,12,31)),'Second Earner'!$C$66,999999),IF(AND('Second Earner'!$C$67&gt;MAX($B$6:$B41),'Second Earner'!$C$67&gt;=DATE('Second Earner'!$C$10,1,1),'Second Earner'!$C$67&lt;=DATE('Second Earner'!$C$10,12,31)),'Second Earner'!$C$67,999999))=999999,"",MIN(IF(AND('Second Earner'!$C$58&gt;MAX($B$6:$B41),'Second Earner'!$C$58&gt;=DATE('Second Earner'!$C$10,1,1),'Second Earner'!$C$58&lt;=DATE('Second Earner'!$C$10,12,31)),'Second Earner'!$C$58,999999),IF(AND('Second Earner'!$C$59&gt;MAX($B$6:$B41),'Second Earner'!$C$59&gt;=DATE('Second Earner'!$C$10,1,1),'Second Earner'!$C$59&lt;=DATE('Second Earner'!$C$10,12,31)),'Second Earner'!$C$59,999999),IF(AND('Second Earner'!$C$60&gt;MAX($B$6:$B41),'Second Earner'!$C$60&gt;=DATE('Second Earner'!$C$10,1,1),'Second Earner'!$C$60&lt;=DATE('Second Earner'!$C$10,12,31)),'Second Earner'!$C$60,999999),IF(AND('Second Earner'!$C$61&gt;MAX($B$6:$B41),'Second Earner'!$C$61&gt;=DATE('Second Earner'!$C$10,1,1),'Second Earner'!$C$61&lt;=DATE('Second Earner'!$C$10,12,31)),'Second Earner'!$C$61,999999),IF(AND('Second Earner'!$C$62&gt;MAX($B$6:$B41),'Second Earner'!$C$62&gt;=DATE('Second Earner'!$C$10,1,1),'Second Earner'!$C$62&lt;=DATE('Second Earner'!$C$10,12,31)),'Second Earner'!$C$62,999999),IF(AND('Second Earner'!$C$63&gt;MAX($B$6:$B41),'Second Earner'!$C$63&gt;=DATE('Second Earner'!$C$10,1,1),'Second Earner'!$C$63&lt;=DATE('Second Earner'!$C$10,12,31)),'Second Earner'!$C$63,999999),IF(AND('Second Earner'!$C$64&gt;MAX($B$6:$B41),'Second Earner'!$C$64&gt;=DATE('Second Earner'!$C$10,1,1),'Second Earner'!$C$64&lt;=DATE('Second Earner'!$C$10,12,31)),'Second Earner'!$C$64,999999),IF(AND('Second Earner'!$C$65&gt;MAX($B$6:$B41),'Second Earner'!$C$65&gt;=DATE('Second Earner'!$C$10,1,1),'Second Earner'!$C$65&lt;=DATE('Second Earner'!$C$10,12,31)),'Second Earner'!$C$65,999999),IF(AND('Second Earner'!$C$66&gt;MAX($B$6:$B41),'Second Earner'!$C$66&gt;=DATE('Second Earner'!$C$10,1,1),'Second Earner'!$C$66&lt;=DATE('Second Earner'!$C$10,12,31)),'Second Earner'!$C$66,999999),IF(AND('Second Earner'!$C$67&gt;MAX($B$6:$B41),'Second Earner'!$C$67&gt;=DATE('Second Earner'!$C$10,1,1),'Second Earner'!$C$67&lt;=DATE('Second Earner'!$C$10,12,31)),'Second Earner'!$C$67,999999)))</f>
      </c>
      <c r="CF42">
        <f>IF($B42="","",IF($D42=0,$Y42,""))</f>
      </c>
    </row>
    <row r="43">
      <c r="A43" t="n">
        <v>38</v>
      </c>
      <c r="B43" s="21">
        <f>IF(AND($CD43="",$CE43=""),"",IF($CE43="",$CD43,IF($CD43="",$CE43,MIN($CD43,$CE43))))</f>
      </c>
      <c r="C43" s="7">
        <f>IF($B43="","",IF($BF43=0,0,IF('Second Earner'!$C$4="Annual salary",ROUND($AK43/IF(AND('Second Earner'!$C$88="Actual paydays",MONTH('Second Earner'!$C$9)=1),MAX(1,MAX($BE$6:$BE$68)),'Second Earner'!$C$8),2),$AK43)))</f>
      </c>
      <c r="D43" s="7">
        <f>IF($B43="","",SUMIF('Second Earner'!$C$58:$C$67,$B43,'Second Earner'!$D$58:$D$67))</f>
      </c>
      <c r="E43" s="7">
        <f>IF($B43="","",ROUND(MAX(0,MIN(IF($AL43="Percent",$AM43*($C43+$D43),$AM43),MAX(0,'Second Earner'!$C$34-$AC42))),2))</f>
      </c>
      <c r="F43" s="7">
        <f>IF($B43="","",ROUND(MAX(0,MIN(IF('Second Earner'!$C$32="Percent",'Second Earner'!$D$32*($C43+$D43),'Second Earner'!$D$32),MAX(0,'Second Earner'!$C$34-$AC42-$E43))),2))</f>
      </c>
      <c r="G43" s="7">
        <f>IF($B43="","",IF($BF43=0,0,ROUND(MAX(0,MIN($BL43,'Second Earner'!$C$37-'Second Earner'!$C$54-$BI42)),2)))</f>
      </c>
      <c r="H43" s="7">
        <f>IF($B43="","",IF(OR($BF43=0,$BQ43=1),0,ROUND(MAX(0,MIN(IF($BS43=1,ROUND(MAX(0,MIN($BJ43,'How This Works &amp; Sources'!$C$13)-$BG42)/MAX(1,MAX($BE$6:$BE$68)-($BE42)),2),ROUND(MIN($BJ43,'How This Works &amp; Sources'!$C$13)/'Second Earner'!$C$8,2)),MIN($BJ43,'How This Works &amp; Sources'!$C$13)-$BG42)),2)))</f>
      </c>
      <c r="I43" s="7">
        <f>IF($B43="","",IF(OR($BF43=0,$BR43=1),0,ROUND(MAX(0,MIN(IF($BT43=1,ROUND(MAX(0,MIN($BK43,IF('Second Earner'!$C$12="MFJ",'How This Works &amp; Sources'!$C$14,'How This Works &amp; Sources'!$C$15))-$BH42)/MAX(1,MAX($BE$6:$BE$68)-($BE42)),2),ROUND(MIN($BK43,IF('Second Earner'!$C$12="MFJ",'How This Works &amp; Sources'!$C$14,'How This Works &amp; Sources'!$C$15))/'Second Earner'!$C$8,2)),MIN($BK43,IF('Second Earner'!$C$12="MFJ",'How This Works &amp; Sources'!$C$14,'How This Works &amp; Sources'!$C$15))-$BH42)),2)))</f>
      </c>
      <c r="J43" s="7">
        <f>IF($B43="","",IF($BF43=0,0,$BM43))</f>
      </c>
      <c r="K43" s="7">
        <f>IF($B43="","",IF($BF43=0,0,$BN43+$BO43))</f>
      </c>
      <c r="L43" s="7">
        <f>IF($B43="","",IF($BF43=0,0,'Second Earner'!$D$46))</f>
      </c>
      <c r="M43" s="7">
        <f>IF($B43="","",$C43+$D43+$L43-$E43-$G43-$H43-$I43-$J43-$K43)</f>
      </c>
      <c r="N43" s="7">
        <f>IF($B43="","",$C43+$D43+$L43-$G43-$H43-$I43-$J43-$K43)</f>
      </c>
      <c r="O43" s="7">
        <f>IF($B43="","",$C43+$D43+$L43-$E43-$H43-$I43-$J43-$K43-IF(OR($AN43="CA",$AN43="NJ"),0,$G43))</f>
      </c>
      <c r="P43" s="7">
        <f>IF($B43="","",IF('Second Earner'!$C$18,0,ROUND(MAX(0,IF('Second Earner'!$C$13,SUMPRODUCT(($AH43&gt;INDEX('How This Works &amp; Sources'!$B$29:$J$36,0,IF('Second Earner'!$C$12="MFJ",1,IF('Second Earner'!$C$12="HoH",7,4))))*($AH43-INDEX('How This Works &amp; Sources'!$B$29:$J$36,0,IF('Second Earner'!$C$12="MFJ",1,IF('Second Earner'!$C$12="HoH",7,4))))*INDEX('How This Works &amp; Sources'!$B$29:$J$36,0,IF('Second Earner'!$C$12="MFJ",1,IF('Second Earner'!$C$12="HoH",7,4))+2)),SUMPRODUCT(($AH43&gt;INDEX('How This Works &amp; Sources'!$B$19:$J$26,0,IF('Second Earner'!$C$12="MFJ",1,IF('Second Earner'!$C$12="HoH",7,4))))*($AH43-INDEX('How This Works &amp; Sources'!$B$19:$J$26,0,IF('Second Earner'!$C$12="MFJ",1,IF('Second Earner'!$C$12="HoH",7,4))))*INDEX('How This Works &amp; Sources'!$B$19:$J$26,0,IF('Second Earner'!$C$12="MFJ",1,IF('Second Earner'!$C$12="HoH",7,4))+2)))/'Second Earner'!$C$8-$AO43/'Second Earner'!$C$8)+$AR43+IF('Second Earner'!$C$89="Aggregate",MAX(0,IF('Second Earner'!$C$13,SUMPRODUCT((($AH43+$D43)&gt;INDEX('How This Works &amp; Sources'!$B$29:$J$36,0,IF('Second Earner'!$C$12="MFJ",1,IF('Second Earner'!$C$12="HoH",7,4))))*(($AH43+$D43)-INDEX('How This Works &amp; Sources'!$B$29:$J$36,0,IF('Second Earner'!$C$12="MFJ",1,IF('Second Earner'!$C$12="HoH",7,4))))*INDEX('How This Works &amp; Sources'!$B$29:$J$36,0,IF('Second Earner'!$C$12="MFJ",1,IF('Second Earner'!$C$12="HoH",7,4))+2)),SUMPRODUCT((($AH43+$D43)&gt;INDEX('How This Works &amp; Sources'!$B$19:$J$26,0,IF('Second Earner'!$C$12="MFJ",1,IF('Second Earner'!$C$12="HoH",7,4))))*(($AH43+$D43)-INDEX('How This Works &amp; Sources'!$B$19:$J$26,0,IF('Second Earner'!$C$12="MFJ",1,IF('Second Earner'!$C$12="HoH",7,4))))*INDEX('How This Works &amp; Sources'!$B$19:$J$26,0,IF('Second Earner'!$C$12="MFJ",1,IF('Second Earner'!$C$12="HoH",7,4))+2)))-IF('Second Earner'!$C$13,SUMPRODUCT(($AH43&gt;INDEX('How This Works &amp; Sources'!$B$29:$J$36,0,IF('Second Earner'!$C$12="MFJ",1,IF('Second Earner'!$C$12="HoH",7,4))))*($AH43-INDEX('How This Works &amp; Sources'!$B$29:$J$36,0,IF('Second Earner'!$C$12="MFJ",1,IF('Second Earner'!$C$12="HoH",7,4))))*INDEX('How This Works &amp; Sources'!$B$29:$J$36,0,IF('Second Earner'!$C$12="MFJ",1,IF('Second Earner'!$C$12="HoH",7,4))+2)),SUMPRODUCT(($AH43&gt;INDEX('How This Works &amp; Sources'!$B$19:$J$26,0,IF('Second Earner'!$C$12="MFJ",1,IF('Second Earner'!$C$12="HoH",7,4))))*($AH43-INDEX('How This Works &amp; Sources'!$B$19:$J$26,0,IF('Second Earner'!$C$12="MFJ",1,IF('Second Earner'!$C$12="HoH",7,4))))*INDEX('How This Works &amp; Sources'!$B$19:$J$26,0,IF('Second Earner'!$C$12="MFJ",1,IF('Second Earner'!$C$12="HoH",7,4))+2)))),'How This Works &amp; Sources'!$C$10*$D43),2)))</f>
      </c>
      <c r="Q43" s="7">
        <f>IF($B43="","",ROUND('How This Works &amp; Sources'!$C$4*MIN($N43,MAX(0,'How This Works &amp; Sources'!$C$3-($AX43+$AB42-$AW43))),2))</f>
      </c>
      <c r="R43" s="7">
        <f>IF($B43="","",ROUND('How This Works &amp; Sources'!$C$5*$N43,2))</f>
      </c>
      <c r="S43" s="7">
        <f>IF($B43="","",ROUND('How This Works &amp; Sources'!$C$6*MAX(0,MIN($N43,$AG42+$N43-'How This Works &amp; Sources'!$C$7)),2))</f>
      </c>
      <c r="T43" s="7">
        <f>IF($B43="","",IF('Second Earner'!$C$26,0,IF($AN43="CA",ROUND(IF($AI43&lt;=IF(($AS43+$AT43)&gt;=2,VLOOKUP($AN43,StateTables!$A$6:$AB$56,10,FALSE),VLOOKUP($AN43,StateTables!$A$6:$AB$56,9,FALSE)),0,MAX(0,SUMPRODUCT(($AJ43&gt;INDEX('How This Works &amp; Sources'!$B$39:$J$48,0,IF($AU43="Married",4,IF($AU43="Head of household",7,1))))*($AJ43-INDEX('How This Works &amp; Sources'!$B$39:$J$48,0,IF($AU43="Married",4,IF($AU43="Head of household",7,1))))*INDEX('How This Works &amp; Sources'!$B$39:$J$48,0,IF($AU43="Married",4,IF($AU43="Head of household",7,1))+2))-VLOOKUP($AN43,StateTables!$A$6:$AB$56,11,FALSE)*$AS43)/'Second Earner'!$C$8)+'Second Earner'!$C$25+VLOOKUP($AN43,StateTables!$A$6:$AB$56,13,FALSE)*$D43,2),IF(VLOOKUP($AN43,StateTables!$A$6:$AB$56,4,FALSE)="None",0,IF(ISNUMBER(SEARCH("MANUAL",VLOOKUP($AN43,StateTables!$A$6:$AB$56,5,FALSE))),'Second Earner'!$C$28,ROUND(MAX(0,$BA43+$BB43)/'Second Earner'!$C$8+'Second Earner'!$C$25+$BC43,2))))))</f>
      </c>
      <c r="U43" s="7">
        <f>IF($B43="","",IF(VLOOKUP($AN43,StateTables!$A$6:$AB$56,24,FALSE)="flatq",IF(OR(MONTH($B43)=1,MONTH($B43)=4,MONTH($B43)=7,MONTH($B43)=10),VLOOKUP($AN43,StateTables!$A$6:$AB$56,25,FALSE),0),IF(VLOOKUP($AN43,StateTables!$A$6:$AB$56,24,FALSE)="dbl",MIN(ROUND(0.005*$N43,2),ROUND(0.6*52/'Second Earner'!$C$8,2)),IF(OR(VLOOKUP($AN43,StateTables!$A$6:$AB$56,15,FALSE)="",VLOOKUP($AN43,StateTables!$A$6:$AB$56,15,FALSE)=0),0,ROUND(VLOOKUP($AN43,StateTables!$A$6:$AB$56,15,FALSE)*IF(OR(VLOOKUP($AN43,StateTables!$A$6:$AB$56,16,FALSE)="",VLOOKUP($AN43,StateTables!$A$6:$AB$56,16,FALSE)=0),$N43,MIN($N43,MAX(0,VLOOKUP($AN43,StateTables!$A$6:$AB$56,16,FALSE)-($AX43+$AB42-$AW43)))),2))))+IF(VLOOKUP($AN43,StateTables!$A$6:$AB$56,27,FALSE)="flatq",IF(OR(MONTH($B43)=1,MONTH($B43)=4,MONTH($B43)=7,MONTH($B43)=10),VLOOKUP($AN43,StateTables!$A$6:$AB$56,28,FALSE),0),IF(VLOOKUP($AN43,StateTables!$A$6:$AB$56,27,FALSE)="dbl",MIN(ROUND(0.005*$N43,2),ROUND(0.6*52/'Second Earner'!$C$8,2)),IF(OR(VLOOKUP($AN43,StateTables!$A$6:$AB$56,18,FALSE)="",VLOOKUP($AN43,StateTables!$A$6:$AB$56,18,FALSE)=0),0,ROUND(VLOOKUP($AN43,StateTables!$A$6:$AB$56,18,FALSE)*IF(OR(VLOOKUP($AN43,StateTables!$A$6:$AB$56,19,FALSE)="",VLOOKUP($AN43,StateTables!$A$6:$AB$56,19,FALSE)=0),$N43,MIN($N43,MAX(0,VLOOKUP($AN43,StateTables!$A$6:$AB$56,19,FALSE)-($AX43+$AB42-$AW43)))),2)))))</f>
      </c>
      <c r="V43" s="7">
        <f>IF($B43="","",IF($AN43="NY",IF('Second Earner'!$C$78,ROUND(SUMPRODUCT((MAX(0,($O43-$D43)*'Second Earner'!$C$8-(IF($AU43="Married",5500,5000)+1000*$AS43))&gt;INDEX('How This Works &amp; Sources'!$B$184:$J$198,0,4))*(MAX(0,($O43-$D43)*'Second Earner'!$C$8-(IF($AU43="Married",5500,5000)+1000*$AS43))-INDEX('How This Works &amp; Sources'!$B$184:$J$198,0,4))*INDEX('How This Works &amp; Sources'!$B$184:$J$198,0,4+2))/'Second Earner'!$C$8+0.0425*$D43,2),0)+IF('Second Earner'!$C$79="Resident",ROUND(0.1675*$T43,2),IF('Second Earner'!$C$79="Nonresident",ROUND(0.005*MAX(0,($O43-$D43)-(IF($AU43="Married",7950,7400)+1000*$AS43)/'Second Earner'!$C$8),2),0)),IF($AN43="PA",IF('Second Earner'!$C$80="None",'Second Earner'!$C$27+ROUND('Second Earner'!$C$81*($C43+$D43),2),ROUND(IF('Second Earner'!$C$80="Resident",IF($B43&lt;DATE(2026,7,1),0.0374,0.03735),IF($B43&lt;DATE(2026,7,1),0.0343,0.03425))*($C43+$D43),2)),IF($BF43=0,ROUND('Second Earner'!$C$81*($C43+$D43),2),'Second Earner'!$C$27+ROUND('Second Earner'!$C$81*($C43+$D43),2)))))</f>
      </c>
      <c r="W43" s="7">
        <f>IF($B43="","",IF($BF43=0,0,$BP43))</f>
      </c>
      <c r="X43" s="7">
        <f>IF($B43="","",SUM($E43:$K43)+$P43+$Q43+$R43+$S43+$T43+$U43+$V43+$W43)</f>
      </c>
      <c r="Y43" s="22">
        <f>IF($B43="","",$C43+$D43-$X43)</f>
      </c>
      <c r="Z43" s="7">
        <f>IF($B43="","",$Z42+$C43+$D43)</f>
      </c>
      <c r="AA43" s="7">
        <f>IF($B43="","",$AA42+$Y43)</f>
      </c>
      <c r="AB43" s="7">
        <f>IF($B43="","",$AB42+MIN($N43,MAX(0,'How This Works &amp; Sources'!$C$3-($AX43+$AB42-$AW43))))</f>
      </c>
      <c r="AC43" s="7">
        <f>IF($B43="","",$AC42+$E43+$F43)</f>
      </c>
      <c r="AD43" s="3">
        <f>IF($B43="","",IF(AND($AB42&lt;'How This Works &amp; Sources'!$C$3,$AB43&gt;='How This Works &amp; Sources'!$C$3),"★ Social Security maxed on this check — from the next check your net rises by about $"&amp;TEXT(ROUND('How This Works &amp; Sources'!$C$4*$N43,2),"#,##0.00")&amp;". ","")&amp;IF(AND($AC42&lt;'Second Earner'!$C$34,$AC43&gt;='Second Earner'!$C$34),"★ 401(k) reaches the $"&amp;TEXT('Second Earner'!$C$34,"#,##0")&amp;" cap on this check — deferrals stop and net pay rises. ","")&amp;IF(AND($AG42&lt;'How This Works &amp; Sources'!$C$7,$AG43&gt;='How This Works &amp; Sources'!$C$7),"★ Wages pass $200,000 — the 0.9% Additional Medicare Tax starts here. ","")&amp;IF(AND($BJ43&gt;0,$H43&gt;0,$BG42&lt;MIN($BJ43,'How This Works &amp; Sources'!$C$13),$BG42+$H43&gt;=MIN($BJ43,'How This Works &amp; Sources'!$C$13)),"★ Health FSA election is now fully deferred for the year. ",""))</f>
      </c>
      <c r="AE43" s="41" t="n"/>
      <c r="AF43" s="7">
        <f>IF(OR($B43="",$AE43=""),"",$AE43-$Y43)</f>
      </c>
      <c r="AG43" s="7">
        <f>IF($B43="","",$AG42+$N43)</f>
      </c>
      <c r="AH43" s="7">
        <f>IF($B43="","",MAX(0,($M43-$D43)*'Second Earner'!$C$8+$AP43-$AQ43-IF('Second Earner'!$C$13,0,IF('Second Earner'!$C$12="MFJ",'How This Works &amp; Sources'!$C$8,'How This Works &amp; Sources'!$C$9))))</f>
      </c>
      <c r="AI43" s="7">
        <f>IF($B43="","",$O43*'Second Earner'!$C$8)</f>
      </c>
      <c r="AJ43" s="7">
        <f>IF($B43="","",MAX(0,$AI43-VLOOKUP($AN43,StateTables!$A$6:$AB$56,12,FALSE)*$AT43-IF(($AS43+$AT43)&gt;=2,VLOOKUP($AN43,StateTables!$A$6:$AB$56,8,FALSE),VLOOKUP($AN43,StateTables!$A$6:$AB$56,7,FALSE))))</f>
      </c>
      <c r="AK43" s="7">
        <f>IF($B43="","",IFERROR(LOOKUP(2,1/(('Changes — Earner 2'!$C$6:$C$17="Salary change")*('Changes — Earner 2'!$B$6:$B$17&lt;=$B43)*('Changes — Earner 2'!$B$6:$B$17&lt;&gt;"")),'Changes — Earner 2'!$D$6:$D$17),IF('Second Earner'!$C$4="Annual salary",'Second Earner'!$C$5,'Second Earner'!$C$6)))</f>
      </c>
      <c r="AL43">
        <f>IF($B43="","",IFERROR(LOOKUP(2,1/(('Changes — Earner 2'!$C$6:$C$17="401(k) change")*('Changes — Earner 2'!$B$6:$B$17&lt;=$B43)*('Changes — Earner 2'!$B$6:$B$17&lt;&gt;"")),'Changes — Earner 2'!$D$6:$D$17),'Second Earner'!$C$30))</f>
      </c>
      <c r="AM43" s="7">
        <f>IF($B43="","",IFERROR(LOOKUP(2,1/(('Changes — Earner 2'!$C$6:$C$17="401(k) change")*('Changes — Earner 2'!$B$6:$B$17&lt;=$B43)*('Changes — Earner 2'!$B$6:$B$17&lt;&gt;"")),'Changes — Earner 2'!$E$6:$E$17),'Second Earner'!$D$31))</f>
      </c>
      <c r="AN43">
        <f>IF($B43="","",IFERROR(LOOKUP(2,1/(('Changes — Earner 2'!$C$6:$C$17="State move")*('Changes — Earner 2'!$B$6:$B$17&lt;=$B43)*('Changes — Earner 2'!$B$6:$B$17&lt;&gt;"")),'Changes — Earner 2'!$D$6:$D$17),'Second Earner'!$C$21))</f>
      </c>
      <c r="AO43" s="7">
        <f>IF($B43="","",IFERROR(LOOKUP(2,1/(('Changes — Earner 2'!$C$6:$C$17="W-4 change")*('Changes — Earner 2'!$B$6:$B$17&lt;=$B43)*('Changes — Earner 2'!$B$6:$B$17&lt;&gt;"")),'Changes — Earner 2'!$D$6:$D$17),'Second Earner'!$C$14))</f>
      </c>
      <c r="AP43" s="7">
        <f>IF($B43="","",IFERROR(LOOKUP(2,1/(('Changes — Earner 2'!$C$6:$C$17="W-4 change")*('Changes — Earner 2'!$B$6:$B$17&lt;=$B43)*('Changes — Earner 2'!$B$6:$B$17&lt;&gt;"")),'Changes — Earner 2'!$E$6:$E$17),'Second Earner'!$C$15))</f>
      </c>
      <c r="AQ43" s="7">
        <f>IF($B43="","",IFERROR(LOOKUP(2,1/(('Changes — Earner 2'!$C$6:$C$17="W-4 change")*('Changes — Earner 2'!$B$6:$B$17&lt;=$B43)*('Changes — Earner 2'!$B$6:$B$17&lt;&gt;"")),'Changes — Earner 2'!$F$6:$F$17),'Second Earner'!$C$16))</f>
      </c>
      <c r="AR43" s="7">
        <f>IF($B43="","",IFERROR(LOOKUP(2,1/(('Changes — Earner 2'!$C$6:$C$17="W-4 change")*('Changes — Earner 2'!$B$6:$B$17&lt;=$B43)*('Changes — Earner 2'!$B$6:$B$17&lt;&gt;"")),'Changes — Earner 2'!$G$6:$G$17),'Second Earner'!$C$17))</f>
      </c>
      <c r="AS43" s="6">
        <f>IF($B43="","",IFERROR(LOOKUP(2,1/((('Changes — Earner 2'!$C$6:$C$17="State move")+('Changes — Earner 2'!$C$6:$C$17="State cert change"))*('Changes — Earner 2'!$B$6:$B$17&lt;=$B43)*('Changes — Earner 2'!$B$6:$B$17&lt;&gt;"")),'Changes — Earner 2'!$F$6:$F$17),'Second Earner'!$C$23))</f>
      </c>
      <c r="AT43" s="6">
        <f>IF($B43="","",IFERROR(LOOKUP(2,1/((('Changes — Earner 2'!$C$6:$C$17="State move")+('Changes — Earner 2'!$C$6:$C$17="State cert change"))*('Changes — Earner 2'!$B$6:$B$17&lt;=$B43)*('Changes — Earner 2'!$B$6:$B$17&lt;&gt;"")),'Changes — Earner 2'!$G$6:$G$17),'Second Earner'!$C$24))</f>
      </c>
      <c r="AU43">
        <f>IF($B43="","",IFERROR(LOOKUP(2,1/(('Changes — Earner 2'!$C$6:$C$17="State move")*('Changes — Earner 2'!$B$6:$B$17&lt;=$B43)*('Changes — Earner 2'!$B$6:$B$17&lt;&gt;"")),'Changes — Earner 2'!$E$6:$E$17),'Second Earner'!$C$22))</f>
      </c>
      <c r="AV43" s="6">
        <f>IF($B43="","",1+COUNTIFS('Changes — Earner 2'!$C$6:$C$17,"Employer change",'Changes — Earner 2'!$B$6:$B$17,"&lt;="&amp;$B43,'Changes — Earner 2'!$B$6:$B$17,"&lt;&gt;"))</f>
      </c>
      <c r="AW43" s="7">
        <f>IF($B43="","",IF($AV43=1,'Second Earner'!$C$49,IF(IFERROR(MATCH(IFERROR(LOOKUP(2,1/(('Changes — Earner 2'!$C$6:$C$17="Employer change")*('Changes — Earner 2'!$B$6:$B$17&lt;=$B43)*('Changes — Earner 2'!$B$6:$B$17&lt;&gt;"")),'Changes — Earner 2'!$B$6:$B$17),""),$B$6:$B$68,1),1)&lt;=1,'Second Earner'!$C$49,INDEX($AB$6:$AB$68,MATCH(IFERROR(LOOKUP(2,1/(('Changes — Earner 2'!$C$6:$C$17="Employer change")*('Changes — Earner 2'!$B$6:$B$17&lt;=$B43)*('Changes — Earner 2'!$B$6:$B$17&lt;&gt;"")),'Changes — Earner 2'!$B$6:$B$17),""),$B$6:$B$68,1)-1))))</f>
      </c>
      <c r="AX43" s="7">
        <f>IF($B43="","",IF($AV43=1,'Second Earner'!$C$49,IFERROR(LOOKUP(2,1/(('Changes — Earner 2'!$C$6:$C$17="Employer change")*('Changes — Earner 2'!$B$6:$B$17&lt;=$B43)*('Changes — Earner 2'!$B$6:$B$17&lt;&gt;"")),'Changes — Earner 2'!$D$6:$D$17),0)))</f>
      </c>
      <c r="AY43" s="7">
        <f>IF($B43="","",($O43-$D43)*'Second Earner'!$C$8)</f>
      </c>
      <c r="AZ43" s="7">
        <f>IF($B43="","",IF($AN43="AL",MAX(0,$AY43-IF($AU43="Married",IF($AY43&lt;=25999,8500,MAX(5000,8500-175*CEILING(($AY43-25999)/500,1))),IF($AU43="Head of household",IF($AY43&lt;=25999,5200,MAX(2500,5200-135*CEILING(($AY43-25999)/500,1))),IF($AY43&lt;=25999,3000,MAX(2500,3000-25*CEILING(($AY43-25999)/500,1)))))-($P43-'How This Works &amp; Sources'!$C$10*$D43)*'Second Earner'!$C$8-IF(OR($AU43="Married",$AU43="Head of household"),3000,1500)-$AT43*IF($AY43&lt;=50000,1000,IF($AY43&lt;=100000,500,300))),IF($AN43="AR",IF(MAX(0,$AY43-2470)&lt;97701,INT(MAX(0,$AY43-2470)/100)*100+50,MAX(0,$AY43-2470)),IF($AN43="DE",MAX(0,$AI43-3250),IF($AN43="HI",MAX(0,$AI43-1144*$AS43-4350),IF($AN43="KS",MAX(0,$AI43-(9160*IF($AU43="Married",2,1)+2320*$AT43+IF($AU43="Head of household",2320,0))),IF($AN43="MD",MAX(0,$AI43-3400-3200*$AS43),IF($AN43="MN",MAX(0,$AY43-5300*$AS43),IF($AN43="MO",MAX(0,$AI43-IF($AU43="Head of household",24150,IF($AU43="Married",IF('Second Earner'!$C$83,16100,32200),16100))),IF($AN43="MT",$AY43,IF($AN43="ND",($C43+$L43)*'Second Earner'!$C$8,IF($AN43="NE",MAX(0,$AY43-2440*$AS43),IF($AN43="NJ",MAX(0,$AY43-1000*$AS43),IF($AN43="NY",MAX(0,$AY43-(IF($AU43="Married",7950,7400)+1000*$AS43)),IF($AN43="OH",MAX(0,$AY43-650*$AS43),IF($AN43="OK",MAX(0,$AY43-1000*$AS43),IF($AN43="RI",MAX(0,$AI43-1000*$AS43),IF($AN43="SC",MAX(0,$AI43-5000*$AS43-IF($AS43=0,0,MIN(0.1*$AI43,7500))),IF($AN43="VA",MAX(0,$AI43-IF($AU43="Married",17500,8750)-930*$AS43-800*$AT43),IF($AN43="VT",MAX(0,$AI43-5400*$AS43),IF($AN43="WI",MAX(0,$AI43-MAX(0,IF($AU43="Married",9461-0.2*MAX(0,$AI43-25727),6702-0.12*MAX(0,$AI43-17780)))-400*$AS43),IF($AN43="WV",MAX(0,$AI43-2000*$AS43),$AI43))))))))))))))))))))))</f>
      </c>
      <c r="BA43" s="7">
        <f>IF($B43="","",IF($BW43&lt;&gt;"",$BW43,IF($BX43&lt;&gt;"",$BX43,IF($BY43&lt;&gt;"",$BY43,0))))</f>
      </c>
      <c r="BB43" s="7">
        <f>IF($B43="","",IF($AN43="AR",-29*$AS43,IF($AN43="DE",-110*$AS43,IF($AN43="MD",$AZ43*'Second Earner'!$C$74,IF($AN43="AZ",'Second Earner'!$C$82*($M43-$D43)*'Second Earner'!$C$8,IF($AN43="CO",0.044*MAX(0,$AY43-IF($AU43="Married",10000,5000)),IF($AN43="IA",MAX(0,0.038*MAX(0,$AY43-IF($AU43="Head of household",19500,IF($AU43="Married",26000,13000)))-40*$AS43),IF($AN43="ID",0.053*MAX(0,$AY43-IF($AU43="Married",32000,16094)),IF($AN43="IL",0.0495*MAX(0,$AY43-(2925*$AS43+1000*$AT43)),IF($AN43="IN",(0.0295+'Second Earner'!$C$76)*MAX(0,$AY43-(1000*$AS43+1500*$AT43+3000*'Second Earner'!$C$86)),IF($AN43="KY",0.035*MAX(0,$AI43-3360),IF($AN43="LA",IF('Second Earner'!$C$84="0",0.0309*$AI43,0.0309*MAX(0,$AI43-IF('Second Earner'!$C$84="2",25750,12875))),IF($AN43="MA",0.05*MIN(MAX(0,$AY43-MIN(($BD42+$Q43+$R43+$S43),2000)-IF($AS43=0,0,IF($AS43=1,4400,1000*$AS43+3400))),1107750)+0.09*MAX(0,MAX(0,$AY43-MIN(($BD42+$Q43+$R43+$S43),2000)-IF($AS43=0,0,IF($AS43=1,4400,1000*$AS43+3400)))-1107750)-IF($AU43="Head of household",120,0)-110*'Second Earner'!$C$75,IF($AN43="MI",0.0425*MAX(0,$AY43-5900*$AS43),IF($AN43="MS",0.04*MAX(0,$AI43-IF($AU43="Head of household",3400,IF($AU43="Married",4600,2300))-'Second Earner'!$C$85-10000),IF($AN43="OR",IF(OR($AU43="Married",AND($AU43="Single",$AS43&gt;=3)),SUMPRODUCT((MAX(0,$AY43-MIN(($P43-'How This Works &amp; Sources'!$C$10*$D43)*'Second Earner'!$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Sources'!$B$211:$J$214,0,4))*(MAX(0,$AY43-MIN(($P43-'How This Works &amp; Sources'!$C$10*$D43)*'Second Earner'!$C$8,IF(OR($AU43="Married",AND($AU43="Single",$AS43&gt;=3)),IF($AY43&lt;250000,8750,IF($AY43&lt;260000,7000,IF($AY43&lt;270000,5250,IF($AY43&lt;280000,3500,IF($AY43&lt;290000,1750,0))))),IF($AY43&lt;125000,8750,IF($AY43&lt;130000,7000,IF($AY43&lt;135000,5250,IF($AY43&lt;140000,3500,IF($AY43&lt;145000,1750,0)))))))-IF(OR($AU43="Married",AND($AU43="Single",$AS43&gt;=3)),5820,2910))-INDEX('How This Works &amp; Sources'!$B$211:$J$214,0,4))*INDEX('How This Works &amp; Sources'!$B$211:$J$214,0,4+2)),SUMPRODUCT((MAX(0,$AY43-MIN(($P43-'How This Works &amp; Sources'!$C$10*$D43)*'Second Earner'!$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Sources'!$B$211:$J$214,0,1))*(MAX(0,$AY43-MIN(($P43-'How This Works &amp; Sources'!$C$10*$D43)*'Second Earner'!$C$8,IF(OR($AU43="Married",AND($AU43="Single",$AS43&gt;=3)),IF($AY43&lt;250000,8750,IF($AY43&lt;260000,7000,IF($AY43&lt;270000,5250,IF($AY43&lt;280000,3500,IF($AY43&lt;290000,1750,0))))),IF($AY43&lt;125000,8750,IF($AY43&lt;130000,7000,IF($AY43&lt;135000,5250,IF($AY43&lt;140000,3500,IF($AY43&lt;145000,1750,0)))))))-IF(OR($AU43="Married",AND($AU43="Single",$AS43&gt;=3)),5820,2910))-INDEX('How This Works &amp; Sources'!$B$211:$J$214,0,1))*INDEX('How This Works &amp; Sources'!$B$211:$J$214,0,1+2)))+263-263*IF(IF($AU43="Married",$AY43&gt;200000,$AY43&gt;100000),0,$AS43),IF($AN43="PA",0.0307*(($O43+$E43+$G43)*'Second Earner'!$C$8),IF($AN43="NY",IF($AU43="Married",IF($AZ43&gt;=2155350,0,IF($AZ43&gt;=1077550,0.48,IF($AZ43&gt;=373200,1.21,IF($AZ43&gt;=323200,0.21,IF($AZ43&gt;=211550,-0.19,IF($AZ43&gt;=157650,-2.8,IF($AZ43&gt;=107650,-0.8,IF($AZ43&gt;=96800,0.05,IF($AZ43&gt;=80650,-0.1,IF($AZ43&gt;=13900,0.4,IF($AZ43&gt;=11700,-0.3,IF($AZ43&gt;=8500,0.5,0)))))))))))),IF($AZ43&gt;=1077550,0,IF($AZ43&gt;=265400,4.29,IF($AZ43&gt;=215400,2.29,IF($AZ43&gt;=157650,2.29,IF($AZ43&gt;=107650,0.29,IF($AZ43&gt;=96800,0.05,IF($AZ43&gt;=80650,-0.1,IF($AZ43&gt;=13900,0.4,IF($AZ43&gt;=11700,-0.3,IF($AZ43&gt;=8500,0.5,0))))))))))),0))))))))))))))))))</f>
      </c>
      <c r="BC43" s="7">
        <f>IF($B43="","",IF($AN43="AL",0.05*$D43,IF($AN43="AR",0.039*$D43,IF($AN43="ID",0.053*$D43,IF($AN43="IN",(0.0295+'Second Earner'!$C$76)*$D43,IF($AN43="KS",0.05*$D43,IF($AN43="MA",0.09*MIN($D43,MAX(0,MAX(0,$AY43-MIN(($BD42+$Q43+$R43+$S43),2000)-IF($AS43=0,0,IF($AS43=1,4400,1000*$AS43+3400)))+$D43-1107750))+0.05*($D43-MIN($D43,MAX(0,MAX(0,$AY43-MIN(($BD42+$Q43+$R43+$S43),2000)-IF($AS43=0,0,IF($AS43=1,4400,1000*$AS43+3400)))+$D43-1107750))),IF($AN43="MD",(0.065+'Second Earner'!$C$74)*$D43,IF($AN43="MI",0.0425*$D43,IF($AN43="MN",0.0625*$D43,IF($AN43="MO",0.047*$D43,IF($AN43="MT",0.05*$D43,IF($AN43="ND",0.015*$D43,IF($AN43="NE",0.035*$D43,IF($AN43="NJ",IF('Second Earner'!$C$77="B",SUMPRODUCT(($D43*'Second Earner'!$C$8&gt;INDEX('How This Works &amp; Sources'!$B$155:$J$162,0,4))*($D43*'Second Earner'!$C$8-INDEX('How This Works &amp; Sources'!$B$155:$J$162,0,4))*INDEX('How This Works &amp; Sources'!$B$155:$J$162,0,4+2)),IF('Second Earner'!$C$77="C",SUMPRODUCT(($D43*'Second Earner'!$C$8&gt;INDEX('How This Works &amp; Sources'!$B$155:$J$162,0,7))*($D43*'Second Earner'!$C$8-INDEX('How This Works &amp; Sources'!$B$155:$J$162,0,7))*INDEX('How This Works &amp; Sources'!$B$155:$J$162,0,7+2)),IF('Second Earner'!$C$77="D",SUMPRODUCT(($D43*'Second Earner'!$C$8&gt;INDEX('How This Works &amp; Sources'!$B$167:$J$179,0,1))*($D43*'Second Earner'!$C$8-INDEX('How This Works &amp; Sources'!$B$167:$J$179,0,1))*INDEX('How This Works &amp; Sources'!$B$167:$J$179,0,1+2)),IF('Second Earner'!$C$77="E",SUMPRODUCT(($D43*'Second Earner'!$C$8&gt;INDEX('How This Works &amp; Sources'!$B$167:$J$179,0,4))*($D43*'Second Earner'!$C$8-INDEX('How This Works &amp; Sources'!$B$167:$J$179,0,4))*INDEX('How This Works &amp; Sources'!$B$167:$J$179,0,4+2)),SUMPRODUCT(($D43*'Second Earner'!$C$8&gt;INDEX('How This Works &amp; Sources'!$B$155:$J$162,0,1))*($D43*'Second Earner'!$C$8-INDEX('How This Works &amp; Sources'!$B$155:$J$162,0,1))*INDEX('How This Works &amp; Sources'!$B$155:$J$162,0,1+2))))))/'Second Earner'!$C$8,IF($AN43="NY",0.117*$D43,IF($AN43="OH",0.0275*$D43,IF($AN43="OK",0.045*$D43,IF($AN43="OR",0.08*$D43,IF($AN43="WI",IF($AY43&lt;12760,0.0354,IF($AY43&lt;25520,0.0465,IF($AY43&lt;280950,0.053,0.0765)))*$D43,0))))))))))))))))))))</f>
      </c>
      <c r="BD43" s="7">
        <f>IF($B43="","",$BD42+$Q43+$R43+$S43)</f>
      </c>
      <c r="BE43" s="6">
        <f>IF($B43="",$BE42,$BE42+$BF43)</f>
      </c>
      <c r="BF43" s="6">
        <f>IF($B43="","",IF(AND(IF(YEAR(IF('Second Earner'!$C$7="Weekly",'Second Earner'!$C$9+7*(($BE42+1)-1),IF('Second Earner'!$C$7="Biweekly",'Second Earner'!$C$9+14*(($BE42+1)-1),IF('Second Earner'!$C$7="Semimonthly",DATE(YEAR('Second Earner'!$C$9),MONTH('Second Earner'!$C$9)+INT((($BE42+1)-1)/2),MIN(DAY('Second Earner'!$C$9),DAY(EOMONTH(DATE(YEAR('Second Earner'!$C$9),MONTH('Second Earner'!$C$9)+INT((($BE42+1)-1)/2),1),0))))+IF(MOD(($BE42+1)-1,2)=1,15,0),EDATE('Second Earner'!$C$9,($BE42+1)-1)))))&lt;&gt;'Second Earner'!$C$10,"",IF('Second Earner'!$C$7="Weekly",'Second Earner'!$C$9+7*(($BE42+1)-1),IF('Second Earner'!$C$7="Biweekly",'Second Earner'!$C$9+14*(($BE42+1)-1),IF('Second Earner'!$C$7="Semimonthly",DATE(YEAR('Second Earner'!$C$9),MONTH('Second Earner'!$C$9)+INT((($BE42+1)-1)/2),MIN(DAY('Second Earner'!$C$9),DAY(EOMONTH(DATE(YEAR('Second Earner'!$C$9),MONTH('Second Earner'!$C$9)+INT((($BE42+1)-1)/2),1),0))))+IF(MOD(($BE42+1)-1,2)=1,15,0),EDATE('Second Earner'!$C$9,($BE42+1)-1)))))&lt;&gt;"",$B43=IF(YEAR(IF('Second Earner'!$C$7="Weekly",'Second Earner'!$C$9+7*(($BE42+1)-1),IF('Second Earner'!$C$7="Biweekly",'Second Earner'!$C$9+14*(($BE42+1)-1),IF('Second Earner'!$C$7="Semimonthly",DATE(YEAR('Second Earner'!$C$9),MONTH('Second Earner'!$C$9)+INT((($BE42+1)-1)/2),MIN(DAY('Second Earner'!$C$9),DAY(EOMONTH(DATE(YEAR('Second Earner'!$C$9),MONTH('Second Earner'!$C$9)+INT((($BE42+1)-1)/2),1),0))))+IF(MOD(($BE42+1)-1,2)=1,15,0),EDATE('Second Earner'!$C$9,($BE42+1)-1)))))&lt;&gt;'Second Earner'!$C$10,"",IF('Second Earner'!$C$7="Weekly",'Second Earner'!$C$9+7*(($BE42+1)-1),IF('Second Earner'!$C$7="Biweekly",'Second Earner'!$C$9+14*(($BE42+1)-1),IF('Second Earner'!$C$7="Semimonthly",DATE(YEAR('Second Earner'!$C$9),MONTH('Second Earner'!$C$9)+INT((($BE42+1)-1)/2),MIN(DAY('Second Earner'!$C$9),DAY(EOMONTH(DATE(YEAR('Second Earner'!$C$9),MONTH('Second Earner'!$C$9)+INT((($BE42+1)-1)/2),1),0))))+IF(MOD(($BE42+1)-1,2)=1,15,0),EDATE('Second Earner'!$C$9,($BE42+1)-1)))))),1,0))</f>
      </c>
      <c r="BG43" s="7">
        <f>IF($B43="","",$BG42+$H43)</f>
      </c>
      <c r="BH43" s="7">
        <f>IF($B43="","",$BH42+$I43)</f>
      </c>
      <c r="BI43" s="7">
        <f>IF($B43="","",$BI42+$G43)</f>
      </c>
      <c r="BJ43" s="7">
        <f>IF($B43="","",IFERROR(LOOKUP(2,1/(((('Changes — Earner 2'!$C$6:$C$17="Deduction start"))*('Changes — Earner 2'!$D$6:$D$17="Health FSA"))*('Changes — Earner 2'!$B$6:$B$17&lt;=$B43)*('Changes — Earner 2'!$B$6:$B$17&lt;&gt;"")),'Changes — Earner 2'!$E$6:$E$17),'Second Earner'!$D$38))</f>
      </c>
      <c r="BK43" s="7">
        <f>IF($B43="","",IFERROR(LOOKUP(2,1/(((('Changes — Earner 2'!$C$6:$C$17="Deduction start"))*('Changes — Earner 2'!$D$6:$D$17="Dependent-care FSA"))*('Changes — Earner 2'!$B$6:$B$17&lt;=$B43)*('Changes — Earner 2'!$B$6:$B$17&lt;&gt;"")),'Changes — Earner 2'!$E$6:$E$17),'Second Earner'!$D$39))</f>
      </c>
      <c r="BL43" s="7">
        <f>IF($B43="","",IFERROR(LOOKUP(2,1/(((('Changes — Earner 2'!$C$6:$C$17="Deduction start")+('Changes — Earner 2'!$C$6:$C$17="Deduction stop"))*('Changes — Earner 2'!$D$6:$D$17="HSA"))*('Changes — Earner 2'!$B$6:$B$17&lt;=$B43)*('Changes — Earner 2'!$B$6:$B$17&lt;&gt;"")),'Changes — Earner 2'!$I$6:$I$17),'Second Earner'!$D$35))</f>
      </c>
      <c r="BM43" s="7">
        <f>IF($B43="","",IFERROR(LOOKUP(2,1/(((('Changes — Earner 2'!$C$6:$C$17="Deduction start")+('Changes — Earner 2'!$C$6:$C$17="Deduction stop"))*('Changes — Earner 2'!$D$6:$D$17="Premiums"))*('Changes — Earner 2'!$B$6:$B$17&lt;=$B43)*('Changes — Earner 2'!$B$6:$B$17&lt;&gt;"")),'Changes — Earner 2'!$I$6:$I$17),'Second Earner'!$D$40+'Second Earner'!$D$41+'Second Earner'!$D$42))</f>
      </c>
      <c r="BN43" s="7">
        <f>IF($B43="","",IFERROR(LOOKUP(2,1/(((('Changes — Earner 2'!$C$6:$C$17="Deduction start")+('Changes — Earner 2'!$C$6:$C$17="Deduction stop"))*('Changes — Earner 2'!$D$6:$D$17="Commuter"))*('Changes — Earner 2'!$B$6:$B$17&lt;=$B43)*('Changes — Earner 2'!$B$6:$B$17&lt;&gt;"")),'Changes — Earner 2'!$I$6:$I$17),'Second Earner'!$D$43))</f>
      </c>
      <c r="BO43" s="7">
        <f>IF($B43="","",IFERROR(LOOKUP(2,1/(((('Changes — Earner 2'!$C$6:$C$17="Deduction start")+('Changes — Earner 2'!$C$6:$C$17="Deduction stop"))*('Changes — Earner 2'!$D$6:$D$17="Other pre-tax"))*('Changes — Earner 2'!$B$6:$B$17&lt;=$B43)*('Changes — Earner 2'!$B$6:$B$17&lt;&gt;"")),'Changes — Earner 2'!$I$6:$I$17),'Second Earner'!$D$44))</f>
      </c>
      <c r="BP43" s="7">
        <f>IF($B43="","",IFERROR(LOOKUP(2,1/(((('Changes — Earner 2'!$C$6:$C$17="Deduction start")+('Changes — Earner 2'!$C$6:$C$17="Deduction stop"))*('Changes — Earner 2'!$D$6:$D$17="Other post-tax"))*('Changes — Earner 2'!$B$6:$B$17&lt;=$B43)*('Changes — Earner 2'!$B$6:$B$17&lt;&gt;"")),'Changes — Earner 2'!$I$6:$I$17),'Second Earner'!$D$45))</f>
      </c>
      <c r="BQ43" s="6">
        <f>IF($B43="","",IFERROR(LOOKUP(2,1/(((('Changes — Earner 2'!$C$6:$C$17="Deduction start")+('Changes — Earner 2'!$C$6:$C$17="Deduction stop"))*('Changes — Earner 2'!$D$6:$D$17="Health FSA"))*('Changes — Earner 2'!$B$6:$B$17&lt;=$B43)*('Changes — Earner 2'!$B$6:$B$17&lt;&gt;"")),'Changes — Earner 2'!$J$6:$J$17),0))</f>
      </c>
      <c r="BR43" s="6">
        <f>IF($B43="","",IFERROR(LOOKUP(2,1/(((('Changes — Earner 2'!$C$6:$C$17="Deduction start")+('Changes — Earner 2'!$C$6:$C$17="Deduction stop"))*('Changes — Earner 2'!$D$6:$D$17="Dependent-care FSA"))*('Changes — Earner 2'!$B$6:$B$17&lt;=$B43)*('Changes — Earner 2'!$B$6:$B$17&lt;&gt;"")),'Changes — Earner 2'!$J$6:$J$17),0))</f>
      </c>
      <c r="BS43" s="6">
        <f>IF($B43="","",IF(SUMPRODUCT(('Changes — Earner 2'!$C$6:$C$17="Deduction start")*('Changes — Earner 2'!$B$6:$B$17&lt;=$B43)*('Changes — Earner 2'!$B$6:$B$17&lt;&gt;"")*('Changes — Earner 2'!$D$6:$D$17="Health FSA"))&gt;0,1,0))</f>
      </c>
      <c r="BT43" s="6">
        <f>IF($B43="","",IF(SUMPRODUCT(('Changes — Earner 2'!$C$6:$C$17="Deduction start")*('Changes — Earner 2'!$B$6:$B$17&lt;=$B43)*('Changes — Earner 2'!$B$6:$B$17&lt;&gt;"")*('Changes — Earner 2'!$D$6:$D$17="Dependent-care FSA"))&gt;0,1,0))</f>
      </c>
      <c r="BU43" s="24">
        <f>IF($B43="","",IF('Second Earner'!$C$13,SUMPRODUCT(($AH43&gt;=INDEX('How This Works &amp; Sources'!$B$29:$J$36,0,IF('Second Earner'!$C$12="MFJ",1,IF('Second Earner'!$C$12="HoH",7,4))))*INDEX('How This Works &amp; Sources'!$B$29:$J$36,0,IF('Second Earner'!$C$12="MFJ",1,IF('Second Earner'!$C$12="HoH",7,4))+2)),SUMPRODUCT(($AH43&gt;=INDEX('How This Works &amp; Sources'!$B$19:$J$26,0,IF('Second Earner'!$C$12="MFJ",1,IF('Second Earner'!$C$12="HoH",7,4))))*INDEX('How This Works &amp; Sources'!$B$19:$J$26,0,IF('Second Earner'!$C$12="MFJ",1,IF('Second Earner'!$C$12="HoH",7,4))+2))))</f>
      </c>
      <c r="BV43" s="24">
        <f>IF($B43="","",IF($BZ43&lt;&gt;"",$BZ43,IF($CA43&lt;&gt;"",$CA43,IF($CB43&lt;&gt;"",$CB43,IF($CC43&lt;&gt;"",$CC43,0)))))</f>
      </c>
      <c r="BW43" s="7">
        <f>IF($B43="","",IF($AN43="AR",SUMPRODUCT(($AZ43&gt;INDEX('How This Works &amp; Sources'!$B$82:$J$86,0,7))*($AZ43-INDEX('How This Works &amp; Sources'!$B$82:$J$86,0,7))*INDEX('How This Works &amp; Sources'!$B$82:$J$86,0,7+2)),IF($AN43="MD",IF(OR($AU43="Married",$AU43="Head of household"),SUMPRODUCT(($AZ43&gt;INDEX('How This Works &amp; Sources'!$B$114:$J$120,0,1))*($AZ43-INDEX('How This Works &amp; Sources'!$B$114:$J$120,0,1))*INDEX('How This Works &amp; Sources'!$B$114:$J$120,0,1+2)),SUMPRODUCT(($AZ43&gt;INDEX('How This Works &amp; Sources'!$B$103:$J$109,0,7))*($AZ43-INDEX('How This Works &amp; Sources'!$B$103:$J$109,0,7))*INDEX('How This Works &amp; Sources'!$B$103:$J$109,0,7+2))),IF($AN43="MT",IF($AU43="Head of household",SUMPRODUCT(($AZ43&gt;INDEX('How This Works &amp; Sources'!$B$137:$J$139,0,1))*($AZ43-INDEX('How This Works &amp; Sources'!$B$137:$J$139,0,1))*INDEX('How This Works &amp; Sources'!$B$137:$J$139,0,1+2)),IF($AU43="Married",SUMPRODUCT(($AZ43&gt;INDEX('How This Works &amp; Sources'!$B$125:$J$132,0,7))*($AZ43-INDEX('How This Works &amp; Sources'!$B$125:$J$132,0,7))*INDEX('How This Works &amp; Sources'!$B$125:$J$132,0,7+2)),SUMPRODUCT(($AZ43&gt;INDEX('How This Works &amp; Sources'!$B$125:$J$132,0,4))*($AZ43-INDEX('How This Works &amp; Sources'!$B$125:$J$132,0,4))*INDEX('How This Works &amp; Sources'!$B$125:$J$132,0,4+2)))),IF($AN43="ND",IF($AU43="Head of household",SUMPRODUCT(($AZ43&gt;INDEX('How This Works &amp; Sources'!$B$144:$J$150,0,1))*($AZ43-INDEX('How This Works &amp; Sources'!$B$144:$J$150,0,1))*INDEX('How This Works &amp; Sources'!$B$144:$J$150,0,1+2)),IF($AU43="Married",SUMPRODUCT(($AZ43&gt;INDEX('How This Works &amp; Sources'!$B$137:$J$139,0,7))*($AZ43-INDEX('How This Works &amp; Sources'!$B$137:$J$139,0,7))*INDEX('How This Works &amp; Sources'!$B$137:$J$139,0,7+2)),SUMPRODUCT(($AZ43&gt;INDEX('How This Works &amp; Sources'!$B$137:$J$139,0,4))*($AZ43-INDEX('How This Works &amp; Sources'!$B$137:$J$139,0,4))*INDEX('How This Works &amp; Sources'!$B$137:$J$139,0,4+2)))),IF($AN43="NJ",IF('Second Earner'!$C$77="B",SUMPRODUCT(($AZ43&gt;INDEX('How This Works &amp; Sources'!$B$155:$J$162,0,4))*($AZ43-INDEX('How This Works &amp; Sources'!$B$155:$J$162,0,4))*INDEX('How This Works &amp; Sources'!$B$155:$J$162,0,4+2)),IF('Second Earner'!$C$77="C",SUMPRODUCT(($AZ43&gt;INDEX('How This Works &amp; Sources'!$B$155:$J$162,0,7))*($AZ43-INDEX('How This Works &amp; Sources'!$B$155:$J$162,0,7))*INDEX('How This Works &amp; Sources'!$B$155:$J$162,0,7+2)),IF('Second Earner'!$C$77="D",SUMPRODUCT(($AZ43&gt;INDEX('How This Works &amp; Sources'!$B$167:$J$179,0,1))*($AZ43-INDEX('How This Works &amp; Sources'!$B$167:$J$179,0,1))*INDEX('How This Works &amp; Sources'!$B$167:$J$179,0,1+2)),IF('Second Earner'!$C$77="E",SUMPRODUCT(($AZ43&gt;INDEX('How This Works &amp; Sources'!$B$167:$J$179,0,4))*($AZ43-INDEX('How This Works &amp; Sources'!$B$167:$J$179,0,4))*INDEX('How This Works &amp; Sources'!$B$167:$J$179,0,4+2)),SUMPRODUCT(($AZ43&gt;INDEX('How This Works &amp; Sources'!$B$155:$J$162,0,1))*($AZ43-INDEX('How This Works &amp; Sources'!$B$155:$J$162,0,1))*INDEX('How This Works &amp; Sources'!$B$155:$J$162,0,1+2)))))),IF($AN43="NY",IF($AU43="Married",IF($AZ43&gt;=2155350,$AZ43*IF($AZ43&gt;25000000,0.117,IF($AZ43&gt;5000000,0.111,0.1045)),SUMPRODUCT(($AZ43&gt;INDEX('How This Works &amp; Sources'!$B$184:$J$198,0,1))*($AZ43-INDEX('How This Works &amp; Sources'!$B$184:$J$198,0,1))*INDEX('How This Works &amp; Sources'!$B$184:$J$198,0,1+2))),IF($AZ43&gt;=1077550,$AZ43*IF($AZ43&gt;25000000,0.117,IF($AZ43&gt;5000000,0.111,0.1045)),SUMPRODUCT(($AZ43&gt;INDEX('How This Works &amp; Sources'!$B$167:$J$179,0,7))*($AZ43-INDEX('How This Works &amp; Sources'!$B$167:$J$179,0,7))*INDEX('How This Works &amp; Sources'!$B$167:$J$179,0,7+2)))),"")))))))</f>
      </c>
      <c r="BX43" s="7">
        <f>IF($B43="","",IF($AN43="AL",IF(OR($AU43="Married",$AU43="Head of household"),SUMPRODUCT(($AZ43&gt;INDEX('How This Works &amp; Sources'!$B$82:$J$86,0,4))*($AZ43-INDEX('How This Works &amp; Sources'!$B$82:$J$86,0,4))*INDEX('How This Works &amp; Sources'!$B$82:$J$86,0,4+2)),SUMPRODUCT(($AZ43&gt;INDEX('How This Works &amp; Sources'!$B$82:$J$86,0,1))*($AZ43-INDEX('How This Works &amp; Sources'!$B$82:$J$86,0,1))*INDEX('How This Works &amp; Sources'!$B$82:$J$86,0,1+2))),IF($AN43="KS",IF($AU43="Married",SUMPRODUCT(($AZ43&gt;INDEX('How This Works &amp; Sources'!$B$103:$J$109,0,4))*($AZ43-INDEX('How This Works &amp; Sources'!$B$103:$J$109,0,4))*INDEX('How This Works &amp; Sources'!$B$103:$J$109,0,4+2)),SUMPRODUCT(($AZ43&gt;INDEX('How This Works &amp; Sources'!$B$103:$J$109,0,1))*($AZ43-INDEX('How This Works &amp; Sources'!$B$103:$J$109,0,1))*INDEX('How This Works &amp; Sources'!$B$103:$J$109,0,1+2))),IF($AN43="MN",IF($AU43="Married",SUMPRODUCT(($AZ43&gt;INDEX('How This Works &amp; Sources'!$B$114:$J$120,0,7))*($AZ43-INDEX('How This Works &amp; Sources'!$B$114:$J$120,0,7))*INDEX('How This Works &amp; Sources'!$B$114:$J$120,0,7+2)),SUMPRODUCT(($AZ43&gt;INDEX('How This Works &amp; Sources'!$B$114:$J$120,0,4))*($AZ43-INDEX('How This Works &amp; Sources'!$B$114:$J$120,0,4))*INDEX('How This Works &amp; Sources'!$B$114:$J$120,0,4+2))),IF($AN43="MO",SUMPRODUCT(($AZ43&gt;INDEX('How This Works &amp; Sources'!$B$125:$J$132,0,1))*($AZ43-INDEX('How This Works &amp; Sources'!$B$125:$J$132,0,1))*INDEX('How This Works &amp; Sources'!$B$125:$J$132,0,1+2)),IF($AN43="NE",MAX(IF($AU43="Married",SUMPRODUCT(($AZ43&gt;INDEX('How This Works &amp; Sources'!$B$144:$J$150,0,7))*($AZ43-INDEX('How This Works &amp; Sources'!$B$144:$J$150,0,7))*INDEX('How This Works &amp; Sources'!$B$144:$J$150,0,7+2)),SUMPRODUCT(($AZ43&gt;INDEX('How This Works &amp; Sources'!$B$144:$J$150,0,4))*($AZ43-INDEX('How This Works &amp; Sources'!$B$144:$J$150,0,4))*INDEX('How This Works &amp; Sources'!$B$144:$J$150,0,4+2))),0.015*$AZ43),IF($AN43="OH",IF($B43&gt;=DATE(2026,8,1),SUMPRODUCT(($AZ43&gt;INDEX('How This Works &amp; Sources'!$B$203:$J$206,0,1))*($AZ43-INDEX('How This Works &amp; Sources'!$B$203:$J$206,0,1))*INDEX('How This Works &amp; Sources'!$B$203:$J$206,0,1+2)),SUMPRODUCT(($AZ43&gt;INDEX('How This Works &amp; Sources'!$B$184:$J$198,0,7))*($AZ43-INDEX('How This Works &amp; Sources'!$B$184:$J$198,0,7))*INDEX('How This Works &amp; Sources'!$B$184:$J$198,0,7+2))),IF($AN43="OK",IF($AU43="Married",SUMPRODUCT(($AZ43&gt;INDEX('How This Works &amp; Sources'!$B$203:$J$206,0,7))*($AZ43-INDEX('How This Works &amp; Sources'!$B$203:$J$206,0,7))*INDEX('How This Works &amp; Sources'!$B$203:$J$206,0,7+2)),SUMPRODUCT(($AZ43&gt;INDEX('How This Works &amp; Sources'!$B$203:$J$206,0,4))*($AZ43-INDEX('How This Works &amp; Sources'!$B$203:$J$206,0,4))*INDEX('How This Works &amp; Sources'!$B$203:$J$206,0,4+2))),IF($AN43="VT",IF($AU43="Married",SUMPRODUCT(($AZ43&gt;INDEX('How This Works &amp; Sources'!$B$228:$J$232,0,1))*($AZ43-INDEX('How This Works &amp; Sources'!$B$228:$J$232,0,1))*INDEX('How This Works &amp; Sources'!$B$228:$J$232,0,1+2)),SUMPRODUCT(($AZ43&gt;INDEX('How This Works &amp; Sources'!$B$219:$J$223,0,7))*($AZ43-INDEX('How This Works &amp; Sources'!$B$219:$J$223,0,7))*INDEX('How This Works &amp; Sources'!$B$219:$J$223,0,7+2))),IF($AN43="WV",IF($AU43="Married",SUMPRODUCT(($AZ43&gt;INDEX('How This Works &amp; Sources'!$B$237:$J$241,0,7))*($AZ43-INDEX('How This Works &amp; Sources'!$B$237:$J$241,0,7))*INDEX('How This Works &amp; Sources'!$B$237:$J$241,0,7+2)),SUMPRODUCT(($AZ43&gt;INDEX('How This Works &amp; Sources'!$B$228:$J$232,0,7))*($AZ43-INDEX('How This Works &amp; Sources'!$B$228:$J$232,0,7))*INDEX('How This Works &amp; Sources'!$B$228:$J$232,0,7+2))),""))))))))))</f>
      </c>
      <c r="BY43" s="7">
        <f>IF($B43="","",IF($AN43="DE",SUMPRODUCT(($AZ43&gt;INDEX('How This Works &amp; Sources'!$B$91:$J$98,0,1))*($AZ43-INDEX('How This Works &amp; Sources'!$B$91:$J$98,0,1))*INDEX('How This Works &amp; Sources'!$B$91:$J$98,0,1+2)),IF($AN43="HI",IF($AU43="Married",SUMPRODUCT(($AZ43&gt;INDEX('How This Works &amp; Sources'!$B$91:$J$98,0,7))*($AZ43-INDEX('How This Works &amp; Sources'!$B$91:$J$98,0,7))*INDEX('How This Works &amp; Sources'!$B$91:$J$98,0,7+2)),SUMPRODUCT(($AZ43&gt;INDEX('How This Works &amp; Sources'!$B$91:$J$98,0,4))*($AZ43-INDEX('How This Works &amp; Sources'!$B$91:$J$98,0,4))*INDEX('How This Works &amp; Sources'!$B$91:$J$98,0,4+2))),IF($AN43="RI",SUMPRODUCT(($AZ43&gt;INDEX('How This Works &amp; Sources'!$B$211:$J$214,0,7))*($AZ43-INDEX('How This Works &amp; Sources'!$B$211:$J$214,0,7))*INDEX('How This Works &amp; Sources'!$B$211:$J$214,0,7+2)),IF($AN43="SC",SUMPRODUCT(($AZ43&gt;INDEX('How This Works &amp; Sources'!$B$219:$J$223,0,1))*($AZ43-INDEX('How This Works &amp; Sources'!$B$219:$J$223,0,1))*INDEX('How This Works &amp; Sources'!$B$219:$J$223,0,1+2)),IF($AN43="VA",SUMPRODUCT(($AZ43&gt;INDEX('How This Works &amp; Sources'!$B$219:$J$223,0,4))*($AZ43-INDEX('How This Works &amp; Sources'!$B$219:$J$223,0,4))*INDEX('How This Works &amp; Sources'!$B$219:$J$223,0,4+2)),IF($AN43="WI",SUMPRODUCT(($AZ43&gt;INDEX('How This Works &amp; Sources'!$B$228:$J$232,0,4))*($AZ43-INDEX('How This Works &amp; Sources'!$B$228:$J$232,0,4))*INDEX('How This Works &amp; Sources'!$B$228:$J$232,0,4+2)),"")))))))</f>
      </c>
      <c r="BZ43" s="24">
        <f>IF($B43="","",IF($AN43="KS",IF($AU43="Married",SUMPRODUCT(($AZ43&gt;=INDEX('How This Works &amp; Sources'!$B$103:$J$109,0,4))*INDEX('How This Works &amp; Sources'!$B$103:$J$109,0,4+2)),SUMPRODUCT(($AZ43&gt;=INDEX('How This Works &amp; Sources'!$B$103:$J$109,0,1))*INDEX('How This Works &amp; Sources'!$B$103:$J$109,0,1+2))),IF($AN43="MT",IF($AU43="Head of household",SUMPRODUCT(($AZ43&gt;=INDEX('How This Works &amp; Sources'!$B$137:$J$139,0,1))*INDEX('How This Works &amp; Sources'!$B$137:$J$139,0,1+2)),IF($AU43="Married",SUMPRODUCT(($AZ43&gt;=INDEX('How This Works &amp; Sources'!$B$125:$J$132,0,7))*INDEX('How This Works &amp; Sources'!$B$125:$J$132,0,7+2)),SUMPRODUCT(($AZ43&gt;=INDEX('How This Works &amp; Sources'!$B$125:$J$132,0,4))*INDEX('How This Works &amp; Sources'!$B$125:$J$132,0,4+2)))),IF($AN43="OR",IF(OR($AU43="Married",AND($AU43="Single",$AS43&gt;=3)),SUMPRODUCT((MAX(0,$AY43-MIN(($P43-'How This Works &amp; Sources'!$C$10*$D43)*'Second Earner'!$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Sources'!$B$211:$J$214,0,4))*INDEX('How This Works &amp; Sources'!$B$211:$J$214,0,4+2)),SUMPRODUCT((MAX(0,$AY43-MIN(($P43-'How This Works &amp; Sources'!$C$10*$D43)*'Second Earner'!$C$8,IF(OR($AU43="Married",AND($AU43="Single",$AS43&gt;=3)),IF($AY43&lt;250000,8750,IF($AY43&lt;260000,7000,IF($AY43&lt;270000,5250,IF($AY43&lt;280000,3500,IF($AY43&lt;290000,1750,0))))),IF($AY43&lt;125000,8750,IF($AY43&lt;130000,7000,IF($AY43&lt;135000,5250,IF($AY43&lt;140000,3500,IF($AY43&lt;145000,1750,0)))))))-IF(OR($AU43="Married",AND($AU43="Single",$AS43&gt;=3)),5820,2910))&gt;=INDEX('How This Works &amp; Sources'!$B$211:$J$214,0,1))*INDEX('How This Works &amp; Sources'!$B$211:$J$214,0,1+2)))*IF(($P43-'How This Works &amp; Sources'!$C$10*$D43)*'Second Earner'!$C$8&gt;=IF(OR($AU43="Married",AND($AU43="Single",$AS43&gt;=3)),IF($AY43&lt;250000,8750,IF($AY43&lt;260000,7000,IF($AY43&lt;270000,5250,IF($AY43&lt;280000,3500,IF($AY43&lt;290000,1750,0))))),IF($AY43&lt;125000,8750,IF($AY43&lt;130000,7000,IF($AY43&lt;135000,5250,IF($AY43&lt;140000,3500,IF($AY43&lt;145000,1750,0)))))),1,1-IF('Second Earner'!$C$13,SUMPRODUCT(($AH43&gt;=INDEX('How This Works &amp; Sources'!$B$29:$J$36,0,IF('Second Earner'!$C$12="MFJ",1,IF('Second Earner'!$C$12="HoH",7,4))))*INDEX('How This Works &amp; Sources'!$B$29:$J$36,0,IF('Second Earner'!$C$12="MFJ",1,IF('Second Earner'!$C$12="HoH",7,4))+2)),SUMPRODUCT(($AH43&gt;=INDEX('How This Works &amp; Sources'!$B$19:$J$26,0,IF('Second Earner'!$C$12="MFJ",1,IF('Second Earner'!$C$12="HoH",7,4))))*INDEX('How This Works &amp; Sources'!$B$19:$J$26,0,IF('Second Earner'!$C$12="MFJ",1,IF('Second Earner'!$C$12="HoH",7,4))+2)))),""))))</f>
      </c>
      <c r="CA43" s="24">
        <f>IF($B43="","",IF($AN43="CA",SUMPRODUCT(($AJ43&gt;=INDEX('How This Works &amp; Sources'!$B$39:$J$48,0,IF($AU43="Married",4,IF($AU43="Head of household",7,1))))*INDEX('How This Works &amp; Sources'!$B$39:$J$48,0,IF($AU43="Married",4,IF($AU43="Head of household",7,1))+2)),IF($AN43="AL",IF(OR($AU43="Married",$AU43="Head of household"),SUMPRODUCT(($AZ43&gt;=INDEX('How This Works &amp; Sources'!$B$82:$J$86,0,4))*INDEX('How This Works &amp; Sources'!$B$82:$J$86,0,4+2)),SUMPRODUCT(($AZ43&gt;=INDEX('How This Works &amp; Sources'!$B$82:$J$86,0,1))*INDEX('How This Works &amp; Sources'!$B$82:$J$86,0,1+2)))*(1-IF('Second Earner'!$C$13,SUMPRODUCT(($AH43&gt;=INDEX('How This Works &amp; Sources'!$B$29:$J$36,0,IF('Second Earner'!$C$12="MFJ",1,IF('Second Earner'!$C$12="HoH",7,4))))*INDEX('How This Works &amp; Sources'!$B$29:$J$36,0,IF('Second Earner'!$C$12="MFJ",1,IF('Second Earner'!$C$12="HoH",7,4))+2)),SUMPRODUCT(($AH43&gt;=INDEX('How This Works &amp; Sources'!$B$19:$J$26,0,IF('Second Earner'!$C$12="MFJ",1,IF('Second Earner'!$C$12="HoH",7,4))))*INDEX('How This Works &amp; Sources'!$B$19:$J$26,0,IF('Second Earner'!$C$12="MFJ",1,IF('Second Earner'!$C$12="HoH",7,4))+2)))),IF($AN43="ND",IF($AU43="Head of household",SUMPRODUCT(($AZ43&gt;=INDEX('How This Works &amp; Sources'!$B$144:$J$150,0,1))*INDEX('How This Works &amp; Sources'!$B$144:$J$150,0,1+2)),IF($AU43="Married",SUMPRODUCT(($AZ43&gt;=INDEX('How This Works &amp; Sources'!$B$137:$J$139,0,7))*INDEX('How This Works &amp; Sources'!$B$137:$J$139,0,7+2)),SUMPRODUCT(($AZ43&gt;=INDEX('How This Works &amp; Sources'!$B$137:$J$139,0,4))*INDEX('How This Works &amp; Sources'!$B$137:$J$139,0,4+2)))),IF($AN43="NJ",IF('Second Earner'!$C$77="B",SUMPRODUCT(($AZ43&gt;=INDEX('How This Works &amp; Sources'!$B$155:$J$162,0,4))*INDEX('How This Works &amp; Sources'!$B$155:$J$162,0,4+2)),IF('Second Earner'!$C$77="C",SUMPRODUCT(($AZ43&gt;=INDEX('How This Works &amp; Sources'!$B$155:$J$162,0,7))*INDEX('How This Works &amp; Sources'!$B$155:$J$162,0,7+2)),IF('Second Earner'!$C$77="D",SUMPRODUCT(($AZ43&gt;=INDEX('How This Works &amp; Sources'!$B$167:$J$179,0,1))*INDEX('How This Works &amp; Sources'!$B$167:$J$179,0,1+2)),IF('Second Earner'!$C$77="E",SUMPRODUCT(($AZ43&gt;=INDEX('How This Works &amp; Sources'!$B$167:$J$179,0,4))*INDEX('How This Works &amp; Sources'!$B$167:$J$179,0,4+2)),SUMPRODUCT(($AZ43&gt;=INDEX('How This Works &amp; Sources'!$B$155:$J$162,0,1))*INDEX('How This Works &amp; Sources'!$B$155:$J$162,0,1+2)))))),IF($AN43="NY",IF($AU43="Married",IF($AZ43&gt;=2155350,IF($AZ43&gt;25000000,0.117,IF($AZ43&gt;5000000,0.111,0.1045)),SUMPRODUCT(($AZ43&gt;=INDEX('How This Works &amp; Sources'!$B$184:$J$198,0,1))*INDEX('How This Works &amp; Sources'!$B$184:$J$198,0,1+2))),IF($AZ43&gt;=1077550,IF($AZ43&gt;25000000,0.117,IF($AZ43&gt;5000000,0.111,0.1045)),SUMPRODUCT(($AZ43&gt;=INDEX('How This Works &amp; Sources'!$B$167:$J$179,0,7))*INDEX('How This Works &amp; Sources'!$B$167:$J$179,0,7+2)))),IF($AN43="LA",0.0309,"")))))))</f>
      </c>
      <c r="CB43" s="24">
        <f>IF($B43="","",IF($AN43="HI",IF($AU43="Married",SUMPRODUCT(($AZ43&gt;=INDEX('How This Works &amp; Sources'!$B$91:$J$98,0,7))*INDEX('How This Works &amp; Sources'!$B$91:$J$98,0,7+2)),SUMPRODUCT(($AZ43&gt;=INDEX('How This Works &amp; Sources'!$B$91:$J$98,0,4))*INDEX('How This Works &amp; Sources'!$B$91:$J$98,0,4+2))),IF($AN43="MD",IF(OR($AU43="Married",$AU43="Head of household"),SUMPRODUCT(($AZ43&gt;=INDEX('How This Works &amp; Sources'!$B$114:$J$120,0,1))*INDEX('How This Works &amp; Sources'!$B$114:$J$120,0,1+2)),SUMPRODUCT(($AZ43&gt;=INDEX('How This Works &amp; Sources'!$B$103:$J$109,0,7))*INDEX('How This Works &amp; Sources'!$B$103:$J$109,0,7+2)))+'Second Earner'!$C$74,IF($AN43="MN",IF($AU43="Married",SUMPRODUCT(($AZ43&gt;=INDEX('How This Works &amp; Sources'!$B$114:$J$120,0,7))*INDEX('How This Works &amp; Sources'!$B$114:$J$120,0,7+2)),SUMPRODUCT(($AZ43&gt;=INDEX('How This Works &amp; Sources'!$B$114:$J$120,0,4))*INDEX('How This Works &amp; Sources'!$B$114:$J$120,0,4+2))),IF($AN43="MO",SUMPRODUCT(($AZ43&gt;=INDEX('How This Works &amp; Sources'!$B$125:$J$132,0,1))*INDEX('How This Works &amp; Sources'!$B$125:$J$132,0,1+2)),IF($AN43="NE",MAX(IF($AU43="Married",SUMPRODUCT(($AZ43&gt;=INDEX('How This Works &amp; Sources'!$B$144:$J$150,0,7))*INDEX('How This Works &amp; Sources'!$B$144:$J$150,0,7+2)),SUMPRODUCT(($AZ43&gt;=INDEX('How This Works &amp; Sources'!$B$144:$J$150,0,4))*INDEX('How This Works &amp; Sources'!$B$144:$J$150,0,4+2))),0.015),IF($AN43="OH",IF($B43&gt;=DATE(2026,8,1),SUMPRODUCT(($AZ43&gt;=INDEX('How This Works &amp; Sources'!$B$203:$J$206,0,1))*INDEX('How This Works &amp; Sources'!$B$203:$J$206,0,1+2)),SUMPRODUCT(($AZ43&gt;=INDEX('How This Works &amp; Sources'!$B$184:$J$198,0,7))*INDEX('How This Works &amp; Sources'!$B$184:$J$198,0,7+2))),IF($AN43="OK",IF($AU43="Married",SUMPRODUCT(($AZ43&gt;=INDEX('How This Works &amp; Sources'!$B$203:$J$206,0,7))*INDEX('How This Works &amp; Sources'!$B$203:$J$206,0,7+2)),SUMPRODUCT(($AZ43&gt;=INDEX('How This Works &amp; Sources'!$B$203:$J$206,0,4))*INDEX('How This Works &amp; Sources'!$B$203:$J$206,0,4+2))),IF($AN43="RI",SUMPRODUCT(($AZ43&gt;=INDEX('How This Works &amp; Sources'!$B$211:$J$214,0,7))*INDEX('How This Works &amp; Sources'!$B$211:$J$214,0,7+2)),IF($AN43="VT",IF($AU43="Married",SUMPRODUCT(($AZ43&gt;=INDEX('How This Works &amp; Sources'!$B$228:$J$232,0,1))*INDEX('How This Works &amp; Sources'!$B$228:$J$232,0,1+2)),SUMPRODUCT(($AZ43&gt;=INDEX('How This Works &amp; Sources'!$B$219:$J$223,0,7))*INDEX('How This Works &amp; Sources'!$B$219:$J$223,0,7+2))),IF($AN43="WV",IF($AU43="Married",SUMPRODUCT(($AZ43&gt;=INDEX('How This Works &amp; Sources'!$B$237:$J$241,0,7))*INDEX('How This Works &amp; Sources'!$B$237:$J$241,0,7+2)),SUMPRODUCT(($AZ43&gt;=INDEX('How This Works &amp; Sources'!$B$228:$J$232,0,7))*INDEX('How This Works &amp; Sources'!$B$228:$J$232,0,7+2))),IF($AN43="AZ",'Second Earner'!$C$82,IF($AN43="ID",IF($AY43&gt;IF($AU43="Married",32000,16094),0.053,0),"")))))))))))))</f>
      </c>
      <c r="CC43" s="24">
        <f>IF($B43="","",IF($AN43="AR",SUMPRODUCT(($AZ43&gt;=INDEX('How This Works &amp; Sources'!$B$82:$J$86,0,7))*INDEX('How This Works &amp; Sources'!$B$82:$J$86,0,7+2)),IF($AN43="DE",SUMPRODUCT(($AZ43&gt;=INDEX('How This Works &amp; Sources'!$B$91:$J$98,0,1))*INDEX('How This Works &amp; Sources'!$B$91:$J$98,0,1+2)),IF($AN43="SC",SUMPRODUCT(($AZ43&gt;=INDEX('How This Works &amp; Sources'!$B$219:$J$223,0,1))*INDEX('How This Works &amp; Sources'!$B$219:$J$223,0,1+2)),IF($AN43="VA",SUMPRODUCT(($AZ43&gt;=INDEX('How This Works &amp; Sources'!$B$219:$J$223,0,4))*INDEX('How This Works &amp; Sources'!$B$219:$J$223,0,4+2)),IF($AN43="WI",SUMPRODUCT(($AZ43&gt;=INDEX('How This Works &amp; Sources'!$B$228:$J$232,0,4))*INDEX('How This Works &amp; Sources'!$B$228:$J$232,0,4+2)),IF($AN43="CO",IF($AY43&gt;IF($AU43="Married",10000,5000),0.044,0),IF($AN43="IA",IF($AY43&gt;IF($AU43="Head of household",19500,IF($AU43="Married",26000,13000)),0.038,0),IF($AN43="IL",IF($AY43&gt;(2925*$AS43+1000*$AT43),0.0495,0),IF($AN43="IN",(0.0295+'Second Earner'!$C$76),IF($AN43="KY",IF($AI43&gt;3360,0.035,0),IF($AN43="MA",IF(MAX(0,$AY43-MIN(($BD42+$Q43+$R43+$S43),2000)-IF($AS43=0,0,IF($AS43=1,4400,1000*$AS43+3400)))&gt;=1107750,0.09,0.05),IF($AN43="MI",IF($AY43&gt;5900*$AS43,0.0425,0),IF($AN43="MS",IF($AI43-IF($AU43="Head of household",3400,IF($AU43="Married",4600,2300))-'Second Earner'!$C$85&gt;10000,0.04,0),IF($AN43="PA",0.0307,"")))))))))))))))</f>
      </c>
      <c r="CD43" s="21">
        <f>IF(YEAR(IF('Second Earner'!$C$7="Weekly",'Second Earner'!$C$9+7*(($BE42+1)-1),IF('Second Earner'!$C$7="Biweekly",'Second Earner'!$C$9+14*(($BE42+1)-1),IF('Second Earner'!$C$7="Semimonthly",DATE(YEAR('Second Earner'!$C$9),MONTH('Second Earner'!$C$9)+INT((($BE42+1)-1)/2),MIN(DAY('Second Earner'!$C$9),DAY(EOMONTH(DATE(YEAR('Second Earner'!$C$9),MONTH('Second Earner'!$C$9)+INT((($BE42+1)-1)/2),1),0))))+IF(MOD(($BE42+1)-1,2)=1,15,0),EDATE('Second Earner'!$C$9,($BE42+1)-1)))))&lt;&gt;'Second Earner'!$C$10,"",IF('Second Earner'!$C$7="Weekly",'Second Earner'!$C$9+7*(($BE42+1)-1),IF('Second Earner'!$C$7="Biweekly",'Second Earner'!$C$9+14*(($BE42+1)-1),IF('Second Earner'!$C$7="Semimonthly",DATE(YEAR('Second Earner'!$C$9),MONTH('Second Earner'!$C$9)+INT((($BE42+1)-1)/2),MIN(DAY('Second Earner'!$C$9),DAY(EOMONTH(DATE(YEAR('Second Earner'!$C$9),MONTH('Second Earner'!$C$9)+INT((($BE42+1)-1)/2),1),0))))+IF(MOD(($BE42+1)-1,2)=1,15,0),EDATE('Second Earner'!$C$9,($BE42+1)-1)))))</f>
      </c>
      <c r="CE43" s="21">
        <f>IF(MIN(IF(AND('Second Earner'!$C$58&gt;MAX($B$6:$B42),'Second Earner'!$C$58&gt;=DATE('Second Earner'!$C$10,1,1),'Second Earner'!$C$58&lt;=DATE('Second Earner'!$C$10,12,31)),'Second Earner'!$C$58,999999),IF(AND('Second Earner'!$C$59&gt;MAX($B$6:$B42),'Second Earner'!$C$59&gt;=DATE('Second Earner'!$C$10,1,1),'Second Earner'!$C$59&lt;=DATE('Second Earner'!$C$10,12,31)),'Second Earner'!$C$59,999999),IF(AND('Second Earner'!$C$60&gt;MAX($B$6:$B42),'Second Earner'!$C$60&gt;=DATE('Second Earner'!$C$10,1,1),'Second Earner'!$C$60&lt;=DATE('Second Earner'!$C$10,12,31)),'Second Earner'!$C$60,999999),IF(AND('Second Earner'!$C$61&gt;MAX($B$6:$B42),'Second Earner'!$C$61&gt;=DATE('Second Earner'!$C$10,1,1),'Second Earner'!$C$61&lt;=DATE('Second Earner'!$C$10,12,31)),'Second Earner'!$C$61,999999),IF(AND('Second Earner'!$C$62&gt;MAX($B$6:$B42),'Second Earner'!$C$62&gt;=DATE('Second Earner'!$C$10,1,1),'Second Earner'!$C$62&lt;=DATE('Second Earner'!$C$10,12,31)),'Second Earner'!$C$62,999999),IF(AND('Second Earner'!$C$63&gt;MAX($B$6:$B42),'Second Earner'!$C$63&gt;=DATE('Second Earner'!$C$10,1,1),'Second Earner'!$C$63&lt;=DATE('Second Earner'!$C$10,12,31)),'Second Earner'!$C$63,999999),IF(AND('Second Earner'!$C$64&gt;MAX($B$6:$B42),'Second Earner'!$C$64&gt;=DATE('Second Earner'!$C$10,1,1),'Second Earner'!$C$64&lt;=DATE('Second Earner'!$C$10,12,31)),'Second Earner'!$C$64,999999),IF(AND('Second Earner'!$C$65&gt;MAX($B$6:$B42),'Second Earner'!$C$65&gt;=DATE('Second Earner'!$C$10,1,1),'Second Earner'!$C$65&lt;=DATE('Second Earner'!$C$10,12,31)),'Second Earner'!$C$65,999999),IF(AND('Second Earner'!$C$66&gt;MAX($B$6:$B42),'Second Earner'!$C$66&gt;=DATE('Second Earner'!$C$10,1,1),'Second Earner'!$C$66&lt;=DATE('Second Earner'!$C$10,12,31)),'Second Earner'!$C$66,999999),IF(AND('Second Earner'!$C$67&gt;MAX($B$6:$B42),'Second Earner'!$C$67&gt;=DATE('Second Earner'!$C$10,1,1),'Second Earner'!$C$67&lt;=DATE('Second Earner'!$C$10,12,31)),'Second Earner'!$C$67,999999))=999999,"",MIN(IF(AND('Second Earner'!$C$58&gt;MAX($B$6:$B42),'Second Earner'!$C$58&gt;=DATE('Second Earner'!$C$10,1,1),'Second Earner'!$C$58&lt;=DATE('Second Earner'!$C$10,12,31)),'Second Earner'!$C$58,999999),IF(AND('Second Earner'!$C$59&gt;MAX($B$6:$B42),'Second Earner'!$C$59&gt;=DATE('Second Earner'!$C$10,1,1),'Second Earner'!$C$59&lt;=DATE('Second Earner'!$C$10,12,31)),'Second Earner'!$C$59,999999),IF(AND('Second Earner'!$C$60&gt;MAX($B$6:$B42),'Second Earner'!$C$60&gt;=DATE('Second Earner'!$C$10,1,1),'Second Earner'!$C$60&lt;=DATE('Second Earner'!$C$10,12,31)),'Second Earner'!$C$60,999999),IF(AND('Second Earner'!$C$61&gt;MAX($B$6:$B42),'Second Earner'!$C$61&gt;=DATE('Second Earner'!$C$10,1,1),'Second Earner'!$C$61&lt;=DATE('Second Earner'!$C$10,12,31)),'Second Earner'!$C$61,999999),IF(AND('Second Earner'!$C$62&gt;MAX($B$6:$B42),'Second Earner'!$C$62&gt;=DATE('Second Earner'!$C$10,1,1),'Second Earner'!$C$62&lt;=DATE('Second Earner'!$C$10,12,31)),'Second Earner'!$C$62,999999),IF(AND('Second Earner'!$C$63&gt;MAX($B$6:$B42),'Second Earner'!$C$63&gt;=DATE('Second Earner'!$C$10,1,1),'Second Earner'!$C$63&lt;=DATE('Second Earner'!$C$10,12,31)),'Second Earner'!$C$63,999999),IF(AND('Second Earner'!$C$64&gt;MAX($B$6:$B42),'Second Earner'!$C$64&gt;=DATE('Second Earner'!$C$10,1,1),'Second Earner'!$C$64&lt;=DATE('Second Earner'!$C$10,12,31)),'Second Earner'!$C$64,999999),IF(AND('Second Earner'!$C$65&gt;MAX($B$6:$B42),'Second Earner'!$C$65&gt;=DATE('Second Earner'!$C$10,1,1),'Second Earner'!$C$65&lt;=DATE('Second Earner'!$C$10,12,31)),'Second Earner'!$C$65,999999),IF(AND('Second Earner'!$C$66&gt;MAX($B$6:$B42),'Second Earner'!$C$66&gt;=DATE('Second Earner'!$C$10,1,1),'Second Earner'!$C$66&lt;=DATE('Second Earner'!$C$10,12,31)),'Second Earner'!$C$66,999999),IF(AND('Second Earner'!$C$67&gt;MAX($B$6:$B42),'Second Earner'!$C$67&gt;=DATE('Second Earner'!$C$10,1,1),'Second Earner'!$C$67&lt;=DATE('Second Earner'!$C$10,12,31)),'Second Earner'!$C$67,999999)))</f>
      </c>
      <c r="CF43">
        <f>IF($B43="","",IF($D43=0,$Y43,""))</f>
      </c>
    </row>
    <row r="44">
      <c r="A44" t="n">
        <v>39</v>
      </c>
      <c r="B44" s="21">
        <f>IF(AND($CD44="",$CE44=""),"",IF($CE44="",$CD44,IF($CD44="",$CE44,MIN($CD44,$CE44))))</f>
      </c>
      <c r="C44" s="7">
        <f>IF($B44="","",IF($BF44=0,0,IF('Second Earner'!$C$4="Annual salary",ROUND($AK44/IF(AND('Second Earner'!$C$88="Actual paydays",MONTH('Second Earner'!$C$9)=1),MAX(1,MAX($BE$6:$BE$68)),'Second Earner'!$C$8),2),$AK44)))</f>
      </c>
      <c r="D44" s="7">
        <f>IF($B44="","",SUMIF('Second Earner'!$C$58:$C$67,$B44,'Second Earner'!$D$58:$D$67))</f>
      </c>
      <c r="E44" s="7">
        <f>IF($B44="","",ROUND(MAX(0,MIN(IF($AL44="Percent",$AM44*($C44+$D44),$AM44),MAX(0,'Second Earner'!$C$34-$AC43))),2))</f>
      </c>
      <c r="F44" s="7">
        <f>IF($B44="","",ROUND(MAX(0,MIN(IF('Second Earner'!$C$32="Percent",'Second Earner'!$D$32*($C44+$D44),'Second Earner'!$D$32),MAX(0,'Second Earner'!$C$34-$AC43-$E44))),2))</f>
      </c>
      <c r="G44" s="7">
        <f>IF($B44="","",IF($BF44=0,0,ROUND(MAX(0,MIN($BL44,'Second Earner'!$C$37-'Second Earner'!$C$54-$BI43)),2)))</f>
      </c>
      <c r="H44" s="7">
        <f>IF($B44="","",IF(OR($BF44=0,$BQ44=1),0,ROUND(MAX(0,MIN(IF($BS44=1,ROUND(MAX(0,MIN($BJ44,'How This Works &amp; Sources'!$C$13)-$BG43)/MAX(1,MAX($BE$6:$BE$68)-($BE43)),2),ROUND(MIN($BJ44,'How This Works &amp; Sources'!$C$13)/'Second Earner'!$C$8,2)),MIN($BJ44,'How This Works &amp; Sources'!$C$13)-$BG43)),2)))</f>
      </c>
      <c r="I44" s="7">
        <f>IF($B44="","",IF(OR($BF44=0,$BR44=1),0,ROUND(MAX(0,MIN(IF($BT44=1,ROUND(MAX(0,MIN($BK44,IF('Second Earner'!$C$12="MFJ",'How This Works &amp; Sources'!$C$14,'How This Works &amp; Sources'!$C$15))-$BH43)/MAX(1,MAX($BE$6:$BE$68)-($BE43)),2),ROUND(MIN($BK44,IF('Second Earner'!$C$12="MFJ",'How This Works &amp; Sources'!$C$14,'How This Works &amp; Sources'!$C$15))/'Second Earner'!$C$8,2)),MIN($BK44,IF('Second Earner'!$C$12="MFJ",'How This Works &amp; Sources'!$C$14,'How This Works &amp; Sources'!$C$15))-$BH43)),2)))</f>
      </c>
      <c r="J44" s="7">
        <f>IF($B44="","",IF($BF44=0,0,$BM44))</f>
      </c>
      <c r="K44" s="7">
        <f>IF($B44="","",IF($BF44=0,0,$BN44+$BO44))</f>
      </c>
      <c r="L44" s="7">
        <f>IF($B44="","",IF($BF44=0,0,'Second Earner'!$D$46))</f>
      </c>
      <c r="M44" s="7">
        <f>IF($B44="","",$C44+$D44+$L44-$E44-$G44-$H44-$I44-$J44-$K44)</f>
      </c>
      <c r="N44" s="7">
        <f>IF($B44="","",$C44+$D44+$L44-$G44-$H44-$I44-$J44-$K44)</f>
      </c>
      <c r="O44" s="7">
        <f>IF($B44="","",$C44+$D44+$L44-$E44-$H44-$I44-$J44-$K44-IF(OR($AN44="CA",$AN44="NJ"),0,$G44))</f>
      </c>
      <c r="P44" s="7">
        <f>IF($B44="","",IF('Second Earner'!$C$18,0,ROUND(MAX(0,IF('Second Earner'!$C$13,SUMPRODUCT(($AH44&gt;INDEX('How This Works &amp; Sources'!$B$29:$J$36,0,IF('Second Earner'!$C$12="MFJ",1,IF('Second Earner'!$C$12="HoH",7,4))))*($AH44-INDEX('How This Works &amp; Sources'!$B$29:$J$36,0,IF('Second Earner'!$C$12="MFJ",1,IF('Second Earner'!$C$12="HoH",7,4))))*INDEX('How This Works &amp; Sources'!$B$29:$J$36,0,IF('Second Earner'!$C$12="MFJ",1,IF('Second Earner'!$C$12="HoH",7,4))+2)),SUMPRODUCT(($AH44&gt;INDEX('How This Works &amp; Sources'!$B$19:$J$26,0,IF('Second Earner'!$C$12="MFJ",1,IF('Second Earner'!$C$12="HoH",7,4))))*($AH44-INDEX('How This Works &amp; Sources'!$B$19:$J$26,0,IF('Second Earner'!$C$12="MFJ",1,IF('Second Earner'!$C$12="HoH",7,4))))*INDEX('How This Works &amp; Sources'!$B$19:$J$26,0,IF('Second Earner'!$C$12="MFJ",1,IF('Second Earner'!$C$12="HoH",7,4))+2)))/'Second Earner'!$C$8-$AO44/'Second Earner'!$C$8)+$AR44+IF('Second Earner'!$C$89="Aggregate",MAX(0,IF('Second Earner'!$C$13,SUMPRODUCT((($AH44+$D44)&gt;INDEX('How This Works &amp; Sources'!$B$29:$J$36,0,IF('Second Earner'!$C$12="MFJ",1,IF('Second Earner'!$C$12="HoH",7,4))))*(($AH44+$D44)-INDEX('How This Works &amp; Sources'!$B$29:$J$36,0,IF('Second Earner'!$C$12="MFJ",1,IF('Second Earner'!$C$12="HoH",7,4))))*INDEX('How This Works &amp; Sources'!$B$29:$J$36,0,IF('Second Earner'!$C$12="MFJ",1,IF('Second Earner'!$C$12="HoH",7,4))+2)),SUMPRODUCT((($AH44+$D44)&gt;INDEX('How This Works &amp; Sources'!$B$19:$J$26,0,IF('Second Earner'!$C$12="MFJ",1,IF('Second Earner'!$C$12="HoH",7,4))))*(($AH44+$D44)-INDEX('How This Works &amp; Sources'!$B$19:$J$26,0,IF('Second Earner'!$C$12="MFJ",1,IF('Second Earner'!$C$12="HoH",7,4))))*INDEX('How This Works &amp; Sources'!$B$19:$J$26,0,IF('Second Earner'!$C$12="MFJ",1,IF('Second Earner'!$C$12="HoH",7,4))+2)))-IF('Second Earner'!$C$13,SUMPRODUCT(($AH44&gt;INDEX('How This Works &amp; Sources'!$B$29:$J$36,0,IF('Second Earner'!$C$12="MFJ",1,IF('Second Earner'!$C$12="HoH",7,4))))*($AH44-INDEX('How This Works &amp; Sources'!$B$29:$J$36,0,IF('Second Earner'!$C$12="MFJ",1,IF('Second Earner'!$C$12="HoH",7,4))))*INDEX('How This Works &amp; Sources'!$B$29:$J$36,0,IF('Second Earner'!$C$12="MFJ",1,IF('Second Earner'!$C$12="HoH",7,4))+2)),SUMPRODUCT(($AH44&gt;INDEX('How This Works &amp; Sources'!$B$19:$J$26,0,IF('Second Earner'!$C$12="MFJ",1,IF('Second Earner'!$C$12="HoH",7,4))))*($AH44-INDEX('How This Works &amp; Sources'!$B$19:$J$26,0,IF('Second Earner'!$C$12="MFJ",1,IF('Second Earner'!$C$12="HoH",7,4))))*INDEX('How This Works &amp; Sources'!$B$19:$J$26,0,IF('Second Earner'!$C$12="MFJ",1,IF('Second Earner'!$C$12="HoH",7,4))+2)))),'How This Works &amp; Sources'!$C$10*$D44),2)))</f>
      </c>
      <c r="Q44" s="7">
        <f>IF($B44="","",ROUND('How This Works &amp; Sources'!$C$4*MIN($N44,MAX(0,'How This Works &amp; Sources'!$C$3-($AX44+$AB43-$AW44))),2))</f>
      </c>
      <c r="R44" s="7">
        <f>IF($B44="","",ROUND('How This Works &amp; Sources'!$C$5*$N44,2))</f>
      </c>
      <c r="S44" s="7">
        <f>IF($B44="","",ROUND('How This Works &amp; Sources'!$C$6*MAX(0,MIN($N44,$AG43+$N44-'How This Works &amp; Sources'!$C$7)),2))</f>
      </c>
      <c r="T44" s="7">
        <f>IF($B44="","",IF('Second Earner'!$C$26,0,IF($AN44="CA",ROUND(IF($AI44&lt;=IF(($AS44+$AT44)&gt;=2,VLOOKUP($AN44,StateTables!$A$6:$AB$56,10,FALSE),VLOOKUP($AN44,StateTables!$A$6:$AB$56,9,FALSE)),0,MAX(0,SUMPRODUCT(($AJ44&gt;INDEX('How This Works &amp; Sources'!$B$39:$J$48,0,IF($AU44="Married",4,IF($AU44="Head of household",7,1))))*($AJ44-INDEX('How This Works &amp; Sources'!$B$39:$J$48,0,IF($AU44="Married",4,IF($AU44="Head of household",7,1))))*INDEX('How This Works &amp; Sources'!$B$39:$J$48,0,IF($AU44="Married",4,IF($AU44="Head of household",7,1))+2))-VLOOKUP($AN44,StateTables!$A$6:$AB$56,11,FALSE)*$AS44)/'Second Earner'!$C$8)+'Second Earner'!$C$25+VLOOKUP($AN44,StateTables!$A$6:$AB$56,13,FALSE)*$D44,2),IF(VLOOKUP($AN44,StateTables!$A$6:$AB$56,4,FALSE)="None",0,IF(ISNUMBER(SEARCH("MANUAL",VLOOKUP($AN44,StateTables!$A$6:$AB$56,5,FALSE))),'Second Earner'!$C$28,ROUND(MAX(0,$BA44+$BB44)/'Second Earner'!$C$8+'Second Earner'!$C$25+$BC44,2))))))</f>
      </c>
      <c r="U44" s="7">
        <f>IF($B44="","",IF(VLOOKUP($AN44,StateTables!$A$6:$AB$56,24,FALSE)="flatq",IF(OR(MONTH($B44)=1,MONTH($B44)=4,MONTH($B44)=7,MONTH($B44)=10),VLOOKUP($AN44,StateTables!$A$6:$AB$56,25,FALSE),0),IF(VLOOKUP($AN44,StateTables!$A$6:$AB$56,24,FALSE)="dbl",MIN(ROUND(0.005*$N44,2),ROUND(0.6*52/'Second Earner'!$C$8,2)),IF(OR(VLOOKUP($AN44,StateTables!$A$6:$AB$56,15,FALSE)="",VLOOKUP($AN44,StateTables!$A$6:$AB$56,15,FALSE)=0),0,ROUND(VLOOKUP($AN44,StateTables!$A$6:$AB$56,15,FALSE)*IF(OR(VLOOKUP($AN44,StateTables!$A$6:$AB$56,16,FALSE)="",VLOOKUP($AN44,StateTables!$A$6:$AB$56,16,FALSE)=0),$N44,MIN($N44,MAX(0,VLOOKUP($AN44,StateTables!$A$6:$AB$56,16,FALSE)-($AX44+$AB43-$AW44)))),2))))+IF(VLOOKUP($AN44,StateTables!$A$6:$AB$56,27,FALSE)="flatq",IF(OR(MONTH($B44)=1,MONTH($B44)=4,MONTH($B44)=7,MONTH($B44)=10),VLOOKUP($AN44,StateTables!$A$6:$AB$56,28,FALSE),0),IF(VLOOKUP($AN44,StateTables!$A$6:$AB$56,27,FALSE)="dbl",MIN(ROUND(0.005*$N44,2),ROUND(0.6*52/'Second Earner'!$C$8,2)),IF(OR(VLOOKUP($AN44,StateTables!$A$6:$AB$56,18,FALSE)="",VLOOKUP($AN44,StateTables!$A$6:$AB$56,18,FALSE)=0),0,ROUND(VLOOKUP($AN44,StateTables!$A$6:$AB$56,18,FALSE)*IF(OR(VLOOKUP($AN44,StateTables!$A$6:$AB$56,19,FALSE)="",VLOOKUP($AN44,StateTables!$A$6:$AB$56,19,FALSE)=0),$N44,MIN($N44,MAX(0,VLOOKUP($AN44,StateTables!$A$6:$AB$56,19,FALSE)-($AX44+$AB43-$AW44)))),2)))))</f>
      </c>
      <c r="V44" s="7">
        <f>IF($B44="","",IF($AN44="NY",IF('Second Earner'!$C$78,ROUND(SUMPRODUCT((MAX(0,($O44-$D44)*'Second Earner'!$C$8-(IF($AU44="Married",5500,5000)+1000*$AS44))&gt;INDEX('How This Works &amp; Sources'!$B$184:$J$198,0,4))*(MAX(0,($O44-$D44)*'Second Earner'!$C$8-(IF($AU44="Married",5500,5000)+1000*$AS44))-INDEX('How This Works &amp; Sources'!$B$184:$J$198,0,4))*INDEX('How This Works &amp; Sources'!$B$184:$J$198,0,4+2))/'Second Earner'!$C$8+0.0425*$D44,2),0)+IF('Second Earner'!$C$79="Resident",ROUND(0.1675*$T44,2),IF('Second Earner'!$C$79="Nonresident",ROUND(0.005*MAX(0,($O44-$D44)-(IF($AU44="Married",7950,7400)+1000*$AS44)/'Second Earner'!$C$8),2),0)),IF($AN44="PA",IF('Second Earner'!$C$80="None",'Second Earner'!$C$27+ROUND('Second Earner'!$C$81*($C44+$D44),2),ROUND(IF('Second Earner'!$C$80="Resident",IF($B44&lt;DATE(2026,7,1),0.0374,0.03735),IF($B44&lt;DATE(2026,7,1),0.0343,0.03425))*($C44+$D44),2)),IF($BF44=0,ROUND('Second Earner'!$C$81*($C44+$D44),2),'Second Earner'!$C$27+ROUND('Second Earner'!$C$81*($C44+$D44),2)))))</f>
      </c>
      <c r="W44" s="7">
        <f>IF($B44="","",IF($BF44=0,0,$BP44))</f>
      </c>
      <c r="X44" s="7">
        <f>IF($B44="","",SUM($E44:$K44)+$P44+$Q44+$R44+$S44+$T44+$U44+$V44+$W44)</f>
      </c>
      <c r="Y44" s="22">
        <f>IF($B44="","",$C44+$D44-$X44)</f>
      </c>
      <c r="Z44" s="7">
        <f>IF($B44="","",$Z43+$C44+$D44)</f>
      </c>
      <c r="AA44" s="7">
        <f>IF($B44="","",$AA43+$Y44)</f>
      </c>
      <c r="AB44" s="7">
        <f>IF($B44="","",$AB43+MIN($N44,MAX(0,'How This Works &amp; Sources'!$C$3-($AX44+$AB43-$AW44))))</f>
      </c>
      <c r="AC44" s="7">
        <f>IF($B44="","",$AC43+$E44+$F44)</f>
      </c>
      <c r="AD44" s="3">
        <f>IF($B44="","",IF(AND($AB43&lt;'How This Works &amp; Sources'!$C$3,$AB44&gt;='How This Works &amp; Sources'!$C$3),"★ Social Security maxed on this check — from the next check your net rises by about $"&amp;TEXT(ROUND('How This Works &amp; Sources'!$C$4*$N44,2),"#,##0.00")&amp;". ","")&amp;IF(AND($AC43&lt;'Second Earner'!$C$34,$AC44&gt;='Second Earner'!$C$34),"★ 401(k) reaches the $"&amp;TEXT('Second Earner'!$C$34,"#,##0")&amp;" cap on this check — deferrals stop and net pay rises. ","")&amp;IF(AND($AG43&lt;'How This Works &amp; Sources'!$C$7,$AG44&gt;='How This Works &amp; Sources'!$C$7),"★ Wages pass $200,000 — the 0.9% Additional Medicare Tax starts here. ","")&amp;IF(AND($BJ44&gt;0,$H44&gt;0,$BG43&lt;MIN($BJ44,'How This Works &amp; Sources'!$C$13),$BG43+$H44&gt;=MIN($BJ44,'How This Works &amp; Sources'!$C$13)),"★ Health FSA election is now fully deferred for the year. ",""))</f>
      </c>
      <c r="AE44" s="41" t="n"/>
      <c r="AF44" s="7">
        <f>IF(OR($B44="",$AE44=""),"",$AE44-$Y44)</f>
      </c>
      <c r="AG44" s="7">
        <f>IF($B44="","",$AG43+$N44)</f>
      </c>
      <c r="AH44" s="7">
        <f>IF($B44="","",MAX(0,($M44-$D44)*'Second Earner'!$C$8+$AP44-$AQ44-IF('Second Earner'!$C$13,0,IF('Second Earner'!$C$12="MFJ",'How This Works &amp; Sources'!$C$8,'How This Works &amp; Sources'!$C$9))))</f>
      </c>
      <c r="AI44" s="7">
        <f>IF($B44="","",$O44*'Second Earner'!$C$8)</f>
      </c>
      <c r="AJ44" s="7">
        <f>IF($B44="","",MAX(0,$AI44-VLOOKUP($AN44,StateTables!$A$6:$AB$56,12,FALSE)*$AT44-IF(($AS44+$AT44)&gt;=2,VLOOKUP($AN44,StateTables!$A$6:$AB$56,8,FALSE),VLOOKUP($AN44,StateTables!$A$6:$AB$56,7,FALSE))))</f>
      </c>
      <c r="AK44" s="7">
        <f>IF($B44="","",IFERROR(LOOKUP(2,1/(('Changes — Earner 2'!$C$6:$C$17="Salary change")*('Changes — Earner 2'!$B$6:$B$17&lt;=$B44)*('Changes — Earner 2'!$B$6:$B$17&lt;&gt;"")),'Changes — Earner 2'!$D$6:$D$17),IF('Second Earner'!$C$4="Annual salary",'Second Earner'!$C$5,'Second Earner'!$C$6)))</f>
      </c>
      <c r="AL44">
        <f>IF($B44="","",IFERROR(LOOKUP(2,1/(('Changes — Earner 2'!$C$6:$C$17="401(k) change")*('Changes — Earner 2'!$B$6:$B$17&lt;=$B44)*('Changes — Earner 2'!$B$6:$B$17&lt;&gt;"")),'Changes — Earner 2'!$D$6:$D$17),'Second Earner'!$C$30))</f>
      </c>
      <c r="AM44" s="7">
        <f>IF($B44="","",IFERROR(LOOKUP(2,1/(('Changes — Earner 2'!$C$6:$C$17="401(k) change")*('Changes — Earner 2'!$B$6:$B$17&lt;=$B44)*('Changes — Earner 2'!$B$6:$B$17&lt;&gt;"")),'Changes — Earner 2'!$E$6:$E$17),'Second Earner'!$D$31))</f>
      </c>
      <c r="AN44">
        <f>IF($B44="","",IFERROR(LOOKUP(2,1/(('Changes — Earner 2'!$C$6:$C$17="State move")*('Changes — Earner 2'!$B$6:$B$17&lt;=$B44)*('Changes — Earner 2'!$B$6:$B$17&lt;&gt;"")),'Changes — Earner 2'!$D$6:$D$17),'Second Earner'!$C$21))</f>
      </c>
      <c r="AO44" s="7">
        <f>IF($B44="","",IFERROR(LOOKUP(2,1/(('Changes — Earner 2'!$C$6:$C$17="W-4 change")*('Changes — Earner 2'!$B$6:$B$17&lt;=$B44)*('Changes — Earner 2'!$B$6:$B$17&lt;&gt;"")),'Changes — Earner 2'!$D$6:$D$17),'Second Earner'!$C$14))</f>
      </c>
      <c r="AP44" s="7">
        <f>IF($B44="","",IFERROR(LOOKUP(2,1/(('Changes — Earner 2'!$C$6:$C$17="W-4 change")*('Changes — Earner 2'!$B$6:$B$17&lt;=$B44)*('Changes — Earner 2'!$B$6:$B$17&lt;&gt;"")),'Changes — Earner 2'!$E$6:$E$17),'Second Earner'!$C$15))</f>
      </c>
      <c r="AQ44" s="7">
        <f>IF($B44="","",IFERROR(LOOKUP(2,1/(('Changes — Earner 2'!$C$6:$C$17="W-4 change")*('Changes — Earner 2'!$B$6:$B$17&lt;=$B44)*('Changes — Earner 2'!$B$6:$B$17&lt;&gt;"")),'Changes — Earner 2'!$F$6:$F$17),'Second Earner'!$C$16))</f>
      </c>
      <c r="AR44" s="7">
        <f>IF($B44="","",IFERROR(LOOKUP(2,1/(('Changes — Earner 2'!$C$6:$C$17="W-4 change")*('Changes — Earner 2'!$B$6:$B$17&lt;=$B44)*('Changes — Earner 2'!$B$6:$B$17&lt;&gt;"")),'Changes — Earner 2'!$G$6:$G$17),'Second Earner'!$C$17))</f>
      </c>
      <c r="AS44" s="6">
        <f>IF($B44="","",IFERROR(LOOKUP(2,1/((('Changes — Earner 2'!$C$6:$C$17="State move")+('Changes — Earner 2'!$C$6:$C$17="State cert change"))*('Changes — Earner 2'!$B$6:$B$17&lt;=$B44)*('Changes — Earner 2'!$B$6:$B$17&lt;&gt;"")),'Changes — Earner 2'!$F$6:$F$17),'Second Earner'!$C$23))</f>
      </c>
      <c r="AT44" s="6">
        <f>IF($B44="","",IFERROR(LOOKUP(2,1/((('Changes — Earner 2'!$C$6:$C$17="State move")+('Changes — Earner 2'!$C$6:$C$17="State cert change"))*('Changes — Earner 2'!$B$6:$B$17&lt;=$B44)*('Changes — Earner 2'!$B$6:$B$17&lt;&gt;"")),'Changes — Earner 2'!$G$6:$G$17),'Second Earner'!$C$24))</f>
      </c>
      <c r="AU44">
        <f>IF($B44="","",IFERROR(LOOKUP(2,1/(('Changes — Earner 2'!$C$6:$C$17="State move")*('Changes — Earner 2'!$B$6:$B$17&lt;=$B44)*('Changes — Earner 2'!$B$6:$B$17&lt;&gt;"")),'Changes — Earner 2'!$E$6:$E$17),'Second Earner'!$C$22))</f>
      </c>
      <c r="AV44" s="6">
        <f>IF($B44="","",1+COUNTIFS('Changes — Earner 2'!$C$6:$C$17,"Employer change",'Changes — Earner 2'!$B$6:$B$17,"&lt;="&amp;$B44,'Changes — Earner 2'!$B$6:$B$17,"&lt;&gt;"))</f>
      </c>
      <c r="AW44" s="7">
        <f>IF($B44="","",IF($AV44=1,'Second Earner'!$C$49,IF(IFERROR(MATCH(IFERROR(LOOKUP(2,1/(('Changes — Earner 2'!$C$6:$C$17="Employer change")*('Changes — Earner 2'!$B$6:$B$17&lt;=$B44)*('Changes — Earner 2'!$B$6:$B$17&lt;&gt;"")),'Changes — Earner 2'!$B$6:$B$17),""),$B$6:$B$68,1),1)&lt;=1,'Second Earner'!$C$49,INDEX($AB$6:$AB$68,MATCH(IFERROR(LOOKUP(2,1/(('Changes — Earner 2'!$C$6:$C$17="Employer change")*('Changes — Earner 2'!$B$6:$B$17&lt;=$B44)*('Changes — Earner 2'!$B$6:$B$17&lt;&gt;"")),'Changes — Earner 2'!$B$6:$B$17),""),$B$6:$B$68,1)-1))))</f>
      </c>
      <c r="AX44" s="7">
        <f>IF($B44="","",IF($AV44=1,'Second Earner'!$C$49,IFERROR(LOOKUP(2,1/(('Changes — Earner 2'!$C$6:$C$17="Employer change")*('Changes — Earner 2'!$B$6:$B$17&lt;=$B44)*('Changes — Earner 2'!$B$6:$B$17&lt;&gt;"")),'Changes — Earner 2'!$D$6:$D$17),0)))</f>
      </c>
      <c r="AY44" s="7">
        <f>IF($B44="","",($O44-$D44)*'Second Earner'!$C$8)</f>
      </c>
      <c r="AZ44" s="7">
        <f>IF($B44="","",IF($AN44="AL",MAX(0,$AY44-IF($AU44="Married",IF($AY44&lt;=25999,8500,MAX(5000,8500-175*CEILING(($AY44-25999)/500,1))),IF($AU44="Head of household",IF($AY44&lt;=25999,5200,MAX(2500,5200-135*CEILING(($AY44-25999)/500,1))),IF($AY44&lt;=25999,3000,MAX(2500,3000-25*CEILING(($AY44-25999)/500,1)))))-($P44-'How This Works &amp; Sources'!$C$10*$D44)*'Second Earner'!$C$8-IF(OR($AU44="Married",$AU44="Head of household"),3000,1500)-$AT44*IF($AY44&lt;=50000,1000,IF($AY44&lt;=100000,500,300))),IF($AN44="AR",IF(MAX(0,$AY44-2470)&lt;97701,INT(MAX(0,$AY44-2470)/100)*100+50,MAX(0,$AY44-2470)),IF($AN44="DE",MAX(0,$AI44-3250),IF($AN44="HI",MAX(0,$AI44-1144*$AS44-4350),IF($AN44="KS",MAX(0,$AI44-(9160*IF($AU44="Married",2,1)+2320*$AT44+IF($AU44="Head of household",2320,0))),IF($AN44="MD",MAX(0,$AI44-3400-3200*$AS44),IF($AN44="MN",MAX(0,$AY44-5300*$AS44),IF($AN44="MO",MAX(0,$AI44-IF($AU44="Head of household",24150,IF($AU44="Married",IF('Second Earner'!$C$83,16100,32200),16100))),IF($AN44="MT",$AY44,IF($AN44="ND",($C44+$L44)*'Second Earner'!$C$8,IF($AN44="NE",MAX(0,$AY44-2440*$AS44),IF($AN44="NJ",MAX(0,$AY44-1000*$AS44),IF($AN44="NY",MAX(0,$AY44-(IF($AU44="Married",7950,7400)+1000*$AS44)),IF($AN44="OH",MAX(0,$AY44-650*$AS44),IF($AN44="OK",MAX(0,$AY44-1000*$AS44),IF($AN44="RI",MAX(0,$AI44-1000*$AS44),IF($AN44="SC",MAX(0,$AI44-5000*$AS44-IF($AS44=0,0,MIN(0.1*$AI44,7500))),IF($AN44="VA",MAX(0,$AI44-IF($AU44="Married",17500,8750)-930*$AS44-800*$AT44),IF($AN44="VT",MAX(0,$AI44-5400*$AS44),IF($AN44="WI",MAX(0,$AI44-MAX(0,IF($AU44="Married",9461-0.2*MAX(0,$AI44-25727),6702-0.12*MAX(0,$AI44-17780)))-400*$AS44),IF($AN44="WV",MAX(0,$AI44-2000*$AS44),$AI44))))))))))))))))))))))</f>
      </c>
      <c r="BA44" s="7">
        <f>IF($B44="","",IF($BW44&lt;&gt;"",$BW44,IF($BX44&lt;&gt;"",$BX44,IF($BY44&lt;&gt;"",$BY44,0))))</f>
      </c>
      <c r="BB44" s="7">
        <f>IF($B44="","",IF($AN44="AR",-29*$AS44,IF($AN44="DE",-110*$AS44,IF($AN44="MD",$AZ44*'Second Earner'!$C$74,IF($AN44="AZ",'Second Earner'!$C$82*($M44-$D44)*'Second Earner'!$C$8,IF($AN44="CO",0.044*MAX(0,$AY44-IF($AU44="Married",10000,5000)),IF($AN44="IA",MAX(0,0.038*MAX(0,$AY44-IF($AU44="Head of household",19500,IF($AU44="Married",26000,13000)))-40*$AS44),IF($AN44="ID",0.053*MAX(0,$AY44-IF($AU44="Married",32000,16094)),IF($AN44="IL",0.0495*MAX(0,$AY44-(2925*$AS44+1000*$AT44)),IF($AN44="IN",(0.0295+'Second Earner'!$C$76)*MAX(0,$AY44-(1000*$AS44+1500*$AT44+3000*'Second Earner'!$C$86)),IF($AN44="KY",0.035*MAX(0,$AI44-3360),IF($AN44="LA",IF('Second Earner'!$C$84="0",0.0309*$AI44,0.0309*MAX(0,$AI44-IF('Second Earner'!$C$84="2",25750,12875))),IF($AN44="MA",0.05*MIN(MAX(0,$AY44-MIN(($BD43+$Q44+$R44+$S44),2000)-IF($AS44=0,0,IF($AS44=1,4400,1000*$AS44+3400))),1107750)+0.09*MAX(0,MAX(0,$AY44-MIN(($BD43+$Q44+$R44+$S44),2000)-IF($AS44=0,0,IF($AS44=1,4400,1000*$AS44+3400)))-1107750)-IF($AU44="Head of household",120,0)-110*'Second Earner'!$C$75,IF($AN44="MI",0.0425*MAX(0,$AY44-5900*$AS44),IF($AN44="MS",0.04*MAX(0,$AI44-IF($AU44="Head of household",3400,IF($AU44="Married",4600,2300))-'Second Earner'!$C$85-10000),IF($AN44="OR",IF(OR($AU44="Married",AND($AU44="Single",$AS44&gt;=3)),SUMPRODUCT((MAX(0,$AY44-MIN(($P44-'How This Works &amp; Sources'!$C$10*$D44)*'Second Earner'!$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Sources'!$B$211:$J$214,0,4))*(MAX(0,$AY44-MIN(($P44-'How This Works &amp; Sources'!$C$10*$D44)*'Second Earner'!$C$8,IF(OR($AU44="Married",AND($AU44="Single",$AS44&gt;=3)),IF($AY44&lt;250000,8750,IF($AY44&lt;260000,7000,IF($AY44&lt;270000,5250,IF($AY44&lt;280000,3500,IF($AY44&lt;290000,1750,0))))),IF($AY44&lt;125000,8750,IF($AY44&lt;130000,7000,IF($AY44&lt;135000,5250,IF($AY44&lt;140000,3500,IF($AY44&lt;145000,1750,0)))))))-IF(OR($AU44="Married",AND($AU44="Single",$AS44&gt;=3)),5820,2910))-INDEX('How This Works &amp; Sources'!$B$211:$J$214,0,4))*INDEX('How This Works &amp; Sources'!$B$211:$J$214,0,4+2)),SUMPRODUCT((MAX(0,$AY44-MIN(($P44-'How This Works &amp; Sources'!$C$10*$D44)*'Second Earner'!$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Sources'!$B$211:$J$214,0,1))*(MAX(0,$AY44-MIN(($P44-'How This Works &amp; Sources'!$C$10*$D44)*'Second Earner'!$C$8,IF(OR($AU44="Married",AND($AU44="Single",$AS44&gt;=3)),IF($AY44&lt;250000,8750,IF($AY44&lt;260000,7000,IF($AY44&lt;270000,5250,IF($AY44&lt;280000,3500,IF($AY44&lt;290000,1750,0))))),IF($AY44&lt;125000,8750,IF($AY44&lt;130000,7000,IF($AY44&lt;135000,5250,IF($AY44&lt;140000,3500,IF($AY44&lt;145000,1750,0)))))))-IF(OR($AU44="Married",AND($AU44="Single",$AS44&gt;=3)),5820,2910))-INDEX('How This Works &amp; Sources'!$B$211:$J$214,0,1))*INDEX('How This Works &amp; Sources'!$B$211:$J$214,0,1+2)))+263-263*IF(IF($AU44="Married",$AY44&gt;200000,$AY44&gt;100000),0,$AS44),IF($AN44="PA",0.0307*(($O44+$E44+$G44)*'Second Earner'!$C$8),IF($AN44="NY",IF($AU44="Married",IF($AZ44&gt;=2155350,0,IF($AZ44&gt;=1077550,0.48,IF($AZ44&gt;=373200,1.21,IF($AZ44&gt;=323200,0.21,IF($AZ44&gt;=211550,-0.19,IF($AZ44&gt;=157650,-2.8,IF($AZ44&gt;=107650,-0.8,IF($AZ44&gt;=96800,0.05,IF($AZ44&gt;=80650,-0.1,IF($AZ44&gt;=13900,0.4,IF($AZ44&gt;=11700,-0.3,IF($AZ44&gt;=8500,0.5,0)))))))))))),IF($AZ44&gt;=1077550,0,IF($AZ44&gt;=265400,4.29,IF($AZ44&gt;=215400,2.29,IF($AZ44&gt;=157650,2.29,IF($AZ44&gt;=107650,0.29,IF($AZ44&gt;=96800,0.05,IF($AZ44&gt;=80650,-0.1,IF($AZ44&gt;=13900,0.4,IF($AZ44&gt;=11700,-0.3,IF($AZ44&gt;=8500,0.5,0))))))))))),0))))))))))))))))))</f>
      </c>
      <c r="BC44" s="7">
        <f>IF($B44="","",IF($AN44="AL",0.05*$D44,IF($AN44="AR",0.039*$D44,IF($AN44="ID",0.053*$D44,IF($AN44="IN",(0.0295+'Second Earner'!$C$76)*$D44,IF($AN44="KS",0.05*$D44,IF($AN44="MA",0.09*MIN($D44,MAX(0,MAX(0,$AY44-MIN(($BD43+$Q44+$R44+$S44),2000)-IF($AS44=0,0,IF($AS44=1,4400,1000*$AS44+3400)))+$D44-1107750))+0.05*($D44-MIN($D44,MAX(0,MAX(0,$AY44-MIN(($BD43+$Q44+$R44+$S44),2000)-IF($AS44=0,0,IF($AS44=1,4400,1000*$AS44+3400)))+$D44-1107750))),IF($AN44="MD",(0.065+'Second Earner'!$C$74)*$D44,IF($AN44="MI",0.0425*$D44,IF($AN44="MN",0.0625*$D44,IF($AN44="MO",0.047*$D44,IF($AN44="MT",0.05*$D44,IF($AN44="ND",0.015*$D44,IF($AN44="NE",0.035*$D44,IF($AN44="NJ",IF('Second Earner'!$C$77="B",SUMPRODUCT(($D44*'Second Earner'!$C$8&gt;INDEX('How This Works &amp; Sources'!$B$155:$J$162,0,4))*($D44*'Second Earner'!$C$8-INDEX('How This Works &amp; Sources'!$B$155:$J$162,0,4))*INDEX('How This Works &amp; Sources'!$B$155:$J$162,0,4+2)),IF('Second Earner'!$C$77="C",SUMPRODUCT(($D44*'Second Earner'!$C$8&gt;INDEX('How This Works &amp; Sources'!$B$155:$J$162,0,7))*($D44*'Second Earner'!$C$8-INDEX('How This Works &amp; Sources'!$B$155:$J$162,0,7))*INDEX('How This Works &amp; Sources'!$B$155:$J$162,0,7+2)),IF('Second Earner'!$C$77="D",SUMPRODUCT(($D44*'Second Earner'!$C$8&gt;INDEX('How This Works &amp; Sources'!$B$167:$J$179,0,1))*($D44*'Second Earner'!$C$8-INDEX('How This Works &amp; Sources'!$B$167:$J$179,0,1))*INDEX('How This Works &amp; Sources'!$B$167:$J$179,0,1+2)),IF('Second Earner'!$C$77="E",SUMPRODUCT(($D44*'Second Earner'!$C$8&gt;INDEX('How This Works &amp; Sources'!$B$167:$J$179,0,4))*($D44*'Second Earner'!$C$8-INDEX('How This Works &amp; Sources'!$B$167:$J$179,0,4))*INDEX('How This Works &amp; Sources'!$B$167:$J$179,0,4+2)),SUMPRODUCT(($D44*'Second Earner'!$C$8&gt;INDEX('How This Works &amp; Sources'!$B$155:$J$162,0,1))*($D44*'Second Earner'!$C$8-INDEX('How This Works &amp; Sources'!$B$155:$J$162,0,1))*INDEX('How This Works &amp; Sources'!$B$155:$J$162,0,1+2))))))/'Second Earner'!$C$8,IF($AN44="NY",0.117*$D44,IF($AN44="OH",0.0275*$D44,IF($AN44="OK",0.045*$D44,IF($AN44="OR",0.08*$D44,IF($AN44="WI",IF($AY44&lt;12760,0.0354,IF($AY44&lt;25520,0.0465,IF($AY44&lt;280950,0.053,0.0765)))*$D44,0))))))))))))))))))))</f>
      </c>
      <c r="BD44" s="7">
        <f>IF($B44="","",$BD43+$Q44+$R44+$S44)</f>
      </c>
      <c r="BE44" s="6">
        <f>IF($B44="",$BE43,$BE43+$BF44)</f>
      </c>
      <c r="BF44" s="6">
        <f>IF($B44="","",IF(AND(IF(YEAR(IF('Second Earner'!$C$7="Weekly",'Second Earner'!$C$9+7*(($BE43+1)-1),IF('Second Earner'!$C$7="Biweekly",'Second Earner'!$C$9+14*(($BE43+1)-1),IF('Second Earner'!$C$7="Semimonthly",DATE(YEAR('Second Earner'!$C$9),MONTH('Second Earner'!$C$9)+INT((($BE43+1)-1)/2),MIN(DAY('Second Earner'!$C$9),DAY(EOMONTH(DATE(YEAR('Second Earner'!$C$9),MONTH('Second Earner'!$C$9)+INT((($BE43+1)-1)/2),1),0))))+IF(MOD(($BE43+1)-1,2)=1,15,0),EDATE('Second Earner'!$C$9,($BE43+1)-1)))))&lt;&gt;'Second Earner'!$C$10,"",IF('Second Earner'!$C$7="Weekly",'Second Earner'!$C$9+7*(($BE43+1)-1),IF('Second Earner'!$C$7="Biweekly",'Second Earner'!$C$9+14*(($BE43+1)-1),IF('Second Earner'!$C$7="Semimonthly",DATE(YEAR('Second Earner'!$C$9),MONTH('Second Earner'!$C$9)+INT((($BE43+1)-1)/2),MIN(DAY('Second Earner'!$C$9),DAY(EOMONTH(DATE(YEAR('Second Earner'!$C$9),MONTH('Second Earner'!$C$9)+INT((($BE43+1)-1)/2),1),0))))+IF(MOD(($BE43+1)-1,2)=1,15,0),EDATE('Second Earner'!$C$9,($BE43+1)-1)))))&lt;&gt;"",$B44=IF(YEAR(IF('Second Earner'!$C$7="Weekly",'Second Earner'!$C$9+7*(($BE43+1)-1),IF('Second Earner'!$C$7="Biweekly",'Second Earner'!$C$9+14*(($BE43+1)-1),IF('Second Earner'!$C$7="Semimonthly",DATE(YEAR('Second Earner'!$C$9),MONTH('Second Earner'!$C$9)+INT((($BE43+1)-1)/2),MIN(DAY('Second Earner'!$C$9),DAY(EOMONTH(DATE(YEAR('Second Earner'!$C$9),MONTH('Second Earner'!$C$9)+INT((($BE43+1)-1)/2),1),0))))+IF(MOD(($BE43+1)-1,2)=1,15,0),EDATE('Second Earner'!$C$9,($BE43+1)-1)))))&lt;&gt;'Second Earner'!$C$10,"",IF('Second Earner'!$C$7="Weekly",'Second Earner'!$C$9+7*(($BE43+1)-1),IF('Second Earner'!$C$7="Biweekly",'Second Earner'!$C$9+14*(($BE43+1)-1),IF('Second Earner'!$C$7="Semimonthly",DATE(YEAR('Second Earner'!$C$9),MONTH('Second Earner'!$C$9)+INT((($BE43+1)-1)/2),MIN(DAY('Second Earner'!$C$9),DAY(EOMONTH(DATE(YEAR('Second Earner'!$C$9),MONTH('Second Earner'!$C$9)+INT((($BE43+1)-1)/2),1),0))))+IF(MOD(($BE43+1)-1,2)=1,15,0),EDATE('Second Earner'!$C$9,($BE43+1)-1)))))),1,0))</f>
      </c>
      <c r="BG44" s="7">
        <f>IF($B44="","",$BG43+$H44)</f>
      </c>
      <c r="BH44" s="7">
        <f>IF($B44="","",$BH43+$I44)</f>
      </c>
      <c r="BI44" s="7">
        <f>IF($B44="","",$BI43+$G44)</f>
      </c>
      <c r="BJ44" s="7">
        <f>IF($B44="","",IFERROR(LOOKUP(2,1/(((('Changes — Earner 2'!$C$6:$C$17="Deduction start"))*('Changes — Earner 2'!$D$6:$D$17="Health FSA"))*('Changes — Earner 2'!$B$6:$B$17&lt;=$B44)*('Changes — Earner 2'!$B$6:$B$17&lt;&gt;"")),'Changes — Earner 2'!$E$6:$E$17),'Second Earner'!$D$38))</f>
      </c>
      <c r="BK44" s="7">
        <f>IF($B44="","",IFERROR(LOOKUP(2,1/(((('Changes — Earner 2'!$C$6:$C$17="Deduction start"))*('Changes — Earner 2'!$D$6:$D$17="Dependent-care FSA"))*('Changes — Earner 2'!$B$6:$B$17&lt;=$B44)*('Changes — Earner 2'!$B$6:$B$17&lt;&gt;"")),'Changes — Earner 2'!$E$6:$E$17),'Second Earner'!$D$39))</f>
      </c>
      <c r="BL44" s="7">
        <f>IF($B44="","",IFERROR(LOOKUP(2,1/(((('Changes — Earner 2'!$C$6:$C$17="Deduction start")+('Changes — Earner 2'!$C$6:$C$17="Deduction stop"))*('Changes — Earner 2'!$D$6:$D$17="HSA"))*('Changes — Earner 2'!$B$6:$B$17&lt;=$B44)*('Changes — Earner 2'!$B$6:$B$17&lt;&gt;"")),'Changes — Earner 2'!$I$6:$I$17),'Second Earner'!$D$35))</f>
      </c>
      <c r="BM44" s="7">
        <f>IF($B44="","",IFERROR(LOOKUP(2,1/(((('Changes — Earner 2'!$C$6:$C$17="Deduction start")+('Changes — Earner 2'!$C$6:$C$17="Deduction stop"))*('Changes — Earner 2'!$D$6:$D$17="Premiums"))*('Changes — Earner 2'!$B$6:$B$17&lt;=$B44)*('Changes — Earner 2'!$B$6:$B$17&lt;&gt;"")),'Changes — Earner 2'!$I$6:$I$17),'Second Earner'!$D$40+'Second Earner'!$D$41+'Second Earner'!$D$42))</f>
      </c>
      <c r="BN44" s="7">
        <f>IF($B44="","",IFERROR(LOOKUP(2,1/(((('Changes — Earner 2'!$C$6:$C$17="Deduction start")+('Changes — Earner 2'!$C$6:$C$17="Deduction stop"))*('Changes — Earner 2'!$D$6:$D$17="Commuter"))*('Changes — Earner 2'!$B$6:$B$17&lt;=$B44)*('Changes — Earner 2'!$B$6:$B$17&lt;&gt;"")),'Changes — Earner 2'!$I$6:$I$17),'Second Earner'!$D$43))</f>
      </c>
      <c r="BO44" s="7">
        <f>IF($B44="","",IFERROR(LOOKUP(2,1/(((('Changes — Earner 2'!$C$6:$C$17="Deduction start")+('Changes — Earner 2'!$C$6:$C$17="Deduction stop"))*('Changes — Earner 2'!$D$6:$D$17="Other pre-tax"))*('Changes — Earner 2'!$B$6:$B$17&lt;=$B44)*('Changes — Earner 2'!$B$6:$B$17&lt;&gt;"")),'Changes — Earner 2'!$I$6:$I$17),'Second Earner'!$D$44))</f>
      </c>
      <c r="BP44" s="7">
        <f>IF($B44="","",IFERROR(LOOKUP(2,1/(((('Changes — Earner 2'!$C$6:$C$17="Deduction start")+('Changes — Earner 2'!$C$6:$C$17="Deduction stop"))*('Changes — Earner 2'!$D$6:$D$17="Other post-tax"))*('Changes — Earner 2'!$B$6:$B$17&lt;=$B44)*('Changes — Earner 2'!$B$6:$B$17&lt;&gt;"")),'Changes — Earner 2'!$I$6:$I$17),'Second Earner'!$D$45))</f>
      </c>
      <c r="BQ44" s="6">
        <f>IF($B44="","",IFERROR(LOOKUP(2,1/(((('Changes — Earner 2'!$C$6:$C$17="Deduction start")+('Changes — Earner 2'!$C$6:$C$17="Deduction stop"))*('Changes — Earner 2'!$D$6:$D$17="Health FSA"))*('Changes — Earner 2'!$B$6:$B$17&lt;=$B44)*('Changes — Earner 2'!$B$6:$B$17&lt;&gt;"")),'Changes — Earner 2'!$J$6:$J$17),0))</f>
      </c>
      <c r="BR44" s="6">
        <f>IF($B44="","",IFERROR(LOOKUP(2,1/(((('Changes — Earner 2'!$C$6:$C$17="Deduction start")+('Changes — Earner 2'!$C$6:$C$17="Deduction stop"))*('Changes — Earner 2'!$D$6:$D$17="Dependent-care FSA"))*('Changes — Earner 2'!$B$6:$B$17&lt;=$B44)*('Changes — Earner 2'!$B$6:$B$17&lt;&gt;"")),'Changes — Earner 2'!$J$6:$J$17),0))</f>
      </c>
      <c r="BS44" s="6">
        <f>IF($B44="","",IF(SUMPRODUCT(('Changes — Earner 2'!$C$6:$C$17="Deduction start")*('Changes — Earner 2'!$B$6:$B$17&lt;=$B44)*('Changes — Earner 2'!$B$6:$B$17&lt;&gt;"")*('Changes — Earner 2'!$D$6:$D$17="Health FSA"))&gt;0,1,0))</f>
      </c>
      <c r="BT44" s="6">
        <f>IF($B44="","",IF(SUMPRODUCT(('Changes — Earner 2'!$C$6:$C$17="Deduction start")*('Changes — Earner 2'!$B$6:$B$17&lt;=$B44)*('Changes — Earner 2'!$B$6:$B$17&lt;&gt;"")*('Changes — Earner 2'!$D$6:$D$17="Dependent-care FSA"))&gt;0,1,0))</f>
      </c>
      <c r="BU44" s="24">
        <f>IF($B44="","",IF('Second Earner'!$C$13,SUMPRODUCT(($AH44&gt;=INDEX('How This Works &amp; Sources'!$B$29:$J$36,0,IF('Second Earner'!$C$12="MFJ",1,IF('Second Earner'!$C$12="HoH",7,4))))*INDEX('How This Works &amp; Sources'!$B$29:$J$36,0,IF('Second Earner'!$C$12="MFJ",1,IF('Second Earner'!$C$12="HoH",7,4))+2)),SUMPRODUCT(($AH44&gt;=INDEX('How This Works &amp; Sources'!$B$19:$J$26,0,IF('Second Earner'!$C$12="MFJ",1,IF('Second Earner'!$C$12="HoH",7,4))))*INDEX('How This Works &amp; Sources'!$B$19:$J$26,0,IF('Second Earner'!$C$12="MFJ",1,IF('Second Earner'!$C$12="HoH",7,4))+2))))</f>
      </c>
      <c r="BV44" s="24">
        <f>IF($B44="","",IF($BZ44&lt;&gt;"",$BZ44,IF($CA44&lt;&gt;"",$CA44,IF($CB44&lt;&gt;"",$CB44,IF($CC44&lt;&gt;"",$CC44,0)))))</f>
      </c>
      <c r="BW44" s="7">
        <f>IF($B44="","",IF($AN44="AR",SUMPRODUCT(($AZ44&gt;INDEX('How This Works &amp; Sources'!$B$82:$J$86,0,7))*($AZ44-INDEX('How This Works &amp; Sources'!$B$82:$J$86,0,7))*INDEX('How This Works &amp; Sources'!$B$82:$J$86,0,7+2)),IF($AN44="MD",IF(OR($AU44="Married",$AU44="Head of household"),SUMPRODUCT(($AZ44&gt;INDEX('How This Works &amp; Sources'!$B$114:$J$120,0,1))*($AZ44-INDEX('How This Works &amp; Sources'!$B$114:$J$120,0,1))*INDEX('How This Works &amp; Sources'!$B$114:$J$120,0,1+2)),SUMPRODUCT(($AZ44&gt;INDEX('How This Works &amp; Sources'!$B$103:$J$109,0,7))*($AZ44-INDEX('How This Works &amp; Sources'!$B$103:$J$109,0,7))*INDEX('How This Works &amp; Sources'!$B$103:$J$109,0,7+2))),IF($AN44="MT",IF($AU44="Head of household",SUMPRODUCT(($AZ44&gt;INDEX('How This Works &amp; Sources'!$B$137:$J$139,0,1))*($AZ44-INDEX('How This Works &amp; Sources'!$B$137:$J$139,0,1))*INDEX('How This Works &amp; Sources'!$B$137:$J$139,0,1+2)),IF($AU44="Married",SUMPRODUCT(($AZ44&gt;INDEX('How This Works &amp; Sources'!$B$125:$J$132,0,7))*($AZ44-INDEX('How This Works &amp; Sources'!$B$125:$J$132,0,7))*INDEX('How This Works &amp; Sources'!$B$125:$J$132,0,7+2)),SUMPRODUCT(($AZ44&gt;INDEX('How This Works &amp; Sources'!$B$125:$J$132,0,4))*($AZ44-INDEX('How This Works &amp; Sources'!$B$125:$J$132,0,4))*INDEX('How This Works &amp; Sources'!$B$125:$J$132,0,4+2)))),IF($AN44="ND",IF($AU44="Head of household",SUMPRODUCT(($AZ44&gt;INDEX('How This Works &amp; Sources'!$B$144:$J$150,0,1))*($AZ44-INDEX('How This Works &amp; Sources'!$B$144:$J$150,0,1))*INDEX('How This Works &amp; Sources'!$B$144:$J$150,0,1+2)),IF($AU44="Married",SUMPRODUCT(($AZ44&gt;INDEX('How This Works &amp; Sources'!$B$137:$J$139,0,7))*($AZ44-INDEX('How This Works &amp; Sources'!$B$137:$J$139,0,7))*INDEX('How This Works &amp; Sources'!$B$137:$J$139,0,7+2)),SUMPRODUCT(($AZ44&gt;INDEX('How This Works &amp; Sources'!$B$137:$J$139,0,4))*($AZ44-INDEX('How This Works &amp; Sources'!$B$137:$J$139,0,4))*INDEX('How This Works &amp; Sources'!$B$137:$J$139,0,4+2)))),IF($AN44="NJ",IF('Second Earner'!$C$77="B",SUMPRODUCT(($AZ44&gt;INDEX('How This Works &amp; Sources'!$B$155:$J$162,0,4))*($AZ44-INDEX('How This Works &amp; Sources'!$B$155:$J$162,0,4))*INDEX('How This Works &amp; Sources'!$B$155:$J$162,0,4+2)),IF('Second Earner'!$C$77="C",SUMPRODUCT(($AZ44&gt;INDEX('How This Works &amp; Sources'!$B$155:$J$162,0,7))*($AZ44-INDEX('How This Works &amp; Sources'!$B$155:$J$162,0,7))*INDEX('How This Works &amp; Sources'!$B$155:$J$162,0,7+2)),IF('Second Earner'!$C$77="D",SUMPRODUCT(($AZ44&gt;INDEX('How This Works &amp; Sources'!$B$167:$J$179,0,1))*($AZ44-INDEX('How This Works &amp; Sources'!$B$167:$J$179,0,1))*INDEX('How This Works &amp; Sources'!$B$167:$J$179,0,1+2)),IF('Second Earner'!$C$77="E",SUMPRODUCT(($AZ44&gt;INDEX('How This Works &amp; Sources'!$B$167:$J$179,0,4))*($AZ44-INDEX('How This Works &amp; Sources'!$B$167:$J$179,0,4))*INDEX('How This Works &amp; Sources'!$B$167:$J$179,0,4+2)),SUMPRODUCT(($AZ44&gt;INDEX('How This Works &amp; Sources'!$B$155:$J$162,0,1))*($AZ44-INDEX('How This Works &amp; Sources'!$B$155:$J$162,0,1))*INDEX('How This Works &amp; Sources'!$B$155:$J$162,0,1+2)))))),IF($AN44="NY",IF($AU44="Married",IF($AZ44&gt;=2155350,$AZ44*IF($AZ44&gt;25000000,0.117,IF($AZ44&gt;5000000,0.111,0.1045)),SUMPRODUCT(($AZ44&gt;INDEX('How This Works &amp; Sources'!$B$184:$J$198,0,1))*($AZ44-INDEX('How This Works &amp; Sources'!$B$184:$J$198,0,1))*INDEX('How This Works &amp; Sources'!$B$184:$J$198,0,1+2))),IF($AZ44&gt;=1077550,$AZ44*IF($AZ44&gt;25000000,0.117,IF($AZ44&gt;5000000,0.111,0.1045)),SUMPRODUCT(($AZ44&gt;INDEX('How This Works &amp; Sources'!$B$167:$J$179,0,7))*($AZ44-INDEX('How This Works &amp; Sources'!$B$167:$J$179,0,7))*INDEX('How This Works &amp; Sources'!$B$167:$J$179,0,7+2)))),"")))))))</f>
      </c>
      <c r="BX44" s="7">
        <f>IF($B44="","",IF($AN44="AL",IF(OR($AU44="Married",$AU44="Head of household"),SUMPRODUCT(($AZ44&gt;INDEX('How This Works &amp; Sources'!$B$82:$J$86,0,4))*($AZ44-INDEX('How This Works &amp; Sources'!$B$82:$J$86,0,4))*INDEX('How This Works &amp; Sources'!$B$82:$J$86,0,4+2)),SUMPRODUCT(($AZ44&gt;INDEX('How This Works &amp; Sources'!$B$82:$J$86,0,1))*($AZ44-INDEX('How This Works &amp; Sources'!$B$82:$J$86,0,1))*INDEX('How This Works &amp; Sources'!$B$82:$J$86,0,1+2))),IF($AN44="KS",IF($AU44="Married",SUMPRODUCT(($AZ44&gt;INDEX('How This Works &amp; Sources'!$B$103:$J$109,0,4))*($AZ44-INDEX('How This Works &amp; Sources'!$B$103:$J$109,0,4))*INDEX('How This Works &amp; Sources'!$B$103:$J$109,0,4+2)),SUMPRODUCT(($AZ44&gt;INDEX('How This Works &amp; Sources'!$B$103:$J$109,0,1))*($AZ44-INDEX('How This Works &amp; Sources'!$B$103:$J$109,0,1))*INDEX('How This Works &amp; Sources'!$B$103:$J$109,0,1+2))),IF($AN44="MN",IF($AU44="Married",SUMPRODUCT(($AZ44&gt;INDEX('How This Works &amp; Sources'!$B$114:$J$120,0,7))*($AZ44-INDEX('How This Works &amp; Sources'!$B$114:$J$120,0,7))*INDEX('How This Works &amp; Sources'!$B$114:$J$120,0,7+2)),SUMPRODUCT(($AZ44&gt;INDEX('How This Works &amp; Sources'!$B$114:$J$120,0,4))*($AZ44-INDEX('How This Works &amp; Sources'!$B$114:$J$120,0,4))*INDEX('How This Works &amp; Sources'!$B$114:$J$120,0,4+2))),IF($AN44="MO",SUMPRODUCT(($AZ44&gt;INDEX('How This Works &amp; Sources'!$B$125:$J$132,0,1))*($AZ44-INDEX('How This Works &amp; Sources'!$B$125:$J$132,0,1))*INDEX('How This Works &amp; Sources'!$B$125:$J$132,0,1+2)),IF($AN44="NE",MAX(IF($AU44="Married",SUMPRODUCT(($AZ44&gt;INDEX('How This Works &amp; Sources'!$B$144:$J$150,0,7))*($AZ44-INDEX('How This Works &amp; Sources'!$B$144:$J$150,0,7))*INDEX('How This Works &amp; Sources'!$B$144:$J$150,0,7+2)),SUMPRODUCT(($AZ44&gt;INDEX('How This Works &amp; Sources'!$B$144:$J$150,0,4))*($AZ44-INDEX('How This Works &amp; Sources'!$B$144:$J$150,0,4))*INDEX('How This Works &amp; Sources'!$B$144:$J$150,0,4+2))),0.015*$AZ44),IF($AN44="OH",IF($B44&gt;=DATE(2026,8,1),SUMPRODUCT(($AZ44&gt;INDEX('How This Works &amp; Sources'!$B$203:$J$206,0,1))*($AZ44-INDEX('How This Works &amp; Sources'!$B$203:$J$206,0,1))*INDEX('How This Works &amp; Sources'!$B$203:$J$206,0,1+2)),SUMPRODUCT(($AZ44&gt;INDEX('How This Works &amp; Sources'!$B$184:$J$198,0,7))*($AZ44-INDEX('How This Works &amp; Sources'!$B$184:$J$198,0,7))*INDEX('How This Works &amp; Sources'!$B$184:$J$198,0,7+2))),IF($AN44="OK",IF($AU44="Married",SUMPRODUCT(($AZ44&gt;INDEX('How This Works &amp; Sources'!$B$203:$J$206,0,7))*($AZ44-INDEX('How This Works &amp; Sources'!$B$203:$J$206,0,7))*INDEX('How This Works &amp; Sources'!$B$203:$J$206,0,7+2)),SUMPRODUCT(($AZ44&gt;INDEX('How This Works &amp; Sources'!$B$203:$J$206,0,4))*($AZ44-INDEX('How This Works &amp; Sources'!$B$203:$J$206,0,4))*INDEX('How This Works &amp; Sources'!$B$203:$J$206,0,4+2))),IF($AN44="VT",IF($AU44="Married",SUMPRODUCT(($AZ44&gt;INDEX('How This Works &amp; Sources'!$B$228:$J$232,0,1))*($AZ44-INDEX('How This Works &amp; Sources'!$B$228:$J$232,0,1))*INDEX('How This Works &amp; Sources'!$B$228:$J$232,0,1+2)),SUMPRODUCT(($AZ44&gt;INDEX('How This Works &amp; Sources'!$B$219:$J$223,0,7))*($AZ44-INDEX('How This Works &amp; Sources'!$B$219:$J$223,0,7))*INDEX('How This Works &amp; Sources'!$B$219:$J$223,0,7+2))),IF($AN44="WV",IF($AU44="Married",SUMPRODUCT(($AZ44&gt;INDEX('How This Works &amp; Sources'!$B$237:$J$241,0,7))*($AZ44-INDEX('How This Works &amp; Sources'!$B$237:$J$241,0,7))*INDEX('How This Works &amp; Sources'!$B$237:$J$241,0,7+2)),SUMPRODUCT(($AZ44&gt;INDEX('How This Works &amp; Sources'!$B$228:$J$232,0,7))*($AZ44-INDEX('How This Works &amp; Sources'!$B$228:$J$232,0,7))*INDEX('How This Works &amp; Sources'!$B$228:$J$232,0,7+2))),""))))))))))</f>
      </c>
      <c r="BY44" s="7">
        <f>IF($B44="","",IF($AN44="DE",SUMPRODUCT(($AZ44&gt;INDEX('How This Works &amp; Sources'!$B$91:$J$98,0,1))*($AZ44-INDEX('How This Works &amp; Sources'!$B$91:$J$98,0,1))*INDEX('How This Works &amp; Sources'!$B$91:$J$98,0,1+2)),IF($AN44="HI",IF($AU44="Married",SUMPRODUCT(($AZ44&gt;INDEX('How This Works &amp; Sources'!$B$91:$J$98,0,7))*($AZ44-INDEX('How This Works &amp; Sources'!$B$91:$J$98,0,7))*INDEX('How This Works &amp; Sources'!$B$91:$J$98,0,7+2)),SUMPRODUCT(($AZ44&gt;INDEX('How This Works &amp; Sources'!$B$91:$J$98,0,4))*($AZ44-INDEX('How This Works &amp; Sources'!$B$91:$J$98,0,4))*INDEX('How This Works &amp; Sources'!$B$91:$J$98,0,4+2))),IF($AN44="RI",SUMPRODUCT(($AZ44&gt;INDEX('How This Works &amp; Sources'!$B$211:$J$214,0,7))*($AZ44-INDEX('How This Works &amp; Sources'!$B$211:$J$214,0,7))*INDEX('How This Works &amp; Sources'!$B$211:$J$214,0,7+2)),IF($AN44="SC",SUMPRODUCT(($AZ44&gt;INDEX('How This Works &amp; Sources'!$B$219:$J$223,0,1))*($AZ44-INDEX('How This Works &amp; Sources'!$B$219:$J$223,0,1))*INDEX('How This Works &amp; Sources'!$B$219:$J$223,0,1+2)),IF($AN44="VA",SUMPRODUCT(($AZ44&gt;INDEX('How This Works &amp; Sources'!$B$219:$J$223,0,4))*($AZ44-INDEX('How This Works &amp; Sources'!$B$219:$J$223,0,4))*INDEX('How This Works &amp; Sources'!$B$219:$J$223,0,4+2)),IF($AN44="WI",SUMPRODUCT(($AZ44&gt;INDEX('How This Works &amp; Sources'!$B$228:$J$232,0,4))*($AZ44-INDEX('How This Works &amp; Sources'!$B$228:$J$232,0,4))*INDEX('How This Works &amp; Sources'!$B$228:$J$232,0,4+2)),"")))))))</f>
      </c>
      <c r="BZ44" s="24">
        <f>IF($B44="","",IF($AN44="KS",IF($AU44="Married",SUMPRODUCT(($AZ44&gt;=INDEX('How This Works &amp; Sources'!$B$103:$J$109,0,4))*INDEX('How This Works &amp; Sources'!$B$103:$J$109,0,4+2)),SUMPRODUCT(($AZ44&gt;=INDEX('How This Works &amp; Sources'!$B$103:$J$109,0,1))*INDEX('How This Works &amp; Sources'!$B$103:$J$109,0,1+2))),IF($AN44="MT",IF($AU44="Head of household",SUMPRODUCT(($AZ44&gt;=INDEX('How This Works &amp; Sources'!$B$137:$J$139,0,1))*INDEX('How This Works &amp; Sources'!$B$137:$J$139,0,1+2)),IF($AU44="Married",SUMPRODUCT(($AZ44&gt;=INDEX('How This Works &amp; Sources'!$B$125:$J$132,0,7))*INDEX('How This Works &amp; Sources'!$B$125:$J$132,0,7+2)),SUMPRODUCT(($AZ44&gt;=INDEX('How This Works &amp; Sources'!$B$125:$J$132,0,4))*INDEX('How This Works &amp; Sources'!$B$125:$J$132,0,4+2)))),IF($AN44="OR",IF(OR($AU44="Married",AND($AU44="Single",$AS44&gt;=3)),SUMPRODUCT((MAX(0,$AY44-MIN(($P44-'How This Works &amp; Sources'!$C$10*$D44)*'Second Earner'!$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Sources'!$B$211:$J$214,0,4))*INDEX('How This Works &amp; Sources'!$B$211:$J$214,0,4+2)),SUMPRODUCT((MAX(0,$AY44-MIN(($P44-'How This Works &amp; Sources'!$C$10*$D44)*'Second Earner'!$C$8,IF(OR($AU44="Married",AND($AU44="Single",$AS44&gt;=3)),IF($AY44&lt;250000,8750,IF($AY44&lt;260000,7000,IF($AY44&lt;270000,5250,IF($AY44&lt;280000,3500,IF($AY44&lt;290000,1750,0))))),IF($AY44&lt;125000,8750,IF($AY44&lt;130000,7000,IF($AY44&lt;135000,5250,IF($AY44&lt;140000,3500,IF($AY44&lt;145000,1750,0)))))))-IF(OR($AU44="Married",AND($AU44="Single",$AS44&gt;=3)),5820,2910))&gt;=INDEX('How This Works &amp; Sources'!$B$211:$J$214,0,1))*INDEX('How This Works &amp; Sources'!$B$211:$J$214,0,1+2)))*IF(($P44-'How This Works &amp; Sources'!$C$10*$D44)*'Second Earner'!$C$8&gt;=IF(OR($AU44="Married",AND($AU44="Single",$AS44&gt;=3)),IF($AY44&lt;250000,8750,IF($AY44&lt;260000,7000,IF($AY44&lt;270000,5250,IF($AY44&lt;280000,3500,IF($AY44&lt;290000,1750,0))))),IF($AY44&lt;125000,8750,IF($AY44&lt;130000,7000,IF($AY44&lt;135000,5250,IF($AY44&lt;140000,3500,IF($AY44&lt;145000,1750,0)))))),1,1-IF('Second Earner'!$C$13,SUMPRODUCT(($AH44&gt;=INDEX('How This Works &amp; Sources'!$B$29:$J$36,0,IF('Second Earner'!$C$12="MFJ",1,IF('Second Earner'!$C$12="HoH",7,4))))*INDEX('How This Works &amp; Sources'!$B$29:$J$36,0,IF('Second Earner'!$C$12="MFJ",1,IF('Second Earner'!$C$12="HoH",7,4))+2)),SUMPRODUCT(($AH44&gt;=INDEX('How This Works &amp; Sources'!$B$19:$J$26,0,IF('Second Earner'!$C$12="MFJ",1,IF('Second Earner'!$C$12="HoH",7,4))))*INDEX('How This Works &amp; Sources'!$B$19:$J$26,0,IF('Second Earner'!$C$12="MFJ",1,IF('Second Earner'!$C$12="HoH",7,4))+2)))),""))))</f>
      </c>
      <c r="CA44" s="24">
        <f>IF($B44="","",IF($AN44="CA",SUMPRODUCT(($AJ44&gt;=INDEX('How This Works &amp; Sources'!$B$39:$J$48,0,IF($AU44="Married",4,IF($AU44="Head of household",7,1))))*INDEX('How This Works &amp; Sources'!$B$39:$J$48,0,IF($AU44="Married",4,IF($AU44="Head of household",7,1))+2)),IF($AN44="AL",IF(OR($AU44="Married",$AU44="Head of household"),SUMPRODUCT(($AZ44&gt;=INDEX('How This Works &amp; Sources'!$B$82:$J$86,0,4))*INDEX('How This Works &amp; Sources'!$B$82:$J$86,0,4+2)),SUMPRODUCT(($AZ44&gt;=INDEX('How This Works &amp; Sources'!$B$82:$J$86,0,1))*INDEX('How This Works &amp; Sources'!$B$82:$J$86,0,1+2)))*(1-IF('Second Earner'!$C$13,SUMPRODUCT(($AH44&gt;=INDEX('How This Works &amp; Sources'!$B$29:$J$36,0,IF('Second Earner'!$C$12="MFJ",1,IF('Second Earner'!$C$12="HoH",7,4))))*INDEX('How This Works &amp; Sources'!$B$29:$J$36,0,IF('Second Earner'!$C$12="MFJ",1,IF('Second Earner'!$C$12="HoH",7,4))+2)),SUMPRODUCT(($AH44&gt;=INDEX('How This Works &amp; Sources'!$B$19:$J$26,0,IF('Second Earner'!$C$12="MFJ",1,IF('Second Earner'!$C$12="HoH",7,4))))*INDEX('How This Works &amp; Sources'!$B$19:$J$26,0,IF('Second Earner'!$C$12="MFJ",1,IF('Second Earner'!$C$12="HoH",7,4))+2)))),IF($AN44="ND",IF($AU44="Head of household",SUMPRODUCT(($AZ44&gt;=INDEX('How This Works &amp; Sources'!$B$144:$J$150,0,1))*INDEX('How This Works &amp; Sources'!$B$144:$J$150,0,1+2)),IF($AU44="Married",SUMPRODUCT(($AZ44&gt;=INDEX('How This Works &amp; Sources'!$B$137:$J$139,0,7))*INDEX('How This Works &amp; Sources'!$B$137:$J$139,0,7+2)),SUMPRODUCT(($AZ44&gt;=INDEX('How This Works &amp; Sources'!$B$137:$J$139,0,4))*INDEX('How This Works &amp; Sources'!$B$137:$J$139,0,4+2)))),IF($AN44="NJ",IF('Second Earner'!$C$77="B",SUMPRODUCT(($AZ44&gt;=INDEX('How This Works &amp; Sources'!$B$155:$J$162,0,4))*INDEX('How This Works &amp; Sources'!$B$155:$J$162,0,4+2)),IF('Second Earner'!$C$77="C",SUMPRODUCT(($AZ44&gt;=INDEX('How This Works &amp; Sources'!$B$155:$J$162,0,7))*INDEX('How This Works &amp; Sources'!$B$155:$J$162,0,7+2)),IF('Second Earner'!$C$77="D",SUMPRODUCT(($AZ44&gt;=INDEX('How This Works &amp; Sources'!$B$167:$J$179,0,1))*INDEX('How This Works &amp; Sources'!$B$167:$J$179,0,1+2)),IF('Second Earner'!$C$77="E",SUMPRODUCT(($AZ44&gt;=INDEX('How This Works &amp; Sources'!$B$167:$J$179,0,4))*INDEX('How This Works &amp; Sources'!$B$167:$J$179,0,4+2)),SUMPRODUCT(($AZ44&gt;=INDEX('How This Works &amp; Sources'!$B$155:$J$162,0,1))*INDEX('How This Works &amp; Sources'!$B$155:$J$162,0,1+2)))))),IF($AN44="NY",IF($AU44="Married",IF($AZ44&gt;=2155350,IF($AZ44&gt;25000000,0.117,IF($AZ44&gt;5000000,0.111,0.1045)),SUMPRODUCT(($AZ44&gt;=INDEX('How This Works &amp; Sources'!$B$184:$J$198,0,1))*INDEX('How This Works &amp; Sources'!$B$184:$J$198,0,1+2))),IF($AZ44&gt;=1077550,IF($AZ44&gt;25000000,0.117,IF($AZ44&gt;5000000,0.111,0.1045)),SUMPRODUCT(($AZ44&gt;=INDEX('How This Works &amp; Sources'!$B$167:$J$179,0,7))*INDEX('How This Works &amp; Sources'!$B$167:$J$179,0,7+2)))),IF($AN44="LA",0.0309,"")))))))</f>
      </c>
      <c r="CB44" s="24">
        <f>IF($B44="","",IF($AN44="HI",IF($AU44="Married",SUMPRODUCT(($AZ44&gt;=INDEX('How This Works &amp; Sources'!$B$91:$J$98,0,7))*INDEX('How This Works &amp; Sources'!$B$91:$J$98,0,7+2)),SUMPRODUCT(($AZ44&gt;=INDEX('How This Works &amp; Sources'!$B$91:$J$98,0,4))*INDEX('How This Works &amp; Sources'!$B$91:$J$98,0,4+2))),IF($AN44="MD",IF(OR($AU44="Married",$AU44="Head of household"),SUMPRODUCT(($AZ44&gt;=INDEX('How This Works &amp; Sources'!$B$114:$J$120,0,1))*INDEX('How This Works &amp; Sources'!$B$114:$J$120,0,1+2)),SUMPRODUCT(($AZ44&gt;=INDEX('How This Works &amp; Sources'!$B$103:$J$109,0,7))*INDEX('How This Works &amp; Sources'!$B$103:$J$109,0,7+2)))+'Second Earner'!$C$74,IF($AN44="MN",IF($AU44="Married",SUMPRODUCT(($AZ44&gt;=INDEX('How This Works &amp; Sources'!$B$114:$J$120,0,7))*INDEX('How This Works &amp; Sources'!$B$114:$J$120,0,7+2)),SUMPRODUCT(($AZ44&gt;=INDEX('How This Works &amp; Sources'!$B$114:$J$120,0,4))*INDEX('How This Works &amp; Sources'!$B$114:$J$120,0,4+2))),IF($AN44="MO",SUMPRODUCT(($AZ44&gt;=INDEX('How This Works &amp; Sources'!$B$125:$J$132,0,1))*INDEX('How This Works &amp; Sources'!$B$125:$J$132,0,1+2)),IF($AN44="NE",MAX(IF($AU44="Married",SUMPRODUCT(($AZ44&gt;=INDEX('How This Works &amp; Sources'!$B$144:$J$150,0,7))*INDEX('How This Works &amp; Sources'!$B$144:$J$150,0,7+2)),SUMPRODUCT(($AZ44&gt;=INDEX('How This Works &amp; Sources'!$B$144:$J$150,0,4))*INDEX('How This Works &amp; Sources'!$B$144:$J$150,0,4+2))),0.015),IF($AN44="OH",IF($B44&gt;=DATE(2026,8,1),SUMPRODUCT(($AZ44&gt;=INDEX('How This Works &amp; Sources'!$B$203:$J$206,0,1))*INDEX('How This Works &amp; Sources'!$B$203:$J$206,0,1+2)),SUMPRODUCT(($AZ44&gt;=INDEX('How This Works &amp; Sources'!$B$184:$J$198,0,7))*INDEX('How This Works &amp; Sources'!$B$184:$J$198,0,7+2))),IF($AN44="OK",IF($AU44="Married",SUMPRODUCT(($AZ44&gt;=INDEX('How This Works &amp; Sources'!$B$203:$J$206,0,7))*INDEX('How This Works &amp; Sources'!$B$203:$J$206,0,7+2)),SUMPRODUCT(($AZ44&gt;=INDEX('How This Works &amp; Sources'!$B$203:$J$206,0,4))*INDEX('How This Works &amp; Sources'!$B$203:$J$206,0,4+2))),IF($AN44="RI",SUMPRODUCT(($AZ44&gt;=INDEX('How This Works &amp; Sources'!$B$211:$J$214,0,7))*INDEX('How This Works &amp; Sources'!$B$211:$J$214,0,7+2)),IF($AN44="VT",IF($AU44="Married",SUMPRODUCT(($AZ44&gt;=INDEX('How This Works &amp; Sources'!$B$228:$J$232,0,1))*INDEX('How This Works &amp; Sources'!$B$228:$J$232,0,1+2)),SUMPRODUCT(($AZ44&gt;=INDEX('How This Works &amp; Sources'!$B$219:$J$223,0,7))*INDEX('How This Works &amp; Sources'!$B$219:$J$223,0,7+2))),IF($AN44="WV",IF($AU44="Married",SUMPRODUCT(($AZ44&gt;=INDEX('How This Works &amp; Sources'!$B$237:$J$241,0,7))*INDEX('How This Works &amp; Sources'!$B$237:$J$241,0,7+2)),SUMPRODUCT(($AZ44&gt;=INDEX('How This Works &amp; Sources'!$B$228:$J$232,0,7))*INDEX('How This Works &amp; Sources'!$B$228:$J$232,0,7+2))),IF($AN44="AZ",'Second Earner'!$C$82,IF($AN44="ID",IF($AY44&gt;IF($AU44="Married",32000,16094),0.053,0),"")))))))))))))</f>
      </c>
      <c r="CC44" s="24">
        <f>IF($B44="","",IF($AN44="AR",SUMPRODUCT(($AZ44&gt;=INDEX('How This Works &amp; Sources'!$B$82:$J$86,0,7))*INDEX('How This Works &amp; Sources'!$B$82:$J$86,0,7+2)),IF($AN44="DE",SUMPRODUCT(($AZ44&gt;=INDEX('How This Works &amp; Sources'!$B$91:$J$98,0,1))*INDEX('How This Works &amp; Sources'!$B$91:$J$98,0,1+2)),IF($AN44="SC",SUMPRODUCT(($AZ44&gt;=INDEX('How This Works &amp; Sources'!$B$219:$J$223,0,1))*INDEX('How This Works &amp; Sources'!$B$219:$J$223,0,1+2)),IF($AN44="VA",SUMPRODUCT(($AZ44&gt;=INDEX('How This Works &amp; Sources'!$B$219:$J$223,0,4))*INDEX('How This Works &amp; Sources'!$B$219:$J$223,0,4+2)),IF($AN44="WI",SUMPRODUCT(($AZ44&gt;=INDEX('How This Works &amp; Sources'!$B$228:$J$232,0,4))*INDEX('How This Works &amp; Sources'!$B$228:$J$232,0,4+2)),IF($AN44="CO",IF($AY44&gt;IF($AU44="Married",10000,5000),0.044,0),IF($AN44="IA",IF($AY44&gt;IF($AU44="Head of household",19500,IF($AU44="Married",26000,13000)),0.038,0),IF($AN44="IL",IF($AY44&gt;(2925*$AS44+1000*$AT44),0.0495,0),IF($AN44="IN",(0.0295+'Second Earner'!$C$76),IF($AN44="KY",IF($AI44&gt;3360,0.035,0),IF($AN44="MA",IF(MAX(0,$AY44-MIN(($BD43+$Q44+$R44+$S44),2000)-IF($AS44=0,0,IF($AS44=1,4400,1000*$AS44+3400)))&gt;=1107750,0.09,0.05),IF($AN44="MI",IF($AY44&gt;5900*$AS44,0.0425,0),IF($AN44="MS",IF($AI44-IF($AU44="Head of household",3400,IF($AU44="Married",4600,2300))-'Second Earner'!$C$85&gt;10000,0.04,0),IF($AN44="PA",0.0307,"")))))))))))))))</f>
      </c>
      <c r="CD44" s="21">
        <f>IF(YEAR(IF('Second Earner'!$C$7="Weekly",'Second Earner'!$C$9+7*(($BE43+1)-1),IF('Second Earner'!$C$7="Biweekly",'Second Earner'!$C$9+14*(($BE43+1)-1),IF('Second Earner'!$C$7="Semimonthly",DATE(YEAR('Second Earner'!$C$9),MONTH('Second Earner'!$C$9)+INT((($BE43+1)-1)/2),MIN(DAY('Second Earner'!$C$9),DAY(EOMONTH(DATE(YEAR('Second Earner'!$C$9),MONTH('Second Earner'!$C$9)+INT((($BE43+1)-1)/2),1),0))))+IF(MOD(($BE43+1)-1,2)=1,15,0),EDATE('Second Earner'!$C$9,($BE43+1)-1)))))&lt;&gt;'Second Earner'!$C$10,"",IF('Second Earner'!$C$7="Weekly",'Second Earner'!$C$9+7*(($BE43+1)-1),IF('Second Earner'!$C$7="Biweekly",'Second Earner'!$C$9+14*(($BE43+1)-1),IF('Second Earner'!$C$7="Semimonthly",DATE(YEAR('Second Earner'!$C$9),MONTH('Second Earner'!$C$9)+INT((($BE43+1)-1)/2),MIN(DAY('Second Earner'!$C$9),DAY(EOMONTH(DATE(YEAR('Second Earner'!$C$9),MONTH('Second Earner'!$C$9)+INT((($BE43+1)-1)/2),1),0))))+IF(MOD(($BE43+1)-1,2)=1,15,0),EDATE('Second Earner'!$C$9,($BE43+1)-1)))))</f>
      </c>
      <c r="CE44" s="21">
        <f>IF(MIN(IF(AND('Second Earner'!$C$58&gt;MAX($B$6:$B43),'Second Earner'!$C$58&gt;=DATE('Second Earner'!$C$10,1,1),'Second Earner'!$C$58&lt;=DATE('Second Earner'!$C$10,12,31)),'Second Earner'!$C$58,999999),IF(AND('Second Earner'!$C$59&gt;MAX($B$6:$B43),'Second Earner'!$C$59&gt;=DATE('Second Earner'!$C$10,1,1),'Second Earner'!$C$59&lt;=DATE('Second Earner'!$C$10,12,31)),'Second Earner'!$C$59,999999),IF(AND('Second Earner'!$C$60&gt;MAX($B$6:$B43),'Second Earner'!$C$60&gt;=DATE('Second Earner'!$C$10,1,1),'Second Earner'!$C$60&lt;=DATE('Second Earner'!$C$10,12,31)),'Second Earner'!$C$60,999999),IF(AND('Second Earner'!$C$61&gt;MAX($B$6:$B43),'Second Earner'!$C$61&gt;=DATE('Second Earner'!$C$10,1,1),'Second Earner'!$C$61&lt;=DATE('Second Earner'!$C$10,12,31)),'Second Earner'!$C$61,999999),IF(AND('Second Earner'!$C$62&gt;MAX($B$6:$B43),'Second Earner'!$C$62&gt;=DATE('Second Earner'!$C$10,1,1),'Second Earner'!$C$62&lt;=DATE('Second Earner'!$C$10,12,31)),'Second Earner'!$C$62,999999),IF(AND('Second Earner'!$C$63&gt;MAX($B$6:$B43),'Second Earner'!$C$63&gt;=DATE('Second Earner'!$C$10,1,1),'Second Earner'!$C$63&lt;=DATE('Second Earner'!$C$10,12,31)),'Second Earner'!$C$63,999999),IF(AND('Second Earner'!$C$64&gt;MAX($B$6:$B43),'Second Earner'!$C$64&gt;=DATE('Second Earner'!$C$10,1,1),'Second Earner'!$C$64&lt;=DATE('Second Earner'!$C$10,12,31)),'Second Earner'!$C$64,999999),IF(AND('Second Earner'!$C$65&gt;MAX($B$6:$B43),'Second Earner'!$C$65&gt;=DATE('Second Earner'!$C$10,1,1),'Second Earner'!$C$65&lt;=DATE('Second Earner'!$C$10,12,31)),'Second Earner'!$C$65,999999),IF(AND('Second Earner'!$C$66&gt;MAX($B$6:$B43),'Second Earner'!$C$66&gt;=DATE('Second Earner'!$C$10,1,1),'Second Earner'!$C$66&lt;=DATE('Second Earner'!$C$10,12,31)),'Second Earner'!$C$66,999999),IF(AND('Second Earner'!$C$67&gt;MAX($B$6:$B43),'Second Earner'!$C$67&gt;=DATE('Second Earner'!$C$10,1,1),'Second Earner'!$C$67&lt;=DATE('Second Earner'!$C$10,12,31)),'Second Earner'!$C$67,999999))=999999,"",MIN(IF(AND('Second Earner'!$C$58&gt;MAX($B$6:$B43),'Second Earner'!$C$58&gt;=DATE('Second Earner'!$C$10,1,1),'Second Earner'!$C$58&lt;=DATE('Second Earner'!$C$10,12,31)),'Second Earner'!$C$58,999999),IF(AND('Second Earner'!$C$59&gt;MAX($B$6:$B43),'Second Earner'!$C$59&gt;=DATE('Second Earner'!$C$10,1,1),'Second Earner'!$C$59&lt;=DATE('Second Earner'!$C$10,12,31)),'Second Earner'!$C$59,999999),IF(AND('Second Earner'!$C$60&gt;MAX($B$6:$B43),'Second Earner'!$C$60&gt;=DATE('Second Earner'!$C$10,1,1),'Second Earner'!$C$60&lt;=DATE('Second Earner'!$C$10,12,31)),'Second Earner'!$C$60,999999),IF(AND('Second Earner'!$C$61&gt;MAX($B$6:$B43),'Second Earner'!$C$61&gt;=DATE('Second Earner'!$C$10,1,1),'Second Earner'!$C$61&lt;=DATE('Second Earner'!$C$10,12,31)),'Second Earner'!$C$61,999999),IF(AND('Second Earner'!$C$62&gt;MAX($B$6:$B43),'Second Earner'!$C$62&gt;=DATE('Second Earner'!$C$10,1,1),'Second Earner'!$C$62&lt;=DATE('Second Earner'!$C$10,12,31)),'Second Earner'!$C$62,999999),IF(AND('Second Earner'!$C$63&gt;MAX($B$6:$B43),'Second Earner'!$C$63&gt;=DATE('Second Earner'!$C$10,1,1),'Second Earner'!$C$63&lt;=DATE('Second Earner'!$C$10,12,31)),'Second Earner'!$C$63,999999),IF(AND('Second Earner'!$C$64&gt;MAX($B$6:$B43),'Second Earner'!$C$64&gt;=DATE('Second Earner'!$C$10,1,1),'Second Earner'!$C$64&lt;=DATE('Second Earner'!$C$10,12,31)),'Second Earner'!$C$64,999999),IF(AND('Second Earner'!$C$65&gt;MAX($B$6:$B43),'Second Earner'!$C$65&gt;=DATE('Second Earner'!$C$10,1,1),'Second Earner'!$C$65&lt;=DATE('Second Earner'!$C$10,12,31)),'Second Earner'!$C$65,999999),IF(AND('Second Earner'!$C$66&gt;MAX($B$6:$B43),'Second Earner'!$C$66&gt;=DATE('Second Earner'!$C$10,1,1),'Second Earner'!$C$66&lt;=DATE('Second Earner'!$C$10,12,31)),'Second Earner'!$C$66,999999),IF(AND('Second Earner'!$C$67&gt;MAX($B$6:$B43),'Second Earner'!$C$67&gt;=DATE('Second Earner'!$C$10,1,1),'Second Earner'!$C$67&lt;=DATE('Second Earner'!$C$10,12,31)),'Second Earner'!$C$67,999999)))</f>
      </c>
      <c r="CF44">
        <f>IF($B44="","",IF($D44=0,$Y44,""))</f>
      </c>
    </row>
    <row r="45">
      <c r="A45" t="n">
        <v>40</v>
      </c>
      <c r="B45" s="21">
        <f>IF(AND($CD45="",$CE45=""),"",IF($CE45="",$CD45,IF($CD45="",$CE45,MIN($CD45,$CE45))))</f>
      </c>
      <c r="C45" s="7">
        <f>IF($B45="","",IF($BF45=0,0,IF('Second Earner'!$C$4="Annual salary",ROUND($AK45/IF(AND('Second Earner'!$C$88="Actual paydays",MONTH('Second Earner'!$C$9)=1),MAX(1,MAX($BE$6:$BE$68)),'Second Earner'!$C$8),2),$AK45)))</f>
      </c>
      <c r="D45" s="7">
        <f>IF($B45="","",SUMIF('Second Earner'!$C$58:$C$67,$B45,'Second Earner'!$D$58:$D$67))</f>
      </c>
      <c r="E45" s="7">
        <f>IF($B45="","",ROUND(MAX(0,MIN(IF($AL45="Percent",$AM45*($C45+$D45),$AM45),MAX(0,'Second Earner'!$C$34-$AC44))),2))</f>
      </c>
      <c r="F45" s="7">
        <f>IF($B45="","",ROUND(MAX(0,MIN(IF('Second Earner'!$C$32="Percent",'Second Earner'!$D$32*($C45+$D45),'Second Earner'!$D$32),MAX(0,'Second Earner'!$C$34-$AC44-$E45))),2))</f>
      </c>
      <c r="G45" s="7">
        <f>IF($B45="","",IF($BF45=0,0,ROUND(MAX(0,MIN($BL45,'Second Earner'!$C$37-'Second Earner'!$C$54-$BI44)),2)))</f>
      </c>
      <c r="H45" s="7">
        <f>IF($B45="","",IF(OR($BF45=0,$BQ45=1),0,ROUND(MAX(0,MIN(IF($BS45=1,ROUND(MAX(0,MIN($BJ45,'How This Works &amp; Sources'!$C$13)-$BG44)/MAX(1,MAX($BE$6:$BE$68)-($BE44)),2),ROUND(MIN($BJ45,'How This Works &amp; Sources'!$C$13)/'Second Earner'!$C$8,2)),MIN($BJ45,'How This Works &amp; Sources'!$C$13)-$BG44)),2)))</f>
      </c>
      <c r="I45" s="7">
        <f>IF($B45="","",IF(OR($BF45=0,$BR45=1),0,ROUND(MAX(0,MIN(IF($BT45=1,ROUND(MAX(0,MIN($BK45,IF('Second Earner'!$C$12="MFJ",'How This Works &amp; Sources'!$C$14,'How This Works &amp; Sources'!$C$15))-$BH44)/MAX(1,MAX($BE$6:$BE$68)-($BE44)),2),ROUND(MIN($BK45,IF('Second Earner'!$C$12="MFJ",'How This Works &amp; Sources'!$C$14,'How This Works &amp; Sources'!$C$15))/'Second Earner'!$C$8,2)),MIN($BK45,IF('Second Earner'!$C$12="MFJ",'How This Works &amp; Sources'!$C$14,'How This Works &amp; Sources'!$C$15))-$BH44)),2)))</f>
      </c>
      <c r="J45" s="7">
        <f>IF($B45="","",IF($BF45=0,0,$BM45))</f>
      </c>
      <c r="K45" s="7">
        <f>IF($B45="","",IF($BF45=0,0,$BN45+$BO45))</f>
      </c>
      <c r="L45" s="7">
        <f>IF($B45="","",IF($BF45=0,0,'Second Earner'!$D$46))</f>
      </c>
      <c r="M45" s="7">
        <f>IF($B45="","",$C45+$D45+$L45-$E45-$G45-$H45-$I45-$J45-$K45)</f>
      </c>
      <c r="N45" s="7">
        <f>IF($B45="","",$C45+$D45+$L45-$G45-$H45-$I45-$J45-$K45)</f>
      </c>
      <c r="O45" s="7">
        <f>IF($B45="","",$C45+$D45+$L45-$E45-$H45-$I45-$J45-$K45-IF(OR($AN45="CA",$AN45="NJ"),0,$G45))</f>
      </c>
      <c r="P45" s="7">
        <f>IF($B45="","",IF('Second Earner'!$C$18,0,ROUND(MAX(0,IF('Second Earner'!$C$13,SUMPRODUCT(($AH45&gt;INDEX('How This Works &amp; Sources'!$B$29:$J$36,0,IF('Second Earner'!$C$12="MFJ",1,IF('Second Earner'!$C$12="HoH",7,4))))*($AH45-INDEX('How This Works &amp; Sources'!$B$29:$J$36,0,IF('Second Earner'!$C$12="MFJ",1,IF('Second Earner'!$C$12="HoH",7,4))))*INDEX('How This Works &amp; Sources'!$B$29:$J$36,0,IF('Second Earner'!$C$12="MFJ",1,IF('Second Earner'!$C$12="HoH",7,4))+2)),SUMPRODUCT(($AH45&gt;INDEX('How This Works &amp; Sources'!$B$19:$J$26,0,IF('Second Earner'!$C$12="MFJ",1,IF('Second Earner'!$C$12="HoH",7,4))))*($AH45-INDEX('How This Works &amp; Sources'!$B$19:$J$26,0,IF('Second Earner'!$C$12="MFJ",1,IF('Second Earner'!$C$12="HoH",7,4))))*INDEX('How This Works &amp; Sources'!$B$19:$J$26,0,IF('Second Earner'!$C$12="MFJ",1,IF('Second Earner'!$C$12="HoH",7,4))+2)))/'Second Earner'!$C$8-$AO45/'Second Earner'!$C$8)+$AR45+IF('Second Earner'!$C$89="Aggregate",MAX(0,IF('Second Earner'!$C$13,SUMPRODUCT((($AH45+$D45)&gt;INDEX('How This Works &amp; Sources'!$B$29:$J$36,0,IF('Second Earner'!$C$12="MFJ",1,IF('Second Earner'!$C$12="HoH",7,4))))*(($AH45+$D45)-INDEX('How This Works &amp; Sources'!$B$29:$J$36,0,IF('Second Earner'!$C$12="MFJ",1,IF('Second Earner'!$C$12="HoH",7,4))))*INDEX('How This Works &amp; Sources'!$B$29:$J$36,0,IF('Second Earner'!$C$12="MFJ",1,IF('Second Earner'!$C$12="HoH",7,4))+2)),SUMPRODUCT((($AH45+$D45)&gt;INDEX('How This Works &amp; Sources'!$B$19:$J$26,0,IF('Second Earner'!$C$12="MFJ",1,IF('Second Earner'!$C$12="HoH",7,4))))*(($AH45+$D45)-INDEX('How This Works &amp; Sources'!$B$19:$J$26,0,IF('Second Earner'!$C$12="MFJ",1,IF('Second Earner'!$C$12="HoH",7,4))))*INDEX('How This Works &amp; Sources'!$B$19:$J$26,0,IF('Second Earner'!$C$12="MFJ",1,IF('Second Earner'!$C$12="HoH",7,4))+2)))-IF('Second Earner'!$C$13,SUMPRODUCT(($AH45&gt;INDEX('How This Works &amp; Sources'!$B$29:$J$36,0,IF('Second Earner'!$C$12="MFJ",1,IF('Second Earner'!$C$12="HoH",7,4))))*($AH45-INDEX('How This Works &amp; Sources'!$B$29:$J$36,0,IF('Second Earner'!$C$12="MFJ",1,IF('Second Earner'!$C$12="HoH",7,4))))*INDEX('How This Works &amp; Sources'!$B$29:$J$36,0,IF('Second Earner'!$C$12="MFJ",1,IF('Second Earner'!$C$12="HoH",7,4))+2)),SUMPRODUCT(($AH45&gt;INDEX('How This Works &amp; Sources'!$B$19:$J$26,0,IF('Second Earner'!$C$12="MFJ",1,IF('Second Earner'!$C$12="HoH",7,4))))*($AH45-INDEX('How This Works &amp; Sources'!$B$19:$J$26,0,IF('Second Earner'!$C$12="MFJ",1,IF('Second Earner'!$C$12="HoH",7,4))))*INDEX('How This Works &amp; Sources'!$B$19:$J$26,0,IF('Second Earner'!$C$12="MFJ",1,IF('Second Earner'!$C$12="HoH",7,4))+2)))),'How This Works &amp; Sources'!$C$10*$D45),2)))</f>
      </c>
      <c r="Q45" s="7">
        <f>IF($B45="","",ROUND('How This Works &amp; Sources'!$C$4*MIN($N45,MAX(0,'How This Works &amp; Sources'!$C$3-($AX45+$AB44-$AW45))),2))</f>
      </c>
      <c r="R45" s="7">
        <f>IF($B45="","",ROUND('How This Works &amp; Sources'!$C$5*$N45,2))</f>
      </c>
      <c r="S45" s="7">
        <f>IF($B45="","",ROUND('How This Works &amp; Sources'!$C$6*MAX(0,MIN($N45,$AG44+$N45-'How This Works &amp; Sources'!$C$7)),2))</f>
      </c>
      <c r="T45" s="7">
        <f>IF($B45="","",IF('Second Earner'!$C$26,0,IF($AN45="CA",ROUND(IF($AI45&lt;=IF(($AS45+$AT45)&gt;=2,VLOOKUP($AN45,StateTables!$A$6:$AB$56,10,FALSE),VLOOKUP($AN45,StateTables!$A$6:$AB$56,9,FALSE)),0,MAX(0,SUMPRODUCT(($AJ45&gt;INDEX('How This Works &amp; Sources'!$B$39:$J$48,0,IF($AU45="Married",4,IF($AU45="Head of household",7,1))))*($AJ45-INDEX('How This Works &amp; Sources'!$B$39:$J$48,0,IF($AU45="Married",4,IF($AU45="Head of household",7,1))))*INDEX('How This Works &amp; Sources'!$B$39:$J$48,0,IF($AU45="Married",4,IF($AU45="Head of household",7,1))+2))-VLOOKUP($AN45,StateTables!$A$6:$AB$56,11,FALSE)*$AS45)/'Second Earner'!$C$8)+'Second Earner'!$C$25+VLOOKUP($AN45,StateTables!$A$6:$AB$56,13,FALSE)*$D45,2),IF(VLOOKUP($AN45,StateTables!$A$6:$AB$56,4,FALSE)="None",0,IF(ISNUMBER(SEARCH("MANUAL",VLOOKUP($AN45,StateTables!$A$6:$AB$56,5,FALSE))),'Second Earner'!$C$28,ROUND(MAX(0,$BA45+$BB45)/'Second Earner'!$C$8+'Second Earner'!$C$25+$BC45,2))))))</f>
      </c>
      <c r="U45" s="7">
        <f>IF($B45="","",IF(VLOOKUP($AN45,StateTables!$A$6:$AB$56,24,FALSE)="flatq",IF(OR(MONTH($B45)=1,MONTH($B45)=4,MONTH($B45)=7,MONTH($B45)=10),VLOOKUP($AN45,StateTables!$A$6:$AB$56,25,FALSE),0),IF(VLOOKUP($AN45,StateTables!$A$6:$AB$56,24,FALSE)="dbl",MIN(ROUND(0.005*$N45,2),ROUND(0.6*52/'Second Earner'!$C$8,2)),IF(OR(VLOOKUP($AN45,StateTables!$A$6:$AB$56,15,FALSE)="",VLOOKUP($AN45,StateTables!$A$6:$AB$56,15,FALSE)=0),0,ROUND(VLOOKUP($AN45,StateTables!$A$6:$AB$56,15,FALSE)*IF(OR(VLOOKUP($AN45,StateTables!$A$6:$AB$56,16,FALSE)="",VLOOKUP($AN45,StateTables!$A$6:$AB$56,16,FALSE)=0),$N45,MIN($N45,MAX(0,VLOOKUP($AN45,StateTables!$A$6:$AB$56,16,FALSE)-($AX45+$AB44-$AW45)))),2))))+IF(VLOOKUP($AN45,StateTables!$A$6:$AB$56,27,FALSE)="flatq",IF(OR(MONTH($B45)=1,MONTH($B45)=4,MONTH($B45)=7,MONTH($B45)=10),VLOOKUP($AN45,StateTables!$A$6:$AB$56,28,FALSE),0),IF(VLOOKUP($AN45,StateTables!$A$6:$AB$56,27,FALSE)="dbl",MIN(ROUND(0.005*$N45,2),ROUND(0.6*52/'Second Earner'!$C$8,2)),IF(OR(VLOOKUP($AN45,StateTables!$A$6:$AB$56,18,FALSE)="",VLOOKUP($AN45,StateTables!$A$6:$AB$56,18,FALSE)=0),0,ROUND(VLOOKUP($AN45,StateTables!$A$6:$AB$56,18,FALSE)*IF(OR(VLOOKUP($AN45,StateTables!$A$6:$AB$56,19,FALSE)="",VLOOKUP($AN45,StateTables!$A$6:$AB$56,19,FALSE)=0),$N45,MIN($N45,MAX(0,VLOOKUP($AN45,StateTables!$A$6:$AB$56,19,FALSE)-($AX45+$AB44-$AW45)))),2)))))</f>
      </c>
      <c r="V45" s="7">
        <f>IF($B45="","",IF($AN45="NY",IF('Second Earner'!$C$78,ROUND(SUMPRODUCT((MAX(0,($O45-$D45)*'Second Earner'!$C$8-(IF($AU45="Married",5500,5000)+1000*$AS45))&gt;INDEX('How This Works &amp; Sources'!$B$184:$J$198,0,4))*(MAX(0,($O45-$D45)*'Second Earner'!$C$8-(IF($AU45="Married",5500,5000)+1000*$AS45))-INDEX('How This Works &amp; Sources'!$B$184:$J$198,0,4))*INDEX('How This Works &amp; Sources'!$B$184:$J$198,0,4+2))/'Second Earner'!$C$8+0.0425*$D45,2),0)+IF('Second Earner'!$C$79="Resident",ROUND(0.1675*$T45,2),IF('Second Earner'!$C$79="Nonresident",ROUND(0.005*MAX(0,($O45-$D45)-(IF($AU45="Married",7950,7400)+1000*$AS45)/'Second Earner'!$C$8),2),0)),IF($AN45="PA",IF('Second Earner'!$C$80="None",'Second Earner'!$C$27+ROUND('Second Earner'!$C$81*($C45+$D45),2),ROUND(IF('Second Earner'!$C$80="Resident",IF($B45&lt;DATE(2026,7,1),0.0374,0.03735),IF($B45&lt;DATE(2026,7,1),0.0343,0.03425))*($C45+$D45),2)),IF($BF45=0,ROUND('Second Earner'!$C$81*($C45+$D45),2),'Second Earner'!$C$27+ROUND('Second Earner'!$C$81*($C45+$D45),2)))))</f>
      </c>
      <c r="W45" s="7">
        <f>IF($B45="","",IF($BF45=0,0,$BP45))</f>
      </c>
      <c r="X45" s="7">
        <f>IF($B45="","",SUM($E45:$K45)+$P45+$Q45+$R45+$S45+$T45+$U45+$V45+$W45)</f>
      </c>
      <c r="Y45" s="22">
        <f>IF($B45="","",$C45+$D45-$X45)</f>
      </c>
      <c r="Z45" s="7">
        <f>IF($B45="","",$Z44+$C45+$D45)</f>
      </c>
      <c r="AA45" s="7">
        <f>IF($B45="","",$AA44+$Y45)</f>
      </c>
      <c r="AB45" s="7">
        <f>IF($B45="","",$AB44+MIN($N45,MAX(0,'How This Works &amp; Sources'!$C$3-($AX45+$AB44-$AW45))))</f>
      </c>
      <c r="AC45" s="7">
        <f>IF($B45="","",$AC44+$E45+$F45)</f>
      </c>
      <c r="AD45" s="3">
        <f>IF($B45="","",IF(AND($AB44&lt;'How This Works &amp; Sources'!$C$3,$AB45&gt;='How This Works &amp; Sources'!$C$3),"★ Social Security maxed on this check — from the next check your net rises by about $"&amp;TEXT(ROUND('How This Works &amp; Sources'!$C$4*$N45,2),"#,##0.00")&amp;". ","")&amp;IF(AND($AC44&lt;'Second Earner'!$C$34,$AC45&gt;='Second Earner'!$C$34),"★ 401(k) reaches the $"&amp;TEXT('Second Earner'!$C$34,"#,##0")&amp;" cap on this check — deferrals stop and net pay rises. ","")&amp;IF(AND($AG44&lt;'How This Works &amp; Sources'!$C$7,$AG45&gt;='How This Works &amp; Sources'!$C$7),"★ Wages pass $200,000 — the 0.9% Additional Medicare Tax starts here. ","")&amp;IF(AND($BJ45&gt;0,$H45&gt;0,$BG44&lt;MIN($BJ45,'How This Works &amp; Sources'!$C$13),$BG44+$H45&gt;=MIN($BJ45,'How This Works &amp; Sources'!$C$13)),"★ Health FSA election is now fully deferred for the year. ",""))</f>
      </c>
      <c r="AE45" s="41" t="n"/>
      <c r="AF45" s="7">
        <f>IF(OR($B45="",$AE45=""),"",$AE45-$Y45)</f>
      </c>
      <c r="AG45" s="7">
        <f>IF($B45="","",$AG44+$N45)</f>
      </c>
      <c r="AH45" s="7">
        <f>IF($B45="","",MAX(0,($M45-$D45)*'Second Earner'!$C$8+$AP45-$AQ45-IF('Second Earner'!$C$13,0,IF('Second Earner'!$C$12="MFJ",'How This Works &amp; Sources'!$C$8,'How This Works &amp; Sources'!$C$9))))</f>
      </c>
      <c r="AI45" s="7">
        <f>IF($B45="","",$O45*'Second Earner'!$C$8)</f>
      </c>
      <c r="AJ45" s="7">
        <f>IF($B45="","",MAX(0,$AI45-VLOOKUP($AN45,StateTables!$A$6:$AB$56,12,FALSE)*$AT45-IF(($AS45+$AT45)&gt;=2,VLOOKUP($AN45,StateTables!$A$6:$AB$56,8,FALSE),VLOOKUP($AN45,StateTables!$A$6:$AB$56,7,FALSE))))</f>
      </c>
      <c r="AK45" s="7">
        <f>IF($B45="","",IFERROR(LOOKUP(2,1/(('Changes — Earner 2'!$C$6:$C$17="Salary change")*('Changes — Earner 2'!$B$6:$B$17&lt;=$B45)*('Changes — Earner 2'!$B$6:$B$17&lt;&gt;"")),'Changes — Earner 2'!$D$6:$D$17),IF('Second Earner'!$C$4="Annual salary",'Second Earner'!$C$5,'Second Earner'!$C$6)))</f>
      </c>
      <c r="AL45">
        <f>IF($B45="","",IFERROR(LOOKUP(2,1/(('Changes — Earner 2'!$C$6:$C$17="401(k) change")*('Changes — Earner 2'!$B$6:$B$17&lt;=$B45)*('Changes — Earner 2'!$B$6:$B$17&lt;&gt;"")),'Changes — Earner 2'!$D$6:$D$17),'Second Earner'!$C$30))</f>
      </c>
      <c r="AM45" s="7">
        <f>IF($B45="","",IFERROR(LOOKUP(2,1/(('Changes — Earner 2'!$C$6:$C$17="401(k) change")*('Changes — Earner 2'!$B$6:$B$17&lt;=$B45)*('Changes — Earner 2'!$B$6:$B$17&lt;&gt;"")),'Changes — Earner 2'!$E$6:$E$17),'Second Earner'!$D$31))</f>
      </c>
      <c r="AN45">
        <f>IF($B45="","",IFERROR(LOOKUP(2,1/(('Changes — Earner 2'!$C$6:$C$17="State move")*('Changes — Earner 2'!$B$6:$B$17&lt;=$B45)*('Changes — Earner 2'!$B$6:$B$17&lt;&gt;"")),'Changes — Earner 2'!$D$6:$D$17),'Second Earner'!$C$21))</f>
      </c>
      <c r="AO45" s="7">
        <f>IF($B45="","",IFERROR(LOOKUP(2,1/(('Changes — Earner 2'!$C$6:$C$17="W-4 change")*('Changes — Earner 2'!$B$6:$B$17&lt;=$B45)*('Changes — Earner 2'!$B$6:$B$17&lt;&gt;"")),'Changes — Earner 2'!$D$6:$D$17),'Second Earner'!$C$14))</f>
      </c>
      <c r="AP45" s="7">
        <f>IF($B45="","",IFERROR(LOOKUP(2,1/(('Changes — Earner 2'!$C$6:$C$17="W-4 change")*('Changes — Earner 2'!$B$6:$B$17&lt;=$B45)*('Changes — Earner 2'!$B$6:$B$17&lt;&gt;"")),'Changes — Earner 2'!$E$6:$E$17),'Second Earner'!$C$15))</f>
      </c>
      <c r="AQ45" s="7">
        <f>IF($B45="","",IFERROR(LOOKUP(2,1/(('Changes — Earner 2'!$C$6:$C$17="W-4 change")*('Changes — Earner 2'!$B$6:$B$17&lt;=$B45)*('Changes — Earner 2'!$B$6:$B$17&lt;&gt;"")),'Changes — Earner 2'!$F$6:$F$17),'Second Earner'!$C$16))</f>
      </c>
      <c r="AR45" s="7">
        <f>IF($B45="","",IFERROR(LOOKUP(2,1/(('Changes — Earner 2'!$C$6:$C$17="W-4 change")*('Changes — Earner 2'!$B$6:$B$17&lt;=$B45)*('Changes — Earner 2'!$B$6:$B$17&lt;&gt;"")),'Changes — Earner 2'!$G$6:$G$17),'Second Earner'!$C$17))</f>
      </c>
      <c r="AS45" s="6">
        <f>IF($B45="","",IFERROR(LOOKUP(2,1/((('Changes — Earner 2'!$C$6:$C$17="State move")+('Changes — Earner 2'!$C$6:$C$17="State cert change"))*('Changes — Earner 2'!$B$6:$B$17&lt;=$B45)*('Changes — Earner 2'!$B$6:$B$17&lt;&gt;"")),'Changes — Earner 2'!$F$6:$F$17),'Second Earner'!$C$23))</f>
      </c>
      <c r="AT45" s="6">
        <f>IF($B45="","",IFERROR(LOOKUP(2,1/((('Changes — Earner 2'!$C$6:$C$17="State move")+('Changes — Earner 2'!$C$6:$C$17="State cert change"))*('Changes — Earner 2'!$B$6:$B$17&lt;=$B45)*('Changes — Earner 2'!$B$6:$B$17&lt;&gt;"")),'Changes — Earner 2'!$G$6:$G$17),'Second Earner'!$C$24))</f>
      </c>
      <c r="AU45">
        <f>IF($B45="","",IFERROR(LOOKUP(2,1/(('Changes — Earner 2'!$C$6:$C$17="State move")*('Changes — Earner 2'!$B$6:$B$17&lt;=$B45)*('Changes — Earner 2'!$B$6:$B$17&lt;&gt;"")),'Changes — Earner 2'!$E$6:$E$17),'Second Earner'!$C$22))</f>
      </c>
      <c r="AV45" s="6">
        <f>IF($B45="","",1+COUNTIFS('Changes — Earner 2'!$C$6:$C$17,"Employer change",'Changes — Earner 2'!$B$6:$B$17,"&lt;="&amp;$B45,'Changes — Earner 2'!$B$6:$B$17,"&lt;&gt;"))</f>
      </c>
      <c r="AW45" s="7">
        <f>IF($B45="","",IF($AV45=1,'Second Earner'!$C$49,IF(IFERROR(MATCH(IFERROR(LOOKUP(2,1/(('Changes — Earner 2'!$C$6:$C$17="Employer change")*('Changes — Earner 2'!$B$6:$B$17&lt;=$B45)*('Changes — Earner 2'!$B$6:$B$17&lt;&gt;"")),'Changes — Earner 2'!$B$6:$B$17),""),$B$6:$B$68,1),1)&lt;=1,'Second Earner'!$C$49,INDEX($AB$6:$AB$68,MATCH(IFERROR(LOOKUP(2,1/(('Changes — Earner 2'!$C$6:$C$17="Employer change")*('Changes — Earner 2'!$B$6:$B$17&lt;=$B45)*('Changes — Earner 2'!$B$6:$B$17&lt;&gt;"")),'Changes — Earner 2'!$B$6:$B$17),""),$B$6:$B$68,1)-1))))</f>
      </c>
      <c r="AX45" s="7">
        <f>IF($B45="","",IF($AV45=1,'Second Earner'!$C$49,IFERROR(LOOKUP(2,1/(('Changes — Earner 2'!$C$6:$C$17="Employer change")*('Changes — Earner 2'!$B$6:$B$17&lt;=$B45)*('Changes — Earner 2'!$B$6:$B$17&lt;&gt;"")),'Changes — Earner 2'!$D$6:$D$17),0)))</f>
      </c>
      <c r="AY45" s="7">
        <f>IF($B45="","",($O45-$D45)*'Second Earner'!$C$8)</f>
      </c>
      <c r="AZ45" s="7">
        <f>IF($B45="","",IF($AN45="AL",MAX(0,$AY45-IF($AU45="Married",IF($AY45&lt;=25999,8500,MAX(5000,8500-175*CEILING(($AY45-25999)/500,1))),IF($AU45="Head of household",IF($AY45&lt;=25999,5200,MAX(2500,5200-135*CEILING(($AY45-25999)/500,1))),IF($AY45&lt;=25999,3000,MAX(2500,3000-25*CEILING(($AY45-25999)/500,1)))))-($P45-'How This Works &amp; Sources'!$C$10*$D45)*'Second Earner'!$C$8-IF(OR($AU45="Married",$AU45="Head of household"),3000,1500)-$AT45*IF($AY45&lt;=50000,1000,IF($AY45&lt;=100000,500,300))),IF($AN45="AR",IF(MAX(0,$AY45-2470)&lt;97701,INT(MAX(0,$AY45-2470)/100)*100+50,MAX(0,$AY45-2470)),IF($AN45="DE",MAX(0,$AI45-3250),IF($AN45="HI",MAX(0,$AI45-1144*$AS45-4350),IF($AN45="KS",MAX(0,$AI45-(9160*IF($AU45="Married",2,1)+2320*$AT45+IF($AU45="Head of household",2320,0))),IF($AN45="MD",MAX(0,$AI45-3400-3200*$AS45),IF($AN45="MN",MAX(0,$AY45-5300*$AS45),IF($AN45="MO",MAX(0,$AI45-IF($AU45="Head of household",24150,IF($AU45="Married",IF('Second Earner'!$C$83,16100,32200),16100))),IF($AN45="MT",$AY45,IF($AN45="ND",($C45+$L45)*'Second Earner'!$C$8,IF($AN45="NE",MAX(0,$AY45-2440*$AS45),IF($AN45="NJ",MAX(0,$AY45-1000*$AS45),IF($AN45="NY",MAX(0,$AY45-(IF($AU45="Married",7950,7400)+1000*$AS45)),IF($AN45="OH",MAX(0,$AY45-650*$AS45),IF($AN45="OK",MAX(0,$AY45-1000*$AS45),IF($AN45="RI",MAX(0,$AI45-1000*$AS45),IF($AN45="SC",MAX(0,$AI45-5000*$AS45-IF($AS45=0,0,MIN(0.1*$AI45,7500))),IF($AN45="VA",MAX(0,$AI45-IF($AU45="Married",17500,8750)-930*$AS45-800*$AT45),IF($AN45="VT",MAX(0,$AI45-5400*$AS45),IF($AN45="WI",MAX(0,$AI45-MAX(0,IF($AU45="Married",9461-0.2*MAX(0,$AI45-25727),6702-0.12*MAX(0,$AI45-17780)))-400*$AS45),IF($AN45="WV",MAX(0,$AI45-2000*$AS45),$AI45))))))))))))))))))))))</f>
      </c>
      <c r="BA45" s="7">
        <f>IF($B45="","",IF($BW45&lt;&gt;"",$BW45,IF($BX45&lt;&gt;"",$BX45,IF($BY45&lt;&gt;"",$BY45,0))))</f>
      </c>
      <c r="BB45" s="7">
        <f>IF($B45="","",IF($AN45="AR",-29*$AS45,IF($AN45="DE",-110*$AS45,IF($AN45="MD",$AZ45*'Second Earner'!$C$74,IF($AN45="AZ",'Second Earner'!$C$82*($M45-$D45)*'Second Earner'!$C$8,IF($AN45="CO",0.044*MAX(0,$AY45-IF($AU45="Married",10000,5000)),IF($AN45="IA",MAX(0,0.038*MAX(0,$AY45-IF($AU45="Head of household",19500,IF($AU45="Married",26000,13000)))-40*$AS45),IF($AN45="ID",0.053*MAX(0,$AY45-IF($AU45="Married",32000,16094)),IF($AN45="IL",0.0495*MAX(0,$AY45-(2925*$AS45+1000*$AT45)),IF($AN45="IN",(0.0295+'Second Earner'!$C$76)*MAX(0,$AY45-(1000*$AS45+1500*$AT45+3000*'Second Earner'!$C$86)),IF($AN45="KY",0.035*MAX(0,$AI45-3360),IF($AN45="LA",IF('Second Earner'!$C$84="0",0.0309*$AI45,0.0309*MAX(0,$AI45-IF('Second Earner'!$C$84="2",25750,12875))),IF($AN45="MA",0.05*MIN(MAX(0,$AY45-MIN(($BD44+$Q45+$R45+$S45),2000)-IF($AS45=0,0,IF($AS45=1,4400,1000*$AS45+3400))),1107750)+0.09*MAX(0,MAX(0,$AY45-MIN(($BD44+$Q45+$R45+$S45),2000)-IF($AS45=0,0,IF($AS45=1,4400,1000*$AS45+3400)))-1107750)-IF($AU45="Head of household",120,0)-110*'Second Earner'!$C$75,IF($AN45="MI",0.0425*MAX(0,$AY45-5900*$AS45),IF($AN45="MS",0.04*MAX(0,$AI45-IF($AU45="Head of household",3400,IF($AU45="Married",4600,2300))-'Second Earner'!$C$85-10000),IF($AN45="OR",IF(OR($AU45="Married",AND($AU45="Single",$AS45&gt;=3)),SUMPRODUCT((MAX(0,$AY45-MIN(($P45-'How This Works &amp; Sources'!$C$10*$D45)*'Second Earner'!$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Sources'!$B$211:$J$214,0,4))*(MAX(0,$AY45-MIN(($P45-'How This Works &amp; Sources'!$C$10*$D45)*'Second Earner'!$C$8,IF(OR($AU45="Married",AND($AU45="Single",$AS45&gt;=3)),IF($AY45&lt;250000,8750,IF($AY45&lt;260000,7000,IF($AY45&lt;270000,5250,IF($AY45&lt;280000,3500,IF($AY45&lt;290000,1750,0))))),IF($AY45&lt;125000,8750,IF($AY45&lt;130000,7000,IF($AY45&lt;135000,5250,IF($AY45&lt;140000,3500,IF($AY45&lt;145000,1750,0)))))))-IF(OR($AU45="Married",AND($AU45="Single",$AS45&gt;=3)),5820,2910))-INDEX('How This Works &amp; Sources'!$B$211:$J$214,0,4))*INDEX('How This Works &amp; Sources'!$B$211:$J$214,0,4+2)),SUMPRODUCT((MAX(0,$AY45-MIN(($P45-'How This Works &amp; Sources'!$C$10*$D45)*'Second Earner'!$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Sources'!$B$211:$J$214,0,1))*(MAX(0,$AY45-MIN(($P45-'How This Works &amp; Sources'!$C$10*$D45)*'Second Earner'!$C$8,IF(OR($AU45="Married",AND($AU45="Single",$AS45&gt;=3)),IF($AY45&lt;250000,8750,IF($AY45&lt;260000,7000,IF($AY45&lt;270000,5250,IF($AY45&lt;280000,3500,IF($AY45&lt;290000,1750,0))))),IF($AY45&lt;125000,8750,IF($AY45&lt;130000,7000,IF($AY45&lt;135000,5250,IF($AY45&lt;140000,3500,IF($AY45&lt;145000,1750,0)))))))-IF(OR($AU45="Married",AND($AU45="Single",$AS45&gt;=3)),5820,2910))-INDEX('How This Works &amp; Sources'!$B$211:$J$214,0,1))*INDEX('How This Works &amp; Sources'!$B$211:$J$214,0,1+2)))+263-263*IF(IF($AU45="Married",$AY45&gt;200000,$AY45&gt;100000),0,$AS45),IF($AN45="PA",0.0307*(($O45+$E45+$G45)*'Second Earner'!$C$8),IF($AN45="NY",IF($AU45="Married",IF($AZ45&gt;=2155350,0,IF($AZ45&gt;=1077550,0.48,IF($AZ45&gt;=373200,1.21,IF($AZ45&gt;=323200,0.21,IF($AZ45&gt;=211550,-0.19,IF($AZ45&gt;=157650,-2.8,IF($AZ45&gt;=107650,-0.8,IF($AZ45&gt;=96800,0.05,IF($AZ45&gt;=80650,-0.1,IF($AZ45&gt;=13900,0.4,IF($AZ45&gt;=11700,-0.3,IF($AZ45&gt;=8500,0.5,0)))))))))))),IF($AZ45&gt;=1077550,0,IF($AZ45&gt;=265400,4.29,IF($AZ45&gt;=215400,2.29,IF($AZ45&gt;=157650,2.29,IF($AZ45&gt;=107650,0.29,IF($AZ45&gt;=96800,0.05,IF($AZ45&gt;=80650,-0.1,IF($AZ45&gt;=13900,0.4,IF($AZ45&gt;=11700,-0.3,IF($AZ45&gt;=8500,0.5,0))))))))))),0))))))))))))))))))</f>
      </c>
      <c r="BC45" s="7">
        <f>IF($B45="","",IF($AN45="AL",0.05*$D45,IF($AN45="AR",0.039*$D45,IF($AN45="ID",0.053*$D45,IF($AN45="IN",(0.0295+'Second Earner'!$C$76)*$D45,IF($AN45="KS",0.05*$D45,IF($AN45="MA",0.09*MIN($D45,MAX(0,MAX(0,$AY45-MIN(($BD44+$Q45+$R45+$S45),2000)-IF($AS45=0,0,IF($AS45=1,4400,1000*$AS45+3400)))+$D45-1107750))+0.05*($D45-MIN($D45,MAX(0,MAX(0,$AY45-MIN(($BD44+$Q45+$R45+$S45),2000)-IF($AS45=0,0,IF($AS45=1,4400,1000*$AS45+3400)))+$D45-1107750))),IF($AN45="MD",(0.065+'Second Earner'!$C$74)*$D45,IF($AN45="MI",0.0425*$D45,IF($AN45="MN",0.0625*$D45,IF($AN45="MO",0.047*$D45,IF($AN45="MT",0.05*$D45,IF($AN45="ND",0.015*$D45,IF($AN45="NE",0.035*$D45,IF($AN45="NJ",IF('Second Earner'!$C$77="B",SUMPRODUCT(($D45*'Second Earner'!$C$8&gt;INDEX('How This Works &amp; Sources'!$B$155:$J$162,0,4))*($D45*'Second Earner'!$C$8-INDEX('How This Works &amp; Sources'!$B$155:$J$162,0,4))*INDEX('How This Works &amp; Sources'!$B$155:$J$162,0,4+2)),IF('Second Earner'!$C$77="C",SUMPRODUCT(($D45*'Second Earner'!$C$8&gt;INDEX('How This Works &amp; Sources'!$B$155:$J$162,0,7))*($D45*'Second Earner'!$C$8-INDEX('How This Works &amp; Sources'!$B$155:$J$162,0,7))*INDEX('How This Works &amp; Sources'!$B$155:$J$162,0,7+2)),IF('Second Earner'!$C$77="D",SUMPRODUCT(($D45*'Second Earner'!$C$8&gt;INDEX('How This Works &amp; Sources'!$B$167:$J$179,0,1))*($D45*'Second Earner'!$C$8-INDEX('How This Works &amp; Sources'!$B$167:$J$179,0,1))*INDEX('How This Works &amp; Sources'!$B$167:$J$179,0,1+2)),IF('Second Earner'!$C$77="E",SUMPRODUCT(($D45*'Second Earner'!$C$8&gt;INDEX('How This Works &amp; Sources'!$B$167:$J$179,0,4))*($D45*'Second Earner'!$C$8-INDEX('How This Works &amp; Sources'!$B$167:$J$179,0,4))*INDEX('How This Works &amp; Sources'!$B$167:$J$179,0,4+2)),SUMPRODUCT(($D45*'Second Earner'!$C$8&gt;INDEX('How This Works &amp; Sources'!$B$155:$J$162,0,1))*($D45*'Second Earner'!$C$8-INDEX('How This Works &amp; Sources'!$B$155:$J$162,0,1))*INDEX('How This Works &amp; Sources'!$B$155:$J$162,0,1+2))))))/'Second Earner'!$C$8,IF($AN45="NY",0.117*$D45,IF($AN45="OH",0.0275*$D45,IF($AN45="OK",0.045*$D45,IF($AN45="OR",0.08*$D45,IF($AN45="WI",IF($AY45&lt;12760,0.0354,IF($AY45&lt;25520,0.0465,IF($AY45&lt;280950,0.053,0.0765)))*$D45,0))))))))))))))))))))</f>
      </c>
      <c r="BD45" s="7">
        <f>IF($B45="","",$BD44+$Q45+$R45+$S45)</f>
      </c>
      <c r="BE45" s="6">
        <f>IF($B45="",$BE44,$BE44+$BF45)</f>
      </c>
      <c r="BF45" s="6">
        <f>IF($B45="","",IF(AND(IF(YEAR(IF('Second Earner'!$C$7="Weekly",'Second Earner'!$C$9+7*(($BE44+1)-1),IF('Second Earner'!$C$7="Biweekly",'Second Earner'!$C$9+14*(($BE44+1)-1),IF('Second Earner'!$C$7="Semimonthly",DATE(YEAR('Second Earner'!$C$9),MONTH('Second Earner'!$C$9)+INT((($BE44+1)-1)/2),MIN(DAY('Second Earner'!$C$9),DAY(EOMONTH(DATE(YEAR('Second Earner'!$C$9),MONTH('Second Earner'!$C$9)+INT((($BE44+1)-1)/2),1),0))))+IF(MOD(($BE44+1)-1,2)=1,15,0),EDATE('Second Earner'!$C$9,($BE44+1)-1)))))&lt;&gt;'Second Earner'!$C$10,"",IF('Second Earner'!$C$7="Weekly",'Second Earner'!$C$9+7*(($BE44+1)-1),IF('Second Earner'!$C$7="Biweekly",'Second Earner'!$C$9+14*(($BE44+1)-1),IF('Second Earner'!$C$7="Semimonthly",DATE(YEAR('Second Earner'!$C$9),MONTH('Second Earner'!$C$9)+INT((($BE44+1)-1)/2),MIN(DAY('Second Earner'!$C$9),DAY(EOMONTH(DATE(YEAR('Second Earner'!$C$9),MONTH('Second Earner'!$C$9)+INT((($BE44+1)-1)/2),1),0))))+IF(MOD(($BE44+1)-1,2)=1,15,0),EDATE('Second Earner'!$C$9,($BE44+1)-1)))))&lt;&gt;"",$B45=IF(YEAR(IF('Second Earner'!$C$7="Weekly",'Second Earner'!$C$9+7*(($BE44+1)-1),IF('Second Earner'!$C$7="Biweekly",'Second Earner'!$C$9+14*(($BE44+1)-1),IF('Second Earner'!$C$7="Semimonthly",DATE(YEAR('Second Earner'!$C$9),MONTH('Second Earner'!$C$9)+INT((($BE44+1)-1)/2),MIN(DAY('Second Earner'!$C$9),DAY(EOMONTH(DATE(YEAR('Second Earner'!$C$9),MONTH('Second Earner'!$C$9)+INT((($BE44+1)-1)/2),1),0))))+IF(MOD(($BE44+1)-1,2)=1,15,0),EDATE('Second Earner'!$C$9,($BE44+1)-1)))))&lt;&gt;'Second Earner'!$C$10,"",IF('Second Earner'!$C$7="Weekly",'Second Earner'!$C$9+7*(($BE44+1)-1),IF('Second Earner'!$C$7="Biweekly",'Second Earner'!$C$9+14*(($BE44+1)-1),IF('Second Earner'!$C$7="Semimonthly",DATE(YEAR('Second Earner'!$C$9),MONTH('Second Earner'!$C$9)+INT((($BE44+1)-1)/2),MIN(DAY('Second Earner'!$C$9),DAY(EOMONTH(DATE(YEAR('Second Earner'!$C$9),MONTH('Second Earner'!$C$9)+INT((($BE44+1)-1)/2),1),0))))+IF(MOD(($BE44+1)-1,2)=1,15,0),EDATE('Second Earner'!$C$9,($BE44+1)-1)))))),1,0))</f>
      </c>
      <c r="BG45" s="7">
        <f>IF($B45="","",$BG44+$H45)</f>
      </c>
      <c r="BH45" s="7">
        <f>IF($B45="","",$BH44+$I45)</f>
      </c>
      <c r="BI45" s="7">
        <f>IF($B45="","",$BI44+$G45)</f>
      </c>
      <c r="BJ45" s="7">
        <f>IF($B45="","",IFERROR(LOOKUP(2,1/(((('Changes — Earner 2'!$C$6:$C$17="Deduction start"))*('Changes — Earner 2'!$D$6:$D$17="Health FSA"))*('Changes — Earner 2'!$B$6:$B$17&lt;=$B45)*('Changes — Earner 2'!$B$6:$B$17&lt;&gt;"")),'Changes — Earner 2'!$E$6:$E$17),'Second Earner'!$D$38))</f>
      </c>
      <c r="BK45" s="7">
        <f>IF($B45="","",IFERROR(LOOKUP(2,1/(((('Changes — Earner 2'!$C$6:$C$17="Deduction start"))*('Changes — Earner 2'!$D$6:$D$17="Dependent-care FSA"))*('Changes — Earner 2'!$B$6:$B$17&lt;=$B45)*('Changes — Earner 2'!$B$6:$B$17&lt;&gt;"")),'Changes — Earner 2'!$E$6:$E$17),'Second Earner'!$D$39))</f>
      </c>
      <c r="BL45" s="7">
        <f>IF($B45="","",IFERROR(LOOKUP(2,1/(((('Changes — Earner 2'!$C$6:$C$17="Deduction start")+('Changes — Earner 2'!$C$6:$C$17="Deduction stop"))*('Changes — Earner 2'!$D$6:$D$17="HSA"))*('Changes — Earner 2'!$B$6:$B$17&lt;=$B45)*('Changes — Earner 2'!$B$6:$B$17&lt;&gt;"")),'Changes — Earner 2'!$I$6:$I$17),'Second Earner'!$D$35))</f>
      </c>
      <c r="BM45" s="7">
        <f>IF($B45="","",IFERROR(LOOKUP(2,1/(((('Changes — Earner 2'!$C$6:$C$17="Deduction start")+('Changes — Earner 2'!$C$6:$C$17="Deduction stop"))*('Changes — Earner 2'!$D$6:$D$17="Premiums"))*('Changes — Earner 2'!$B$6:$B$17&lt;=$B45)*('Changes — Earner 2'!$B$6:$B$17&lt;&gt;"")),'Changes — Earner 2'!$I$6:$I$17),'Second Earner'!$D$40+'Second Earner'!$D$41+'Second Earner'!$D$42))</f>
      </c>
      <c r="BN45" s="7">
        <f>IF($B45="","",IFERROR(LOOKUP(2,1/(((('Changes — Earner 2'!$C$6:$C$17="Deduction start")+('Changes — Earner 2'!$C$6:$C$17="Deduction stop"))*('Changes — Earner 2'!$D$6:$D$17="Commuter"))*('Changes — Earner 2'!$B$6:$B$17&lt;=$B45)*('Changes — Earner 2'!$B$6:$B$17&lt;&gt;"")),'Changes — Earner 2'!$I$6:$I$17),'Second Earner'!$D$43))</f>
      </c>
      <c r="BO45" s="7">
        <f>IF($B45="","",IFERROR(LOOKUP(2,1/(((('Changes — Earner 2'!$C$6:$C$17="Deduction start")+('Changes — Earner 2'!$C$6:$C$17="Deduction stop"))*('Changes — Earner 2'!$D$6:$D$17="Other pre-tax"))*('Changes — Earner 2'!$B$6:$B$17&lt;=$B45)*('Changes — Earner 2'!$B$6:$B$17&lt;&gt;"")),'Changes — Earner 2'!$I$6:$I$17),'Second Earner'!$D$44))</f>
      </c>
      <c r="BP45" s="7">
        <f>IF($B45="","",IFERROR(LOOKUP(2,1/(((('Changes — Earner 2'!$C$6:$C$17="Deduction start")+('Changes — Earner 2'!$C$6:$C$17="Deduction stop"))*('Changes — Earner 2'!$D$6:$D$17="Other post-tax"))*('Changes — Earner 2'!$B$6:$B$17&lt;=$B45)*('Changes — Earner 2'!$B$6:$B$17&lt;&gt;"")),'Changes — Earner 2'!$I$6:$I$17),'Second Earner'!$D$45))</f>
      </c>
      <c r="BQ45" s="6">
        <f>IF($B45="","",IFERROR(LOOKUP(2,1/(((('Changes — Earner 2'!$C$6:$C$17="Deduction start")+('Changes — Earner 2'!$C$6:$C$17="Deduction stop"))*('Changes — Earner 2'!$D$6:$D$17="Health FSA"))*('Changes — Earner 2'!$B$6:$B$17&lt;=$B45)*('Changes — Earner 2'!$B$6:$B$17&lt;&gt;"")),'Changes — Earner 2'!$J$6:$J$17),0))</f>
      </c>
      <c r="BR45" s="6">
        <f>IF($B45="","",IFERROR(LOOKUP(2,1/(((('Changes — Earner 2'!$C$6:$C$17="Deduction start")+('Changes — Earner 2'!$C$6:$C$17="Deduction stop"))*('Changes — Earner 2'!$D$6:$D$17="Dependent-care FSA"))*('Changes — Earner 2'!$B$6:$B$17&lt;=$B45)*('Changes — Earner 2'!$B$6:$B$17&lt;&gt;"")),'Changes — Earner 2'!$J$6:$J$17),0))</f>
      </c>
      <c r="BS45" s="6">
        <f>IF($B45="","",IF(SUMPRODUCT(('Changes — Earner 2'!$C$6:$C$17="Deduction start")*('Changes — Earner 2'!$B$6:$B$17&lt;=$B45)*('Changes — Earner 2'!$B$6:$B$17&lt;&gt;"")*('Changes — Earner 2'!$D$6:$D$17="Health FSA"))&gt;0,1,0))</f>
      </c>
      <c r="BT45" s="6">
        <f>IF($B45="","",IF(SUMPRODUCT(('Changes — Earner 2'!$C$6:$C$17="Deduction start")*('Changes — Earner 2'!$B$6:$B$17&lt;=$B45)*('Changes — Earner 2'!$B$6:$B$17&lt;&gt;"")*('Changes — Earner 2'!$D$6:$D$17="Dependent-care FSA"))&gt;0,1,0))</f>
      </c>
      <c r="BU45" s="24">
        <f>IF($B45="","",IF('Second Earner'!$C$13,SUMPRODUCT(($AH45&gt;=INDEX('How This Works &amp; Sources'!$B$29:$J$36,0,IF('Second Earner'!$C$12="MFJ",1,IF('Second Earner'!$C$12="HoH",7,4))))*INDEX('How This Works &amp; Sources'!$B$29:$J$36,0,IF('Second Earner'!$C$12="MFJ",1,IF('Second Earner'!$C$12="HoH",7,4))+2)),SUMPRODUCT(($AH45&gt;=INDEX('How This Works &amp; Sources'!$B$19:$J$26,0,IF('Second Earner'!$C$12="MFJ",1,IF('Second Earner'!$C$12="HoH",7,4))))*INDEX('How This Works &amp; Sources'!$B$19:$J$26,0,IF('Second Earner'!$C$12="MFJ",1,IF('Second Earner'!$C$12="HoH",7,4))+2))))</f>
      </c>
      <c r="BV45" s="24">
        <f>IF($B45="","",IF($BZ45&lt;&gt;"",$BZ45,IF($CA45&lt;&gt;"",$CA45,IF($CB45&lt;&gt;"",$CB45,IF($CC45&lt;&gt;"",$CC45,0)))))</f>
      </c>
      <c r="BW45" s="7">
        <f>IF($B45="","",IF($AN45="AR",SUMPRODUCT(($AZ45&gt;INDEX('How This Works &amp; Sources'!$B$82:$J$86,0,7))*($AZ45-INDEX('How This Works &amp; Sources'!$B$82:$J$86,0,7))*INDEX('How This Works &amp; Sources'!$B$82:$J$86,0,7+2)),IF($AN45="MD",IF(OR($AU45="Married",$AU45="Head of household"),SUMPRODUCT(($AZ45&gt;INDEX('How This Works &amp; Sources'!$B$114:$J$120,0,1))*($AZ45-INDEX('How This Works &amp; Sources'!$B$114:$J$120,0,1))*INDEX('How This Works &amp; Sources'!$B$114:$J$120,0,1+2)),SUMPRODUCT(($AZ45&gt;INDEX('How This Works &amp; Sources'!$B$103:$J$109,0,7))*($AZ45-INDEX('How This Works &amp; Sources'!$B$103:$J$109,0,7))*INDEX('How This Works &amp; Sources'!$B$103:$J$109,0,7+2))),IF($AN45="MT",IF($AU45="Head of household",SUMPRODUCT(($AZ45&gt;INDEX('How This Works &amp; Sources'!$B$137:$J$139,0,1))*($AZ45-INDEX('How This Works &amp; Sources'!$B$137:$J$139,0,1))*INDEX('How This Works &amp; Sources'!$B$137:$J$139,0,1+2)),IF($AU45="Married",SUMPRODUCT(($AZ45&gt;INDEX('How This Works &amp; Sources'!$B$125:$J$132,0,7))*($AZ45-INDEX('How This Works &amp; Sources'!$B$125:$J$132,0,7))*INDEX('How This Works &amp; Sources'!$B$125:$J$132,0,7+2)),SUMPRODUCT(($AZ45&gt;INDEX('How This Works &amp; Sources'!$B$125:$J$132,0,4))*($AZ45-INDEX('How This Works &amp; Sources'!$B$125:$J$132,0,4))*INDEX('How This Works &amp; Sources'!$B$125:$J$132,0,4+2)))),IF($AN45="ND",IF($AU45="Head of household",SUMPRODUCT(($AZ45&gt;INDEX('How This Works &amp; Sources'!$B$144:$J$150,0,1))*($AZ45-INDEX('How This Works &amp; Sources'!$B$144:$J$150,0,1))*INDEX('How This Works &amp; Sources'!$B$144:$J$150,0,1+2)),IF($AU45="Married",SUMPRODUCT(($AZ45&gt;INDEX('How This Works &amp; Sources'!$B$137:$J$139,0,7))*($AZ45-INDEX('How This Works &amp; Sources'!$B$137:$J$139,0,7))*INDEX('How This Works &amp; Sources'!$B$137:$J$139,0,7+2)),SUMPRODUCT(($AZ45&gt;INDEX('How This Works &amp; Sources'!$B$137:$J$139,0,4))*($AZ45-INDEX('How This Works &amp; Sources'!$B$137:$J$139,0,4))*INDEX('How This Works &amp; Sources'!$B$137:$J$139,0,4+2)))),IF($AN45="NJ",IF('Second Earner'!$C$77="B",SUMPRODUCT(($AZ45&gt;INDEX('How This Works &amp; Sources'!$B$155:$J$162,0,4))*($AZ45-INDEX('How This Works &amp; Sources'!$B$155:$J$162,0,4))*INDEX('How This Works &amp; Sources'!$B$155:$J$162,0,4+2)),IF('Second Earner'!$C$77="C",SUMPRODUCT(($AZ45&gt;INDEX('How This Works &amp; Sources'!$B$155:$J$162,0,7))*($AZ45-INDEX('How This Works &amp; Sources'!$B$155:$J$162,0,7))*INDEX('How This Works &amp; Sources'!$B$155:$J$162,0,7+2)),IF('Second Earner'!$C$77="D",SUMPRODUCT(($AZ45&gt;INDEX('How This Works &amp; Sources'!$B$167:$J$179,0,1))*($AZ45-INDEX('How This Works &amp; Sources'!$B$167:$J$179,0,1))*INDEX('How This Works &amp; Sources'!$B$167:$J$179,0,1+2)),IF('Second Earner'!$C$77="E",SUMPRODUCT(($AZ45&gt;INDEX('How This Works &amp; Sources'!$B$167:$J$179,0,4))*($AZ45-INDEX('How This Works &amp; Sources'!$B$167:$J$179,0,4))*INDEX('How This Works &amp; Sources'!$B$167:$J$179,0,4+2)),SUMPRODUCT(($AZ45&gt;INDEX('How This Works &amp; Sources'!$B$155:$J$162,0,1))*($AZ45-INDEX('How This Works &amp; Sources'!$B$155:$J$162,0,1))*INDEX('How This Works &amp; Sources'!$B$155:$J$162,0,1+2)))))),IF($AN45="NY",IF($AU45="Married",IF($AZ45&gt;=2155350,$AZ45*IF($AZ45&gt;25000000,0.117,IF($AZ45&gt;5000000,0.111,0.1045)),SUMPRODUCT(($AZ45&gt;INDEX('How This Works &amp; Sources'!$B$184:$J$198,0,1))*($AZ45-INDEX('How This Works &amp; Sources'!$B$184:$J$198,0,1))*INDEX('How This Works &amp; Sources'!$B$184:$J$198,0,1+2))),IF($AZ45&gt;=1077550,$AZ45*IF($AZ45&gt;25000000,0.117,IF($AZ45&gt;5000000,0.111,0.1045)),SUMPRODUCT(($AZ45&gt;INDEX('How This Works &amp; Sources'!$B$167:$J$179,0,7))*($AZ45-INDEX('How This Works &amp; Sources'!$B$167:$J$179,0,7))*INDEX('How This Works &amp; Sources'!$B$167:$J$179,0,7+2)))),"")))))))</f>
      </c>
      <c r="BX45" s="7">
        <f>IF($B45="","",IF($AN45="AL",IF(OR($AU45="Married",$AU45="Head of household"),SUMPRODUCT(($AZ45&gt;INDEX('How This Works &amp; Sources'!$B$82:$J$86,0,4))*($AZ45-INDEX('How This Works &amp; Sources'!$B$82:$J$86,0,4))*INDEX('How This Works &amp; Sources'!$B$82:$J$86,0,4+2)),SUMPRODUCT(($AZ45&gt;INDEX('How This Works &amp; Sources'!$B$82:$J$86,0,1))*($AZ45-INDEX('How This Works &amp; Sources'!$B$82:$J$86,0,1))*INDEX('How This Works &amp; Sources'!$B$82:$J$86,0,1+2))),IF($AN45="KS",IF($AU45="Married",SUMPRODUCT(($AZ45&gt;INDEX('How This Works &amp; Sources'!$B$103:$J$109,0,4))*($AZ45-INDEX('How This Works &amp; Sources'!$B$103:$J$109,0,4))*INDEX('How This Works &amp; Sources'!$B$103:$J$109,0,4+2)),SUMPRODUCT(($AZ45&gt;INDEX('How This Works &amp; Sources'!$B$103:$J$109,0,1))*($AZ45-INDEX('How This Works &amp; Sources'!$B$103:$J$109,0,1))*INDEX('How This Works &amp; Sources'!$B$103:$J$109,0,1+2))),IF($AN45="MN",IF($AU45="Married",SUMPRODUCT(($AZ45&gt;INDEX('How This Works &amp; Sources'!$B$114:$J$120,0,7))*($AZ45-INDEX('How This Works &amp; Sources'!$B$114:$J$120,0,7))*INDEX('How This Works &amp; Sources'!$B$114:$J$120,0,7+2)),SUMPRODUCT(($AZ45&gt;INDEX('How This Works &amp; Sources'!$B$114:$J$120,0,4))*($AZ45-INDEX('How This Works &amp; Sources'!$B$114:$J$120,0,4))*INDEX('How This Works &amp; Sources'!$B$114:$J$120,0,4+2))),IF($AN45="MO",SUMPRODUCT(($AZ45&gt;INDEX('How This Works &amp; Sources'!$B$125:$J$132,0,1))*($AZ45-INDEX('How This Works &amp; Sources'!$B$125:$J$132,0,1))*INDEX('How This Works &amp; Sources'!$B$125:$J$132,0,1+2)),IF($AN45="NE",MAX(IF($AU45="Married",SUMPRODUCT(($AZ45&gt;INDEX('How This Works &amp; Sources'!$B$144:$J$150,0,7))*($AZ45-INDEX('How This Works &amp; Sources'!$B$144:$J$150,0,7))*INDEX('How This Works &amp; Sources'!$B$144:$J$150,0,7+2)),SUMPRODUCT(($AZ45&gt;INDEX('How This Works &amp; Sources'!$B$144:$J$150,0,4))*($AZ45-INDEX('How This Works &amp; Sources'!$B$144:$J$150,0,4))*INDEX('How This Works &amp; Sources'!$B$144:$J$150,0,4+2))),0.015*$AZ45),IF($AN45="OH",IF($B45&gt;=DATE(2026,8,1),SUMPRODUCT(($AZ45&gt;INDEX('How This Works &amp; Sources'!$B$203:$J$206,0,1))*($AZ45-INDEX('How This Works &amp; Sources'!$B$203:$J$206,0,1))*INDEX('How This Works &amp; Sources'!$B$203:$J$206,0,1+2)),SUMPRODUCT(($AZ45&gt;INDEX('How This Works &amp; Sources'!$B$184:$J$198,0,7))*($AZ45-INDEX('How This Works &amp; Sources'!$B$184:$J$198,0,7))*INDEX('How This Works &amp; Sources'!$B$184:$J$198,0,7+2))),IF($AN45="OK",IF($AU45="Married",SUMPRODUCT(($AZ45&gt;INDEX('How This Works &amp; Sources'!$B$203:$J$206,0,7))*($AZ45-INDEX('How This Works &amp; Sources'!$B$203:$J$206,0,7))*INDEX('How This Works &amp; Sources'!$B$203:$J$206,0,7+2)),SUMPRODUCT(($AZ45&gt;INDEX('How This Works &amp; Sources'!$B$203:$J$206,0,4))*($AZ45-INDEX('How This Works &amp; Sources'!$B$203:$J$206,0,4))*INDEX('How This Works &amp; Sources'!$B$203:$J$206,0,4+2))),IF($AN45="VT",IF($AU45="Married",SUMPRODUCT(($AZ45&gt;INDEX('How This Works &amp; Sources'!$B$228:$J$232,0,1))*($AZ45-INDEX('How This Works &amp; Sources'!$B$228:$J$232,0,1))*INDEX('How This Works &amp; Sources'!$B$228:$J$232,0,1+2)),SUMPRODUCT(($AZ45&gt;INDEX('How This Works &amp; Sources'!$B$219:$J$223,0,7))*($AZ45-INDEX('How This Works &amp; Sources'!$B$219:$J$223,0,7))*INDEX('How This Works &amp; Sources'!$B$219:$J$223,0,7+2))),IF($AN45="WV",IF($AU45="Married",SUMPRODUCT(($AZ45&gt;INDEX('How This Works &amp; Sources'!$B$237:$J$241,0,7))*($AZ45-INDEX('How This Works &amp; Sources'!$B$237:$J$241,0,7))*INDEX('How This Works &amp; Sources'!$B$237:$J$241,0,7+2)),SUMPRODUCT(($AZ45&gt;INDEX('How This Works &amp; Sources'!$B$228:$J$232,0,7))*($AZ45-INDEX('How This Works &amp; Sources'!$B$228:$J$232,0,7))*INDEX('How This Works &amp; Sources'!$B$228:$J$232,0,7+2))),""))))))))))</f>
      </c>
      <c r="BY45" s="7">
        <f>IF($B45="","",IF($AN45="DE",SUMPRODUCT(($AZ45&gt;INDEX('How This Works &amp; Sources'!$B$91:$J$98,0,1))*($AZ45-INDEX('How This Works &amp; Sources'!$B$91:$J$98,0,1))*INDEX('How This Works &amp; Sources'!$B$91:$J$98,0,1+2)),IF($AN45="HI",IF($AU45="Married",SUMPRODUCT(($AZ45&gt;INDEX('How This Works &amp; Sources'!$B$91:$J$98,0,7))*($AZ45-INDEX('How This Works &amp; Sources'!$B$91:$J$98,0,7))*INDEX('How This Works &amp; Sources'!$B$91:$J$98,0,7+2)),SUMPRODUCT(($AZ45&gt;INDEX('How This Works &amp; Sources'!$B$91:$J$98,0,4))*($AZ45-INDEX('How This Works &amp; Sources'!$B$91:$J$98,0,4))*INDEX('How This Works &amp; Sources'!$B$91:$J$98,0,4+2))),IF($AN45="RI",SUMPRODUCT(($AZ45&gt;INDEX('How This Works &amp; Sources'!$B$211:$J$214,0,7))*($AZ45-INDEX('How This Works &amp; Sources'!$B$211:$J$214,0,7))*INDEX('How This Works &amp; Sources'!$B$211:$J$214,0,7+2)),IF($AN45="SC",SUMPRODUCT(($AZ45&gt;INDEX('How This Works &amp; Sources'!$B$219:$J$223,0,1))*($AZ45-INDEX('How This Works &amp; Sources'!$B$219:$J$223,0,1))*INDEX('How This Works &amp; Sources'!$B$219:$J$223,0,1+2)),IF($AN45="VA",SUMPRODUCT(($AZ45&gt;INDEX('How This Works &amp; Sources'!$B$219:$J$223,0,4))*($AZ45-INDEX('How This Works &amp; Sources'!$B$219:$J$223,0,4))*INDEX('How This Works &amp; Sources'!$B$219:$J$223,0,4+2)),IF($AN45="WI",SUMPRODUCT(($AZ45&gt;INDEX('How This Works &amp; Sources'!$B$228:$J$232,0,4))*($AZ45-INDEX('How This Works &amp; Sources'!$B$228:$J$232,0,4))*INDEX('How This Works &amp; Sources'!$B$228:$J$232,0,4+2)),"")))))))</f>
      </c>
      <c r="BZ45" s="24">
        <f>IF($B45="","",IF($AN45="KS",IF($AU45="Married",SUMPRODUCT(($AZ45&gt;=INDEX('How This Works &amp; Sources'!$B$103:$J$109,0,4))*INDEX('How This Works &amp; Sources'!$B$103:$J$109,0,4+2)),SUMPRODUCT(($AZ45&gt;=INDEX('How This Works &amp; Sources'!$B$103:$J$109,0,1))*INDEX('How This Works &amp; Sources'!$B$103:$J$109,0,1+2))),IF($AN45="MT",IF($AU45="Head of household",SUMPRODUCT(($AZ45&gt;=INDEX('How This Works &amp; Sources'!$B$137:$J$139,0,1))*INDEX('How This Works &amp; Sources'!$B$137:$J$139,0,1+2)),IF($AU45="Married",SUMPRODUCT(($AZ45&gt;=INDEX('How This Works &amp; Sources'!$B$125:$J$132,0,7))*INDEX('How This Works &amp; Sources'!$B$125:$J$132,0,7+2)),SUMPRODUCT(($AZ45&gt;=INDEX('How This Works &amp; Sources'!$B$125:$J$132,0,4))*INDEX('How This Works &amp; Sources'!$B$125:$J$132,0,4+2)))),IF($AN45="OR",IF(OR($AU45="Married",AND($AU45="Single",$AS45&gt;=3)),SUMPRODUCT((MAX(0,$AY45-MIN(($P45-'How This Works &amp; Sources'!$C$10*$D45)*'Second Earner'!$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Sources'!$B$211:$J$214,0,4))*INDEX('How This Works &amp; Sources'!$B$211:$J$214,0,4+2)),SUMPRODUCT((MAX(0,$AY45-MIN(($P45-'How This Works &amp; Sources'!$C$10*$D45)*'Second Earner'!$C$8,IF(OR($AU45="Married",AND($AU45="Single",$AS45&gt;=3)),IF($AY45&lt;250000,8750,IF($AY45&lt;260000,7000,IF($AY45&lt;270000,5250,IF($AY45&lt;280000,3500,IF($AY45&lt;290000,1750,0))))),IF($AY45&lt;125000,8750,IF($AY45&lt;130000,7000,IF($AY45&lt;135000,5250,IF($AY45&lt;140000,3500,IF($AY45&lt;145000,1750,0)))))))-IF(OR($AU45="Married",AND($AU45="Single",$AS45&gt;=3)),5820,2910))&gt;=INDEX('How This Works &amp; Sources'!$B$211:$J$214,0,1))*INDEX('How This Works &amp; Sources'!$B$211:$J$214,0,1+2)))*IF(($P45-'How This Works &amp; Sources'!$C$10*$D45)*'Second Earner'!$C$8&gt;=IF(OR($AU45="Married",AND($AU45="Single",$AS45&gt;=3)),IF($AY45&lt;250000,8750,IF($AY45&lt;260000,7000,IF($AY45&lt;270000,5250,IF($AY45&lt;280000,3500,IF($AY45&lt;290000,1750,0))))),IF($AY45&lt;125000,8750,IF($AY45&lt;130000,7000,IF($AY45&lt;135000,5250,IF($AY45&lt;140000,3500,IF($AY45&lt;145000,1750,0)))))),1,1-IF('Second Earner'!$C$13,SUMPRODUCT(($AH45&gt;=INDEX('How This Works &amp; Sources'!$B$29:$J$36,0,IF('Second Earner'!$C$12="MFJ",1,IF('Second Earner'!$C$12="HoH",7,4))))*INDEX('How This Works &amp; Sources'!$B$29:$J$36,0,IF('Second Earner'!$C$12="MFJ",1,IF('Second Earner'!$C$12="HoH",7,4))+2)),SUMPRODUCT(($AH45&gt;=INDEX('How This Works &amp; Sources'!$B$19:$J$26,0,IF('Second Earner'!$C$12="MFJ",1,IF('Second Earner'!$C$12="HoH",7,4))))*INDEX('How This Works &amp; Sources'!$B$19:$J$26,0,IF('Second Earner'!$C$12="MFJ",1,IF('Second Earner'!$C$12="HoH",7,4))+2)))),""))))</f>
      </c>
      <c r="CA45" s="24">
        <f>IF($B45="","",IF($AN45="CA",SUMPRODUCT(($AJ45&gt;=INDEX('How This Works &amp; Sources'!$B$39:$J$48,0,IF($AU45="Married",4,IF($AU45="Head of household",7,1))))*INDEX('How This Works &amp; Sources'!$B$39:$J$48,0,IF($AU45="Married",4,IF($AU45="Head of household",7,1))+2)),IF($AN45="AL",IF(OR($AU45="Married",$AU45="Head of household"),SUMPRODUCT(($AZ45&gt;=INDEX('How This Works &amp; Sources'!$B$82:$J$86,0,4))*INDEX('How This Works &amp; Sources'!$B$82:$J$86,0,4+2)),SUMPRODUCT(($AZ45&gt;=INDEX('How This Works &amp; Sources'!$B$82:$J$86,0,1))*INDEX('How This Works &amp; Sources'!$B$82:$J$86,0,1+2)))*(1-IF('Second Earner'!$C$13,SUMPRODUCT(($AH45&gt;=INDEX('How This Works &amp; Sources'!$B$29:$J$36,0,IF('Second Earner'!$C$12="MFJ",1,IF('Second Earner'!$C$12="HoH",7,4))))*INDEX('How This Works &amp; Sources'!$B$29:$J$36,0,IF('Second Earner'!$C$12="MFJ",1,IF('Second Earner'!$C$12="HoH",7,4))+2)),SUMPRODUCT(($AH45&gt;=INDEX('How This Works &amp; Sources'!$B$19:$J$26,0,IF('Second Earner'!$C$12="MFJ",1,IF('Second Earner'!$C$12="HoH",7,4))))*INDEX('How This Works &amp; Sources'!$B$19:$J$26,0,IF('Second Earner'!$C$12="MFJ",1,IF('Second Earner'!$C$12="HoH",7,4))+2)))),IF($AN45="ND",IF($AU45="Head of household",SUMPRODUCT(($AZ45&gt;=INDEX('How This Works &amp; Sources'!$B$144:$J$150,0,1))*INDEX('How This Works &amp; Sources'!$B$144:$J$150,0,1+2)),IF($AU45="Married",SUMPRODUCT(($AZ45&gt;=INDEX('How This Works &amp; Sources'!$B$137:$J$139,0,7))*INDEX('How This Works &amp; Sources'!$B$137:$J$139,0,7+2)),SUMPRODUCT(($AZ45&gt;=INDEX('How This Works &amp; Sources'!$B$137:$J$139,0,4))*INDEX('How This Works &amp; Sources'!$B$137:$J$139,0,4+2)))),IF($AN45="NJ",IF('Second Earner'!$C$77="B",SUMPRODUCT(($AZ45&gt;=INDEX('How This Works &amp; Sources'!$B$155:$J$162,0,4))*INDEX('How This Works &amp; Sources'!$B$155:$J$162,0,4+2)),IF('Second Earner'!$C$77="C",SUMPRODUCT(($AZ45&gt;=INDEX('How This Works &amp; Sources'!$B$155:$J$162,0,7))*INDEX('How This Works &amp; Sources'!$B$155:$J$162,0,7+2)),IF('Second Earner'!$C$77="D",SUMPRODUCT(($AZ45&gt;=INDEX('How This Works &amp; Sources'!$B$167:$J$179,0,1))*INDEX('How This Works &amp; Sources'!$B$167:$J$179,0,1+2)),IF('Second Earner'!$C$77="E",SUMPRODUCT(($AZ45&gt;=INDEX('How This Works &amp; Sources'!$B$167:$J$179,0,4))*INDEX('How This Works &amp; Sources'!$B$167:$J$179,0,4+2)),SUMPRODUCT(($AZ45&gt;=INDEX('How This Works &amp; Sources'!$B$155:$J$162,0,1))*INDEX('How This Works &amp; Sources'!$B$155:$J$162,0,1+2)))))),IF($AN45="NY",IF($AU45="Married",IF($AZ45&gt;=2155350,IF($AZ45&gt;25000000,0.117,IF($AZ45&gt;5000000,0.111,0.1045)),SUMPRODUCT(($AZ45&gt;=INDEX('How This Works &amp; Sources'!$B$184:$J$198,0,1))*INDEX('How This Works &amp; Sources'!$B$184:$J$198,0,1+2))),IF($AZ45&gt;=1077550,IF($AZ45&gt;25000000,0.117,IF($AZ45&gt;5000000,0.111,0.1045)),SUMPRODUCT(($AZ45&gt;=INDEX('How This Works &amp; Sources'!$B$167:$J$179,0,7))*INDEX('How This Works &amp; Sources'!$B$167:$J$179,0,7+2)))),IF($AN45="LA",0.0309,"")))))))</f>
      </c>
      <c r="CB45" s="24">
        <f>IF($B45="","",IF($AN45="HI",IF($AU45="Married",SUMPRODUCT(($AZ45&gt;=INDEX('How This Works &amp; Sources'!$B$91:$J$98,0,7))*INDEX('How This Works &amp; Sources'!$B$91:$J$98,0,7+2)),SUMPRODUCT(($AZ45&gt;=INDEX('How This Works &amp; Sources'!$B$91:$J$98,0,4))*INDEX('How This Works &amp; Sources'!$B$91:$J$98,0,4+2))),IF($AN45="MD",IF(OR($AU45="Married",$AU45="Head of household"),SUMPRODUCT(($AZ45&gt;=INDEX('How This Works &amp; Sources'!$B$114:$J$120,0,1))*INDEX('How This Works &amp; Sources'!$B$114:$J$120,0,1+2)),SUMPRODUCT(($AZ45&gt;=INDEX('How This Works &amp; Sources'!$B$103:$J$109,0,7))*INDEX('How This Works &amp; Sources'!$B$103:$J$109,0,7+2)))+'Second Earner'!$C$74,IF($AN45="MN",IF($AU45="Married",SUMPRODUCT(($AZ45&gt;=INDEX('How This Works &amp; Sources'!$B$114:$J$120,0,7))*INDEX('How This Works &amp; Sources'!$B$114:$J$120,0,7+2)),SUMPRODUCT(($AZ45&gt;=INDEX('How This Works &amp; Sources'!$B$114:$J$120,0,4))*INDEX('How This Works &amp; Sources'!$B$114:$J$120,0,4+2))),IF($AN45="MO",SUMPRODUCT(($AZ45&gt;=INDEX('How This Works &amp; Sources'!$B$125:$J$132,0,1))*INDEX('How This Works &amp; Sources'!$B$125:$J$132,0,1+2)),IF($AN45="NE",MAX(IF($AU45="Married",SUMPRODUCT(($AZ45&gt;=INDEX('How This Works &amp; Sources'!$B$144:$J$150,0,7))*INDEX('How This Works &amp; Sources'!$B$144:$J$150,0,7+2)),SUMPRODUCT(($AZ45&gt;=INDEX('How This Works &amp; Sources'!$B$144:$J$150,0,4))*INDEX('How This Works &amp; Sources'!$B$144:$J$150,0,4+2))),0.015),IF($AN45="OH",IF($B45&gt;=DATE(2026,8,1),SUMPRODUCT(($AZ45&gt;=INDEX('How This Works &amp; Sources'!$B$203:$J$206,0,1))*INDEX('How This Works &amp; Sources'!$B$203:$J$206,0,1+2)),SUMPRODUCT(($AZ45&gt;=INDEX('How This Works &amp; Sources'!$B$184:$J$198,0,7))*INDEX('How This Works &amp; Sources'!$B$184:$J$198,0,7+2))),IF($AN45="OK",IF($AU45="Married",SUMPRODUCT(($AZ45&gt;=INDEX('How This Works &amp; Sources'!$B$203:$J$206,0,7))*INDEX('How This Works &amp; Sources'!$B$203:$J$206,0,7+2)),SUMPRODUCT(($AZ45&gt;=INDEX('How This Works &amp; Sources'!$B$203:$J$206,0,4))*INDEX('How This Works &amp; Sources'!$B$203:$J$206,0,4+2))),IF($AN45="RI",SUMPRODUCT(($AZ45&gt;=INDEX('How This Works &amp; Sources'!$B$211:$J$214,0,7))*INDEX('How This Works &amp; Sources'!$B$211:$J$214,0,7+2)),IF($AN45="VT",IF($AU45="Married",SUMPRODUCT(($AZ45&gt;=INDEX('How This Works &amp; Sources'!$B$228:$J$232,0,1))*INDEX('How This Works &amp; Sources'!$B$228:$J$232,0,1+2)),SUMPRODUCT(($AZ45&gt;=INDEX('How This Works &amp; Sources'!$B$219:$J$223,0,7))*INDEX('How This Works &amp; Sources'!$B$219:$J$223,0,7+2))),IF($AN45="WV",IF($AU45="Married",SUMPRODUCT(($AZ45&gt;=INDEX('How This Works &amp; Sources'!$B$237:$J$241,0,7))*INDEX('How This Works &amp; Sources'!$B$237:$J$241,0,7+2)),SUMPRODUCT(($AZ45&gt;=INDEX('How This Works &amp; Sources'!$B$228:$J$232,0,7))*INDEX('How This Works &amp; Sources'!$B$228:$J$232,0,7+2))),IF($AN45="AZ",'Second Earner'!$C$82,IF($AN45="ID",IF($AY45&gt;IF($AU45="Married",32000,16094),0.053,0),"")))))))))))))</f>
      </c>
      <c r="CC45" s="24">
        <f>IF($B45="","",IF($AN45="AR",SUMPRODUCT(($AZ45&gt;=INDEX('How This Works &amp; Sources'!$B$82:$J$86,0,7))*INDEX('How This Works &amp; Sources'!$B$82:$J$86,0,7+2)),IF($AN45="DE",SUMPRODUCT(($AZ45&gt;=INDEX('How This Works &amp; Sources'!$B$91:$J$98,0,1))*INDEX('How This Works &amp; Sources'!$B$91:$J$98,0,1+2)),IF($AN45="SC",SUMPRODUCT(($AZ45&gt;=INDEX('How This Works &amp; Sources'!$B$219:$J$223,0,1))*INDEX('How This Works &amp; Sources'!$B$219:$J$223,0,1+2)),IF($AN45="VA",SUMPRODUCT(($AZ45&gt;=INDEX('How This Works &amp; Sources'!$B$219:$J$223,0,4))*INDEX('How This Works &amp; Sources'!$B$219:$J$223,0,4+2)),IF($AN45="WI",SUMPRODUCT(($AZ45&gt;=INDEX('How This Works &amp; Sources'!$B$228:$J$232,0,4))*INDEX('How This Works &amp; Sources'!$B$228:$J$232,0,4+2)),IF($AN45="CO",IF($AY45&gt;IF($AU45="Married",10000,5000),0.044,0),IF($AN45="IA",IF($AY45&gt;IF($AU45="Head of household",19500,IF($AU45="Married",26000,13000)),0.038,0),IF($AN45="IL",IF($AY45&gt;(2925*$AS45+1000*$AT45),0.0495,0),IF($AN45="IN",(0.0295+'Second Earner'!$C$76),IF($AN45="KY",IF($AI45&gt;3360,0.035,0),IF($AN45="MA",IF(MAX(0,$AY45-MIN(($BD44+$Q45+$R45+$S45),2000)-IF($AS45=0,0,IF($AS45=1,4400,1000*$AS45+3400)))&gt;=1107750,0.09,0.05),IF($AN45="MI",IF($AY45&gt;5900*$AS45,0.0425,0),IF($AN45="MS",IF($AI45-IF($AU45="Head of household",3400,IF($AU45="Married",4600,2300))-'Second Earner'!$C$85&gt;10000,0.04,0),IF($AN45="PA",0.0307,"")))))))))))))))</f>
      </c>
      <c r="CD45" s="21">
        <f>IF(YEAR(IF('Second Earner'!$C$7="Weekly",'Second Earner'!$C$9+7*(($BE44+1)-1),IF('Second Earner'!$C$7="Biweekly",'Second Earner'!$C$9+14*(($BE44+1)-1),IF('Second Earner'!$C$7="Semimonthly",DATE(YEAR('Second Earner'!$C$9),MONTH('Second Earner'!$C$9)+INT((($BE44+1)-1)/2),MIN(DAY('Second Earner'!$C$9),DAY(EOMONTH(DATE(YEAR('Second Earner'!$C$9),MONTH('Second Earner'!$C$9)+INT((($BE44+1)-1)/2),1),0))))+IF(MOD(($BE44+1)-1,2)=1,15,0),EDATE('Second Earner'!$C$9,($BE44+1)-1)))))&lt;&gt;'Second Earner'!$C$10,"",IF('Second Earner'!$C$7="Weekly",'Second Earner'!$C$9+7*(($BE44+1)-1),IF('Second Earner'!$C$7="Biweekly",'Second Earner'!$C$9+14*(($BE44+1)-1),IF('Second Earner'!$C$7="Semimonthly",DATE(YEAR('Second Earner'!$C$9),MONTH('Second Earner'!$C$9)+INT((($BE44+1)-1)/2),MIN(DAY('Second Earner'!$C$9),DAY(EOMONTH(DATE(YEAR('Second Earner'!$C$9),MONTH('Second Earner'!$C$9)+INT((($BE44+1)-1)/2),1),0))))+IF(MOD(($BE44+1)-1,2)=1,15,0),EDATE('Second Earner'!$C$9,($BE44+1)-1)))))</f>
      </c>
      <c r="CE45" s="21">
        <f>IF(MIN(IF(AND('Second Earner'!$C$58&gt;MAX($B$6:$B44),'Second Earner'!$C$58&gt;=DATE('Second Earner'!$C$10,1,1),'Second Earner'!$C$58&lt;=DATE('Second Earner'!$C$10,12,31)),'Second Earner'!$C$58,999999),IF(AND('Second Earner'!$C$59&gt;MAX($B$6:$B44),'Second Earner'!$C$59&gt;=DATE('Second Earner'!$C$10,1,1),'Second Earner'!$C$59&lt;=DATE('Second Earner'!$C$10,12,31)),'Second Earner'!$C$59,999999),IF(AND('Second Earner'!$C$60&gt;MAX($B$6:$B44),'Second Earner'!$C$60&gt;=DATE('Second Earner'!$C$10,1,1),'Second Earner'!$C$60&lt;=DATE('Second Earner'!$C$10,12,31)),'Second Earner'!$C$60,999999),IF(AND('Second Earner'!$C$61&gt;MAX($B$6:$B44),'Second Earner'!$C$61&gt;=DATE('Second Earner'!$C$10,1,1),'Second Earner'!$C$61&lt;=DATE('Second Earner'!$C$10,12,31)),'Second Earner'!$C$61,999999),IF(AND('Second Earner'!$C$62&gt;MAX($B$6:$B44),'Second Earner'!$C$62&gt;=DATE('Second Earner'!$C$10,1,1),'Second Earner'!$C$62&lt;=DATE('Second Earner'!$C$10,12,31)),'Second Earner'!$C$62,999999),IF(AND('Second Earner'!$C$63&gt;MAX($B$6:$B44),'Second Earner'!$C$63&gt;=DATE('Second Earner'!$C$10,1,1),'Second Earner'!$C$63&lt;=DATE('Second Earner'!$C$10,12,31)),'Second Earner'!$C$63,999999),IF(AND('Second Earner'!$C$64&gt;MAX($B$6:$B44),'Second Earner'!$C$64&gt;=DATE('Second Earner'!$C$10,1,1),'Second Earner'!$C$64&lt;=DATE('Second Earner'!$C$10,12,31)),'Second Earner'!$C$64,999999),IF(AND('Second Earner'!$C$65&gt;MAX($B$6:$B44),'Second Earner'!$C$65&gt;=DATE('Second Earner'!$C$10,1,1),'Second Earner'!$C$65&lt;=DATE('Second Earner'!$C$10,12,31)),'Second Earner'!$C$65,999999),IF(AND('Second Earner'!$C$66&gt;MAX($B$6:$B44),'Second Earner'!$C$66&gt;=DATE('Second Earner'!$C$10,1,1),'Second Earner'!$C$66&lt;=DATE('Second Earner'!$C$10,12,31)),'Second Earner'!$C$66,999999),IF(AND('Second Earner'!$C$67&gt;MAX($B$6:$B44),'Second Earner'!$C$67&gt;=DATE('Second Earner'!$C$10,1,1),'Second Earner'!$C$67&lt;=DATE('Second Earner'!$C$10,12,31)),'Second Earner'!$C$67,999999))=999999,"",MIN(IF(AND('Second Earner'!$C$58&gt;MAX($B$6:$B44),'Second Earner'!$C$58&gt;=DATE('Second Earner'!$C$10,1,1),'Second Earner'!$C$58&lt;=DATE('Second Earner'!$C$10,12,31)),'Second Earner'!$C$58,999999),IF(AND('Second Earner'!$C$59&gt;MAX($B$6:$B44),'Second Earner'!$C$59&gt;=DATE('Second Earner'!$C$10,1,1),'Second Earner'!$C$59&lt;=DATE('Second Earner'!$C$10,12,31)),'Second Earner'!$C$59,999999),IF(AND('Second Earner'!$C$60&gt;MAX($B$6:$B44),'Second Earner'!$C$60&gt;=DATE('Second Earner'!$C$10,1,1),'Second Earner'!$C$60&lt;=DATE('Second Earner'!$C$10,12,31)),'Second Earner'!$C$60,999999),IF(AND('Second Earner'!$C$61&gt;MAX($B$6:$B44),'Second Earner'!$C$61&gt;=DATE('Second Earner'!$C$10,1,1),'Second Earner'!$C$61&lt;=DATE('Second Earner'!$C$10,12,31)),'Second Earner'!$C$61,999999),IF(AND('Second Earner'!$C$62&gt;MAX($B$6:$B44),'Second Earner'!$C$62&gt;=DATE('Second Earner'!$C$10,1,1),'Second Earner'!$C$62&lt;=DATE('Second Earner'!$C$10,12,31)),'Second Earner'!$C$62,999999),IF(AND('Second Earner'!$C$63&gt;MAX($B$6:$B44),'Second Earner'!$C$63&gt;=DATE('Second Earner'!$C$10,1,1),'Second Earner'!$C$63&lt;=DATE('Second Earner'!$C$10,12,31)),'Second Earner'!$C$63,999999),IF(AND('Second Earner'!$C$64&gt;MAX($B$6:$B44),'Second Earner'!$C$64&gt;=DATE('Second Earner'!$C$10,1,1),'Second Earner'!$C$64&lt;=DATE('Second Earner'!$C$10,12,31)),'Second Earner'!$C$64,999999),IF(AND('Second Earner'!$C$65&gt;MAX($B$6:$B44),'Second Earner'!$C$65&gt;=DATE('Second Earner'!$C$10,1,1),'Second Earner'!$C$65&lt;=DATE('Second Earner'!$C$10,12,31)),'Second Earner'!$C$65,999999),IF(AND('Second Earner'!$C$66&gt;MAX($B$6:$B44),'Second Earner'!$C$66&gt;=DATE('Second Earner'!$C$10,1,1),'Second Earner'!$C$66&lt;=DATE('Second Earner'!$C$10,12,31)),'Second Earner'!$C$66,999999),IF(AND('Second Earner'!$C$67&gt;MAX($B$6:$B44),'Second Earner'!$C$67&gt;=DATE('Second Earner'!$C$10,1,1),'Second Earner'!$C$67&lt;=DATE('Second Earner'!$C$10,12,31)),'Second Earner'!$C$67,999999)))</f>
      </c>
      <c r="CF45">
        <f>IF($B45="","",IF($D45=0,$Y45,""))</f>
      </c>
    </row>
    <row r="46">
      <c r="A46" t="n">
        <v>41</v>
      </c>
      <c r="B46" s="21">
        <f>IF(AND($CD46="",$CE46=""),"",IF($CE46="",$CD46,IF($CD46="",$CE46,MIN($CD46,$CE46))))</f>
      </c>
      <c r="C46" s="7">
        <f>IF($B46="","",IF($BF46=0,0,IF('Second Earner'!$C$4="Annual salary",ROUND($AK46/IF(AND('Second Earner'!$C$88="Actual paydays",MONTH('Second Earner'!$C$9)=1),MAX(1,MAX($BE$6:$BE$68)),'Second Earner'!$C$8),2),$AK46)))</f>
      </c>
      <c r="D46" s="7">
        <f>IF($B46="","",SUMIF('Second Earner'!$C$58:$C$67,$B46,'Second Earner'!$D$58:$D$67))</f>
      </c>
      <c r="E46" s="7">
        <f>IF($B46="","",ROUND(MAX(0,MIN(IF($AL46="Percent",$AM46*($C46+$D46),$AM46),MAX(0,'Second Earner'!$C$34-$AC45))),2))</f>
      </c>
      <c r="F46" s="7">
        <f>IF($B46="","",ROUND(MAX(0,MIN(IF('Second Earner'!$C$32="Percent",'Second Earner'!$D$32*($C46+$D46),'Second Earner'!$D$32),MAX(0,'Second Earner'!$C$34-$AC45-$E46))),2))</f>
      </c>
      <c r="G46" s="7">
        <f>IF($B46="","",IF($BF46=0,0,ROUND(MAX(0,MIN($BL46,'Second Earner'!$C$37-'Second Earner'!$C$54-$BI45)),2)))</f>
      </c>
      <c r="H46" s="7">
        <f>IF($B46="","",IF(OR($BF46=0,$BQ46=1),0,ROUND(MAX(0,MIN(IF($BS46=1,ROUND(MAX(0,MIN($BJ46,'How This Works &amp; Sources'!$C$13)-$BG45)/MAX(1,MAX($BE$6:$BE$68)-($BE45)),2),ROUND(MIN($BJ46,'How This Works &amp; Sources'!$C$13)/'Second Earner'!$C$8,2)),MIN($BJ46,'How This Works &amp; Sources'!$C$13)-$BG45)),2)))</f>
      </c>
      <c r="I46" s="7">
        <f>IF($B46="","",IF(OR($BF46=0,$BR46=1),0,ROUND(MAX(0,MIN(IF($BT46=1,ROUND(MAX(0,MIN($BK46,IF('Second Earner'!$C$12="MFJ",'How This Works &amp; Sources'!$C$14,'How This Works &amp; Sources'!$C$15))-$BH45)/MAX(1,MAX($BE$6:$BE$68)-($BE45)),2),ROUND(MIN($BK46,IF('Second Earner'!$C$12="MFJ",'How This Works &amp; Sources'!$C$14,'How This Works &amp; Sources'!$C$15))/'Second Earner'!$C$8,2)),MIN($BK46,IF('Second Earner'!$C$12="MFJ",'How This Works &amp; Sources'!$C$14,'How This Works &amp; Sources'!$C$15))-$BH45)),2)))</f>
      </c>
      <c r="J46" s="7">
        <f>IF($B46="","",IF($BF46=0,0,$BM46))</f>
      </c>
      <c r="K46" s="7">
        <f>IF($B46="","",IF($BF46=0,0,$BN46+$BO46))</f>
      </c>
      <c r="L46" s="7">
        <f>IF($B46="","",IF($BF46=0,0,'Second Earner'!$D$46))</f>
      </c>
      <c r="M46" s="7">
        <f>IF($B46="","",$C46+$D46+$L46-$E46-$G46-$H46-$I46-$J46-$K46)</f>
      </c>
      <c r="N46" s="7">
        <f>IF($B46="","",$C46+$D46+$L46-$G46-$H46-$I46-$J46-$K46)</f>
      </c>
      <c r="O46" s="7">
        <f>IF($B46="","",$C46+$D46+$L46-$E46-$H46-$I46-$J46-$K46-IF(OR($AN46="CA",$AN46="NJ"),0,$G46))</f>
      </c>
      <c r="P46" s="7">
        <f>IF($B46="","",IF('Second Earner'!$C$18,0,ROUND(MAX(0,IF('Second Earner'!$C$13,SUMPRODUCT(($AH46&gt;INDEX('How This Works &amp; Sources'!$B$29:$J$36,0,IF('Second Earner'!$C$12="MFJ",1,IF('Second Earner'!$C$12="HoH",7,4))))*($AH46-INDEX('How This Works &amp; Sources'!$B$29:$J$36,0,IF('Second Earner'!$C$12="MFJ",1,IF('Second Earner'!$C$12="HoH",7,4))))*INDEX('How This Works &amp; Sources'!$B$29:$J$36,0,IF('Second Earner'!$C$12="MFJ",1,IF('Second Earner'!$C$12="HoH",7,4))+2)),SUMPRODUCT(($AH46&gt;INDEX('How This Works &amp; Sources'!$B$19:$J$26,0,IF('Second Earner'!$C$12="MFJ",1,IF('Second Earner'!$C$12="HoH",7,4))))*($AH46-INDEX('How This Works &amp; Sources'!$B$19:$J$26,0,IF('Second Earner'!$C$12="MFJ",1,IF('Second Earner'!$C$12="HoH",7,4))))*INDEX('How This Works &amp; Sources'!$B$19:$J$26,0,IF('Second Earner'!$C$12="MFJ",1,IF('Second Earner'!$C$12="HoH",7,4))+2)))/'Second Earner'!$C$8-$AO46/'Second Earner'!$C$8)+$AR46+IF('Second Earner'!$C$89="Aggregate",MAX(0,IF('Second Earner'!$C$13,SUMPRODUCT((($AH46+$D46)&gt;INDEX('How This Works &amp; Sources'!$B$29:$J$36,0,IF('Second Earner'!$C$12="MFJ",1,IF('Second Earner'!$C$12="HoH",7,4))))*(($AH46+$D46)-INDEX('How This Works &amp; Sources'!$B$29:$J$36,0,IF('Second Earner'!$C$12="MFJ",1,IF('Second Earner'!$C$12="HoH",7,4))))*INDEX('How This Works &amp; Sources'!$B$29:$J$36,0,IF('Second Earner'!$C$12="MFJ",1,IF('Second Earner'!$C$12="HoH",7,4))+2)),SUMPRODUCT((($AH46+$D46)&gt;INDEX('How This Works &amp; Sources'!$B$19:$J$26,0,IF('Second Earner'!$C$12="MFJ",1,IF('Second Earner'!$C$12="HoH",7,4))))*(($AH46+$D46)-INDEX('How This Works &amp; Sources'!$B$19:$J$26,0,IF('Second Earner'!$C$12="MFJ",1,IF('Second Earner'!$C$12="HoH",7,4))))*INDEX('How This Works &amp; Sources'!$B$19:$J$26,0,IF('Second Earner'!$C$12="MFJ",1,IF('Second Earner'!$C$12="HoH",7,4))+2)))-IF('Second Earner'!$C$13,SUMPRODUCT(($AH46&gt;INDEX('How This Works &amp; Sources'!$B$29:$J$36,0,IF('Second Earner'!$C$12="MFJ",1,IF('Second Earner'!$C$12="HoH",7,4))))*($AH46-INDEX('How This Works &amp; Sources'!$B$29:$J$36,0,IF('Second Earner'!$C$12="MFJ",1,IF('Second Earner'!$C$12="HoH",7,4))))*INDEX('How This Works &amp; Sources'!$B$29:$J$36,0,IF('Second Earner'!$C$12="MFJ",1,IF('Second Earner'!$C$12="HoH",7,4))+2)),SUMPRODUCT(($AH46&gt;INDEX('How This Works &amp; Sources'!$B$19:$J$26,0,IF('Second Earner'!$C$12="MFJ",1,IF('Second Earner'!$C$12="HoH",7,4))))*($AH46-INDEX('How This Works &amp; Sources'!$B$19:$J$26,0,IF('Second Earner'!$C$12="MFJ",1,IF('Second Earner'!$C$12="HoH",7,4))))*INDEX('How This Works &amp; Sources'!$B$19:$J$26,0,IF('Second Earner'!$C$12="MFJ",1,IF('Second Earner'!$C$12="HoH",7,4))+2)))),'How This Works &amp; Sources'!$C$10*$D46),2)))</f>
      </c>
      <c r="Q46" s="7">
        <f>IF($B46="","",ROUND('How This Works &amp; Sources'!$C$4*MIN($N46,MAX(0,'How This Works &amp; Sources'!$C$3-($AX46+$AB45-$AW46))),2))</f>
      </c>
      <c r="R46" s="7">
        <f>IF($B46="","",ROUND('How This Works &amp; Sources'!$C$5*$N46,2))</f>
      </c>
      <c r="S46" s="7">
        <f>IF($B46="","",ROUND('How This Works &amp; Sources'!$C$6*MAX(0,MIN($N46,$AG45+$N46-'How This Works &amp; Sources'!$C$7)),2))</f>
      </c>
      <c r="T46" s="7">
        <f>IF($B46="","",IF('Second Earner'!$C$26,0,IF($AN46="CA",ROUND(IF($AI46&lt;=IF(($AS46+$AT46)&gt;=2,VLOOKUP($AN46,StateTables!$A$6:$AB$56,10,FALSE),VLOOKUP($AN46,StateTables!$A$6:$AB$56,9,FALSE)),0,MAX(0,SUMPRODUCT(($AJ46&gt;INDEX('How This Works &amp; Sources'!$B$39:$J$48,0,IF($AU46="Married",4,IF($AU46="Head of household",7,1))))*($AJ46-INDEX('How This Works &amp; Sources'!$B$39:$J$48,0,IF($AU46="Married",4,IF($AU46="Head of household",7,1))))*INDEX('How This Works &amp; Sources'!$B$39:$J$48,0,IF($AU46="Married",4,IF($AU46="Head of household",7,1))+2))-VLOOKUP($AN46,StateTables!$A$6:$AB$56,11,FALSE)*$AS46)/'Second Earner'!$C$8)+'Second Earner'!$C$25+VLOOKUP($AN46,StateTables!$A$6:$AB$56,13,FALSE)*$D46,2),IF(VLOOKUP($AN46,StateTables!$A$6:$AB$56,4,FALSE)="None",0,IF(ISNUMBER(SEARCH("MANUAL",VLOOKUP($AN46,StateTables!$A$6:$AB$56,5,FALSE))),'Second Earner'!$C$28,ROUND(MAX(0,$BA46+$BB46)/'Second Earner'!$C$8+'Second Earner'!$C$25+$BC46,2))))))</f>
      </c>
      <c r="U46" s="7">
        <f>IF($B46="","",IF(VLOOKUP($AN46,StateTables!$A$6:$AB$56,24,FALSE)="flatq",IF(OR(MONTH($B46)=1,MONTH($B46)=4,MONTH($B46)=7,MONTH($B46)=10),VLOOKUP($AN46,StateTables!$A$6:$AB$56,25,FALSE),0),IF(VLOOKUP($AN46,StateTables!$A$6:$AB$56,24,FALSE)="dbl",MIN(ROUND(0.005*$N46,2),ROUND(0.6*52/'Second Earner'!$C$8,2)),IF(OR(VLOOKUP($AN46,StateTables!$A$6:$AB$56,15,FALSE)="",VLOOKUP($AN46,StateTables!$A$6:$AB$56,15,FALSE)=0),0,ROUND(VLOOKUP($AN46,StateTables!$A$6:$AB$56,15,FALSE)*IF(OR(VLOOKUP($AN46,StateTables!$A$6:$AB$56,16,FALSE)="",VLOOKUP($AN46,StateTables!$A$6:$AB$56,16,FALSE)=0),$N46,MIN($N46,MAX(0,VLOOKUP($AN46,StateTables!$A$6:$AB$56,16,FALSE)-($AX46+$AB45-$AW46)))),2))))+IF(VLOOKUP($AN46,StateTables!$A$6:$AB$56,27,FALSE)="flatq",IF(OR(MONTH($B46)=1,MONTH($B46)=4,MONTH($B46)=7,MONTH($B46)=10),VLOOKUP($AN46,StateTables!$A$6:$AB$56,28,FALSE),0),IF(VLOOKUP($AN46,StateTables!$A$6:$AB$56,27,FALSE)="dbl",MIN(ROUND(0.005*$N46,2),ROUND(0.6*52/'Second Earner'!$C$8,2)),IF(OR(VLOOKUP($AN46,StateTables!$A$6:$AB$56,18,FALSE)="",VLOOKUP($AN46,StateTables!$A$6:$AB$56,18,FALSE)=0),0,ROUND(VLOOKUP($AN46,StateTables!$A$6:$AB$56,18,FALSE)*IF(OR(VLOOKUP($AN46,StateTables!$A$6:$AB$56,19,FALSE)="",VLOOKUP($AN46,StateTables!$A$6:$AB$56,19,FALSE)=0),$N46,MIN($N46,MAX(0,VLOOKUP($AN46,StateTables!$A$6:$AB$56,19,FALSE)-($AX46+$AB45-$AW46)))),2)))))</f>
      </c>
      <c r="V46" s="7">
        <f>IF($B46="","",IF($AN46="NY",IF('Second Earner'!$C$78,ROUND(SUMPRODUCT((MAX(0,($O46-$D46)*'Second Earner'!$C$8-(IF($AU46="Married",5500,5000)+1000*$AS46))&gt;INDEX('How This Works &amp; Sources'!$B$184:$J$198,0,4))*(MAX(0,($O46-$D46)*'Second Earner'!$C$8-(IF($AU46="Married",5500,5000)+1000*$AS46))-INDEX('How This Works &amp; Sources'!$B$184:$J$198,0,4))*INDEX('How This Works &amp; Sources'!$B$184:$J$198,0,4+2))/'Second Earner'!$C$8+0.0425*$D46,2),0)+IF('Second Earner'!$C$79="Resident",ROUND(0.1675*$T46,2),IF('Second Earner'!$C$79="Nonresident",ROUND(0.005*MAX(0,($O46-$D46)-(IF($AU46="Married",7950,7400)+1000*$AS46)/'Second Earner'!$C$8),2),0)),IF($AN46="PA",IF('Second Earner'!$C$80="None",'Second Earner'!$C$27+ROUND('Second Earner'!$C$81*($C46+$D46),2),ROUND(IF('Second Earner'!$C$80="Resident",IF($B46&lt;DATE(2026,7,1),0.0374,0.03735),IF($B46&lt;DATE(2026,7,1),0.0343,0.03425))*($C46+$D46),2)),IF($BF46=0,ROUND('Second Earner'!$C$81*($C46+$D46),2),'Second Earner'!$C$27+ROUND('Second Earner'!$C$81*($C46+$D46),2)))))</f>
      </c>
      <c r="W46" s="7">
        <f>IF($B46="","",IF($BF46=0,0,$BP46))</f>
      </c>
      <c r="X46" s="7">
        <f>IF($B46="","",SUM($E46:$K46)+$P46+$Q46+$R46+$S46+$T46+$U46+$V46+$W46)</f>
      </c>
      <c r="Y46" s="22">
        <f>IF($B46="","",$C46+$D46-$X46)</f>
      </c>
      <c r="Z46" s="7">
        <f>IF($B46="","",$Z45+$C46+$D46)</f>
      </c>
      <c r="AA46" s="7">
        <f>IF($B46="","",$AA45+$Y46)</f>
      </c>
      <c r="AB46" s="7">
        <f>IF($B46="","",$AB45+MIN($N46,MAX(0,'How This Works &amp; Sources'!$C$3-($AX46+$AB45-$AW46))))</f>
      </c>
      <c r="AC46" s="7">
        <f>IF($B46="","",$AC45+$E46+$F46)</f>
      </c>
      <c r="AD46" s="3">
        <f>IF($B46="","",IF(AND($AB45&lt;'How This Works &amp; Sources'!$C$3,$AB46&gt;='How This Works &amp; Sources'!$C$3),"★ Social Security maxed on this check — from the next check your net rises by about $"&amp;TEXT(ROUND('How This Works &amp; Sources'!$C$4*$N46,2),"#,##0.00")&amp;". ","")&amp;IF(AND($AC45&lt;'Second Earner'!$C$34,$AC46&gt;='Second Earner'!$C$34),"★ 401(k) reaches the $"&amp;TEXT('Second Earner'!$C$34,"#,##0")&amp;" cap on this check — deferrals stop and net pay rises. ","")&amp;IF(AND($AG45&lt;'How This Works &amp; Sources'!$C$7,$AG46&gt;='How This Works &amp; Sources'!$C$7),"★ Wages pass $200,000 — the 0.9% Additional Medicare Tax starts here. ","")&amp;IF(AND($BJ46&gt;0,$H46&gt;0,$BG45&lt;MIN($BJ46,'How This Works &amp; Sources'!$C$13),$BG45+$H46&gt;=MIN($BJ46,'How This Works &amp; Sources'!$C$13)),"★ Health FSA election is now fully deferred for the year. ",""))</f>
      </c>
      <c r="AE46" s="41" t="n"/>
      <c r="AF46" s="7">
        <f>IF(OR($B46="",$AE46=""),"",$AE46-$Y46)</f>
      </c>
      <c r="AG46" s="7">
        <f>IF($B46="","",$AG45+$N46)</f>
      </c>
      <c r="AH46" s="7">
        <f>IF($B46="","",MAX(0,($M46-$D46)*'Second Earner'!$C$8+$AP46-$AQ46-IF('Second Earner'!$C$13,0,IF('Second Earner'!$C$12="MFJ",'How This Works &amp; Sources'!$C$8,'How This Works &amp; Sources'!$C$9))))</f>
      </c>
      <c r="AI46" s="7">
        <f>IF($B46="","",$O46*'Second Earner'!$C$8)</f>
      </c>
      <c r="AJ46" s="7">
        <f>IF($B46="","",MAX(0,$AI46-VLOOKUP($AN46,StateTables!$A$6:$AB$56,12,FALSE)*$AT46-IF(($AS46+$AT46)&gt;=2,VLOOKUP($AN46,StateTables!$A$6:$AB$56,8,FALSE),VLOOKUP($AN46,StateTables!$A$6:$AB$56,7,FALSE))))</f>
      </c>
      <c r="AK46" s="7">
        <f>IF($B46="","",IFERROR(LOOKUP(2,1/(('Changes — Earner 2'!$C$6:$C$17="Salary change")*('Changes — Earner 2'!$B$6:$B$17&lt;=$B46)*('Changes — Earner 2'!$B$6:$B$17&lt;&gt;"")),'Changes — Earner 2'!$D$6:$D$17),IF('Second Earner'!$C$4="Annual salary",'Second Earner'!$C$5,'Second Earner'!$C$6)))</f>
      </c>
      <c r="AL46">
        <f>IF($B46="","",IFERROR(LOOKUP(2,1/(('Changes — Earner 2'!$C$6:$C$17="401(k) change")*('Changes — Earner 2'!$B$6:$B$17&lt;=$B46)*('Changes — Earner 2'!$B$6:$B$17&lt;&gt;"")),'Changes — Earner 2'!$D$6:$D$17),'Second Earner'!$C$30))</f>
      </c>
      <c r="AM46" s="7">
        <f>IF($B46="","",IFERROR(LOOKUP(2,1/(('Changes — Earner 2'!$C$6:$C$17="401(k) change")*('Changes — Earner 2'!$B$6:$B$17&lt;=$B46)*('Changes — Earner 2'!$B$6:$B$17&lt;&gt;"")),'Changes — Earner 2'!$E$6:$E$17),'Second Earner'!$D$31))</f>
      </c>
      <c r="AN46">
        <f>IF($B46="","",IFERROR(LOOKUP(2,1/(('Changes — Earner 2'!$C$6:$C$17="State move")*('Changes — Earner 2'!$B$6:$B$17&lt;=$B46)*('Changes — Earner 2'!$B$6:$B$17&lt;&gt;"")),'Changes — Earner 2'!$D$6:$D$17),'Second Earner'!$C$21))</f>
      </c>
      <c r="AO46" s="7">
        <f>IF($B46="","",IFERROR(LOOKUP(2,1/(('Changes — Earner 2'!$C$6:$C$17="W-4 change")*('Changes — Earner 2'!$B$6:$B$17&lt;=$B46)*('Changes — Earner 2'!$B$6:$B$17&lt;&gt;"")),'Changes — Earner 2'!$D$6:$D$17),'Second Earner'!$C$14))</f>
      </c>
      <c r="AP46" s="7">
        <f>IF($B46="","",IFERROR(LOOKUP(2,1/(('Changes — Earner 2'!$C$6:$C$17="W-4 change")*('Changes — Earner 2'!$B$6:$B$17&lt;=$B46)*('Changes — Earner 2'!$B$6:$B$17&lt;&gt;"")),'Changes — Earner 2'!$E$6:$E$17),'Second Earner'!$C$15))</f>
      </c>
      <c r="AQ46" s="7">
        <f>IF($B46="","",IFERROR(LOOKUP(2,1/(('Changes — Earner 2'!$C$6:$C$17="W-4 change")*('Changes — Earner 2'!$B$6:$B$17&lt;=$B46)*('Changes — Earner 2'!$B$6:$B$17&lt;&gt;"")),'Changes — Earner 2'!$F$6:$F$17),'Second Earner'!$C$16))</f>
      </c>
      <c r="AR46" s="7">
        <f>IF($B46="","",IFERROR(LOOKUP(2,1/(('Changes — Earner 2'!$C$6:$C$17="W-4 change")*('Changes — Earner 2'!$B$6:$B$17&lt;=$B46)*('Changes — Earner 2'!$B$6:$B$17&lt;&gt;"")),'Changes — Earner 2'!$G$6:$G$17),'Second Earner'!$C$17))</f>
      </c>
      <c r="AS46" s="6">
        <f>IF($B46="","",IFERROR(LOOKUP(2,1/((('Changes — Earner 2'!$C$6:$C$17="State move")+('Changes — Earner 2'!$C$6:$C$17="State cert change"))*('Changes — Earner 2'!$B$6:$B$17&lt;=$B46)*('Changes — Earner 2'!$B$6:$B$17&lt;&gt;"")),'Changes — Earner 2'!$F$6:$F$17),'Second Earner'!$C$23))</f>
      </c>
      <c r="AT46" s="6">
        <f>IF($B46="","",IFERROR(LOOKUP(2,1/((('Changes — Earner 2'!$C$6:$C$17="State move")+('Changes — Earner 2'!$C$6:$C$17="State cert change"))*('Changes — Earner 2'!$B$6:$B$17&lt;=$B46)*('Changes — Earner 2'!$B$6:$B$17&lt;&gt;"")),'Changes — Earner 2'!$G$6:$G$17),'Second Earner'!$C$24))</f>
      </c>
      <c r="AU46">
        <f>IF($B46="","",IFERROR(LOOKUP(2,1/(('Changes — Earner 2'!$C$6:$C$17="State move")*('Changes — Earner 2'!$B$6:$B$17&lt;=$B46)*('Changes — Earner 2'!$B$6:$B$17&lt;&gt;"")),'Changes — Earner 2'!$E$6:$E$17),'Second Earner'!$C$22))</f>
      </c>
      <c r="AV46" s="6">
        <f>IF($B46="","",1+COUNTIFS('Changes — Earner 2'!$C$6:$C$17,"Employer change",'Changes — Earner 2'!$B$6:$B$17,"&lt;="&amp;$B46,'Changes — Earner 2'!$B$6:$B$17,"&lt;&gt;"))</f>
      </c>
      <c r="AW46" s="7">
        <f>IF($B46="","",IF($AV46=1,'Second Earner'!$C$49,IF(IFERROR(MATCH(IFERROR(LOOKUP(2,1/(('Changes — Earner 2'!$C$6:$C$17="Employer change")*('Changes — Earner 2'!$B$6:$B$17&lt;=$B46)*('Changes — Earner 2'!$B$6:$B$17&lt;&gt;"")),'Changes — Earner 2'!$B$6:$B$17),""),$B$6:$B$68,1),1)&lt;=1,'Second Earner'!$C$49,INDEX($AB$6:$AB$68,MATCH(IFERROR(LOOKUP(2,1/(('Changes — Earner 2'!$C$6:$C$17="Employer change")*('Changes — Earner 2'!$B$6:$B$17&lt;=$B46)*('Changes — Earner 2'!$B$6:$B$17&lt;&gt;"")),'Changes — Earner 2'!$B$6:$B$17),""),$B$6:$B$68,1)-1))))</f>
      </c>
      <c r="AX46" s="7">
        <f>IF($B46="","",IF($AV46=1,'Second Earner'!$C$49,IFERROR(LOOKUP(2,1/(('Changes — Earner 2'!$C$6:$C$17="Employer change")*('Changes — Earner 2'!$B$6:$B$17&lt;=$B46)*('Changes — Earner 2'!$B$6:$B$17&lt;&gt;"")),'Changes — Earner 2'!$D$6:$D$17),0)))</f>
      </c>
      <c r="AY46" s="7">
        <f>IF($B46="","",($O46-$D46)*'Second Earner'!$C$8)</f>
      </c>
      <c r="AZ46" s="7">
        <f>IF($B46="","",IF($AN46="AL",MAX(0,$AY46-IF($AU46="Married",IF($AY46&lt;=25999,8500,MAX(5000,8500-175*CEILING(($AY46-25999)/500,1))),IF($AU46="Head of household",IF($AY46&lt;=25999,5200,MAX(2500,5200-135*CEILING(($AY46-25999)/500,1))),IF($AY46&lt;=25999,3000,MAX(2500,3000-25*CEILING(($AY46-25999)/500,1)))))-($P46-'How This Works &amp; Sources'!$C$10*$D46)*'Second Earner'!$C$8-IF(OR($AU46="Married",$AU46="Head of household"),3000,1500)-$AT46*IF($AY46&lt;=50000,1000,IF($AY46&lt;=100000,500,300))),IF($AN46="AR",IF(MAX(0,$AY46-2470)&lt;97701,INT(MAX(0,$AY46-2470)/100)*100+50,MAX(0,$AY46-2470)),IF($AN46="DE",MAX(0,$AI46-3250),IF($AN46="HI",MAX(0,$AI46-1144*$AS46-4350),IF($AN46="KS",MAX(0,$AI46-(9160*IF($AU46="Married",2,1)+2320*$AT46+IF($AU46="Head of household",2320,0))),IF($AN46="MD",MAX(0,$AI46-3400-3200*$AS46),IF($AN46="MN",MAX(0,$AY46-5300*$AS46),IF($AN46="MO",MAX(0,$AI46-IF($AU46="Head of household",24150,IF($AU46="Married",IF('Second Earner'!$C$83,16100,32200),16100))),IF($AN46="MT",$AY46,IF($AN46="ND",($C46+$L46)*'Second Earner'!$C$8,IF($AN46="NE",MAX(0,$AY46-2440*$AS46),IF($AN46="NJ",MAX(0,$AY46-1000*$AS46),IF($AN46="NY",MAX(0,$AY46-(IF($AU46="Married",7950,7400)+1000*$AS46)),IF($AN46="OH",MAX(0,$AY46-650*$AS46),IF($AN46="OK",MAX(0,$AY46-1000*$AS46),IF($AN46="RI",MAX(0,$AI46-1000*$AS46),IF($AN46="SC",MAX(0,$AI46-5000*$AS46-IF($AS46=0,0,MIN(0.1*$AI46,7500))),IF($AN46="VA",MAX(0,$AI46-IF($AU46="Married",17500,8750)-930*$AS46-800*$AT46),IF($AN46="VT",MAX(0,$AI46-5400*$AS46),IF($AN46="WI",MAX(0,$AI46-MAX(0,IF($AU46="Married",9461-0.2*MAX(0,$AI46-25727),6702-0.12*MAX(0,$AI46-17780)))-400*$AS46),IF($AN46="WV",MAX(0,$AI46-2000*$AS46),$AI46))))))))))))))))))))))</f>
      </c>
      <c r="BA46" s="7">
        <f>IF($B46="","",IF($BW46&lt;&gt;"",$BW46,IF($BX46&lt;&gt;"",$BX46,IF($BY46&lt;&gt;"",$BY46,0))))</f>
      </c>
      <c r="BB46" s="7">
        <f>IF($B46="","",IF($AN46="AR",-29*$AS46,IF($AN46="DE",-110*$AS46,IF($AN46="MD",$AZ46*'Second Earner'!$C$74,IF($AN46="AZ",'Second Earner'!$C$82*($M46-$D46)*'Second Earner'!$C$8,IF($AN46="CO",0.044*MAX(0,$AY46-IF($AU46="Married",10000,5000)),IF($AN46="IA",MAX(0,0.038*MAX(0,$AY46-IF($AU46="Head of household",19500,IF($AU46="Married",26000,13000)))-40*$AS46),IF($AN46="ID",0.053*MAX(0,$AY46-IF($AU46="Married",32000,16094)),IF($AN46="IL",0.0495*MAX(0,$AY46-(2925*$AS46+1000*$AT46)),IF($AN46="IN",(0.0295+'Second Earner'!$C$76)*MAX(0,$AY46-(1000*$AS46+1500*$AT46+3000*'Second Earner'!$C$86)),IF($AN46="KY",0.035*MAX(0,$AI46-3360),IF($AN46="LA",IF('Second Earner'!$C$84="0",0.0309*$AI46,0.0309*MAX(0,$AI46-IF('Second Earner'!$C$84="2",25750,12875))),IF($AN46="MA",0.05*MIN(MAX(0,$AY46-MIN(($BD45+$Q46+$R46+$S46),2000)-IF($AS46=0,0,IF($AS46=1,4400,1000*$AS46+3400))),1107750)+0.09*MAX(0,MAX(0,$AY46-MIN(($BD45+$Q46+$R46+$S46),2000)-IF($AS46=0,0,IF($AS46=1,4400,1000*$AS46+3400)))-1107750)-IF($AU46="Head of household",120,0)-110*'Second Earner'!$C$75,IF($AN46="MI",0.0425*MAX(0,$AY46-5900*$AS46),IF($AN46="MS",0.04*MAX(0,$AI46-IF($AU46="Head of household",3400,IF($AU46="Married",4600,2300))-'Second Earner'!$C$85-10000),IF($AN46="OR",IF(OR($AU46="Married",AND($AU46="Single",$AS46&gt;=3)),SUMPRODUCT((MAX(0,$AY46-MIN(($P46-'How This Works &amp; Sources'!$C$10*$D46)*'Second Earner'!$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Sources'!$B$211:$J$214,0,4))*(MAX(0,$AY46-MIN(($P46-'How This Works &amp; Sources'!$C$10*$D46)*'Second Earner'!$C$8,IF(OR($AU46="Married",AND($AU46="Single",$AS46&gt;=3)),IF($AY46&lt;250000,8750,IF($AY46&lt;260000,7000,IF($AY46&lt;270000,5250,IF($AY46&lt;280000,3500,IF($AY46&lt;290000,1750,0))))),IF($AY46&lt;125000,8750,IF($AY46&lt;130000,7000,IF($AY46&lt;135000,5250,IF($AY46&lt;140000,3500,IF($AY46&lt;145000,1750,0)))))))-IF(OR($AU46="Married",AND($AU46="Single",$AS46&gt;=3)),5820,2910))-INDEX('How This Works &amp; Sources'!$B$211:$J$214,0,4))*INDEX('How This Works &amp; Sources'!$B$211:$J$214,0,4+2)),SUMPRODUCT((MAX(0,$AY46-MIN(($P46-'How This Works &amp; Sources'!$C$10*$D46)*'Second Earner'!$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Sources'!$B$211:$J$214,0,1))*(MAX(0,$AY46-MIN(($P46-'How This Works &amp; Sources'!$C$10*$D46)*'Second Earner'!$C$8,IF(OR($AU46="Married",AND($AU46="Single",$AS46&gt;=3)),IF($AY46&lt;250000,8750,IF($AY46&lt;260000,7000,IF($AY46&lt;270000,5250,IF($AY46&lt;280000,3500,IF($AY46&lt;290000,1750,0))))),IF($AY46&lt;125000,8750,IF($AY46&lt;130000,7000,IF($AY46&lt;135000,5250,IF($AY46&lt;140000,3500,IF($AY46&lt;145000,1750,0)))))))-IF(OR($AU46="Married",AND($AU46="Single",$AS46&gt;=3)),5820,2910))-INDEX('How This Works &amp; Sources'!$B$211:$J$214,0,1))*INDEX('How This Works &amp; Sources'!$B$211:$J$214,0,1+2)))+263-263*IF(IF($AU46="Married",$AY46&gt;200000,$AY46&gt;100000),0,$AS46),IF($AN46="PA",0.0307*(($O46+$E46+$G46)*'Second Earner'!$C$8),IF($AN46="NY",IF($AU46="Married",IF($AZ46&gt;=2155350,0,IF($AZ46&gt;=1077550,0.48,IF($AZ46&gt;=373200,1.21,IF($AZ46&gt;=323200,0.21,IF($AZ46&gt;=211550,-0.19,IF($AZ46&gt;=157650,-2.8,IF($AZ46&gt;=107650,-0.8,IF($AZ46&gt;=96800,0.05,IF($AZ46&gt;=80650,-0.1,IF($AZ46&gt;=13900,0.4,IF($AZ46&gt;=11700,-0.3,IF($AZ46&gt;=8500,0.5,0)))))))))))),IF($AZ46&gt;=1077550,0,IF($AZ46&gt;=265400,4.29,IF($AZ46&gt;=215400,2.29,IF($AZ46&gt;=157650,2.29,IF($AZ46&gt;=107650,0.29,IF($AZ46&gt;=96800,0.05,IF($AZ46&gt;=80650,-0.1,IF($AZ46&gt;=13900,0.4,IF($AZ46&gt;=11700,-0.3,IF($AZ46&gt;=8500,0.5,0))))))))))),0))))))))))))))))))</f>
      </c>
      <c r="BC46" s="7">
        <f>IF($B46="","",IF($AN46="AL",0.05*$D46,IF($AN46="AR",0.039*$D46,IF($AN46="ID",0.053*$D46,IF($AN46="IN",(0.0295+'Second Earner'!$C$76)*$D46,IF($AN46="KS",0.05*$D46,IF($AN46="MA",0.09*MIN($D46,MAX(0,MAX(0,$AY46-MIN(($BD45+$Q46+$R46+$S46),2000)-IF($AS46=0,0,IF($AS46=1,4400,1000*$AS46+3400)))+$D46-1107750))+0.05*($D46-MIN($D46,MAX(0,MAX(0,$AY46-MIN(($BD45+$Q46+$R46+$S46),2000)-IF($AS46=0,0,IF($AS46=1,4400,1000*$AS46+3400)))+$D46-1107750))),IF($AN46="MD",(0.065+'Second Earner'!$C$74)*$D46,IF($AN46="MI",0.0425*$D46,IF($AN46="MN",0.0625*$D46,IF($AN46="MO",0.047*$D46,IF($AN46="MT",0.05*$D46,IF($AN46="ND",0.015*$D46,IF($AN46="NE",0.035*$D46,IF($AN46="NJ",IF('Second Earner'!$C$77="B",SUMPRODUCT(($D46*'Second Earner'!$C$8&gt;INDEX('How This Works &amp; Sources'!$B$155:$J$162,0,4))*($D46*'Second Earner'!$C$8-INDEX('How This Works &amp; Sources'!$B$155:$J$162,0,4))*INDEX('How This Works &amp; Sources'!$B$155:$J$162,0,4+2)),IF('Second Earner'!$C$77="C",SUMPRODUCT(($D46*'Second Earner'!$C$8&gt;INDEX('How This Works &amp; Sources'!$B$155:$J$162,0,7))*($D46*'Second Earner'!$C$8-INDEX('How This Works &amp; Sources'!$B$155:$J$162,0,7))*INDEX('How This Works &amp; Sources'!$B$155:$J$162,0,7+2)),IF('Second Earner'!$C$77="D",SUMPRODUCT(($D46*'Second Earner'!$C$8&gt;INDEX('How This Works &amp; Sources'!$B$167:$J$179,0,1))*($D46*'Second Earner'!$C$8-INDEX('How This Works &amp; Sources'!$B$167:$J$179,0,1))*INDEX('How This Works &amp; Sources'!$B$167:$J$179,0,1+2)),IF('Second Earner'!$C$77="E",SUMPRODUCT(($D46*'Second Earner'!$C$8&gt;INDEX('How This Works &amp; Sources'!$B$167:$J$179,0,4))*($D46*'Second Earner'!$C$8-INDEX('How This Works &amp; Sources'!$B$167:$J$179,0,4))*INDEX('How This Works &amp; Sources'!$B$167:$J$179,0,4+2)),SUMPRODUCT(($D46*'Second Earner'!$C$8&gt;INDEX('How This Works &amp; Sources'!$B$155:$J$162,0,1))*($D46*'Second Earner'!$C$8-INDEX('How This Works &amp; Sources'!$B$155:$J$162,0,1))*INDEX('How This Works &amp; Sources'!$B$155:$J$162,0,1+2))))))/'Second Earner'!$C$8,IF($AN46="NY",0.117*$D46,IF($AN46="OH",0.0275*$D46,IF($AN46="OK",0.045*$D46,IF($AN46="OR",0.08*$D46,IF($AN46="WI",IF($AY46&lt;12760,0.0354,IF($AY46&lt;25520,0.0465,IF($AY46&lt;280950,0.053,0.0765)))*$D46,0))))))))))))))))))))</f>
      </c>
      <c r="BD46" s="7">
        <f>IF($B46="","",$BD45+$Q46+$R46+$S46)</f>
      </c>
      <c r="BE46" s="6">
        <f>IF($B46="",$BE45,$BE45+$BF46)</f>
      </c>
      <c r="BF46" s="6">
        <f>IF($B46="","",IF(AND(IF(YEAR(IF('Second Earner'!$C$7="Weekly",'Second Earner'!$C$9+7*(($BE45+1)-1),IF('Second Earner'!$C$7="Biweekly",'Second Earner'!$C$9+14*(($BE45+1)-1),IF('Second Earner'!$C$7="Semimonthly",DATE(YEAR('Second Earner'!$C$9),MONTH('Second Earner'!$C$9)+INT((($BE45+1)-1)/2),MIN(DAY('Second Earner'!$C$9),DAY(EOMONTH(DATE(YEAR('Second Earner'!$C$9),MONTH('Second Earner'!$C$9)+INT((($BE45+1)-1)/2),1),0))))+IF(MOD(($BE45+1)-1,2)=1,15,0),EDATE('Second Earner'!$C$9,($BE45+1)-1)))))&lt;&gt;'Second Earner'!$C$10,"",IF('Second Earner'!$C$7="Weekly",'Second Earner'!$C$9+7*(($BE45+1)-1),IF('Second Earner'!$C$7="Biweekly",'Second Earner'!$C$9+14*(($BE45+1)-1),IF('Second Earner'!$C$7="Semimonthly",DATE(YEAR('Second Earner'!$C$9),MONTH('Second Earner'!$C$9)+INT((($BE45+1)-1)/2),MIN(DAY('Second Earner'!$C$9),DAY(EOMONTH(DATE(YEAR('Second Earner'!$C$9),MONTH('Second Earner'!$C$9)+INT((($BE45+1)-1)/2),1),0))))+IF(MOD(($BE45+1)-1,2)=1,15,0),EDATE('Second Earner'!$C$9,($BE45+1)-1)))))&lt;&gt;"",$B46=IF(YEAR(IF('Second Earner'!$C$7="Weekly",'Second Earner'!$C$9+7*(($BE45+1)-1),IF('Second Earner'!$C$7="Biweekly",'Second Earner'!$C$9+14*(($BE45+1)-1),IF('Second Earner'!$C$7="Semimonthly",DATE(YEAR('Second Earner'!$C$9),MONTH('Second Earner'!$C$9)+INT((($BE45+1)-1)/2),MIN(DAY('Second Earner'!$C$9),DAY(EOMONTH(DATE(YEAR('Second Earner'!$C$9),MONTH('Second Earner'!$C$9)+INT((($BE45+1)-1)/2),1),0))))+IF(MOD(($BE45+1)-1,2)=1,15,0),EDATE('Second Earner'!$C$9,($BE45+1)-1)))))&lt;&gt;'Second Earner'!$C$10,"",IF('Second Earner'!$C$7="Weekly",'Second Earner'!$C$9+7*(($BE45+1)-1),IF('Second Earner'!$C$7="Biweekly",'Second Earner'!$C$9+14*(($BE45+1)-1),IF('Second Earner'!$C$7="Semimonthly",DATE(YEAR('Second Earner'!$C$9),MONTH('Second Earner'!$C$9)+INT((($BE45+1)-1)/2),MIN(DAY('Second Earner'!$C$9),DAY(EOMONTH(DATE(YEAR('Second Earner'!$C$9),MONTH('Second Earner'!$C$9)+INT((($BE45+1)-1)/2),1),0))))+IF(MOD(($BE45+1)-1,2)=1,15,0),EDATE('Second Earner'!$C$9,($BE45+1)-1)))))),1,0))</f>
      </c>
      <c r="BG46" s="7">
        <f>IF($B46="","",$BG45+$H46)</f>
      </c>
      <c r="BH46" s="7">
        <f>IF($B46="","",$BH45+$I46)</f>
      </c>
      <c r="BI46" s="7">
        <f>IF($B46="","",$BI45+$G46)</f>
      </c>
      <c r="BJ46" s="7">
        <f>IF($B46="","",IFERROR(LOOKUP(2,1/(((('Changes — Earner 2'!$C$6:$C$17="Deduction start"))*('Changes — Earner 2'!$D$6:$D$17="Health FSA"))*('Changes — Earner 2'!$B$6:$B$17&lt;=$B46)*('Changes — Earner 2'!$B$6:$B$17&lt;&gt;"")),'Changes — Earner 2'!$E$6:$E$17),'Second Earner'!$D$38))</f>
      </c>
      <c r="BK46" s="7">
        <f>IF($B46="","",IFERROR(LOOKUP(2,1/(((('Changes — Earner 2'!$C$6:$C$17="Deduction start"))*('Changes — Earner 2'!$D$6:$D$17="Dependent-care FSA"))*('Changes — Earner 2'!$B$6:$B$17&lt;=$B46)*('Changes — Earner 2'!$B$6:$B$17&lt;&gt;"")),'Changes — Earner 2'!$E$6:$E$17),'Second Earner'!$D$39))</f>
      </c>
      <c r="BL46" s="7">
        <f>IF($B46="","",IFERROR(LOOKUP(2,1/(((('Changes — Earner 2'!$C$6:$C$17="Deduction start")+('Changes — Earner 2'!$C$6:$C$17="Deduction stop"))*('Changes — Earner 2'!$D$6:$D$17="HSA"))*('Changes — Earner 2'!$B$6:$B$17&lt;=$B46)*('Changes — Earner 2'!$B$6:$B$17&lt;&gt;"")),'Changes — Earner 2'!$I$6:$I$17),'Second Earner'!$D$35))</f>
      </c>
      <c r="BM46" s="7">
        <f>IF($B46="","",IFERROR(LOOKUP(2,1/(((('Changes — Earner 2'!$C$6:$C$17="Deduction start")+('Changes — Earner 2'!$C$6:$C$17="Deduction stop"))*('Changes — Earner 2'!$D$6:$D$17="Premiums"))*('Changes — Earner 2'!$B$6:$B$17&lt;=$B46)*('Changes — Earner 2'!$B$6:$B$17&lt;&gt;"")),'Changes — Earner 2'!$I$6:$I$17),'Second Earner'!$D$40+'Second Earner'!$D$41+'Second Earner'!$D$42))</f>
      </c>
      <c r="BN46" s="7">
        <f>IF($B46="","",IFERROR(LOOKUP(2,1/(((('Changes — Earner 2'!$C$6:$C$17="Deduction start")+('Changes — Earner 2'!$C$6:$C$17="Deduction stop"))*('Changes — Earner 2'!$D$6:$D$17="Commuter"))*('Changes — Earner 2'!$B$6:$B$17&lt;=$B46)*('Changes — Earner 2'!$B$6:$B$17&lt;&gt;"")),'Changes — Earner 2'!$I$6:$I$17),'Second Earner'!$D$43))</f>
      </c>
      <c r="BO46" s="7">
        <f>IF($B46="","",IFERROR(LOOKUP(2,1/(((('Changes — Earner 2'!$C$6:$C$17="Deduction start")+('Changes — Earner 2'!$C$6:$C$17="Deduction stop"))*('Changes — Earner 2'!$D$6:$D$17="Other pre-tax"))*('Changes — Earner 2'!$B$6:$B$17&lt;=$B46)*('Changes — Earner 2'!$B$6:$B$17&lt;&gt;"")),'Changes — Earner 2'!$I$6:$I$17),'Second Earner'!$D$44))</f>
      </c>
      <c r="BP46" s="7">
        <f>IF($B46="","",IFERROR(LOOKUP(2,1/(((('Changes — Earner 2'!$C$6:$C$17="Deduction start")+('Changes — Earner 2'!$C$6:$C$17="Deduction stop"))*('Changes — Earner 2'!$D$6:$D$17="Other post-tax"))*('Changes — Earner 2'!$B$6:$B$17&lt;=$B46)*('Changes — Earner 2'!$B$6:$B$17&lt;&gt;"")),'Changes — Earner 2'!$I$6:$I$17),'Second Earner'!$D$45))</f>
      </c>
      <c r="BQ46" s="6">
        <f>IF($B46="","",IFERROR(LOOKUP(2,1/(((('Changes — Earner 2'!$C$6:$C$17="Deduction start")+('Changes — Earner 2'!$C$6:$C$17="Deduction stop"))*('Changes — Earner 2'!$D$6:$D$17="Health FSA"))*('Changes — Earner 2'!$B$6:$B$17&lt;=$B46)*('Changes — Earner 2'!$B$6:$B$17&lt;&gt;"")),'Changes — Earner 2'!$J$6:$J$17),0))</f>
      </c>
      <c r="BR46" s="6">
        <f>IF($B46="","",IFERROR(LOOKUP(2,1/(((('Changes — Earner 2'!$C$6:$C$17="Deduction start")+('Changes — Earner 2'!$C$6:$C$17="Deduction stop"))*('Changes — Earner 2'!$D$6:$D$17="Dependent-care FSA"))*('Changes — Earner 2'!$B$6:$B$17&lt;=$B46)*('Changes — Earner 2'!$B$6:$B$17&lt;&gt;"")),'Changes — Earner 2'!$J$6:$J$17),0))</f>
      </c>
      <c r="BS46" s="6">
        <f>IF($B46="","",IF(SUMPRODUCT(('Changes — Earner 2'!$C$6:$C$17="Deduction start")*('Changes — Earner 2'!$B$6:$B$17&lt;=$B46)*('Changes — Earner 2'!$B$6:$B$17&lt;&gt;"")*('Changes — Earner 2'!$D$6:$D$17="Health FSA"))&gt;0,1,0))</f>
      </c>
      <c r="BT46" s="6">
        <f>IF($B46="","",IF(SUMPRODUCT(('Changes — Earner 2'!$C$6:$C$17="Deduction start")*('Changes — Earner 2'!$B$6:$B$17&lt;=$B46)*('Changes — Earner 2'!$B$6:$B$17&lt;&gt;"")*('Changes — Earner 2'!$D$6:$D$17="Dependent-care FSA"))&gt;0,1,0))</f>
      </c>
      <c r="BU46" s="24">
        <f>IF($B46="","",IF('Second Earner'!$C$13,SUMPRODUCT(($AH46&gt;=INDEX('How This Works &amp; Sources'!$B$29:$J$36,0,IF('Second Earner'!$C$12="MFJ",1,IF('Second Earner'!$C$12="HoH",7,4))))*INDEX('How This Works &amp; Sources'!$B$29:$J$36,0,IF('Second Earner'!$C$12="MFJ",1,IF('Second Earner'!$C$12="HoH",7,4))+2)),SUMPRODUCT(($AH46&gt;=INDEX('How This Works &amp; Sources'!$B$19:$J$26,0,IF('Second Earner'!$C$12="MFJ",1,IF('Second Earner'!$C$12="HoH",7,4))))*INDEX('How This Works &amp; Sources'!$B$19:$J$26,0,IF('Second Earner'!$C$12="MFJ",1,IF('Second Earner'!$C$12="HoH",7,4))+2))))</f>
      </c>
      <c r="BV46" s="24">
        <f>IF($B46="","",IF($BZ46&lt;&gt;"",$BZ46,IF($CA46&lt;&gt;"",$CA46,IF($CB46&lt;&gt;"",$CB46,IF($CC46&lt;&gt;"",$CC46,0)))))</f>
      </c>
      <c r="BW46" s="7">
        <f>IF($B46="","",IF($AN46="AR",SUMPRODUCT(($AZ46&gt;INDEX('How This Works &amp; Sources'!$B$82:$J$86,0,7))*($AZ46-INDEX('How This Works &amp; Sources'!$B$82:$J$86,0,7))*INDEX('How This Works &amp; Sources'!$B$82:$J$86,0,7+2)),IF($AN46="MD",IF(OR($AU46="Married",$AU46="Head of household"),SUMPRODUCT(($AZ46&gt;INDEX('How This Works &amp; Sources'!$B$114:$J$120,0,1))*($AZ46-INDEX('How This Works &amp; Sources'!$B$114:$J$120,0,1))*INDEX('How This Works &amp; Sources'!$B$114:$J$120,0,1+2)),SUMPRODUCT(($AZ46&gt;INDEX('How This Works &amp; Sources'!$B$103:$J$109,0,7))*($AZ46-INDEX('How This Works &amp; Sources'!$B$103:$J$109,0,7))*INDEX('How This Works &amp; Sources'!$B$103:$J$109,0,7+2))),IF($AN46="MT",IF($AU46="Head of household",SUMPRODUCT(($AZ46&gt;INDEX('How This Works &amp; Sources'!$B$137:$J$139,0,1))*($AZ46-INDEX('How This Works &amp; Sources'!$B$137:$J$139,0,1))*INDEX('How This Works &amp; Sources'!$B$137:$J$139,0,1+2)),IF($AU46="Married",SUMPRODUCT(($AZ46&gt;INDEX('How This Works &amp; Sources'!$B$125:$J$132,0,7))*($AZ46-INDEX('How This Works &amp; Sources'!$B$125:$J$132,0,7))*INDEX('How This Works &amp; Sources'!$B$125:$J$132,0,7+2)),SUMPRODUCT(($AZ46&gt;INDEX('How This Works &amp; Sources'!$B$125:$J$132,0,4))*($AZ46-INDEX('How This Works &amp; Sources'!$B$125:$J$132,0,4))*INDEX('How This Works &amp; Sources'!$B$125:$J$132,0,4+2)))),IF($AN46="ND",IF($AU46="Head of household",SUMPRODUCT(($AZ46&gt;INDEX('How This Works &amp; Sources'!$B$144:$J$150,0,1))*($AZ46-INDEX('How This Works &amp; Sources'!$B$144:$J$150,0,1))*INDEX('How This Works &amp; Sources'!$B$144:$J$150,0,1+2)),IF($AU46="Married",SUMPRODUCT(($AZ46&gt;INDEX('How This Works &amp; Sources'!$B$137:$J$139,0,7))*($AZ46-INDEX('How This Works &amp; Sources'!$B$137:$J$139,0,7))*INDEX('How This Works &amp; Sources'!$B$137:$J$139,0,7+2)),SUMPRODUCT(($AZ46&gt;INDEX('How This Works &amp; Sources'!$B$137:$J$139,0,4))*($AZ46-INDEX('How This Works &amp; Sources'!$B$137:$J$139,0,4))*INDEX('How This Works &amp; Sources'!$B$137:$J$139,0,4+2)))),IF($AN46="NJ",IF('Second Earner'!$C$77="B",SUMPRODUCT(($AZ46&gt;INDEX('How This Works &amp; Sources'!$B$155:$J$162,0,4))*($AZ46-INDEX('How This Works &amp; Sources'!$B$155:$J$162,0,4))*INDEX('How This Works &amp; Sources'!$B$155:$J$162,0,4+2)),IF('Second Earner'!$C$77="C",SUMPRODUCT(($AZ46&gt;INDEX('How This Works &amp; Sources'!$B$155:$J$162,0,7))*($AZ46-INDEX('How This Works &amp; Sources'!$B$155:$J$162,0,7))*INDEX('How This Works &amp; Sources'!$B$155:$J$162,0,7+2)),IF('Second Earner'!$C$77="D",SUMPRODUCT(($AZ46&gt;INDEX('How This Works &amp; Sources'!$B$167:$J$179,0,1))*($AZ46-INDEX('How This Works &amp; Sources'!$B$167:$J$179,0,1))*INDEX('How This Works &amp; Sources'!$B$167:$J$179,0,1+2)),IF('Second Earner'!$C$77="E",SUMPRODUCT(($AZ46&gt;INDEX('How This Works &amp; Sources'!$B$167:$J$179,0,4))*($AZ46-INDEX('How This Works &amp; Sources'!$B$167:$J$179,0,4))*INDEX('How This Works &amp; Sources'!$B$167:$J$179,0,4+2)),SUMPRODUCT(($AZ46&gt;INDEX('How This Works &amp; Sources'!$B$155:$J$162,0,1))*($AZ46-INDEX('How This Works &amp; Sources'!$B$155:$J$162,0,1))*INDEX('How This Works &amp; Sources'!$B$155:$J$162,0,1+2)))))),IF($AN46="NY",IF($AU46="Married",IF($AZ46&gt;=2155350,$AZ46*IF($AZ46&gt;25000000,0.117,IF($AZ46&gt;5000000,0.111,0.1045)),SUMPRODUCT(($AZ46&gt;INDEX('How This Works &amp; Sources'!$B$184:$J$198,0,1))*($AZ46-INDEX('How This Works &amp; Sources'!$B$184:$J$198,0,1))*INDEX('How This Works &amp; Sources'!$B$184:$J$198,0,1+2))),IF($AZ46&gt;=1077550,$AZ46*IF($AZ46&gt;25000000,0.117,IF($AZ46&gt;5000000,0.111,0.1045)),SUMPRODUCT(($AZ46&gt;INDEX('How This Works &amp; Sources'!$B$167:$J$179,0,7))*($AZ46-INDEX('How This Works &amp; Sources'!$B$167:$J$179,0,7))*INDEX('How This Works &amp; Sources'!$B$167:$J$179,0,7+2)))),"")))))))</f>
      </c>
      <c r="BX46" s="7">
        <f>IF($B46="","",IF($AN46="AL",IF(OR($AU46="Married",$AU46="Head of household"),SUMPRODUCT(($AZ46&gt;INDEX('How This Works &amp; Sources'!$B$82:$J$86,0,4))*($AZ46-INDEX('How This Works &amp; Sources'!$B$82:$J$86,0,4))*INDEX('How This Works &amp; Sources'!$B$82:$J$86,0,4+2)),SUMPRODUCT(($AZ46&gt;INDEX('How This Works &amp; Sources'!$B$82:$J$86,0,1))*($AZ46-INDEX('How This Works &amp; Sources'!$B$82:$J$86,0,1))*INDEX('How This Works &amp; Sources'!$B$82:$J$86,0,1+2))),IF($AN46="KS",IF($AU46="Married",SUMPRODUCT(($AZ46&gt;INDEX('How This Works &amp; Sources'!$B$103:$J$109,0,4))*($AZ46-INDEX('How This Works &amp; Sources'!$B$103:$J$109,0,4))*INDEX('How This Works &amp; Sources'!$B$103:$J$109,0,4+2)),SUMPRODUCT(($AZ46&gt;INDEX('How This Works &amp; Sources'!$B$103:$J$109,0,1))*($AZ46-INDEX('How This Works &amp; Sources'!$B$103:$J$109,0,1))*INDEX('How This Works &amp; Sources'!$B$103:$J$109,0,1+2))),IF($AN46="MN",IF($AU46="Married",SUMPRODUCT(($AZ46&gt;INDEX('How This Works &amp; Sources'!$B$114:$J$120,0,7))*($AZ46-INDEX('How This Works &amp; Sources'!$B$114:$J$120,0,7))*INDEX('How This Works &amp; Sources'!$B$114:$J$120,0,7+2)),SUMPRODUCT(($AZ46&gt;INDEX('How This Works &amp; Sources'!$B$114:$J$120,0,4))*($AZ46-INDEX('How This Works &amp; Sources'!$B$114:$J$120,0,4))*INDEX('How This Works &amp; Sources'!$B$114:$J$120,0,4+2))),IF($AN46="MO",SUMPRODUCT(($AZ46&gt;INDEX('How This Works &amp; Sources'!$B$125:$J$132,0,1))*($AZ46-INDEX('How This Works &amp; Sources'!$B$125:$J$132,0,1))*INDEX('How This Works &amp; Sources'!$B$125:$J$132,0,1+2)),IF($AN46="NE",MAX(IF($AU46="Married",SUMPRODUCT(($AZ46&gt;INDEX('How This Works &amp; Sources'!$B$144:$J$150,0,7))*($AZ46-INDEX('How This Works &amp; Sources'!$B$144:$J$150,0,7))*INDEX('How This Works &amp; Sources'!$B$144:$J$150,0,7+2)),SUMPRODUCT(($AZ46&gt;INDEX('How This Works &amp; Sources'!$B$144:$J$150,0,4))*($AZ46-INDEX('How This Works &amp; Sources'!$B$144:$J$150,0,4))*INDEX('How This Works &amp; Sources'!$B$144:$J$150,0,4+2))),0.015*$AZ46),IF($AN46="OH",IF($B46&gt;=DATE(2026,8,1),SUMPRODUCT(($AZ46&gt;INDEX('How This Works &amp; Sources'!$B$203:$J$206,0,1))*($AZ46-INDEX('How This Works &amp; Sources'!$B$203:$J$206,0,1))*INDEX('How This Works &amp; Sources'!$B$203:$J$206,0,1+2)),SUMPRODUCT(($AZ46&gt;INDEX('How This Works &amp; Sources'!$B$184:$J$198,0,7))*($AZ46-INDEX('How This Works &amp; Sources'!$B$184:$J$198,0,7))*INDEX('How This Works &amp; Sources'!$B$184:$J$198,0,7+2))),IF($AN46="OK",IF($AU46="Married",SUMPRODUCT(($AZ46&gt;INDEX('How This Works &amp; Sources'!$B$203:$J$206,0,7))*($AZ46-INDEX('How This Works &amp; Sources'!$B$203:$J$206,0,7))*INDEX('How This Works &amp; Sources'!$B$203:$J$206,0,7+2)),SUMPRODUCT(($AZ46&gt;INDEX('How This Works &amp; Sources'!$B$203:$J$206,0,4))*($AZ46-INDEX('How This Works &amp; Sources'!$B$203:$J$206,0,4))*INDEX('How This Works &amp; Sources'!$B$203:$J$206,0,4+2))),IF($AN46="VT",IF($AU46="Married",SUMPRODUCT(($AZ46&gt;INDEX('How This Works &amp; Sources'!$B$228:$J$232,0,1))*($AZ46-INDEX('How This Works &amp; Sources'!$B$228:$J$232,0,1))*INDEX('How This Works &amp; Sources'!$B$228:$J$232,0,1+2)),SUMPRODUCT(($AZ46&gt;INDEX('How This Works &amp; Sources'!$B$219:$J$223,0,7))*($AZ46-INDEX('How This Works &amp; Sources'!$B$219:$J$223,0,7))*INDEX('How This Works &amp; Sources'!$B$219:$J$223,0,7+2))),IF($AN46="WV",IF($AU46="Married",SUMPRODUCT(($AZ46&gt;INDEX('How This Works &amp; Sources'!$B$237:$J$241,0,7))*($AZ46-INDEX('How This Works &amp; Sources'!$B$237:$J$241,0,7))*INDEX('How This Works &amp; Sources'!$B$237:$J$241,0,7+2)),SUMPRODUCT(($AZ46&gt;INDEX('How This Works &amp; Sources'!$B$228:$J$232,0,7))*($AZ46-INDEX('How This Works &amp; Sources'!$B$228:$J$232,0,7))*INDEX('How This Works &amp; Sources'!$B$228:$J$232,0,7+2))),""))))))))))</f>
      </c>
      <c r="BY46" s="7">
        <f>IF($B46="","",IF($AN46="DE",SUMPRODUCT(($AZ46&gt;INDEX('How This Works &amp; Sources'!$B$91:$J$98,0,1))*($AZ46-INDEX('How This Works &amp; Sources'!$B$91:$J$98,0,1))*INDEX('How This Works &amp; Sources'!$B$91:$J$98,0,1+2)),IF($AN46="HI",IF($AU46="Married",SUMPRODUCT(($AZ46&gt;INDEX('How This Works &amp; Sources'!$B$91:$J$98,0,7))*($AZ46-INDEX('How This Works &amp; Sources'!$B$91:$J$98,0,7))*INDEX('How This Works &amp; Sources'!$B$91:$J$98,0,7+2)),SUMPRODUCT(($AZ46&gt;INDEX('How This Works &amp; Sources'!$B$91:$J$98,0,4))*($AZ46-INDEX('How This Works &amp; Sources'!$B$91:$J$98,0,4))*INDEX('How This Works &amp; Sources'!$B$91:$J$98,0,4+2))),IF($AN46="RI",SUMPRODUCT(($AZ46&gt;INDEX('How This Works &amp; Sources'!$B$211:$J$214,0,7))*($AZ46-INDEX('How This Works &amp; Sources'!$B$211:$J$214,0,7))*INDEX('How This Works &amp; Sources'!$B$211:$J$214,0,7+2)),IF($AN46="SC",SUMPRODUCT(($AZ46&gt;INDEX('How This Works &amp; Sources'!$B$219:$J$223,0,1))*($AZ46-INDEX('How This Works &amp; Sources'!$B$219:$J$223,0,1))*INDEX('How This Works &amp; Sources'!$B$219:$J$223,0,1+2)),IF($AN46="VA",SUMPRODUCT(($AZ46&gt;INDEX('How This Works &amp; Sources'!$B$219:$J$223,0,4))*($AZ46-INDEX('How This Works &amp; Sources'!$B$219:$J$223,0,4))*INDEX('How This Works &amp; Sources'!$B$219:$J$223,0,4+2)),IF($AN46="WI",SUMPRODUCT(($AZ46&gt;INDEX('How This Works &amp; Sources'!$B$228:$J$232,0,4))*($AZ46-INDEX('How This Works &amp; Sources'!$B$228:$J$232,0,4))*INDEX('How This Works &amp; Sources'!$B$228:$J$232,0,4+2)),"")))))))</f>
      </c>
      <c r="BZ46" s="24">
        <f>IF($B46="","",IF($AN46="KS",IF($AU46="Married",SUMPRODUCT(($AZ46&gt;=INDEX('How This Works &amp; Sources'!$B$103:$J$109,0,4))*INDEX('How This Works &amp; Sources'!$B$103:$J$109,0,4+2)),SUMPRODUCT(($AZ46&gt;=INDEX('How This Works &amp; Sources'!$B$103:$J$109,0,1))*INDEX('How This Works &amp; Sources'!$B$103:$J$109,0,1+2))),IF($AN46="MT",IF($AU46="Head of household",SUMPRODUCT(($AZ46&gt;=INDEX('How This Works &amp; Sources'!$B$137:$J$139,0,1))*INDEX('How This Works &amp; Sources'!$B$137:$J$139,0,1+2)),IF($AU46="Married",SUMPRODUCT(($AZ46&gt;=INDEX('How This Works &amp; Sources'!$B$125:$J$132,0,7))*INDEX('How This Works &amp; Sources'!$B$125:$J$132,0,7+2)),SUMPRODUCT(($AZ46&gt;=INDEX('How This Works &amp; Sources'!$B$125:$J$132,0,4))*INDEX('How This Works &amp; Sources'!$B$125:$J$132,0,4+2)))),IF($AN46="OR",IF(OR($AU46="Married",AND($AU46="Single",$AS46&gt;=3)),SUMPRODUCT((MAX(0,$AY46-MIN(($P46-'How This Works &amp; Sources'!$C$10*$D46)*'Second Earner'!$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Sources'!$B$211:$J$214,0,4))*INDEX('How This Works &amp; Sources'!$B$211:$J$214,0,4+2)),SUMPRODUCT((MAX(0,$AY46-MIN(($P46-'How This Works &amp; Sources'!$C$10*$D46)*'Second Earner'!$C$8,IF(OR($AU46="Married",AND($AU46="Single",$AS46&gt;=3)),IF($AY46&lt;250000,8750,IF($AY46&lt;260000,7000,IF($AY46&lt;270000,5250,IF($AY46&lt;280000,3500,IF($AY46&lt;290000,1750,0))))),IF($AY46&lt;125000,8750,IF($AY46&lt;130000,7000,IF($AY46&lt;135000,5250,IF($AY46&lt;140000,3500,IF($AY46&lt;145000,1750,0)))))))-IF(OR($AU46="Married",AND($AU46="Single",$AS46&gt;=3)),5820,2910))&gt;=INDEX('How This Works &amp; Sources'!$B$211:$J$214,0,1))*INDEX('How This Works &amp; Sources'!$B$211:$J$214,0,1+2)))*IF(($P46-'How This Works &amp; Sources'!$C$10*$D46)*'Second Earner'!$C$8&gt;=IF(OR($AU46="Married",AND($AU46="Single",$AS46&gt;=3)),IF($AY46&lt;250000,8750,IF($AY46&lt;260000,7000,IF($AY46&lt;270000,5250,IF($AY46&lt;280000,3500,IF($AY46&lt;290000,1750,0))))),IF($AY46&lt;125000,8750,IF($AY46&lt;130000,7000,IF($AY46&lt;135000,5250,IF($AY46&lt;140000,3500,IF($AY46&lt;145000,1750,0)))))),1,1-IF('Second Earner'!$C$13,SUMPRODUCT(($AH46&gt;=INDEX('How This Works &amp; Sources'!$B$29:$J$36,0,IF('Second Earner'!$C$12="MFJ",1,IF('Second Earner'!$C$12="HoH",7,4))))*INDEX('How This Works &amp; Sources'!$B$29:$J$36,0,IF('Second Earner'!$C$12="MFJ",1,IF('Second Earner'!$C$12="HoH",7,4))+2)),SUMPRODUCT(($AH46&gt;=INDEX('How This Works &amp; Sources'!$B$19:$J$26,0,IF('Second Earner'!$C$12="MFJ",1,IF('Second Earner'!$C$12="HoH",7,4))))*INDEX('How This Works &amp; Sources'!$B$19:$J$26,0,IF('Second Earner'!$C$12="MFJ",1,IF('Second Earner'!$C$12="HoH",7,4))+2)))),""))))</f>
      </c>
      <c r="CA46" s="24">
        <f>IF($B46="","",IF($AN46="CA",SUMPRODUCT(($AJ46&gt;=INDEX('How This Works &amp; Sources'!$B$39:$J$48,0,IF($AU46="Married",4,IF($AU46="Head of household",7,1))))*INDEX('How This Works &amp; Sources'!$B$39:$J$48,0,IF($AU46="Married",4,IF($AU46="Head of household",7,1))+2)),IF($AN46="AL",IF(OR($AU46="Married",$AU46="Head of household"),SUMPRODUCT(($AZ46&gt;=INDEX('How This Works &amp; Sources'!$B$82:$J$86,0,4))*INDEX('How This Works &amp; Sources'!$B$82:$J$86,0,4+2)),SUMPRODUCT(($AZ46&gt;=INDEX('How This Works &amp; Sources'!$B$82:$J$86,0,1))*INDEX('How This Works &amp; Sources'!$B$82:$J$86,0,1+2)))*(1-IF('Second Earner'!$C$13,SUMPRODUCT(($AH46&gt;=INDEX('How This Works &amp; Sources'!$B$29:$J$36,0,IF('Second Earner'!$C$12="MFJ",1,IF('Second Earner'!$C$12="HoH",7,4))))*INDEX('How This Works &amp; Sources'!$B$29:$J$36,0,IF('Second Earner'!$C$12="MFJ",1,IF('Second Earner'!$C$12="HoH",7,4))+2)),SUMPRODUCT(($AH46&gt;=INDEX('How This Works &amp; Sources'!$B$19:$J$26,0,IF('Second Earner'!$C$12="MFJ",1,IF('Second Earner'!$C$12="HoH",7,4))))*INDEX('How This Works &amp; Sources'!$B$19:$J$26,0,IF('Second Earner'!$C$12="MFJ",1,IF('Second Earner'!$C$12="HoH",7,4))+2)))),IF($AN46="ND",IF($AU46="Head of household",SUMPRODUCT(($AZ46&gt;=INDEX('How This Works &amp; Sources'!$B$144:$J$150,0,1))*INDEX('How This Works &amp; Sources'!$B$144:$J$150,0,1+2)),IF($AU46="Married",SUMPRODUCT(($AZ46&gt;=INDEX('How This Works &amp; Sources'!$B$137:$J$139,0,7))*INDEX('How This Works &amp; Sources'!$B$137:$J$139,0,7+2)),SUMPRODUCT(($AZ46&gt;=INDEX('How This Works &amp; Sources'!$B$137:$J$139,0,4))*INDEX('How This Works &amp; Sources'!$B$137:$J$139,0,4+2)))),IF($AN46="NJ",IF('Second Earner'!$C$77="B",SUMPRODUCT(($AZ46&gt;=INDEX('How This Works &amp; Sources'!$B$155:$J$162,0,4))*INDEX('How This Works &amp; Sources'!$B$155:$J$162,0,4+2)),IF('Second Earner'!$C$77="C",SUMPRODUCT(($AZ46&gt;=INDEX('How This Works &amp; Sources'!$B$155:$J$162,0,7))*INDEX('How This Works &amp; Sources'!$B$155:$J$162,0,7+2)),IF('Second Earner'!$C$77="D",SUMPRODUCT(($AZ46&gt;=INDEX('How This Works &amp; Sources'!$B$167:$J$179,0,1))*INDEX('How This Works &amp; Sources'!$B$167:$J$179,0,1+2)),IF('Second Earner'!$C$77="E",SUMPRODUCT(($AZ46&gt;=INDEX('How This Works &amp; Sources'!$B$167:$J$179,0,4))*INDEX('How This Works &amp; Sources'!$B$167:$J$179,0,4+2)),SUMPRODUCT(($AZ46&gt;=INDEX('How This Works &amp; Sources'!$B$155:$J$162,0,1))*INDEX('How This Works &amp; Sources'!$B$155:$J$162,0,1+2)))))),IF($AN46="NY",IF($AU46="Married",IF($AZ46&gt;=2155350,IF($AZ46&gt;25000000,0.117,IF($AZ46&gt;5000000,0.111,0.1045)),SUMPRODUCT(($AZ46&gt;=INDEX('How This Works &amp; Sources'!$B$184:$J$198,0,1))*INDEX('How This Works &amp; Sources'!$B$184:$J$198,0,1+2))),IF($AZ46&gt;=1077550,IF($AZ46&gt;25000000,0.117,IF($AZ46&gt;5000000,0.111,0.1045)),SUMPRODUCT(($AZ46&gt;=INDEX('How This Works &amp; Sources'!$B$167:$J$179,0,7))*INDEX('How This Works &amp; Sources'!$B$167:$J$179,0,7+2)))),IF($AN46="LA",0.0309,"")))))))</f>
      </c>
      <c r="CB46" s="24">
        <f>IF($B46="","",IF($AN46="HI",IF($AU46="Married",SUMPRODUCT(($AZ46&gt;=INDEX('How This Works &amp; Sources'!$B$91:$J$98,0,7))*INDEX('How This Works &amp; Sources'!$B$91:$J$98,0,7+2)),SUMPRODUCT(($AZ46&gt;=INDEX('How This Works &amp; Sources'!$B$91:$J$98,0,4))*INDEX('How This Works &amp; Sources'!$B$91:$J$98,0,4+2))),IF($AN46="MD",IF(OR($AU46="Married",$AU46="Head of household"),SUMPRODUCT(($AZ46&gt;=INDEX('How This Works &amp; Sources'!$B$114:$J$120,0,1))*INDEX('How This Works &amp; Sources'!$B$114:$J$120,0,1+2)),SUMPRODUCT(($AZ46&gt;=INDEX('How This Works &amp; Sources'!$B$103:$J$109,0,7))*INDEX('How This Works &amp; Sources'!$B$103:$J$109,0,7+2)))+'Second Earner'!$C$74,IF($AN46="MN",IF($AU46="Married",SUMPRODUCT(($AZ46&gt;=INDEX('How This Works &amp; Sources'!$B$114:$J$120,0,7))*INDEX('How This Works &amp; Sources'!$B$114:$J$120,0,7+2)),SUMPRODUCT(($AZ46&gt;=INDEX('How This Works &amp; Sources'!$B$114:$J$120,0,4))*INDEX('How This Works &amp; Sources'!$B$114:$J$120,0,4+2))),IF($AN46="MO",SUMPRODUCT(($AZ46&gt;=INDEX('How This Works &amp; Sources'!$B$125:$J$132,0,1))*INDEX('How This Works &amp; Sources'!$B$125:$J$132,0,1+2)),IF($AN46="NE",MAX(IF($AU46="Married",SUMPRODUCT(($AZ46&gt;=INDEX('How This Works &amp; Sources'!$B$144:$J$150,0,7))*INDEX('How This Works &amp; Sources'!$B$144:$J$150,0,7+2)),SUMPRODUCT(($AZ46&gt;=INDEX('How This Works &amp; Sources'!$B$144:$J$150,0,4))*INDEX('How This Works &amp; Sources'!$B$144:$J$150,0,4+2))),0.015),IF($AN46="OH",IF($B46&gt;=DATE(2026,8,1),SUMPRODUCT(($AZ46&gt;=INDEX('How This Works &amp; Sources'!$B$203:$J$206,0,1))*INDEX('How This Works &amp; Sources'!$B$203:$J$206,0,1+2)),SUMPRODUCT(($AZ46&gt;=INDEX('How This Works &amp; Sources'!$B$184:$J$198,0,7))*INDEX('How This Works &amp; Sources'!$B$184:$J$198,0,7+2))),IF($AN46="OK",IF($AU46="Married",SUMPRODUCT(($AZ46&gt;=INDEX('How This Works &amp; Sources'!$B$203:$J$206,0,7))*INDEX('How This Works &amp; Sources'!$B$203:$J$206,0,7+2)),SUMPRODUCT(($AZ46&gt;=INDEX('How This Works &amp; Sources'!$B$203:$J$206,0,4))*INDEX('How This Works &amp; Sources'!$B$203:$J$206,0,4+2))),IF($AN46="RI",SUMPRODUCT(($AZ46&gt;=INDEX('How This Works &amp; Sources'!$B$211:$J$214,0,7))*INDEX('How This Works &amp; Sources'!$B$211:$J$214,0,7+2)),IF($AN46="VT",IF($AU46="Married",SUMPRODUCT(($AZ46&gt;=INDEX('How This Works &amp; Sources'!$B$228:$J$232,0,1))*INDEX('How This Works &amp; Sources'!$B$228:$J$232,0,1+2)),SUMPRODUCT(($AZ46&gt;=INDEX('How This Works &amp; Sources'!$B$219:$J$223,0,7))*INDEX('How This Works &amp; Sources'!$B$219:$J$223,0,7+2))),IF($AN46="WV",IF($AU46="Married",SUMPRODUCT(($AZ46&gt;=INDEX('How This Works &amp; Sources'!$B$237:$J$241,0,7))*INDEX('How This Works &amp; Sources'!$B$237:$J$241,0,7+2)),SUMPRODUCT(($AZ46&gt;=INDEX('How This Works &amp; Sources'!$B$228:$J$232,0,7))*INDEX('How This Works &amp; Sources'!$B$228:$J$232,0,7+2))),IF($AN46="AZ",'Second Earner'!$C$82,IF($AN46="ID",IF($AY46&gt;IF($AU46="Married",32000,16094),0.053,0),"")))))))))))))</f>
      </c>
      <c r="CC46" s="24">
        <f>IF($B46="","",IF($AN46="AR",SUMPRODUCT(($AZ46&gt;=INDEX('How This Works &amp; Sources'!$B$82:$J$86,0,7))*INDEX('How This Works &amp; Sources'!$B$82:$J$86,0,7+2)),IF($AN46="DE",SUMPRODUCT(($AZ46&gt;=INDEX('How This Works &amp; Sources'!$B$91:$J$98,0,1))*INDEX('How This Works &amp; Sources'!$B$91:$J$98,0,1+2)),IF($AN46="SC",SUMPRODUCT(($AZ46&gt;=INDEX('How This Works &amp; Sources'!$B$219:$J$223,0,1))*INDEX('How This Works &amp; Sources'!$B$219:$J$223,0,1+2)),IF($AN46="VA",SUMPRODUCT(($AZ46&gt;=INDEX('How This Works &amp; Sources'!$B$219:$J$223,0,4))*INDEX('How This Works &amp; Sources'!$B$219:$J$223,0,4+2)),IF($AN46="WI",SUMPRODUCT(($AZ46&gt;=INDEX('How This Works &amp; Sources'!$B$228:$J$232,0,4))*INDEX('How This Works &amp; Sources'!$B$228:$J$232,0,4+2)),IF($AN46="CO",IF($AY46&gt;IF($AU46="Married",10000,5000),0.044,0),IF($AN46="IA",IF($AY46&gt;IF($AU46="Head of household",19500,IF($AU46="Married",26000,13000)),0.038,0),IF($AN46="IL",IF($AY46&gt;(2925*$AS46+1000*$AT46),0.0495,0),IF($AN46="IN",(0.0295+'Second Earner'!$C$76),IF($AN46="KY",IF($AI46&gt;3360,0.035,0),IF($AN46="MA",IF(MAX(0,$AY46-MIN(($BD45+$Q46+$R46+$S46),2000)-IF($AS46=0,0,IF($AS46=1,4400,1000*$AS46+3400)))&gt;=1107750,0.09,0.05),IF($AN46="MI",IF($AY46&gt;5900*$AS46,0.0425,0),IF($AN46="MS",IF($AI46-IF($AU46="Head of household",3400,IF($AU46="Married",4600,2300))-'Second Earner'!$C$85&gt;10000,0.04,0),IF($AN46="PA",0.0307,"")))))))))))))))</f>
      </c>
      <c r="CD46" s="21">
        <f>IF(YEAR(IF('Second Earner'!$C$7="Weekly",'Second Earner'!$C$9+7*(($BE45+1)-1),IF('Second Earner'!$C$7="Biweekly",'Second Earner'!$C$9+14*(($BE45+1)-1),IF('Second Earner'!$C$7="Semimonthly",DATE(YEAR('Second Earner'!$C$9),MONTH('Second Earner'!$C$9)+INT((($BE45+1)-1)/2),MIN(DAY('Second Earner'!$C$9),DAY(EOMONTH(DATE(YEAR('Second Earner'!$C$9),MONTH('Second Earner'!$C$9)+INT((($BE45+1)-1)/2),1),0))))+IF(MOD(($BE45+1)-1,2)=1,15,0),EDATE('Second Earner'!$C$9,($BE45+1)-1)))))&lt;&gt;'Second Earner'!$C$10,"",IF('Second Earner'!$C$7="Weekly",'Second Earner'!$C$9+7*(($BE45+1)-1),IF('Second Earner'!$C$7="Biweekly",'Second Earner'!$C$9+14*(($BE45+1)-1),IF('Second Earner'!$C$7="Semimonthly",DATE(YEAR('Second Earner'!$C$9),MONTH('Second Earner'!$C$9)+INT((($BE45+1)-1)/2),MIN(DAY('Second Earner'!$C$9),DAY(EOMONTH(DATE(YEAR('Second Earner'!$C$9),MONTH('Second Earner'!$C$9)+INT((($BE45+1)-1)/2),1),0))))+IF(MOD(($BE45+1)-1,2)=1,15,0),EDATE('Second Earner'!$C$9,($BE45+1)-1)))))</f>
      </c>
      <c r="CE46" s="21">
        <f>IF(MIN(IF(AND('Second Earner'!$C$58&gt;MAX($B$6:$B45),'Second Earner'!$C$58&gt;=DATE('Second Earner'!$C$10,1,1),'Second Earner'!$C$58&lt;=DATE('Second Earner'!$C$10,12,31)),'Second Earner'!$C$58,999999),IF(AND('Second Earner'!$C$59&gt;MAX($B$6:$B45),'Second Earner'!$C$59&gt;=DATE('Second Earner'!$C$10,1,1),'Second Earner'!$C$59&lt;=DATE('Second Earner'!$C$10,12,31)),'Second Earner'!$C$59,999999),IF(AND('Second Earner'!$C$60&gt;MAX($B$6:$B45),'Second Earner'!$C$60&gt;=DATE('Second Earner'!$C$10,1,1),'Second Earner'!$C$60&lt;=DATE('Second Earner'!$C$10,12,31)),'Second Earner'!$C$60,999999),IF(AND('Second Earner'!$C$61&gt;MAX($B$6:$B45),'Second Earner'!$C$61&gt;=DATE('Second Earner'!$C$10,1,1),'Second Earner'!$C$61&lt;=DATE('Second Earner'!$C$10,12,31)),'Second Earner'!$C$61,999999),IF(AND('Second Earner'!$C$62&gt;MAX($B$6:$B45),'Second Earner'!$C$62&gt;=DATE('Second Earner'!$C$10,1,1),'Second Earner'!$C$62&lt;=DATE('Second Earner'!$C$10,12,31)),'Second Earner'!$C$62,999999),IF(AND('Second Earner'!$C$63&gt;MAX($B$6:$B45),'Second Earner'!$C$63&gt;=DATE('Second Earner'!$C$10,1,1),'Second Earner'!$C$63&lt;=DATE('Second Earner'!$C$10,12,31)),'Second Earner'!$C$63,999999),IF(AND('Second Earner'!$C$64&gt;MAX($B$6:$B45),'Second Earner'!$C$64&gt;=DATE('Second Earner'!$C$10,1,1),'Second Earner'!$C$64&lt;=DATE('Second Earner'!$C$10,12,31)),'Second Earner'!$C$64,999999),IF(AND('Second Earner'!$C$65&gt;MAX($B$6:$B45),'Second Earner'!$C$65&gt;=DATE('Second Earner'!$C$10,1,1),'Second Earner'!$C$65&lt;=DATE('Second Earner'!$C$10,12,31)),'Second Earner'!$C$65,999999),IF(AND('Second Earner'!$C$66&gt;MAX($B$6:$B45),'Second Earner'!$C$66&gt;=DATE('Second Earner'!$C$10,1,1),'Second Earner'!$C$66&lt;=DATE('Second Earner'!$C$10,12,31)),'Second Earner'!$C$66,999999),IF(AND('Second Earner'!$C$67&gt;MAX($B$6:$B45),'Second Earner'!$C$67&gt;=DATE('Second Earner'!$C$10,1,1),'Second Earner'!$C$67&lt;=DATE('Second Earner'!$C$10,12,31)),'Second Earner'!$C$67,999999))=999999,"",MIN(IF(AND('Second Earner'!$C$58&gt;MAX($B$6:$B45),'Second Earner'!$C$58&gt;=DATE('Second Earner'!$C$10,1,1),'Second Earner'!$C$58&lt;=DATE('Second Earner'!$C$10,12,31)),'Second Earner'!$C$58,999999),IF(AND('Second Earner'!$C$59&gt;MAX($B$6:$B45),'Second Earner'!$C$59&gt;=DATE('Second Earner'!$C$10,1,1),'Second Earner'!$C$59&lt;=DATE('Second Earner'!$C$10,12,31)),'Second Earner'!$C$59,999999),IF(AND('Second Earner'!$C$60&gt;MAX($B$6:$B45),'Second Earner'!$C$60&gt;=DATE('Second Earner'!$C$10,1,1),'Second Earner'!$C$60&lt;=DATE('Second Earner'!$C$10,12,31)),'Second Earner'!$C$60,999999),IF(AND('Second Earner'!$C$61&gt;MAX($B$6:$B45),'Second Earner'!$C$61&gt;=DATE('Second Earner'!$C$10,1,1),'Second Earner'!$C$61&lt;=DATE('Second Earner'!$C$10,12,31)),'Second Earner'!$C$61,999999),IF(AND('Second Earner'!$C$62&gt;MAX($B$6:$B45),'Second Earner'!$C$62&gt;=DATE('Second Earner'!$C$10,1,1),'Second Earner'!$C$62&lt;=DATE('Second Earner'!$C$10,12,31)),'Second Earner'!$C$62,999999),IF(AND('Second Earner'!$C$63&gt;MAX($B$6:$B45),'Second Earner'!$C$63&gt;=DATE('Second Earner'!$C$10,1,1),'Second Earner'!$C$63&lt;=DATE('Second Earner'!$C$10,12,31)),'Second Earner'!$C$63,999999),IF(AND('Second Earner'!$C$64&gt;MAX($B$6:$B45),'Second Earner'!$C$64&gt;=DATE('Second Earner'!$C$10,1,1),'Second Earner'!$C$64&lt;=DATE('Second Earner'!$C$10,12,31)),'Second Earner'!$C$64,999999),IF(AND('Second Earner'!$C$65&gt;MAX($B$6:$B45),'Second Earner'!$C$65&gt;=DATE('Second Earner'!$C$10,1,1),'Second Earner'!$C$65&lt;=DATE('Second Earner'!$C$10,12,31)),'Second Earner'!$C$65,999999),IF(AND('Second Earner'!$C$66&gt;MAX($B$6:$B45),'Second Earner'!$C$66&gt;=DATE('Second Earner'!$C$10,1,1),'Second Earner'!$C$66&lt;=DATE('Second Earner'!$C$10,12,31)),'Second Earner'!$C$66,999999),IF(AND('Second Earner'!$C$67&gt;MAX($B$6:$B45),'Second Earner'!$C$67&gt;=DATE('Second Earner'!$C$10,1,1),'Second Earner'!$C$67&lt;=DATE('Second Earner'!$C$10,12,31)),'Second Earner'!$C$67,999999)))</f>
      </c>
      <c r="CF46">
        <f>IF($B46="","",IF($D46=0,$Y46,""))</f>
      </c>
    </row>
    <row r="47">
      <c r="A47" t="n">
        <v>42</v>
      </c>
      <c r="B47" s="21">
        <f>IF(AND($CD47="",$CE47=""),"",IF($CE47="",$CD47,IF($CD47="",$CE47,MIN($CD47,$CE47))))</f>
      </c>
      <c r="C47" s="7">
        <f>IF($B47="","",IF($BF47=0,0,IF('Second Earner'!$C$4="Annual salary",ROUND($AK47/IF(AND('Second Earner'!$C$88="Actual paydays",MONTH('Second Earner'!$C$9)=1),MAX(1,MAX($BE$6:$BE$68)),'Second Earner'!$C$8),2),$AK47)))</f>
      </c>
      <c r="D47" s="7">
        <f>IF($B47="","",SUMIF('Second Earner'!$C$58:$C$67,$B47,'Second Earner'!$D$58:$D$67))</f>
      </c>
      <c r="E47" s="7">
        <f>IF($B47="","",ROUND(MAX(0,MIN(IF($AL47="Percent",$AM47*($C47+$D47),$AM47),MAX(0,'Second Earner'!$C$34-$AC46))),2))</f>
      </c>
      <c r="F47" s="7">
        <f>IF($B47="","",ROUND(MAX(0,MIN(IF('Second Earner'!$C$32="Percent",'Second Earner'!$D$32*($C47+$D47),'Second Earner'!$D$32),MAX(0,'Second Earner'!$C$34-$AC46-$E47))),2))</f>
      </c>
      <c r="G47" s="7">
        <f>IF($B47="","",IF($BF47=0,0,ROUND(MAX(0,MIN($BL47,'Second Earner'!$C$37-'Second Earner'!$C$54-$BI46)),2)))</f>
      </c>
      <c r="H47" s="7">
        <f>IF($B47="","",IF(OR($BF47=0,$BQ47=1),0,ROUND(MAX(0,MIN(IF($BS47=1,ROUND(MAX(0,MIN($BJ47,'How This Works &amp; Sources'!$C$13)-$BG46)/MAX(1,MAX($BE$6:$BE$68)-($BE46)),2),ROUND(MIN($BJ47,'How This Works &amp; Sources'!$C$13)/'Second Earner'!$C$8,2)),MIN($BJ47,'How This Works &amp; Sources'!$C$13)-$BG46)),2)))</f>
      </c>
      <c r="I47" s="7">
        <f>IF($B47="","",IF(OR($BF47=0,$BR47=1),0,ROUND(MAX(0,MIN(IF($BT47=1,ROUND(MAX(0,MIN($BK47,IF('Second Earner'!$C$12="MFJ",'How This Works &amp; Sources'!$C$14,'How This Works &amp; Sources'!$C$15))-$BH46)/MAX(1,MAX($BE$6:$BE$68)-($BE46)),2),ROUND(MIN($BK47,IF('Second Earner'!$C$12="MFJ",'How This Works &amp; Sources'!$C$14,'How This Works &amp; Sources'!$C$15))/'Second Earner'!$C$8,2)),MIN($BK47,IF('Second Earner'!$C$12="MFJ",'How This Works &amp; Sources'!$C$14,'How This Works &amp; Sources'!$C$15))-$BH46)),2)))</f>
      </c>
      <c r="J47" s="7">
        <f>IF($B47="","",IF($BF47=0,0,$BM47))</f>
      </c>
      <c r="K47" s="7">
        <f>IF($B47="","",IF($BF47=0,0,$BN47+$BO47))</f>
      </c>
      <c r="L47" s="7">
        <f>IF($B47="","",IF($BF47=0,0,'Second Earner'!$D$46))</f>
      </c>
      <c r="M47" s="7">
        <f>IF($B47="","",$C47+$D47+$L47-$E47-$G47-$H47-$I47-$J47-$K47)</f>
      </c>
      <c r="N47" s="7">
        <f>IF($B47="","",$C47+$D47+$L47-$G47-$H47-$I47-$J47-$K47)</f>
      </c>
      <c r="O47" s="7">
        <f>IF($B47="","",$C47+$D47+$L47-$E47-$H47-$I47-$J47-$K47-IF(OR($AN47="CA",$AN47="NJ"),0,$G47))</f>
      </c>
      <c r="P47" s="7">
        <f>IF($B47="","",IF('Second Earner'!$C$18,0,ROUND(MAX(0,IF('Second Earner'!$C$13,SUMPRODUCT(($AH47&gt;INDEX('How This Works &amp; Sources'!$B$29:$J$36,0,IF('Second Earner'!$C$12="MFJ",1,IF('Second Earner'!$C$12="HoH",7,4))))*($AH47-INDEX('How This Works &amp; Sources'!$B$29:$J$36,0,IF('Second Earner'!$C$12="MFJ",1,IF('Second Earner'!$C$12="HoH",7,4))))*INDEX('How This Works &amp; Sources'!$B$29:$J$36,0,IF('Second Earner'!$C$12="MFJ",1,IF('Second Earner'!$C$12="HoH",7,4))+2)),SUMPRODUCT(($AH47&gt;INDEX('How This Works &amp; Sources'!$B$19:$J$26,0,IF('Second Earner'!$C$12="MFJ",1,IF('Second Earner'!$C$12="HoH",7,4))))*($AH47-INDEX('How This Works &amp; Sources'!$B$19:$J$26,0,IF('Second Earner'!$C$12="MFJ",1,IF('Second Earner'!$C$12="HoH",7,4))))*INDEX('How This Works &amp; Sources'!$B$19:$J$26,0,IF('Second Earner'!$C$12="MFJ",1,IF('Second Earner'!$C$12="HoH",7,4))+2)))/'Second Earner'!$C$8-$AO47/'Second Earner'!$C$8)+$AR47+IF('Second Earner'!$C$89="Aggregate",MAX(0,IF('Second Earner'!$C$13,SUMPRODUCT((($AH47+$D47)&gt;INDEX('How This Works &amp; Sources'!$B$29:$J$36,0,IF('Second Earner'!$C$12="MFJ",1,IF('Second Earner'!$C$12="HoH",7,4))))*(($AH47+$D47)-INDEX('How This Works &amp; Sources'!$B$29:$J$36,0,IF('Second Earner'!$C$12="MFJ",1,IF('Second Earner'!$C$12="HoH",7,4))))*INDEX('How This Works &amp; Sources'!$B$29:$J$36,0,IF('Second Earner'!$C$12="MFJ",1,IF('Second Earner'!$C$12="HoH",7,4))+2)),SUMPRODUCT((($AH47+$D47)&gt;INDEX('How This Works &amp; Sources'!$B$19:$J$26,0,IF('Second Earner'!$C$12="MFJ",1,IF('Second Earner'!$C$12="HoH",7,4))))*(($AH47+$D47)-INDEX('How This Works &amp; Sources'!$B$19:$J$26,0,IF('Second Earner'!$C$12="MFJ",1,IF('Second Earner'!$C$12="HoH",7,4))))*INDEX('How This Works &amp; Sources'!$B$19:$J$26,0,IF('Second Earner'!$C$12="MFJ",1,IF('Second Earner'!$C$12="HoH",7,4))+2)))-IF('Second Earner'!$C$13,SUMPRODUCT(($AH47&gt;INDEX('How This Works &amp; Sources'!$B$29:$J$36,0,IF('Second Earner'!$C$12="MFJ",1,IF('Second Earner'!$C$12="HoH",7,4))))*($AH47-INDEX('How This Works &amp; Sources'!$B$29:$J$36,0,IF('Second Earner'!$C$12="MFJ",1,IF('Second Earner'!$C$12="HoH",7,4))))*INDEX('How This Works &amp; Sources'!$B$29:$J$36,0,IF('Second Earner'!$C$12="MFJ",1,IF('Second Earner'!$C$12="HoH",7,4))+2)),SUMPRODUCT(($AH47&gt;INDEX('How This Works &amp; Sources'!$B$19:$J$26,0,IF('Second Earner'!$C$12="MFJ",1,IF('Second Earner'!$C$12="HoH",7,4))))*($AH47-INDEX('How This Works &amp; Sources'!$B$19:$J$26,0,IF('Second Earner'!$C$12="MFJ",1,IF('Second Earner'!$C$12="HoH",7,4))))*INDEX('How This Works &amp; Sources'!$B$19:$J$26,0,IF('Second Earner'!$C$12="MFJ",1,IF('Second Earner'!$C$12="HoH",7,4))+2)))),'How This Works &amp; Sources'!$C$10*$D47),2)))</f>
      </c>
      <c r="Q47" s="7">
        <f>IF($B47="","",ROUND('How This Works &amp; Sources'!$C$4*MIN($N47,MAX(0,'How This Works &amp; Sources'!$C$3-($AX47+$AB46-$AW47))),2))</f>
      </c>
      <c r="R47" s="7">
        <f>IF($B47="","",ROUND('How This Works &amp; Sources'!$C$5*$N47,2))</f>
      </c>
      <c r="S47" s="7">
        <f>IF($B47="","",ROUND('How This Works &amp; Sources'!$C$6*MAX(0,MIN($N47,$AG46+$N47-'How This Works &amp; Sources'!$C$7)),2))</f>
      </c>
      <c r="T47" s="7">
        <f>IF($B47="","",IF('Second Earner'!$C$26,0,IF($AN47="CA",ROUND(IF($AI47&lt;=IF(($AS47+$AT47)&gt;=2,VLOOKUP($AN47,StateTables!$A$6:$AB$56,10,FALSE),VLOOKUP($AN47,StateTables!$A$6:$AB$56,9,FALSE)),0,MAX(0,SUMPRODUCT(($AJ47&gt;INDEX('How This Works &amp; Sources'!$B$39:$J$48,0,IF($AU47="Married",4,IF($AU47="Head of household",7,1))))*($AJ47-INDEX('How This Works &amp; Sources'!$B$39:$J$48,0,IF($AU47="Married",4,IF($AU47="Head of household",7,1))))*INDEX('How This Works &amp; Sources'!$B$39:$J$48,0,IF($AU47="Married",4,IF($AU47="Head of household",7,1))+2))-VLOOKUP($AN47,StateTables!$A$6:$AB$56,11,FALSE)*$AS47)/'Second Earner'!$C$8)+'Second Earner'!$C$25+VLOOKUP($AN47,StateTables!$A$6:$AB$56,13,FALSE)*$D47,2),IF(VLOOKUP($AN47,StateTables!$A$6:$AB$56,4,FALSE)="None",0,IF(ISNUMBER(SEARCH("MANUAL",VLOOKUP($AN47,StateTables!$A$6:$AB$56,5,FALSE))),'Second Earner'!$C$28,ROUND(MAX(0,$BA47+$BB47)/'Second Earner'!$C$8+'Second Earner'!$C$25+$BC47,2))))))</f>
      </c>
      <c r="U47" s="7">
        <f>IF($B47="","",IF(VLOOKUP($AN47,StateTables!$A$6:$AB$56,24,FALSE)="flatq",IF(OR(MONTH($B47)=1,MONTH($B47)=4,MONTH($B47)=7,MONTH($B47)=10),VLOOKUP($AN47,StateTables!$A$6:$AB$56,25,FALSE),0),IF(VLOOKUP($AN47,StateTables!$A$6:$AB$56,24,FALSE)="dbl",MIN(ROUND(0.005*$N47,2),ROUND(0.6*52/'Second Earner'!$C$8,2)),IF(OR(VLOOKUP($AN47,StateTables!$A$6:$AB$56,15,FALSE)="",VLOOKUP($AN47,StateTables!$A$6:$AB$56,15,FALSE)=0),0,ROUND(VLOOKUP($AN47,StateTables!$A$6:$AB$56,15,FALSE)*IF(OR(VLOOKUP($AN47,StateTables!$A$6:$AB$56,16,FALSE)="",VLOOKUP($AN47,StateTables!$A$6:$AB$56,16,FALSE)=0),$N47,MIN($N47,MAX(0,VLOOKUP($AN47,StateTables!$A$6:$AB$56,16,FALSE)-($AX47+$AB46-$AW47)))),2))))+IF(VLOOKUP($AN47,StateTables!$A$6:$AB$56,27,FALSE)="flatq",IF(OR(MONTH($B47)=1,MONTH($B47)=4,MONTH($B47)=7,MONTH($B47)=10),VLOOKUP($AN47,StateTables!$A$6:$AB$56,28,FALSE),0),IF(VLOOKUP($AN47,StateTables!$A$6:$AB$56,27,FALSE)="dbl",MIN(ROUND(0.005*$N47,2),ROUND(0.6*52/'Second Earner'!$C$8,2)),IF(OR(VLOOKUP($AN47,StateTables!$A$6:$AB$56,18,FALSE)="",VLOOKUP($AN47,StateTables!$A$6:$AB$56,18,FALSE)=0),0,ROUND(VLOOKUP($AN47,StateTables!$A$6:$AB$56,18,FALSE)*IF(OR(VLOOKUP($AN47,StateTables!$A$6:$AB$56,19,FALSE)="",VLOOKUP($AN47,StateTables!$A$6:$AB$56,19,FALSE)=0),$N47,MIN($N47,MAX(0,VLOOKUP($AN47,StateTables!$A$6:$AB$56,19,FALSE)-($AX47+$AB46-$AW47)))),2)))))</f>
      </c>
      <c r="V47" s="7">
        <f>IF($B47="","",IF($AN47="NY",IF('Second Earner'!$C$78,ROUND(SUMPRODUCT((MAX(0,($O47-$D47)*'Second Earner'!$C$8-(IF($AU47="Married",5500,5000)+1000*$AS47))&gt;INDEX('How This Works &amp; Sources'!$B$184:$J$198,0,4))*(MAX(0,($O47-$D47)*'Second Earner'!$C$8-(IF($AU47="Married",5500,5000)+1000*$AS47))-INDEX('How This Works &amp; Sources'!$B$184:$J$198,0,4))*INDEX('How This Works &amp; Sources'!$B$184:$J$198,0,4+2))/'Second Earner'!$C$8+0.0425*$D47,2),0)+IF('Second Earner'!$C$79="Resident",ROUND(0.1675*$T47,2),IF('Second Earner'!$C$79="Nonresident",ROUND(0.005*MAX(0,($O47-$D47)-(IF($AU47="Married",7950,7400)+1000*$AS47)/'Second Earner'!$C$8),2),0)),IF($AN47="PA",IF('Second Earner'!$C$80="None",'Second Earner'!$C$27+ROUND('Second Earner'!$C$81*($C47+$D47),2),ROUND(IF('Second Earner'!$C$80="Resident",IF($B47&lt;DATE(2026,7,1),0.0374,0.03735),IF($B47&lt;DATE(2026,7,1),0.0343,0.03425))*($C47+$D47),2)),IF($BF47=0,ROUND('Second Earner'!$C$81*($C47+$D47),2),'Second Earner'!$C$27+ROUND('Second Earner'!$C$81*($C47+$D47),2)))))</f>
      </c>
      <c r="W47" s="7">
        <f>IF($B47="","",IF($BF47=0,0,$BP47))</f>
      </c>
      <c r="X47" s="7">
        <f>IF($B47="","",SUM($E47:$K47)+$P47+$Q47+$R47+$S47+$T47+$U47+$V47+$W47)</f>
      </c>
      <c r="Y47" s="22">
        <f>IF($B47="","",$C47+$D47-$X47)</f>
      </c>
      <c r="Z47" s="7">
        <f>IF($B47="","",$Z46+$C47+$D47)</f>
      </c>
      <c r="AA47" s="7">
        <f>IF($B47="","",$AA46+$Y47)</f>
      </c>
      <c r="AB47" s="7">
        <f>IF($B47="","",$AB46+MIN($N47,MAX(0,'How This Works &amp; Sources'!$C$3-($AX47+$AB46-$AW47))))</f>
      </c>
      <c r="AC47" s="7">
        <f>IF($B47="","",$AC46+$E47+$F47)</f>
      </c>
      <c r="AD47" s="3">
        <f>IF($B47="","",IF(AND($AB46&lt;'How This Works &amp; Sources'!$C$3,$AB47&gt;='How This Works &amp; Sources'!$C$3),"★ Social Security maxed on this check — from the next check your net rises by about $"&amp;TEXT(ROUND('How This Works &amp; Sources'!$C$4*$N47,2),"#,##0.00")&amp;". ","")&amp;IF(AND($AC46&lt;'Second Earner'!$C$34,$AC47&gt;='Second Earner'!$C$34),"★ 401(k) reaches the $"&amp;TEXT('Second Earner'!$C$34,"#,##0")&amp;" cap on this check — deferrals stop and net pay rises. ","")&amp;IF(AND($AG46&lt;'How This Works &amp; Sources'!$C$7,$AG47&gt;='How This Works &amp; Sources'!$C$7),"★ Wages pass $200,000 — the 0.9% Additional Medicare Tax starts here. ","")&amp;IF(AND($BJ47&gt;0,$H47&gt;0,$BG46&lt;MIN($BJ47,'How This Works &amp; Sources'!$C$13),$BG46+$H47&gt;=MIN($BJ47,'How This Works &amp; Sources'!$C$13)),"★ Health FSA election is now fully deferred for the year. ",""))</f>
      </c>
      <c r="AE47" s="41" t="n"/>
      <c r="AF47" s="7">
        <f>IF(OR($B47="",$AE47=""),"",$AE47-$Y47)</f>
      </c>
      <c r="AG47" s="7">
        <f>IF($B47="","",$AG46+$N47)</f>
      </c>
      <c r="AH47" s="7">
        <f>IF($B47="","",MAX(0,($M47-$D47)*'Second Earner'!$C$8+$AP47-$AQ47-IF('Second Earner'!$C$13,0,IF('Second Earner'!$C$12="MFJ",'How This Works &amp; Sources'!$C$8,'How This Works &amp; Sources'!$C$9))))</f>
      </c>
      <c r="AI47" s="7">
        <f>IF($B47="","",$O47*'Second Earner'!$C$8)</f>
      </c>
      <c r="AJ47" s="7">
        <f>IF($B47="","",MAX(0,$AI47-VLOOKUP($AN47,StateTables!$A$6:$AB$56,12,FALSE)*$AT47-IF(($AS47+$AT47)&gt;=2,VLOOKUP($AN47,StateTables!$A$6:$AB$56,8,FALSE),VLOOKUP($AN47,StateTables!$A$6:$AB$56,7,FALSE))))</f>
      </c>
      <c r="AK47" s="7">
        <f>IF($B47="","",IFERROR(LOOKUP(2,1/(('Changes — Earner 2'!$C$6:$C$17="Salary change")*('Changes — Earner 2'!$B$6:$B$17&lt;=$B47)*('Changes — Earner 2'!$B$6:$B$17&lt;&gt;"")),'Changes — Earner 2'!$D$6:$D$17),IF('Second Earner'!$C$4="Annual salary",'Second Earner'!$C$5,'Second Earner'!$C$6)))</f>
      </c>
      <c r="AL47">
        <f>IF($B47="","",IFERROR(LOOKUP(2,1/(('Changes — Earner 2'!$C$6:$C$17="401(k) change")*('Changes — Earner 2'!$B$6:$B$17&lt;=$B47)*('Changes — Earner 2'!$B$6:$B$17&lt;&gt;"")),'Changes — Earner 2'!$D$6:$D$17),'Second Earner'!$C$30))</f>
      </c>
      <c r="AM47" s="7">
        <f>IF($B47="","",IFERROR(LOOKUP(2,1/(('Changes — Earner 2'!$C$6:$C$17="401(k) change")*('Changes — Earner 2'!$B$6:$B$17&lt;=$B47)*('Changes — Earner 2'!$B$6:$B$17&lt;&gt;"")),'Changes — Earner 2'!$E$6:$E$17),'Second Earner'!$D$31))</f>
      </c>
      <c r="AN47">
        <f>IF($B47="","",IFERROR(LOOKUP(2,1/(('Changes — Earner 2'!$C$6:$C$17="State move")*('Changes — Earner 2'!$B$6:$B$17&lt;=$B47)*('Changes — Earner 2'!$B$6:$B$17&lt;&gt;"")),'Changes — Earner 2'!$D$6:$D$17),'Second Earner'!$C$21))</f>
      </c>
      <c r="AO47" s="7">
        <f>IF($B47="","",IFERROR(LOOKUP(2,1/(('Changes — Earner 2'!$C$6:$C$17="W-4 change")*('Changes — Earner 2'!$B$6:$B$17&lt;=$B47)*('Changes — Earner 2'!$B$6:$B$17&lt;&gt;"")),'Changes — Earner 2'!$D$6:$D$17),'Second Earner'!$C$14))</f>
      </c>
      <c r="AP47" s="7">
        <f>IF($B47="","",IFERROR(LOOKUP(2,1/(('Changes — Earner 2'!$C$6:$C$17="W-4 change")*('Changes — Earner 2'!$B$6:$B$17&lt;=$B47)*('Changes — Earner 2'!$B$6:$B$17&lt;&gt;"")),'Changes — Earner 2'!$E$6:$E$17),'Second Earner'!$C$15))</f>
      </c>
      <c r="AQ47" s="7">
        <f>IF($B47="","",IFERROR(LOOKUP(2,1/(('Changes — Earner 2'!$C$6:$C$17="W-4 change")*('Changes — Earner 2'!$B$6:$B$17&lt;=$B47)*('Changes — Earner 2'!$B$6:$B$17&lt;&gt;"")),'Changes — Earner 2'!$F$6:$F$17),'Second Earner'!$C$16))</f>
      </c>
      <c r="AR47" s="7">
        <f>IF($B47="","",IFERROR(LOOKUP(2,1/(('Changes — Earner 2'!$C$6:$C$17="W-4 change")*('Changes — Earner 2'!$B$6:$B$17&lt;=$B47)*('Changes — Earner 2'!$B$6:$B$17&lt;&gt;"")),'Changes — Earner 2'!$G$6:$G$17),'Second Earner'!$C$17))</f>
      </c>
      <c r="AS47" s="6">
        <f>IF($B47="","",IFERROR(LOOKUP(2,1/((('Changes — Earner 2'!$C$6:$C$17="State move")+('Changes — Earner 2'!$C$6:$C$17="State cert change"))*('Changes — Earner 2'!$B$6:$B$17&lt;=$B47)*('Changes — Earner 2'!$B$6:$B$17&lt;&gt;"")),'Changes — Earner 2'!$F$6:$F$17),'Second Earner'!$C$23))</f>
      </c>
      <c r="AT47" s="6">
        <f>IF($B47="","",IFERROR(LOOKUP(2,1/((('Changes — Earner 2'!$C$6:$C$17="State move")+('Changes — Earner 2'!$C$6:$C$17="State cert change"))*('Changes — Earner 2'!$B$6:$B$17&lt;=$B47)*('Changes — Earner 2'!$B$6:$B$17&lt;&gt;"")),'Changes — Earner 2'!$G$6:$G$17),'Second Earner'!$C$24))</f>
      </c>
      <c r="AU47">
        <f>IF($B47="","",IFERROR(LOOKUP(2,1/(('Changes — Earner 2'!$C$6:$C$17="State move")*('Changes — Earner 2'!$B$6:$B$17&lt;=$B47)*('Changes — Earner 2'!$B$6:$B$17&lt;&gt;"")),'Changes — Earner 2'!$E$6:$E$17),'Second Earner'!$C$22))</f>
      </c>
      <c r="AV47" s="6">
        <f>IF($B47="","",1+COUNTIFS('Changes — Earner 2'!$C$6:$C$17,"Employer change",'Changes — Earner 2'!$B$6:$B$17,"&lt;="&amp;$B47,'Changes — Earner 2'!$B$6:$B$17,"&lt;&gt;"))</f>
      </c>
      <c r="AW47" s="7">
        <f>IF($B47="","",IF($AV47=1,'Second Earner'!$C$49,IF(IFERROR(MATCH(IFERROR(LOOKUP(2,1/(('Changes — Earner 2'!$C$6:$C$17="Employer change")*('Changes — Earner 2'!$B$6:$B$17&lt;=$B47)*('Changes — Earner 2'!$B$6:$B$17&lt;&gt;"")),'Changes — Earner 2'!$B$6:$B$17),""),$B$6:$B$68,1),1)&lt;=1,'Second Earner'!$C$49,INDEX($AB$6:$AB$68,MATCH(IFERROR(LOOKUP(2,1/(('Changes — Earner 2'!$C$6:$C$17="Employer change")*('Changes — Earner 2'!$B$6:$B$17&lt;=$B47)*('Changes — Earner 2'!$B$6:$B$17&lt;&gt;"")),'Changes — Earner 2'!$B$6:$B$17),""),$B$6:$B$68,1)-1))))</f>
      </c>
      <c r="AX47" s="7">
        <f>IF($B47="","",IF($AV47=1,'Second Earner'!$C$49,IFERROR(LOOKUP(2,1/(('Changes — Earner 2'!$C$6:$C$17="Employer change")*('Changes — Earner 2'!$B$6:$B$17&lt;=$B47)*('Changes — Earner 2'!$B$6:$B$17&lt;&gt;"")),'Changes — Earner 2'!$D$6:$D$17),0)))</f>
      </c>
      <c r="AY47" s="7">
        <f>IF($B47="","",($O47-$D47)*'Second Earner'!$C$8)</f>
      </c>
      <c r="AZ47" s="7">
        <f>IF($B47="","",IF($AN47="AL",MAX(0,$AY47-IF($AU47="Married",IF($AY47&lt;=25999,8500,MAX(5000,8500-175*CEILING(($AY47-25999)/500,1))),IF($AU47="Head of household",IF($AY47&lt;=25999,5200,MAX(2500,5200-135*CEILING(($AY47-25999)/500,1))),IF($AY47&lt;=25999,3000,MAX(2500,3000-25*CEILING(($AY47-25999)/500,1)))))-($P47-'How This Works &amp; Sources'!$C$10*$D47)*'Second Earner'!$C$8-IF(OR($AU47="Married",$AU47="Head of household"),3000,1500)-$AT47*IF($AY47&lt;=50000,1000,IF($AY47&lt;=100000,500,300))),IF($AN47="AR",IF(MAX(0,$AY47-2470)&lt;97701,INT(MAX(0,$AY47-2470)/100)*100+50,MAX(0,$AY47-2470)),IF($AN47="DE",MAX(0,$AI47-3250),IF($AN47="HI",MAX(0,$AI47-1144*$AS47-4350),IF($AN47="KS",MAX(0,$AI47-(9160*IF($AU47="Married",2,1)+2320*$AT47+IF($AU47="Head of household",2320,0))),IF($AN47="MD",MAX(0,$AI47-3400-3200*$AS47),IF($AN47="MN",MAX(0,$AY47-5300*$AS47),IF($AN47="MO",MAX(0,$AI47-IF($AU47="Head of household",24150,IF($AU47="Married",IF('Second Earner'!$C$83,16100,32200),16100))),IF($AN47="MT",$AY47,IF($AN47="ND",($C47+$L47)*'Second Earner'!$C$8,IF($AN47="NE",MAX(0,$AY47-2440*$AS47),IF($AN47="NJ",MAX(0,$AY47-1000*$AS47),IF($AN47="NY",MAX(0,$AY47-(IF($AU47="Married",7950,7400)+1000*$AS47)),IF($AN47="OH",MAX(0,$AY47-650*$AS47),IF($AN47="OK",MAX(0,$AY47-1000*$AS47),IF($AN47="RI",MAX(0,$AI47-1000*$AS47),IF($AN47="SC",MAX(0,$AI47-5000*$AS47-IF($AS47=0,0,MIN(0.1*$AI47,7500))),IF($AN47="VA",MAX(0,$AI47-IF($AU47="Married",17500,8750)-930*$AS47-800*$AT47),IF($AN47="VT",MAX(0,$AI47-5400*$AS47),IF($AN47="WI",MAX(0,$AI47-MAX(0,IF($AU47="Married",9461-0.2*MAX(0,$AI47-25727),6702-0.12*MAX(0,$AI47-17780)))-400*$AS47),IF($AN47="WV",MAX(0,$AI47-2000*$AS47),$AI47))))))))))))))))))))))</f>
      </c>
      <c r="BA47" s="7">
        <f>IF($B47="","",IF($BW47&lt;&gt;"",$BW47,IF($BX47&lt;&gt;"",$BX47,IF($BY47&lt;&gt;"",$BY47,0))))</f>
      </c>
      <c r="BB47" s="7">
        <f>IF($B47="","",IF($AN47="AR",-29*$AS47,IF($AN47="DE",-110*$AS47,IF($AN47="MD",$AZ47*'Second Earner'!$C$74,IF($AN47="AZ",'Second Earner'!$C$82*($M47-$D47)*'Second Earner'!$C$8,IF($AN47="CO",0.044*MAX(0,$AY47-IF($AU47="Married",10000,5000)),IF($AN47="IA",MAX(0,0.038*MAX(0,$AY47-IF($AU47="Head of household",19500,IF($AU47="Married",26000,13000)))-40*$AS47),IF($AN47="ID",0.053*MAX(0,$AY47-IF($AU47="Married",32000,16094)),IF($AN47="IL",0.0495*MAX(0,$AY47-(2925*$AS47+1000*$AT47)),IF($AN47="IN",(0.0295+'Second Earner'!$C$76)*MAX(0,$AY47-(1000*$AS47+1500*$AT47+3000*'Second Earner'!$C$86)),IF($AN47="KY",0.035*MAX(0,$AI47-3360),IF($AN47="LA",IF('Second Earner'!$C$84="0",0.0309*$AI47,0.0309*MAX(0,$AI47-IF('Second Earner'!$C$84="2",25750,12875))),IF($AN47="MA",0.05*MIN(MAX(0,$AY47-MIN(($BD46+$Q47+$R47+$S47),2000)-IF($AS47=0,0,IF($AS47=1,4400,1000*$AS47+3400))),1107750)+0.09*MAX(0,MAX(0,$AY47-MIN(($BD46+$Q47+$R47+$S47),2000)-IF($AS47=0,0,IF($AS47=1,4400,1000*$AS47+3400)))-1107750)-IF($AU47="Head of household",120,0)-110*'Second Earner'!$C$75,IF($AN47="MI",0.0425*MAX(0,$AY47-5900*$AS47),IF($AN47="MS",0.04*MAX(0,$AI47-IF($AU47="Head of household",3400,IF($AU47="Married",4600,2300))-'Second Earner'!$C$85-10000),IF($AN47="OR",IF(OR($AU47="Married",AND($AU47="Single",$AS47&gt;=3)),SUMPRODUCT((MAX(0,$AY47-MIN(($P47-'How This Works &amp; Sources'!$C$10*$D47)*'Second Earner'!$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Sources'!$B$211:$J$214,0,4))*(MAX(0,$AY47-MIN(($P47-'How This Works &amp; Sources'!$C$10*$D47)*'Second Earner'!$C$8,IF(OR($AU47="Married",AND($AU47="Single",$AS47&gt;=3)),IF($AY47&lt;250000,8750,IF($AY47&lt;260000,7000,IF($AY47&lt;270000,5250,IF($AY47&lt;280000,3500,IF($AY47&lt;290000,1750,0))))),IF($AY47&lt;125000,8750,IF($AY47&lt;130000,7000,IF($AY47&lt;135000,5250,IF($AY47&lt;140000,3500,IF($AY47&lt;145000,1750,0)))))))-IF(OR($AU47="Married",AND($AU47="Single",$AS47&gt;=3)),5820,2910))-INDEX('How This Works &amp; Sources'!$B$211:$J$214,0,4))*INDEX('How This Works &amp; Sources'!$B$211:$J$214,0,4+2)),SUMPRODUCT((MAX(0,$AY47-MIN(($P47-'How This Works &amp; Sources'!$C$10*$D47)*'Second Earner'!$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Sources'!$B$211:$J$214,0,1))*(MAX(0,$AY47-MIN(($P47-'How This Works &amp; Sources'!$C$10*$D47)*'Second Earner'!$C$8,IF(OR($AU47="Married",AND($AU47="Single",$AS47&gt;=3)),IF($AY47&lt;250000,8750,IF($AY47&lt;260000,7000,IF($AY47&lt;270000,5250,IF($AY47&lt;280000,3500,IF($AY47&lt;290000,1750,0))))),IF($AY47&lt;125000,8750,IF($AY47&lt;130000,7000,IF($AY47&lt;135000,5250,IF($AY47&lt;140000,3500,IF($AY47&lt;145000,1750,0)))))))-IF(OR($AU47="Married",AND($AU47="Single",$AS47&gt;=3)),5820,2910))-INDEX('How This Works &amp; Sources'!$B$211:$J$214,0,1))*INDEX('How This Works &amp; Sources'!$B$211:$J$214,0,1+2)))+263-263*IF(IF($AU47="Married",$AY47&gt;200000,$AY47&gt;100000),0,$AS47),IF($AN47="PA",0.0307*(($O47+$E47+$G47)*'Second Earner'!$C$8),IF($AN47="NY",IF($AU47="Married",IF($AZ47&gt;=2155350,0,IF($AZ47&gt;=1077550,0.48,IF($AZ47&gt;=373200,1.21,IF($AZ47&gt;=323200,0.21,IF($AZ47&gt;=211550,-0.19,IF($AZ47&gt;=157650,-2.8,IF($AZ47&gt;=107650,-0.8,IF($AZ47&gt;=96800,0.05,IF($AZ47&gt;=80650,-0.1,IF($AZ47&gt;=13900,0.4,IF($AZ47&gt;=11700,-0.3,IF($AZ47&gt;=8500,0.5,0)))))))))))),IF($AZ47&gt;=1077550,0,IF($AZ47&gt;=265400,4.29,IF($AZ47&gt;=215400,2.29,IF($AZ47&gt;=157650,2.29,IF($AZ47&gt;=107650,0.29,IF($AZ47&gt;=96800,0.05,IF($AZ47&gt;=80650,-0.1,IF($AZ47&gt;=13900,0.4,IF($AZ47&gt;=11700,-0.3,IF($AZ47&gt;=8500,0.5,0))))))))))),0))))))))))))))))))</f>
      </c>
      <c r="BC47" s="7">
        <f>IF($B47="","",IF($AN47="AL",0.05*$D47,IF($AN47="AR",0.039*$D47,IF($AN47="ID",0.053*$D47,IF($AN47="IN",(0.0295+'Second Earner'!$C$76)*$D47,IF($AN47="KS",0.05*$D47,IF($AN47="MA",0.09*MIN($D47,MAX(0,MAX(0,$AY47-MIN(($BD46+$Q47+$R47+$S47),2000)-IF($AS47=0,0,IF($AS47=1,4400,1000*$AS47+3400)))+$D47-1107750))+0.05*($D47-MIN($D47,MAX(0,MAX(0,$AY47-MIN(($BD46+$Q47+$R47+$S47),2000)-IF($AS47=0,0,IF($AS47=1,4400,1000*$AS47+3400)))+$D47-1107750))),IF($AN47="MD",(0.065+'Second Earner'!$C$74)*$D47,IF($AN47="MI",0.0425*$D47,IF($AN47="MN",0.0625*$D47,IF($AN47="MO",0.047*$D47,IF($AN47="MT",0.05*$D47,IF($AN47="ND",0.015*$D47,IF($AN47="NE",0.035*$D47,IF($AN47="NJ",IF('Second Earner'!$C$77="B",SUMPRODUCT(($D47*'Second Earner'!$C$8&gt;INDEX('How This Works &amp; Sources'!$B$155:$J$162,0,4))*($D47*'Second Earner'!$C$8-INDEX('How This Works &amp; Sources'!$B$155:$J$162,0,4))*INDEX('How This Works &amp; Sources'!$B$155:$J$162,0,4+2)),IF('Second Earner'!$C$77="C",SUMPRODUCT(($D47*'Second Earner'!$C$8&gt;INDEX('How This Works &amp; Sources'!$B$155:$J$162,0,7))*($D47*'Second Earner'!$C$8-INDEX('How This Works &amp; Sources'!$B$155:$J$162,0,7))*INDEX('How This Works &amp; Sources'!$B$155:$J$162,0,7+2)),IF('Second Earner'!$C$77="D",SUMPRODUCT(($D47*'Second Earner'!$C$8&gt;INDEX('How This Works &amp; Sources'!$B$167:$J$179,0,1))*($D47*'Second Earner'!$C$8-INDEX('How This Works &amp; Sources'!$B$167:$J$179,0,1))*INDEX('How This Works &amp; Sources'!$B$167:$J$179,0,1+2)),IF('Second Earner'!$C$77="E",SUMPRODUCT(($D47*'Second Earner'!$C$8&gt;INDEX('How This Works &amp; Sources'!$B$167:$J$179,0,4))*($D47*'Second Earner'!$C$8-INDEX('How This Works &amp; Sources'!$B$167:$J$179,0,4))*INDEX('How This Works &amp; Sources'!$B$167:$J$179,0,4+2)),SUMPRODUCT(($D47*'Second Earner'!$C$8&gt;INDEX('How This Works &amp; Sources'!$B$155:$J$162,0,1))*($D47*'Second Earner'!$C$8-INDEX('How This Works &amp; Sources'!$B$155:$J$162,0,1))*INDEX('How This Works &amp; Sources'!$B$155:$J$162,0,1+2))))))/'Second Earner'!$C$8,IF($AN47="NY",0.117*$D47,IF($AN47="OH",0.0275*$D47,IF($AN47="OK",0.045*$D47,IF($AN47="OR",0.08*$D47,IF($AN47="WI",IF($AY47&lt;12760,0.0354,IF($AY47&lt;25520,0.0465,IF($AY47&lt;280950,0.053,0.0765)))*$D47,0))))))))))))))))))))</f>
      </c>
      <c r="BD47" s="7">
        <f>IF($B47="","",$BD46+$Q47+$R47+$S47)</f>
      </c>
      <c r="BE47" s="6">
        <f>IF($B47="",$BE46,$BE46+$BF47)</f>
      </c>
      <c r="BF47" s="6">
        <f>IF($B47="","",IF(AND(IF(YEAR(IF('Second Earner'!$C$7="Weekly",'Second Earner'!$C$9+7*(($BE46+1)-1),IF('Second Earner'!$C$7="Biweekly",'Second Earner'!$C$9+14*(($BE46+1)-1),IF('Second Earner'!$C$7="Semimonthly",DATE(YEAR('Second Earner'!$C$9),MONTH('Second Earner'!$C$9)+INT((($BE46+1)-1)/2),MIN(DAY('Second Earner'!$C$9),DAY(EOMONTH(DATE(YEAR('Second Earner'!$C$9),MONTH('Second Earner'!$C$9)+INT((($BE46+1)-1)/2),1),0))))+IF(MOD(($BE46+1)-1,2)=1,15,0),EDATE('Second Earner'!$C$9,($BE46+1)-1)))))&lt;&gt;'Second Earner'!$C$10,"",IF('Second Earner'!$C$7="Weekly",'Second Earner'!$C$9+7*(($BE46+1)-1),IF('Second Earner'!$C$7="Biweekly",'Second Earner'!$C$9+14*(($BE46+1)-1),IF('Second Earner'!$C$7="Semimonthly",DATE(YEAR('Second Earner'!$C$9),MONTH('Second Earner'!$C$9)+INT((($BE46+1)-1)/2),MIN(DAY('Second Earner'!$C$9),DAY(EOMONTH(DATE(YEAR('Second Earner'!$C$9),MONTH('Second Earner'!$C$9)+INT((($BE46+1)-1)/2),1),0))))+IF(MOD(($BE46+1)-1,2)=1,15,0),EDATE('Second Earner'!$C$9,($BE46+1)-1)))))&lt;&gt;"",$B47=IF(YEAR(IF('Second Earner'!$C$7="Weekly",'Second Earner'!$C$9+7*(($BE46+1)-1),IF('Second Earner'!$C$7="Biweekly",'Second Earner'!$C$9+14*(($BE46+1)-1),IF('Second Earner'!$C$7="Semimonthly",DATE(YEAR('Second Earner'!$C$9),MONTH('Second Earner'!$C$9)+INT((($BE46+1)-1)/2),MIN(DAY('Second Earner'!$C$9),DAY(EOMONTH(DATE(YEAR('Second Earner'!$C$9),MONTH('Second Earner'!$C$9)+INT((($BE46+1)-1)/2),1),0))))+IF(MOD(($BE46+1)-1,2)=1,15,0),EDATE('Second Earner'!$C$9,($BE46+1)-1)))))&lt;&gt;'Second Earner'!$C$10,"",IF('Second Earner'!$C$7="Weekly",'Second Earner'!$C$9+7*(($BE46+1)-1),IF('Second Earner'!$C$7="Biweekly",'Second Earner'!$C$9+14*(($BE46+1)-1),IF('Second Earner'!$C$7="Semimonthly",DATE(YEAR('Second Earner'!$C$9),MONTH('Second Earner'!$C$9)+INT((($BE46+1)-1)/2),MIN(DAY('Second Earner'!$C$9),DAY(EOMONTH(DATE(YEAR('Second Earner'!$C$9),MONTH('Second Earner'!$C$9)+INT((($BE46+1)-1)/2),1),0))))+IF(MOD(($BE46+1)-1,2)=1,15,0),EDATE('Second Earner'!$C$9,($BE46+1)-1)))))),1,0))</f>
      </c>
      <c r="BG47" s="7">
        <f>IF($B47="","",$BG46+$H47)</f>
      </c>
      <c r="BH47" s="7">
        <f>IF($B47="","",$BH46+$I47)</f>
      </c>
      <c r="BI47" s="7">
        <f>IF($B47="","",$BI46+$G47)</f>
      </c>
      <c r="BJ47" s="7">
        <f>IF($B47="","",IFERROR(LOOKUP(2,1/(((('Changes — Earner 2'!$C$6:$C$17="Deduction start"))*('Changes — Earner 2'!$D$6:$D$17="Health FSA"))*('Changes — Earner 2'!$B$6:$B$17&lt;=$B47)*('Changes — Earner 2'!$B$6:$B$17&lt;&gt;"")),'Changes — Earner 2'!$E$6:$E$17),'Second Earner'!$D$38))</f>
      </c>
      <c r="BK47" s="7">
        <f>IF($B47="","",IFERROR(LOOKUP(2,1/(((('Changes — Earner 2'!$C$6:$C$17="Deduction start"))*('Changes — Earner 2'!$D$6:$D$17="Dependent-care FSA"))*('Changes — Earner 2'!$B$6:$B$17&lt;=$B47)*('Changes — Earner 2'!$B$6:$B$17&lt;&gt;"")),'Changes — Earner 2'!$E$6:$E$17),'Second Earner'!$D$39))</f>
      </c>
      <c r="BL47" s="7">
        <f>IF($B47="","",IFERROR(LOOKUP(2,1/(((('Changes — Earner 2'!$C$6:$C$17="Deduction start")+('Changes — Earner 2'!$C$6:$C$17="Deduction stop"))*('Changes — Earner 2'!$D$6:$D$17="HSA"))*('Changes — Earner 2'!$B$6:$B$17&lt;=$B47)*('Changes — Earner 2'!$B$6:$B$17&lt;&gt;"")),'Changes — Earner 2'!$I$6:$I$17),'Second Earner'!$D$35))</f>
      </c>
      <c r="BM47" s="7">
        <f>IF($B47="","",IFERROR(LOOKUP(2,1/(((('Changes — Earner 2'!$C$6:$C$17="Deduction start")+('Changes — Earner 2'!$C$6:$C$17="Deduction stop"))*('Changes — Earner 2'!$D$6:$D$17="Premiums"))*('Changes — Earner 2'!$B$6:$B$17&lt;=$B47)*('Changes — Earner 2'!$B$6:$B$17&lt;&gt;"")),'Changes — Earner 2'!$I$6:$I$17),'Second Earner'!$D$40+'Second Earner'!$D$41+'Second Earner'!$D$42))</f>
      </c>
      <c r="BN47" s="7">
        <f>IF($B47="","",IFERROR(LOOKUP(2,1/(((('Changes — Earner 2'!$C$6:$C$17="Deduction start")+('Changes — Earner 2'!$C$6:$C$17="Deduction stop"))*('Changes — Earner 2'!$D$6:$D$17="Commuter"))*('Changes — Earner 2'!$B$6:$B$17&lt;=$B47)*('Changes — Earner 2'!$B$6:$B$17&lt;&gt;"")),'Changes — Earner 2'!$I$6:$I$17),'Second Earner'!$D$43))</f>
      </c>
      <c r="BO47" s="7">
        <f>IF($B47="","",IFERROR(LOOKUP(2,1/(((('Changes — Earner 2'!$C$6:$C$17="Deduction start")+('Changes — Earner 2'!$C$6:$C$17="Deduction stop"))*('Changes — Earner 2'!$D$6:$D$17="Other pre-tax"))*('Changes — Earner 2'!$B$6:$B$17&lt;=$B47)*('Changes — Earner 2'!$B$6:$B$17&lt;&gt;"")),'Changes — Earner 2'!$I$6:$I$17),'Second Earner'!$D$44))</f>
      </c>
      <c r="BP47" s="7">
        <f>IF($B47="","",IFERROR(LOOKUP(2,1/(((('Changes — Earner 2'!$C$6:$C$17="Deduction start")+('Changes — Earner 2'!$C$6:$C$17="Deduction stop"))*('Changes — Earner 2'!$D$6:$D$17="Other post-tax"))*('Changes — Earner 2'!$B$6:$B$17&lt;=$B47)*('Changes — Earner 2'!$B$6:$B$17&lt;&gt;"")),'Changes — Earner 2'!$I$6:$I$17),'Second Earner'!$D$45))</f>
      </c>
      <c r="BQ47" s="6">
        <f>IF($B47="","",IFERROR(LOOKUP(2,1/(((('Changes — Earner 2'!$C$6:$C$17="Deduction start")+('Changes — Earner 2'!$C$6:$C$17="Deduction stop"))*('Changes — Earner 2'!$D$6:$D$17="Health FSA"))*('Changes — Earner 2'!$B$6:$B$17&lt;=$B47)*('Changes — Earner 2'!$B$6:$B$17&lt;&gt;"")),'Changes — Earner 2'!$J$6:$J$17),0))</f>
      </c>
      <c r="BR47" s="6">
        <f>IF($B47="","",IFERROR(LOOKUP(2,1/(((('Changes — Earner 2'!$C$6:$C$17="Deduction start")+('Changes — Earner 2'!$C$6:$C$17="Deduction stop"))*('Changes — Earner 2'!$D$6:$D$17="Dependent-care FSA"))*('Changes — Earner 2'!$B$6:$B$17&lt;=$B47)*('Changes — Earner 2'!$B$6:$B$17&lt;&gt;"")),'Changes — Earner 2'!$J$6:$J$17),0))</f>
      </c>
      <c r="BS47" s="6">
        <f>IF($B47="","",IF(SUMPRODUCT(('Changes — Earner 2'!$C$6:$C$17="Deduction start")*('Changes — Earner 2'!$B$6:$B$17&lt;=$B47)*('Changes — Earner 2'!$B$6:$B$17&lt;&gt;"")*('Changes — Earner 2'!$D$6:$D$17="Health FSA"))&gt;0,1,0))</f>
      </c>
      <c r="BT47" s="6">
        <f>IF($B47="","",IF(SUMPRODUCT(('Changes — Earner 2'!$C$6:$C$17="Deduction start")*('Changes — Earner 2'!$B$6:$B$17&lt;=$B47)*('Changes — Earner 2'!$B$6:$B$17&lt;&gt;"")*('Changes — Earner 2'!$D$6:$D$17="Dependent-care FSA"))&gt;0,1,0))</f>
      </c>
      <c r="BU47" s="24">
        <f>IF($B47="","",IF('Second Earner'!$C$13,SUMPRODUCT(($AH47&gt;=INDEX('How This Works &amp; Sources'!$B$29:$J$36,0,IF('Second Earner'!$C$12="MFJ",1,IF('Second Earner'!$C$12="HoH",7,4))))*INDEX('How This Works &amp; Sources'!$B$29:$J$36,0,IF('Second Earner'!$C$12="MFJ",1,IF('Second Earner'!$C$12="HoH",7,4))+2)),SUMPRODUCT(($AH47&gt;=INDEX('How This Works &amp; Sources'!$B$19:$J$26,0,IF('Second Earner'!$C$12="MFJ",1,IF('Second Earner'!$C$12="HoH",7,4))))*INDEX('How This Works &amp; Sources'!$B$19:$J$26,0,IF('Second Earner'!$C$12="MFJ",1,IF('Second Earner'!$C$12="HoH",7,4))+2))))</f>
      </c>
      <c r="BV47" s="24">
        <f>IF($B47="","",IF($BZ47&lt;&gt;"",$BZ47,IF($CA47&lt;&gt;"",$CA47,IF($CB47&lt;&gt;"",$CB47,IF($CC47&lt;&gt;"",$CC47,0)))))</f>
      </c>
      <c r="BW47" s="7">
        <f>IF($B47="","",IF($AN47="AR",SUMPRODUCT(($AZ47&gt;INDEX('How This Works &amp; Sources'!$B$82:$J$86,0,7))*($AZ47-INDEX('How This Works &amp; Sources'!$B$82:$J$86,0,7))*INDEX('How This Works &amp; Sources'!$B$82:$J$86,0,7+2)),IF($AN47="MD",IF(OR($AU47="Married",$AU47="Head of household"),SUMPRODUCT(($AZ47&gt;INDEX('How This Works &amp; Sources'!$B$114:$J$120,0,1))*($AZ47-INDEX('How This Works &amp; Sources'!$B$114:$J$120,0,1))*INDEX('How This Works &amp; Sources'!$B$114:$J$120,0,1+2)),SUMPRODUCT(($AZ47&gt;INDEX('How This Works &amp; Sources'!$B$103:$J$109,0,7))*($AZ47-INDEX('How This Works &amp; Sources'!$B$103:$J$109,0,7))*INDEX('How This Works &amp; Sources'!$B$103:$J$109,0,7+2))),IF($AN47="MT",IF($AU47="Head of household",SUMPRODUCT(($AZ47&gt;INDEX('How This Works &amp; Sources'!$B$137:$J$139,0,1))*($AZ47-INDEX('How This Works &amp; Sources'!$B$137:$J$139,0,1))*INDEX('How This Works &amp; Sources'!$B$137:$J$139,0,1+2)),IF($AU47="Married",SUMPRODUCT(($AZ47&gt;INDEX('How This Works &amp; Sources'!$B$125:$J$132,0,7))*($AZ47-INDEX('How This Works &amp; Sources'!$B$125:$J$132,0,7))*INDEX('How This Works &amp; Sources'!$B$125:$J$132,0,7+2)),SUMPRODUCT(($AZ47&gt;INDEX('How This Works &amp; Sources'!$B$125:$J$132,0,4))*($AZ47-INDEX('How This Works &amp; Sources'!$B$125:$J$132,0,4))*INDEX('How This Works &amp; Sources'!$B$125:$J$132,0,4+2)))),IF($AN47="ND",IF($AU47="Head of household",SUMPRODUCT(($AZ47&gt;INDEX('How This Works &amp; Sources'!$B$144:$J$150,0,1))*($AZ47-INDEX('How This Works &amp; Sources'!$B$144:$J$150,0,1))*INDEX('How This Works &amp; Sources'!$B$144:$J$150,0,1+2)),IF($AU47="Married",SUMPRODUCT(($AZ47&gt;INDEX('How This Works &amp; Sources'!$B$137:$J$139,0,7))*($AZ47-INDEX('How This Works &amp; Sources'!$B$137:$J$139,0,7))*INDEX('How This Works &amp; Sources'!$B$137:$J$139,0,7+2)),SUMPRODUCT(($AZ47&gt;INDEX('How This Works &amp; Sources'!$B$137:$J$139,0,4))*($AZ47-INDEX('How This Works &amp; Sources'!$B$137:$J$139,0,4))*INDEX('How This Works &amp; Sources'!$B$137:$J$139,0,4+2)))),IF($AN47="NJ",IF('Second Earner'!$C$77="B",SUMPRODUCT(($AZ47&gt;INDEX('How This Works &amp; Sources'!$B$155:$J$162,0,4))*($AZ47-INDEX('How This Works &amp; Sources'!$B$155:$J$162,0,4))*INDEX('How This Works &amp; Sources'!$B$155:$J$162,0,4+2)),IF('Second Earner'!$C$77="C",SUMPRODUCT(($AZ47&gt;INDEX('How This Works &amp; Sources'!$B$155:$J$162,0,7))*($AZ47-INDEX('How This Works &amp; Sources'!$B$155:$J$162,0,7))*INDEX('How This Works &amp; Sources'!$B$155:$J$162,0,7+2)),IF('Second Earner'!$C$77="D",SUMPRODUCT(($AZ47&gt;INDEX('How This Works &amp; Sources'!$B$167:$J$179,0,1))*($AZ47-INDEX('How This Works &amp; Sources'!$B$167:$J$179,0,1))*INDEX('How This Works &amp; Sources'!$B$167:$J$179,0,1+2)),IF('Second Earner'!$C$77="E",SUMPRODUCT(($AZ47&gt;INDEX('How This Works &amp; Sources'!$B$167:$J$179,0,4))*($AZ47-INDEX('How This Works &amp; Sources'!$B$167:$J$179,0,4))*INDEX('How This Works &amp; Sources'!$B$167:$J$179,0,4+2)),SUMPRODUCT(($AZ47&gt;INDEX('How This Works &amp; Sources'!$B$155:$J$162,0,1))*($AZ47-INDEX('How This Works &amp; Sources'!$B$155:$J$162,0,1))*INDEX('How This Works &amp; Sources'!$B$155:$J$162,0,1+2)))))),IF($AN47="NY",IF($AU47="Married",IF($AZ47&gt;=2155350,$AZ47*IF($AZ47&gt;25000000,0.117,IF($AZ47&gt;5000000,0.111,0.1045)),SUMPRODUCT(($AZ47&gt;INDEX('How This Works &amp; Sources'!$B$184:$J$198,0,1))*($AZ47-INDEX('How This Works &amp; Sources'!$B$184:$J$198,0,1))*INDEX('How This Works &amp; Sources'!$B$184:$J$198,0,1+2))),IF($AZ47&gt;=1077550,$AZ47*IF($AZ47&gt;25000000,0.117,IF($AZ47&gt;5000000,0.111,0.1045)),SUMPRODUCT(($AZ47&gt;INDEX('How This Works &amp; Sources'!$B$167:$J$179,0,7))*($AZ47-INDEX('How This Works &amp; Sources'!$B$167:$J$179,0,7))*INDEX('How This Works &amp; Sources'!$B$167:$J$179,0,7+2)))),"")))))))</f>
      </c>
      <c r="BX47" s="7">
        <f>IF($B47="","",IF($AN47="AL",IF(OR($AU47="Married",$AU47="Head of household"),SUMPRODUCT(($AZ47&gt;INDEX('How This Works &amp; Sources'!$B$82:$J$86,0,4))*($AZ47-INDEX('How This Works &amp; Sources'!$B$82:$J$86,0,4))*INDEX('How This Works &amp; Sources'!$B$82:$J$86,0,4+2)),SUMPRODUCT(($AZ47&gt;INDEX('How This Works &amp; Sources'!$B$82:$J$86,0,1))*($AZ47-INDEX('How This Works &amp; Sources'!$B$82:$J$86,0,1))*INDEX('How This Works &amp; Sources'!$B$82:$J$86,0,1+2))),IF($AN47="KS",IF($AU47="Married",SUMPRODUCT(($AZ47&gt;INDEX('How This Works &amp; Sources'!$B$103:$J$109,0,4))*($AZ47-INDEX('How This Works &amp; Sources'!$B$103:$J$109,0,4))*INDEX('How This Works &amp; Sources'!$B$103:$J$109,0,4+2)),SUMPRODUCT(($AZ47&gt;INDEX('How This Works &amp; Sources'!$B$103:$J$109,0,1))*($AZ47-INDEX('How This Works &amp; Sources'!$B$103:$J$109,0,1))*INDEX('How This Works &amp; Sources'!$B$103:$J$109,0,1+2))),IF($AN47="MN",IF($AU47="Married",SUMPRODUCT(($AZ47&gt;INDEX('How This Works &amp; Sources'!$B$114:$J$120,0,7))*($AZ47-INDEX('How This Works &amp; Sources'!$B$114:$J$120,0,7))*INDEX('How This Works &amp; Sources'!$B$114:$J$120,0,7+2)),SUMPRODUCT(($AZ47&gt;INDEX('How This Works &amp; Sources'!$B$114:$J$120,0,4))*($AZ47-INDEX('How This Works &amp; Sources'!$B$114:$J$120,0,4))*INDEX('How This Works &amp; Sources'!$B$114:$J$120,0,4+2))),IF($AN47="MO",SUMPRODUCT(($AZ47&gt;INDEX('How This Works &amp; Sources'!$B$125:$J$132,0,1))*($AZ47-INDEX('How This Works &amp; Sources'!$B$125:$J$132,0,1))*INDEX('How This Works &amp; Sources'!$B$125:$J$132,0,1+2)),IF($AN47="NE",MAX(IF($AU47="Married",SUMPRODUCT(($AZ47&gt;INDEX('How This Works &amp; Sources'!$B$144:$J$150,0,7))*($AZ47-INDEX('How This Works &amp; Sources'!$B$144:$J$150,0,7))*INDEX('How This Works &amp; Sources'!$B$144:$J$150,0,7+2)),SUMPRODUCT(($AZ47&gt;INDEX('How This Works &amp; Sources'!$B$144:$J$150,0,4))*($AZ47-INDEX('How This Works &amp; Sources'!$B$144:$J$150,0,4))*INDEX('How This Works &amp; Sources'!$B$144:$J$150,0,4+2))),0.015*$AZ47),IF($AN47="OH",IF($B47&gt;=DATE(2026,8,1),SUMPRODUCT(($AZ47&gt;INDEX('How This Works &amp; Sources'!$B$203:$J$206,0,1))*($AZ47-INDEX('How This Works &amp; Sources'!$B$203:$J$206,0,1))*INDEX('How This Works &amp; Sources'!$B$203:$J$206,0,1+2)),SUMPRODUCT(($AZ47&gt;INDEX('How This Works &amp; Sources'!$B$184:$J$198,0,7))*($AZ47-INDEX('How This Works &amp; Sources'!$B$184:$J$198,0,7))*INDEX('How This Works &amp; Sources'!$B$184:$J$198,0,7+2))),IF($AN47="OK",IF($AU47="Married",SUMPRODUCT(($AZ47&gt;INDEX('How This Works &amp; Sources'!$B$203:$J$206,0,7))*($AZ47-INDEX('How This Works &amp; Sources'!$B$203:$J$206,0,7))*INDEX('How This Works &amp; Sources'!$B$203:$J$206,0,7+2)),SUMPRODUCT(($AZ47&gt;INDEX('How This Works &amp; Sources'!$B$203:$J$206,0,4))*($AZ47-INDEX('How This Works &amp; Sources'!$B$203:$J$206,0,4))*INDEX('How This Works &amp; Sources'!$B$203:$J$206,0,4+2))),IF($AN47="VT",IF($AU47="Married",SUMPRODUCT(($AZ47&gt;INDEX('How This Works &amp; Sources'!$B$228:$J$232,0,1))*($AZ47-INDEX('How This Works &amp; Sources'!$B$228:$J$232,0,1))*INDEX('How This Works &amp; Sources'!$B$228:$J$232,0,1+2)),SUMPRODUCT(($AZ47&gt;INDEX('How This Works &amp; Sources'!$B$219:$J$223,0,7))*($AZ47-INDEX('How This Works &amp; Sources'!$B$219:$J$223,0,7))*INDEX('How This Works &amp; Sources'!$B$219:$J$223,0,7+2))),IF($AN47="WV",IF($AU47="Married",SUMPRODUCT(($AZ47&gt;INDEX('How This Works &amp; Sources'!$B$237:$J$241,0,7))*($AZ47-INDEX('How This Works &amp; Sources'!$B$237:$J$241,0,7))*INDEX('How This Works &amp; Sources'!$B$237:$J$241,0,7+2)),SUMPRODUCT(($AZ47&gt;INDEX('How This Works &amp; Sources'!$B$228:$J$232,0,7))*($AZ47-INDEX('How This Works &amp; Sources'!$B$228:$J$232,0,7))*INDEX('How This Works &amp; Sources'!$B$228:$J$232,0,7+2))),""))))))))))</f>
      </c>
      <c r="BY47" s="7">
        <f>IF($B47="","",IF($AN47="DE",SUMPRODUCT(($AZ47&gt;INDEX('How This Works &amp; Sources'!$B$91:$J$98,0,1))*($AZ47-INDEX('How This Works &amp; Sources'!$B$91:$J$98,0,1))*INDEX('How This Works &amp; Sources'!$B$91:$J$98,0,1+2)),IF($AN47="HI",IF($AU47="Married",SUMPRODUCT(($AZ47&gt;INDEX('How This Works &amp; Sources'!$B$91:$J$98,0,7))*($AZ47-INDEX('How This Works &amp; Sources'!$B$91:$J$98,0,7))*INDEX('How This Works &amp; Sources'!$B$91:$J$98,0,7+2)),SUMPRODUCT(($AZ47&gt;INDEX('How This Works &amp; Sources'!$B$91:$J$98,0,4))*($AZ47-INDEX('How This Works &amp; Sources'!$B$91:$J$98,0,4))*INDEX('How This Works &amp; Sources'!$B$91:$J$98,0,4+2))),IF($AN47="RI",SUMPRODUCT(($AZ47&gt;INDEX('How This Works &amp; Sources'!$B$211:$J$214,0,7))*($AZ47-INDEX('How This Works &amp; Sources'!$B$211:$J$214,0,7))*INDEX('How This Works &amp; Sources'!$B$211:$J$214,0,7+2)),IF($AN47="SC",SUMPRODUCT(($AZ47&gt;INDEX('How This Works &amp; Sources'!$B$219:$J$223,0,1))*($AZ47-INDEX('How This Works &amp; Sources'!$B$219:$J$223,0,1))*INDEX('How This Works &amp; Sources'!$B$219:$J$223,0,1+2)),IF($AN47="VA",SUMPRODUCT(($AZ47&gt;INDEX('How This Works &amp; Sources'!$B$219:$J$223,0,4))*($AZ47-INDEX('How This Works &amp; Sources'!$B$219:$J$223,0,4))*INDEX('How This Works &amp; Sources'!$B$219:$J$223,0,4+2)),IF($AN47="WI",SUMPRODUCT(($AZ47&gt;INDEX('How This Works &amp; Sources'!$B$228:$J$232,0,4))*($AZ47-INDEX('How This Works &amp; Sources'!$B$228:$J$232,0,4))*INDEX('How This Works &amp; Sources'!$B$228:$J$232,0,4+2)),"")))))))</f>
      </c>
      <c r="BZ47" s="24">
        <f>IF($B47="","",IF($AN47="KS",IF($AU47="Married",SUMPRODUCT(($AZ47&gt;=INDEX('How This Works &amp; Sources'!$B$103:$J$109,0,4))*INDEX('How This Works &amp; Sources'!$B$103:$J$109,0,4+2)),SUMPRODUCT(($AZ47&gt;=INDEX('How This Works &amp; Sources'!$B$103:$J$109,0,1))*INDEX('How This Works &amp; Sources'!$B$103:$J$109,0,1+2))),IF($AN47="MT",IF($AU47="Head of household",SUMPRODUCT(($AZ47&gt;=INDEX('How This Works &amp; Sources'!$B$137:$J$139,0,1))*INDEX('How This Works &amp; Sources'!$B$137:$J$139,0,1+2)),IF($AU47="Married",SUMPRODUCT(($AZ47&gt;=INDEX('How This Works &amp; Sources'!$B$125:$J$132,0,7))*INDEX('How This Works &amp; Sources'!$B$125:$J$132,0,7+2)),SUMPRODUCT(($AZ47&gt;=INDEX('How This Works &amp; Sources'!$B$125:$J$132,0,4))*INDEX('How This Works &amp; Sources'!$B$125:$J$132,0,4+2)))),IF($AN47="OR",IF(OR($AU47="Married",AND($AU47="Single",$AS47&gt;=3)),SUMPRODUCT((MAX(0,$AY47-MIN(($P47-'How This Works &amp; Sources'!$C$10*$D47)*'Second Earner'!$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Sources'!$B$211:$J$214,0,4))*INDEX('How This Works &amp; Sources'!$B$211:$J$214,0,4+2)),SUMPRODUCT((MAX(0,$AY47-MIN(($P47-'How This Works &amp; Sources'!$C$10*$D47)*'Second Earner'!$C$8,IF(OR($AU47="Married",AND($AU47="Single",$AS47&gt;=3)),IF($AY47&lt;250000,8750,IF($AY47&lt;260000,7000,IF($AY47&lt;270000,5250,IF($AY47&lt;280000,3500,IF($AY47&lt;290000,1750,0))))),IF($AY47&lt;125000,8750,IF($AY47&lt;130000,7000,IF($AY47&lt;135000,5250,IF($AY47&lt;140000,3500,IF($AY47&lt;145000,1750,0)))))))-IF(OR($AU47="Married",AND($AU47="Single",$AS47&gt;=3)),5820,2910))&gt;=INDEX('How This Works &amp; Sources'!$B$211:$J$214,0,1))*INDEX('How This Works &amp; Sources'!$B$211:$J$214,0,1+2)))*IF(($P47-'How This Works &amp; Sources'!$C$10*$D47)*'Second Earner'!$C$8&gt;=IF(OR($AU47="Married",AND($AU47="Single",$AS47&gt;=3)),IF($AY47&lt;250000,8750,IF($AY47&lt;260000,7000,IF($AY47&lt;270000,5250,IF($AY47&lt;280000,3500,IF($AY47&lt;290000,1750,0))))),IF($AY47&lt;125000,8750,IF($AY47&lt;130000,7000,IF($AY47&lt;135000,5250,IF($AY47&lt;140000,3500,IF($AY47&lt;145000,1750,0)))))),1,1-IF('Second Earner'!$C$13,SUMPRODUCT(($AH47&gt;=INDEX('How This Works &amp; Sources'!$B$29:$J$36,0,IF('Second Earner'!$C$12="MFJ",1,IF('Second Earner'!$C$12="HoH",7,4))))*INDEX('How This Works &amp; Sources'!$B$29:$J$36,0,IF('Second Earner'!$C$12="MFJ",1,IF('Second Earner'!$C$12="HoH",7,4))+2)),SUMPRODUCT(($AH47&gt;=INDEX('How This Works &amp; Sources'!$B$19:$J$26,0,IF('Second Earner'!$C$12="MFJ",1,IF('Second Earner'!$C$12="HoH",7,4))))*INDEX('How This Works &amp; Sources'!$B$19:$J$26,0,IF('Second Earner'!$C$12="MFJ",1,IF('Second Earner'!$C$12="HoH",7,4))+2)))),""))))</f>
      </c>
      <c r="CA47" s="24">
        <f>IF($B47="","",IF($AN47="CA",SUMPRODUCT(($AJ47&gt;=INDEX('How This Works &amp; Sources'!$B$39:$J$48,0,IF($AU47="Married",4,IF($AU47="Head of household",7,1))))*INDEX('How This Works &amp; Sources'!$B$39:$J$48,0,IF($AU47="Married",4,IF($AU47="Head of household",7,1))+2)),IF($AN47="AL",IF(OR($AU47="Married",$AU47="Head of household"),SUMPRODUCT(($AZ47&gt;=INDEX('How This Works &amp; Sources'!$B$82:$J$86,0,4))*INDEX('How This Works &amp; Sources'!$B$82:$J$86,0,4+2)),SUMPRODUCT(($AZ47&gt;=INDEX('How This Works &amp; Sources'!$B$82:$J$86,0,1))*INDEX('How This Works &amp; Sources'!$B$82:$J$86,0,1+2)))*(1-IF('Second Earner'!$C$13,SUMPRODUCT(($AH47&gt;=INDEX('How This Works &amp; Sources'!$B$29:$J$36,0,IF('Second Earner'!$C$12="MFJ",1,IF('Second Earner'!$C$12="HoH",7,4))))*INDEX('How This Works &amp; Sources'!$B$29:$J$36,0,IF('Second Earner'!$C$12="MFJ",1,IF('Second Earner'!$C$12="HoH",7,4))+2)),SUMPRODUCT(($AH47&gt;=INDEX('How This Works &amp; Sources'!$B$19:$J$26,0,IF('Second Earner'!$C$12="MFJ",1,IF('Second Earner'!$C$12="HoH",7,4))))*INDEX('How This Works &amp; Sources'!$B$19:$J$26,0,IF('Second Earner'!$C$12="MFJ",1,IF('Second Earner'!$C$12="HoH",7,4))+2)))),IF($AN47="ND",IF($AU47="Head of household",SUMPRODUCT(($AZ47&gt;=INDEX('How This Works &amp; Sources'!$B$144:$J$150,0,1))*INDEX('How This Works &amp; Sources'!$B$144:$J$150,0,1+2)),IF($AU47="Married",SUMPRODUCT(($AZ47&gt;=INDEX('How This Works &amp; Sources'!$B$137:$J$139,0,7))*INDEX('How This Works &amp; Sources'!$B$137:$J$139,0,7+2)),SUMPRODUCT(($AZ47&gt;=INDEX('How This Works &amp; Sources'!$B$137:$J$139,0,4))*INDEX('How This Works &amp; Sources'!$B$137:$J$139,0,4+2)))),IF($AN47="NJ",IF('Second Earner'!$C$77="B",SUMPRODUCT(($AZ47&gt;=INDEX('How This Works &amp; Sources'!$B$155:$J$162,0,4))*INDEX('How This Works &amp; Sources'!$B$155:$J$162,0,4+2)),IF('Second Earner'!$C$77="C",SUMPRODUCT(($AZ47&gt;=INDEX('How This Works &amp; Sources'!$B$155:$J$162,0,7))*INDEX('How This Works &amp; Sources'!$B$155:$J$162,0,7+2)),IF('Second Earner'!$C$77="D",SUMPRODUCT(($AZ47&gt;=INDEX('How This Works &amp; Sources'!$B$167:$J$179,0,1))*INDEX('How This Works &amp; Sources'!$B$167:$J$179,0,1+2)),IF('Second Earner'!$C$77="E",SUMPRODUCT(($AZ47&gt;=INDEX('How This Works &amp; Sources'!$B$167:$J$179,0,4))*INDEX('How This Works &amp; Sources'!$B$167:$J$179,0,4+2)),SUMPRODUCT(($AZ47&gt;=INDEX('How This Works &amp; Sources'!$B$155:$J$162,0,1))*INDEX('How This Works &amp; Sources'!$B$155:$J$162,0,1+2)))))),IF($AN47="NY",IF($AU47="Married",IF($AZ47&gt;=2155350,IF($AZ47&gt;25000000,0.117,IF($AZ47&gt;5000000,0.111,0.1045)),SUMPRODUCT(($AZ47&gt;=INDEX('How This Works &amp; Sources'!$B$184:$J$198,0,1))*INDEX('How This Works &amp; Sources'!$B$184:$J$198,0,1+2))),IF($AZ47&gt;=1077550,IF($AZ47&gt;25000000,0.117,IF($AZ47&gt;5000000,0.111,0.1045)),SUMPRODUCT(($AZ47&gt;=INDEX('How This Works &amp; Sources'!$B$167:$J$179,0,7))*INDEX('How This Works &amp; Sources'!$B$167:$J$179,0,7+2)))),IF($AN47="LA",0.0309,"")))))))</f>
      </c>
      <c r="CB47" s="24">
        <f>IF($B47="","",IF($AN47="HI",IF($AU47="Married",SUMPRODUCT(($AZ47&gt;=INDEX('How This Works &amp; Sources'!$B$91:$J$98,0,7))*INDEX('How This Works &amp; Sources'!$B$91:$J$98,0,7+2)),SUMPRODUCT(($AZ47&gt;=INDEX('How This Works &amp; Sources'!$B$91:$J$98,0,4))*INDEX('How This Works &amp; Sources'!$B$91:$J$98,0,4+2))),IF($AN47="MD",IF(OR($AU47="Married",$AU47="Head of household"),SUMPRODUCT(($AZ47&gt;=INDEX('How This Works &amp; Sources'!$B$114:$J$120,0,1))*INDEX('How This Works &amp; Sources'!$B$114:$J$120,0,1+2)),SUMPRODUCT(($AZ47&gt;=INDEX('How This Works &amp; Sources'!$B$103:$J$109,0,7))*INDEX('How This Works &amp; Sources'!$B$103:$J$109,0,7+2)))+'Second Earner'!$C$74,IF($AN47="MN",IF($AU47="Married",SUMPRODUCT(($AZ47&gt;=INDEX('How This Works &amp; Sources'!$B$114:$J$120,0,7))*INDEX('How This Works &amp; Sources'!$B$114:$J$120,0,7+2)),SUMPRODUCT(($AZ47&gt;=INDEX('How This Works &amp; Sources'!$B$114:$J$120,0,4))*INDEX('How This Works &amp; Sources'!$B$114:$J$120,0,4+2))),IF($AN47="MO",SUMPRODUCT(($AZ47&gt;=INDEX('How This Works &amp; Sources'!$B$125:$J$132,0,1))*INDEX('How This Works &amp; Sources'!$B$125:$J$132,0,1+2)),IF($AN47="NE",MAX(IF($AU47="Married",SUMPRODUCT(($AZ47&gt;=INDEX('How This Works &amp; Sources'!$B$144:$J$150,0,7))*INDEX('How This Works &amp; Sources'!$B$144:$J$150,0,7+2)),SUMPRODUCT(($AZ47&gt;=INDEX('How This Works &amp; Sources'!$B$144:$J$150,0,4))*INDEX('How This Works &amp; Sources'!$B$144:$J$150,0,4+2))),0.015),IF($AN47="OH",IF($B47&gt;=DATE(2026,8,1),SUMPRODUCT(($AZ47&gt;=INDEX('How This Works &amp; Sources'!$B$203:$J$206,0,1))*INDEX('How This Works &amp; Sources'!$B$203:$J$206,0,1+2)),SUMPRODUCT(($AZ47&gt;=INDEX('How This Works &amp; Sources'!$B$184:$J$198,0,7))*INDEX('How This Works &amp; Sources'!$B$184:$J$198,0,7+2))),IF($AN47="OK",IF($AU47="Married",SUMPRODUCT(($AZ47&gt;=INDEX('How This Works &amp; Sources'!$B$203:$J$206,0,7))*INDEX('How This Works &amp; Sources'!$B$203:$J$206,0,7+2)),SUMPRODUCT(($AZ47&gt;=INDEX('How This Works &amp; Sources'!$B$203:$J$206,0,4))*INDEX('How This Works &amp; Sources'!$B$203:$J$206,0,4+2))),IF($AN47="RI",SUMPRODUCT(($AZ47&gt;=INDEX('How This Works &amp; Sources'!$B$211:$J$214,0,7))*INDEX('How This Works &amp; Sources'!$B$211:$J$214,0,7+2)),IF($AN47="VT",IF($AU47="Married",SUMPRODUCT(($AZ47&gt;=INDEX('How This Works &amp; Sources'!$B$228:$J$232,0,1))*INDEX('How This Works &amp; Sources'!$B$228:$J$232,0,1+2)),SUMPRODUCT(($AZ47&gt;=INDEX('How This Works &amp; Sources'!$B$219:$J$223,0,7))*INDEX('How This Works &amp; Sources'!$B$219:$J$223,0,7+2))),IF($AN47="WV",IF($AU47="Married",SUMPRODUCT(($AZ47&gt;=INDEX('How This Works &amp; Sources'!$B$237:$J$241,0,7))*INDEX('How This Works &amp; Sources'!$B$237:$J$241,0,7+2)),SUMPRODUCT(($AZ47&gt;=INDEX('How This Works &amp; Sources'!$B$228:$J$232,0,7))*INDEX('How This Works &amp; Sources'!$B$228:$J$232,0,7+2))),IF($AN47="AZ",'Second Earner'!$C$82,IF($AN47="ID",IF($AY47&gt;IF($AU47="Married",32000,16094),0.053,0),"")))))))))))))</f>
      </c>
      <c r="CC47" s="24">
        <f>IF($B47="","",IF($AN47="AR",SUMPRODUCT(($AZ47&gt;=INDEX('How This Works &amp; Sources'!$B$82:$J$86,0,7))*INDEX('How This Works &amp; Sources'!$B$82:$J$86,0,7+2)),IF($AN47="DE",SUMPRODUCT(($AZ47&gt;=INDEX('How This Works &amp; Sources'!$B$91:$J$98,0,1))*INDEX('How This Works &amp; Sources'!$B$91:$J$98,0,1+2)),IF($AN47="SC",SUMPRODUCT(($AZ47&gt;=INDEX('How This Works &amp; Sources'!$B$219:$J$223,0,1))*INDEX('How This Works &amp; Sources'!$B$219:$J$223,0,1+2)),IF($AN47="VA",SUMPRODUCT(($AZ47&gt;=INDEX('How This Works &amp; Sources'!$B$219:$J$223,0,4))*INDEX('How This Works &amp; Sources'!$B$219:$J$223,0,4+2)),IF($AN47="WI",SUMPRODUCT(($AZ47&gt;=INDEX('How This Works &amp; Sources'!$B$228:$J$232,0,4))*INDEX('How This Works &amp; Sources'!$B$228:$J$232,0,4+2)),IF($AN47="CO",IF($AY47&gt;IF($AU47="Married",10000,5000),0.044,0),IF($AN47="IA",IF($AY47&gt;IF($AU47="Head of household",19500,IF($AU47="Married",26000,13000)),0.038,0),IF($AN47="IL",IF($AY47&gt;(2925*$AS47+1000*$AT47),0.0495,0),IF($AN47="IN",(0.0295+'Second Earner'!$C$76),IF($AN47="KY",IF($AI47&gt;3360,0.035,0),IF($AN47="MA",IF(MAX(0,$AY47-MIN(($BD46+$Q47+$R47+$S47),2000)-IF($AS47=0,0,IF($AS47=1,4400,1000*$AS47+3400)))&gt;=1107750,0.09,0.05),IF($AN47="MI",IF($AY47&gt;5900*$AS47,0.0425,0),IF($AN47="MS",IF($AI47-IF($AU47="Head of household",3400,IF($AU47="Married",4600,2300))-'Second Earner'!$C$85&gt;10000,0.04,0),IF($AN47="PA",0.0307,"")))))))))))))))</f>
      </c>
      <c r="CD47" s="21">
        <f>IF(YEAR(IF('Second Earner'!$C$7="Weekly",'Second Earner'!$C$9+7*(($BE46+1)-1),IF('Second Earner'!$C$7="Biweekly",'Second Earner'!$C$9+14*(($BE46+1)-1),IF('Second Earner'!$C$7="Semimonthly",DATE(YEAR('Second Earner'!$C$9),MONTH('Second Earner'!$C$9)+INT((($BE46+1)-1)/2),MIN(DAY('Second Earner'!$C$9),DAY(EOMONTH(DATE(YEAR('Second Earner'!$C$9),MONTH('Second Earner'!$C$9)+INT((($BE46+1)-1)/2),1),0))))+IF(MOD(($BE46+1)-1,2)=1,15,0),EDATE('Second Earner'!$C$9,($BE46+1)-1)))))&lt;&gt;'Second Earner'!$C$10,"",IF('Second Earner'!$C$7="Weekly",'Second Earner'!$C$9+7*(($BE46+1)-1),IF('Second Earner'!$C$7="Biweekly",'Second Earner'!$C$9+14*(($BE46+1)-1),IF('Second Earner'!$C$7="Semimonthly",DATE(YEAR('Second Earner'!$C$9),MONTH('Second Earner'!$C$9)+INT((($BE46+1)-1)/2),MIN(DAY('Second Earner'!$C$9),DAY(EOMONTH(DATE(YEAR('Second Earner'!$C$9),MONTH('Second Earner'!$C$9)+INT((($BE46+1)-1)/2),1),0))))+IF(MOD(($BE46+1)-1,2)=1,15,0),EDATE('Second Earner'!$C$9,($BE46+1)-1)))))</f>
      </c>
      <c r="CE47" s="21">
        <f>IF(MIN(IF(AND('Second Earner'!$C$58&gt;MAX($B$6:$B46),'Second Earner'!$C$58&gt;=DATE('Second Earner'!$C$10,1,1),'Second Earner'!$C$58&lt;=DATE('Second Earner'!$C$10,12,31)),'Second Earner'!$C$58,999999),IF(AND('Second Earner'!$C$59&gt;MAX($B$6:$B46),'Second Earner'!$C$59&gt;=DATE('Second Earner'!$C$10,1,1),'Second Earner'!$C$59&lt;=DATE('Second Earner'!$C$10,12,31)),'Second Earner'!$C$59,999999),IF(AND('Second Earner'!$C$60&gt;MAX($B$6:$B46),'Second Earner'!$C$60&gt;=DATE('Second Earner'!$C$10,1,1),'Second Earner'!$C$60&lt;=DATE('Second Earner'!$C$10,12,31)),'Second Earner'!$C$60,999999),IF(AND('Second Earner'!$C$61&gt;MAX($B$6:$B46),'Second Earner'!$C$61&gt;=DATE('Second Earner'!$C$10,1,1),'Second Earner'!$C$61&lt;=DATE('Second Earner'!$C$10,12,31)),'Second Earner'!$C$61,999999),IF(AND('Second Earner'!$C$62&gt;MAX($B$6:$B46),'Second Earner'!$C$62&gt;=DATE('Second Earner'!$C$10,1,1),'Second Earner'!$C$62&lt;=DATE('Second Earner'!$C$10,12,31)),'Second Earner'!$C$62,999999),IF(AND('Second Earner'!$C$63&gt;MAX($B$6:$B46),'Second Earner'!$C$63&gt;=DATE('Second Earner'!$C$10,1,1),'Second Earner'!$C$63&lt;=DATE('Second Earner'!$C$10,12,31)),'Second Earner'!$C$63,999999),IF(AND('Second Earner'!$C$64&gt;MAX($B$6:$B46),'Second Earner'!$C$64&gt;=DATE('Second Earner'!$C$10,1,1),'Second Earner'!$C$64&lt;=DATE('Second Earner'!$C$10,12,31)),'Second Earner'!$C$64,999999),IF(AND('Second Earner'!$C$65&gt;MAX($B$6:$B46),'Second Earner'!$C$65&gt;=DATE('Second Earner'!$C$10,1,1),'Second Earner'!$C$65&lt;=DATE('Second Earner'!$C$10,12,31)),'Second Earner'!$C$65,999999),IF(AND('Second Earner'!$C$66&gt;MAX($B$6:$B46),'Second Earner'!$C$66&gt;=DATE('Second Earner'!$C$10,1,1),'Second Earner'!$C$66&lt;=DATE('Second Earner'!$C$10,12,31)),'Second Earner'!$C$66,999999),IF(AND('Second Earner'!$C$67&gt;MAX($B$6:$B46),'Second Earner'!$C$67&gt;=DATE('Second Earner'!$C$10,1,1),'Second Earner'!$C$67&lt;=DATE('Second Earner'!$C$10,12,31)),'Second Earner'!$C$67,999999))=999999,"",MIN(IF(AND('Second Earner'!$C$58&gt;MAX($B$6:$B46),'Second Earner'!$C$58&gt;=DATE('Second Earner'!$C$10,1,1),'Second Earner'!$C$58&lt;=DATE('Second Earner'!$C$10,12,31)),'Second Earner'!$C$58,999999),IF(AND('Second Earner'!$C$59&gt;MAX($B$6:$B46),'Second Earner'!$C$59&gt;=DATE('Second Earner'!$C$10,1,1),'Second Earner'!$C$59&lt;=DATE('Second Earner'!$C$10,12,31)),'Second Earner'!$C$59,999999),IF(AND('Second Earner'!$C$60&gt;MAX($B$6:$B46),'Second Earner'!$C$60&gt;=DATE('Second Earner'!$C$10,1,1),'Second Earner'!$C$60&lt;=DATE('Second Earner'!$C$10,12,31)),'Second Earner'!$C$60,999999),IF(AND('Second Earner'!$C$61&gt;MAX($B$6:$B46),'Second Earner'!$C$61&gt;=DATE('Second Earner'!$C$10,1,1),'Second Earner'!$C$61&lt;=DATE('Second Earner'!$C$10,12,31)),'Second Earner'!$C$61,999999),IF(AND('Second Earner'!$C$62&gt;MAX($B$6:$B46),'Second Earner'!$C$62&gt;=DATE('Second Earner'!$C$10,1,1),'Second Earner'!$C$62&lt;=DATE('Second Earner'!$C$10,12,31)),'Second Earner'!$C$62,999999),IF(AND('Second Earner'!$C$63&gt;MAX($B$6:$B46),'Second Earner'!$C$63&gt;=DATE('Second Earner'!$C$10,1,1),'Second Earner'!$C$63&lt;=DATE('Second Earner'!$C$10,12,31)),'Second Earner'!$C$63,999999),IF(AND('Second Earner'!$C$64&gt;MAX($B$6:$B46),'Second Earner'!$C$64&gt;=DATE('Second Earner'!$C$10,1,1),'Second Earner'!$C$64&lt;=DATE('Second Earner'!$C$10,12,31)),'Second Earner'!$C$64,999999),IF(AND('Second Earner'!$C$65&gt;MAX($B$6:$B46),'Second Earner'!$C$65&gt;=DATE('Second Earner'!$C$10,1,1),'Second Earner'!$C$65&lt;=DATE('Second Earner'!$C$10,12,31)),'Second Earner'!$C$65,999999),IF(AND('Second Earner'!$C$66&gt;MAX($B$6:$B46),'Second Earner'!$C$66&gt;=DATE('Second Earner'!$C$10,1,1),'Second Earner'!$C$66&lt;=DATE('Second Earner'!$C$10,12,31)),'Second Earner'!$C$66,999999),IF(AND('Second Earner'!$C$67&gt;MAX($B$6:$B46),'Second Earner'!$C$67&gt;=DATE('Second Earner'!$C$10,1,1),'Second Earner'!$C$67&lt;=DATE('Second Earner'!$C$10,12,31)),'Second Earner'!$C$67,999999)))</f>
      </c>
      <c r="CF47">
        <f>IF($B47="","",IF($D47=0,$Y47,""))</f>
      </c>
    </row>
    <row r="48">
      <c r="A48" t="n">
        <v>43</v>
      </c>
      <c r="B48" s="21">
        <f>IF(AND($CD48="",$CE48=""),"",IF($CE48="",$CD48,IF($CD48="",$CE48,MIN($CD48,$CE48))))</f>
      </c>
      <c r="C48" s="7">
        <f>IF($B48="","",IF($BF48=0,0,IF('Second Earner'!$C$4="Annual salary",ROUND($AK48/IF(AND('Second Earner'!$C$88="Actual paydays",MONTH('Second Earner'!$C$9)=1),MAX(1,MAX($BE$6:$BE$68)),'Second Earner'!$C$8),2),$AK48)))</f>
      </c>
      <c r="D48" s="7">
        <f>IF($B48="","",SUMIF('Second Earner'!$C$58:$C$67,$B48,'Second Earner'!$D$58:$D$67))</f>
      </c>
      <c r="E48" s="7">
        <f>IF($B48="","",ROUND(MAX(0,MIN(IF($AL48="Percent",$AM48*($C48+$D48),$AM48),MAX(0,'Second Earner'!$C$34-$AC47))),2))</f>
      </c>
      <c r="F48" s="7">
        <f>IF($B48="","",ROUND(MAX(0,MIN(IF('Second Earner'!$C$32="Percent",'Second Earner'!$D$32*($C48+$D48),'Second Earner'!$D$32),MAX(0,'Second Earner'!$C$34-$AC47-$E48))),2))</f>
      </c>
      <c r="G48" s="7">
        <f>IF($B48="","",IF($BF48=0,0,ROUND(MAX(0,MIN($BL48,'Second Earner'!$C$37-'Second Earner'!$C$54-$BI47)),2)))</f>
      </c>
      <c r="H48" s="7">
        <f>IF($B48="","",IF(OR($BF48=0,$BQ48=1),0,ROUND(MAX(0,MIN(IF($BS48=1,ROUND(MAX(0,MIN($BJ48,'How This Works &amp; Sources'!$C$13)-$BG47)/MAX(1,MAX($BE$6:$BE$68)-($BE47)),2),ROUND(MIN($BJ48,'How This Works &amp; Sources'!$C$13)/'Second Earner'!$C$8,2)),MIN($BJ48,'How This Works &amp; Sources'!$C$13)-$BG47)),2)))</f>
      </c>
      <c r="I48" s="7">
        <f>IF($B48="","",IF(OR($BF48=0,$BR48=1),0,ROUND(MAX(0,MIN(IF($BT48=1,ROUND(MAX(0,MIN($BK48,IF('Second Earner'!$C$12="MFJ",'How This Works &amp; Sources'!$C$14,'How This Works &amp; Sources'!$C$15))-$BH47)/MAX(1,MAX($BE$6:$BE$68)-($BE47)),2),ROUND(MIN($BK48,IF('Second Earner'!$C$12="MFJ",'How This Works &amp; Sources'!$C$14,'How This Works &amp; Sources'!$C$15))/'Second Earner'!$C$8,2)),MIN($BK48,IF('Second Earner'!$C$12="MFJ",'How This Works &amp; Sources'!$C$14,'How This Works &amp; Sources'!$C$15))-$BH47)),2)))</f>
      </c>
      <c r="J48" s="7">
        <f>IF($B48="","",IF($BF48=0,0,$BM48))</f>
      </c>
      <c r="K48" s="7">
        <f>IF($B48="","",IF($BF48=0,0,$BN48+$BO48))</f>
      </c>
      <c r="L48" s="7">
        <f>IF($B48="","",IF($BF48=0,0,'Second Earner'!$D$46))</f>
      </c>
      <c r="M48" s="7">
        <f>IF($B48="","",$C48+$D48+$L48-$E48-$G48-$H48-$I48-$J48-$K48)</f>
      </c>
      <c r="N48" s="7">
        <f>IF($B48="","",$C48+$D48+$L48-$G48-$H48-$I48-$J48-$K48)</f>
      </c>
      <c r="O48" s="7">
        <f>IF($B48="","",$C48+$D48+$L48-$E48-$H48-$I48-$J48-$K48-IF(OR($AN48="CA",$AN48="NJ"),0,$G48))</f>
      </c>
      <c r="P48" s="7">
        <f>IF($B48="","",IF('Second Earner'!$C$18,0,ROUND(MAX(0,IF('Second Earner'!$C$13,SUMPRODUCT(($AH48&gt;INDEX('How This Works &amp; Sources'!$B$29:$J$36,0,IF('Second Earner'!$C$12="MFJ",1,IF('Second Earner'!$C$12="HoH",7,4))))*($AH48-INDEX('How This Works &amp; Sources'!$B$29:$J$36,0,IF('Second Earner'!$C$12="MFJ",1,IF('Second Earner'!$C$12="HoH",7,4))))*INDEX('How This Works &amp; Sources'!$B$29:$J$36,0,IF('Second Earner'!$C$12="MFJ",1,IF('Second Earner'!$C$12="HoH",7,4))+2)),SUMPRODUCT(($AH48&gt;INDEX('How This Works &amp; Sources'!$B$19:$J$26,0,IF('Second Earner'!$C$12="MFJ",1,IF('Second Earner'!$C$12="HoH",7,4))))*($AH48-INDEX('How This Works &amp; Sources'!$B$19:$J$26,0,IF('Second Earner'!$C$12="MFJ",1,IF('Second Earner'!$C$12="HoH",7,4))))*INDEX('How This Works &amp; Sources'!$B$19:$J$26,0,IF('Second Earner'!$C$12="MFJ",1,IF('Second Earner'!$C$12="HoH",7,4))+2)))/'Second Earner'!$C$8-$AO48/'Second Earner'!$C$8)+$AR48+IF('Second Earner'!$C$89="Aggregate",MAX(0,IF('Second Earner'!$C$13,SUMPRODUCT((($AH48+$D48)&gt;INDEX('How This Works &amp; Sources'!$B$29:$J$36,0,IF('Second Earner'!$C$12="MFJ",1,IF('Second Earner'!$C$12="HoH",7,4))))*(($AH48+$D48)-INDEX('How This Works &amp; Sources'!$B$29:$J$36,0,IF('Second Earner'!$C$12="MFJ",1,IF('Second Earner'!$C$12="HoH",7,4))))*INDEX('How This Works &amp; Sources'!$B$29:$J$36,0,IF('Second Earner'!$C$12="MFJ",1,IF('Second Earner'!$C$12="HoH",7,4))+2)),SUMPRODUCT((($AH48+$D48)&gt;INDEX('How This Works &amp; Sources'!$B$19:$J$26,0,IF('Second Earner'!$C$12="MFJ",1,IF('Second Earner'!$C$12="HoH",7,4))))*(($AH48+$D48)-INDEX('How This Works &amp; Sources'!$B$19:$J$26,0,IF('Second Earner'!$C$12="MFJ",1,IF('Second Earner'!$C$12="HoH",7,4))))*INDEX('How This Works &amp; Sources'!$B$19:$J$26,0,IF('Second Earner'!$C$12="MFJ",1,IF('Second Earner'!$C$12="HoH",7,4))+2)))-IF('Second Earner'!$C$13,SUMPRODUCT(($AH48&gt;INDEX('How This Works &amp; Sources'!$B$29:$J$36,0,IF('Second Earner'!$C$12="MFJ",1,IF('Second Earner'!$C$12="HoH",7,4))))*($AH48-INDEX('How This Works &amp; Sources'!$B$29:$J$36,0,IF('Second Earner'!$C$12="MFJ",1,IF('Second Earner'!$C$12="HoH",7,4))))*INDEX('How This Works &amp; Sources'!$B$29:$J$36,0,IF('Second Earner'!$C$12="MFJ",1,IF('Second Earner'!$C$12="HoH",7,4))+2)),SUMPRODUCT(($AH48&gt;INDEX('How This Works &amp; Sources'!$B$19:$J$26,0,IF('Second Earner'!$C$12="MFJ",1,IF('Second Earner'!$C$12="HoH",7,4))))*($AH48-INDEX('How This Works &amp; Sources'!$B$19:$J$26,0,IF('Second Earner'!$C$12="MFJ",1,IF('Second Earner'!$C$12="HoH",7,4))))*INDEX('How This Works &amp; Sources'!$B$19:$J$26,0,IF('Second Earner'!$C$12="MFJ",1,IF('Second Earner'!$C$12="HoH",7,4))+2)))),'How This Works &amp; Sources'!$C$10*$D48),2)))</f>
      </c>
      <c r="Q48" s="7">
        <f>IF($B48="","",ROUND('How This Works &amp; Sources'!$C$4*MIN($N48,MAX(0,'How This Works &amp; Sources'!$C$3-($AX48+$AB47-$AW48))),2))</f>
      </c>
      <c r="R48" s="7">
        <f>IF($B48="","",ROUND('How This Works &amp; Sources'!$C$5*$N48,2))</f>
      </c>
      <c r="S48" s="7">
        <f>IF($B48="","",ROUND('How This Works &amp; Sources'!$C$6*MAX(0,MIN($N48,$AG47+$N48-'How This Works &amp; Sources'!$C$7)),2))</f>
      </c>
      <c r="T48" s="7">
        <f>IF($B48="","",IF('Second Earner'!$C$26,0,IF($AN48="CA",ROUND(IF($AI48&lt;=IF(($AS48+$AT48)&gt;=2,VLOOKUP($AN48,StateTables!$A$6:$AB$56,10,FALSE),VLOOKUP($AN48,StateTables!$A$6:$AB$56,9,FALSE)),0,MAX(0,SUMPRODUCT(($AJ48&gt;INDEX('How This Works &amp; Sources'!$B$39:$J$48,0,IF($AU48="Married",4,IF($AU48="Head of household",7,1))))*($AJ48-INDEX('How This Works &amp; Sources'!$B$39:$J$48,0,IF($AU48="Married",4,IF($AU48="Head of household",7,1))))*INDEX('How This Works &amp; Sources'!$B$39:$J$48,0,IF($AU48="Married",4,IF($AU48="Head of household",7,1))+2))-VLOOKUP($AN48,StateTables!$A$6:$AB$56,11,FALSE)*$AS48)/'Second Earner'!$C$8)+'Second Earner'!$C$25+VLOOKUP($AN48,StateTables!$A$6:$AB$56,13,FALSE)*$D48,2),IF(VLOOKUP($AN48,StateTables!$A$6:$AB$56,4,FALSE)="None",0,IF(ISNUMBER(SEARCH("MANUAL",VLOOKUP($AN48,StateTables!$A$6:$AB$56,5,FALSE))),'Second Earner'!$C$28,ROUND(MAX(0,$BA48+$BB48)/'Second Earner'!$C$8+'Second Earner'!$C$25+$BC48,2))))))</f>
      </c>
      <c r="U48" s="7">
        <f>IF($B48="","",IF(VLOOKUP($AN48,StateTables!$A$6:$AB$56,24,FALSE)="flatq",IF(OR(MONTH($B48)=1,MONTH($B48)=4,MONTH($B48)=7,MONTH($B48)=10),VLOOKUP($AN48,StateTables!$A$6:$AB$56,25,FALSE),0),IF(VLOOKUP($AN48,StateTables!$A$6:$AB$56,24,FALSE)="dbl",MIN(ROUND(0.005*$N48,2),ROUND(0.6*52/'Second Earner'!$C$8,2)),IF(OR(VLOOKUP($AN48,StateTables!$A$6:$AB$56,15,FALSE)="",VLOOKUP($AN48,StateTables!$A$6:$AB$56,15,FALSE)=0),0,ROUND(VLOOKUP($AN48,StateTables!$A$6:$AB$56,15,FALSE)*IF(OR(VLOOKUP($AN48,StateTables!$A$6:$AB$56,16,FALSE)="",VLOOKUP($AN48,StateTables!$A$6:$AB$56,16,FALSE)=0),$N48,MIN($N48,MAX(0,VLOOKUP($AN48,StateTables!$A$6:$AB$56,16,FALSE)-($AX48+$AB47-$AW48)))),2))))+IF(VLOOKUP($AN48,StateTables!$A$6:$AB$56,27,FALSE)="flatq",IF(OR(MONTH($B48)=1,MONTH($B48)=4,MONTH($B48)=7,MONTH($B48)=10),VLOOKUP($AN48,StateTables!$A$6:$AB$56,28,FALSE),0),IF(VLOOKUP($AN48,StateTables!$A$6:$AB$56,27,FALSE)="dbl",MIN(ROUND(0.005*$N48,2),ROUND(0.6*52/'Second Earner'!$C$8,2)),IF(OR(VLOOKUP($AN48,StateTables!$A$6:$AB$56,18,FALSE)="",VLOOKUP($AN48,StateTables!$A$6:$AB$56,18,FALSE)=0),0,ROUND(VLOOKUP($AN48,StateTables!$A$6:$AB$56,18,FALSE)*IF(OR(VLOOKUP($AN48,StateTables!$A$6:$AB$56,19,FALSE)="",VLOOKUP($AN48,StateTables!$A$6:$AB$56,19,FALSE)=0),$N48,MIN($N48,MAX(0,VLOOKUP($AN48,StateTables!$A$6:$AB$56,19,FALSE)-($AX48+$AB47-$AW48)))),2)))))</f>
      </c>
      <c r="V48" s="7">
        <f>IF($B48="","",IF($AN48="NY",IF('Second Earner'!$C$78,ROUND(SUMPRODUCT((MAX(0,($O48-$D48)*'Second Earner'!$C$8-(IF($AU48="Married",5500,5000)+1000*$AS48))&gt;INDEX('How This Works &amp; Sources'!$B$184:$J$198,0,4))*(MAX(0,($O48-$D48)*'Second Earner'!$C$8-(IF($AU48="Married",5500,5000)+1000*$AS48))-INDEX('How This Works &amp; Sources'!$B$184:$J$198,0,4))*INDEX('How This Works &amp; Sources'!$B$184:$J$198,0,4+2))/'Second Earner'!$C$8+0.0425*$D48,2),0)+IF('Second Earner'!$C$79="Resident",ROUND(0.1675*$T48,2),IF('Second Earner'!$C$79="Nonresident",ROUND(0.005*MAX(0,($O48-$D48)-(IF($AU48="Married",7950,7400)+1000*$AS48)/'Second Earner'!$C$8),2),0)),IF($AN48="PA",IF('Second Earner'!$C$80="None",'Second Earner'!$C$27+ROUND('Second Earner'!$C$81*($C48+$D48),2),ROUND(IF('Second Earner'!$C$80="Resident",IF($B48&lt;DATE(2026,7,1),0.0374,0.03735),IF($B48&lt;DATE(2026,7,1),0.0343,0.03425))*($C48+$D48),2)),IF($BF48=0,ROUND('Second Earner'!$C$81*($C48+$D48),2),'Second Earner'!$C$27+ROUND('Second Earner'!$C$81*($C48+$D48),2)))))</f>
      </c>
      <c r="W48" s="7">
        <f>IF($B48="","",IF($BF48=0,0,$BP48))</f>
      </c>
      <c r="X48" s="7">
        <f>IF($B48="","",SUM($E48:$K48)+$P48+$Q48+$R48+$S48+$T48+$U48+$V48+$W48)</f>
      </c>
      <c r="Y48" s="22">
        <f>IF($B48="","",$C48+$D48-$X48)</f>
      </c>
      <c r="Z48" s="7">
        <f>IF($B48="","",$Z47+$C48+$D48)</f>
      </c>
      <c r="AA48" s="7">
        <f>IF($B48="","",$AA47+$Y48)</f>
      </c>
      <c r="AB48" s="7">
        <f>IF($B48="","",$AB47+MIN($N48,MAX(0,'How This Works &amp; Sources'!$C$3-($AX48+$AB47-$AW48))))</f>
      </c>
      <c r="AC48" s="7">
        <f>IF($B48="","",$AC47+$E48+$F48)</f>
      </c>
      <c r="AD48" s="3">
        <f>IF($B48="","",IF(AND($AB47&lt;'How This Works &amp; Sources'!$C$3,$AB48&gt;='How This Works &amp; Sources'!$C$3),"★ Social Security maxed on this check — from the next check your net rises by about $"&amp;TEXT(ROUND('How This Works &amp; Sources'!$C$4*$N48,2),"#,##0.00")&amp;". ","")&amp;IF(AND($AC47&lt;'Second Earner'!$C$34,$AC48&gt;='Second Earner'!$C$34),"★ 401(k) reaches the $"&amp;TEXT('Second Earner'!$C$34,"#,##0")&amp;" cap on this check — deferrals stop and net pay rises. ","")&amp;IF(AND($AG47&lt;'How This Works &amp; Sources'!$C$7,$AG48&gt;='How This Works &amp; Sources'!$C$7),"★ Wages pass $200,000 — the 0.9% Additional Medicare Tax starts here. ","")&amp;IF(AND($BJ48&gt;0,$H48&gt;0,$BG47&lt;MIN($BJ48,'How This Works &amp; Sources'!$C$13),$BG47+$H48&gt;=MIN($BJ48,'How This Works &amp; Sources'!$C$13)),"★ Health FSA election is now fully deferred for the year. ",""))</f>
      </c>
      <c r="AE48" s="41" t="n"/>
      <c r="AF48" s="7">
        <f>IF(OR($B48="",$AE48=""),"",$AE48-$Y48)</f>
      </c>
      <c r="AG48" s="7">
        <f>IF($B48="","",$AG47+$N48)</f>
      </c>
      <c r="AH48" s="7">
        <f>IF($B48="","",MAX(0,($M48-$D48)*'Second Earner'!$C$8+$AP48-$AQ48-IF('Second Earner'!$C$13,0,IF('Second Earner'!$C$12="MFJ",'How This Works &amp; Sources'!$C$8,'How This Works &amp; Sources'!$C$9))))</f>
      </c>
      <c r="AI48" s="7">
        <f>IF($B48="","",$O48*'Second Earner'!$C$8)</f>
      </c>
      <c r="AJ48" s="7">
        <f>IF($B48="","",MAX(0,$AI48-VLOOKUP($AN48,StateTables!$A$6:$AB$56,12,FALSE)*$AT48-IF(($AS48+$AT48)&gt;=2,VLOOKUP($AN48,StateTables!$A$6:$AB$56,8,FALSE),VLOOKUP($AN48,StateTables!$A$6:$AB$56,7,FALSE))))</f>
      </c>
      <c r="AK48" s="7">
        <f>IF($B48="","",IFERROR(LOOKUP(2,1/(('Changes — Earner 2'!$C$6:$C$17="Salary change")*('Changes — Earner 2'!$B$6:$B$17&lt;=$B48)*('Changes — Earner 2'!$B$6:$B$17&lt;&gt;"")),'Changes — Earner 2'!$D$6:$D$17),IF('Second Earner'!$C$4="Annual salary",'Second Earner'!$C$5,'Second Earner'!$C$6)))</f>
      </c>
      <c r="AL48">
        <f>IF($B48="","",IFERROR(LOOKUP(2,1/(('Changes — Earner 2'!$C$6:$C$17="401(k) change")*('Changes — Earner 2'!$B$6:$B$17&lt;=$B48)*('Changes — Earner 2'!$B$6:$B$17&lt;&gt;"")),'Changes — Earner 2'!$D$6:$D$17),'Second Earner'!$C$30))</f>
      </c>
      <c r="AM48" s="7">
        <f>IF($B48="","",IFERROR(LOOKUP(2,1/(('Changes — Earner 2'!$C$6:$C$17="401(k) change")*('Changes — Earner 2'!$B$6:$B$17&lt;=$B48)*('Changes — Earner 2'!$B$6:$B$17&lt;&gt;"")),'Changes — Earner 2'!$E$6:$E$17),'Second Earner'!$D$31))</f>
      </c>
      <c r="AN48">
        <f>IF($B48="","",IFERROR(LOOKUP(2,1/(('Changes — Earner 2'!$C$6:$C$17="State move")*('Changes — Earner 2'!$B$6:$B$17&lt;=$B48)*('Changes — Earner 2'!$B$6:$B$17&lt;&gt;"")),'Changes — Earner 2'!$D$6:$D$17),'Second Earner'!$C$21))</f>
      </c>
      <c r="AO48" s="7">
        <f>IF($B48="","",IFERROR(LOOKUP(2,1/(('Changes — Earner 2'!$C$6:$C$17="W-4 change")*('Changes — Earner 2'!$B$6:$B$17&lt;=$B48)*('Changes — Earner 2'!$B$6:$B$17&lt;&gt;"")),'Changes — Earner 2'!$D$6:$D$17),'Second Earner'!$C$14))</f>
      </c>
      <c r="AP48" s="7">
        <f>IF($B48="","",IFERROR(LOOKUP(2,1/(('Changes — Earner 2'!$C$6:$C$17="W-4 change")*('Changes — Earner 2'!$B$6:$B$17&lt;=$B48)*('Changes — Earner 2'!$B$6:$B$17&lt;&gt;"")),'Changes — Earner 2'!$E$6:$E$17),'Second Earner'!$C$15))</f>
      </c>
      <c r="AQ48" s="7">
        <f>IF($B48="","",IFERROR(LOOKUP(2,1/(('Changes — Earner 2'!$C$6:$C$17="W-4 change")*('Changes — Earner 2'!$B$6:$B$17&lt;=$B48)*('Changes — Earner 2'!$B$6:$B$17&lt;&gt;"")),'Changes — Earner 2'!$F$6:$F$17),'Second Earner'!$C$16))</f>
      </c>
      <c r="AR48" s="7">
        <f>IF($B48="","",IFERROR(LOOKUP(2,1/(('Changes — Earner 2'!$C$6:$C$17="W-4 change")*('Changes — Earner 2'!$B$6:$B$17&lt;=$B48)*('Changes — Earner 2'!$B$6:$B$17&lt;&gt;"")),'Changes — Earner 2'!$G$6:$G$17),'Second Earner'!$C$17))</f>
      </c>
      <c r="AS48" s="6">
        <f>IF($B48="","",IFERROR(LOOKUP(2,1/((('Changes — Earner 2'!$C$6:$C$17="State move")+('Changes — Earner 2'!$C$6:$C$17="State cert change"))*('Changes — Earner 2'!$B$6:$B$17&lt;=$B48)*('Changes — Earner 2'!$B$6:$B$17&lt;&gt;"")),'Changes — Earner 2'!$F$6:$F$17),'Second Earner'!$C$23))</f>
      </c>
      <c r="AT48" s="6">
        <f>IF($B48="","",IFERROR(LOOKUP(2,1/((('Changes — Earner 2'!$C$6:$C$17="State move")+('Changes — Earner 2'!$C$6:$C$17="State cert change"))*('Changes — Earner 2'!$B$6:$B$17&lt;=$B48)*('Changes — Earner 2'!$B$6:$B$17&lt;&gt;"")),'Changes — Earner 2'!$G$6:$G$17),'Second Earner'!$C$24))</f>
      </c>
      <c r="AU48">
        <f>IF($B48="","",IFERROR(LOOKUP(2,1/(('Changes — Earner 2'!$C$6:$C$17="State move")*('Changes — Earner 2'!$B$6:$B$17&lt;=$B48)*('Changes — Earner 2'!$B$6:$B$17&lt;&gt;"")),'Changes — Earner 2'!$E$6:$E$17),'Second Earner'!$C$22))</f>
      </c>
      <c r="AV48" s="6">
        <f>IF($B48="","",1+COUNTIFS('Changes — Earner 2'!$C$6:$C$17,"Employer change",'Changes — Earner 2'!$B$6:$B$17,"&lt;="&amp;$B48,'Changes — Earner 2'!$B$6:$B$17,"&lt;&gt;"))</f>
      </c>
      <c r="AW48" s="7">
        <f>IF($B48="","",IF($AV48=1,'Second Earner'!$C$49,IF(IFERROR(MATCH(IFERROR(LOOKUP(2,1/(('Changes — Earner 2'!$C$6:$C$17="Employer change")*('Changes — Earner 2'!$B$6:$B$17&lt;=$B48)*('Changes — Earner 2'!$B$6:$B$17&lt;&gt;"")),'Changes — Earner 2'!$B$6:$B$17),""),$B$6:$B$68,1),1)&lt;=1,'Second Earner'!$C$49,INDEX($AB$6:$AB$68,MATCH(IFERROR(LOOKUP(2,1/(('Changes — Earner 2'!$C$6:$C$17="Employer change")*('Changes — Earner 2'!$B$6:$B$17&lt;=$B48)*('Changes — Earner 2'!$B$6:$B$17&lt;&gt;"")),'Changes — Earner 2'!$B$6:$B$17),""),$B$6:$B$68,1)-1))))</f>
      </c>
      <c r="AX48" s="7">
        <f>IF($B48="","",IF($AV48=1,'Second Earner'!$C$49,IFERROR(LOOKUP(2,1/(('Changes — Earner 2'!$C$6:$C$17="Employer change")*('Changes — Earner 2'!$B$6:$B$17&lt;=$B48)*('Changes — Earner 2'!$B$6:$B$17&lt;&gt;"")),'Changes — Earner 2'!$D$6:$D$17),0)))</f>
      </c>
      <c r="AY48" s="7">
        <f>IF($B48="","",($O48-$D48)*'Second Earner'!$C$8)</f>
      </c>
      <c r="AZ48" s="7">
        <f>IF($B48="","",IF($AN48="AL",MAX(0,$AY48-IF($AU48="Married",IF($AY48&lt;=25999,8500,MAX(5000,8500-175*CEILING(($AY48-25999)/500,1))),IF($AU48="Head of household",IF($AY48&lt;=25999,5200,MAX(2500,5200-135*CEILING(($AY48-25999)/500,1))),IF($AY48&lt;=25999,3000,MAX(2500,3000-25*CEILING(($AY48-25999)/500,1)))))-($P48-'How This Works &amp; Sources'!$C$10*$D48)*'Second Earner'!$C$8-IF(OR($AU48="Married",$AU48="Head of household"),3000,1500)-$AT48*IF($AY48&lt;=50000,1000,IF($AY48&lt;=100000,500,300))),IF($AN48="AR",IF(MAX(0,$AY48-2470)&lt;97701,INT(MAX(0,$AY48-2470)/100)*100+50,MAX(0,$AY48-2470)),IF($AN48="DE",MAX(0,$AI48-3250),IF($AN48="HI",MAX(0,$AI48-1144*$AS48-4350),IF($AN48="KS",MAX(0,$AI48-(9160*IF($AU48="Married",2,1)+2320*$AT48+IF($AU48="Head of household",2320,0))),IF($AN48="MD",MAX(0,$AI48-3400-3200*$AS48),IF($AN48="MN",MAX(0,$AY48-5300*$AS48),IF($AN48="MO",MAX(0,$AI48-IF($AU48="Head of household",24150,IF($AU48="Married",IF('Second Earner'!$C$83,16100,32200),16100))),IF($AN48="MT",$AY48,IF($AN48="ND",($C48+$L48)*'Second Earner'!$C$8,IF($AN48="NE",MAX(0,$AY48-2440*$AS48),IF($AN48="NJ",MAX(0,$AY48-1000*$AS48),IF($AN48="NY",MAX(0,$AY48-(IF($AU48="Married",7950,7400)+1000*$AS48)),IF($AN48="OH",MAX(0,$AY48-650*$AS48),IF($AN48="OK",MAX(0,$AY48-1000*$AS48),IF($AN48="RI",MAX(0,$AI48-1000*$AS48),IF($AN48="SC",MAX(0,$AI48-5000*$AS48-IF($AS48=0,0,MIN(0.1*$AI48,7500))),IF($AN48="VA",MAX(0,$AI48-IF($AU48="Married",17500,8750)-930*$AS48-800*$AT48),IF($AN48="VT",MAX(0,$AI48-5400*$AS48),IF($AN48="WI",MAX(0,$AI48-MAX(0,IF($AU48="Married",9461-0.2*MAX(0,$AI48-25727),6702-0.12*MAX(0,$AI48-17780)))-400*$AS48),IF($AN48="WV",MAX(0,$AI48-2000*$AS48),$AI48))))))))))))))))))))))</f>
      </c>
      <c r="BA48" s="7">
        <f>IF($B48="","",IF($BW48&lt;&gt;"",$BW48,IF($BX48&lt;&gt;"",$BX48,IF($BY48&lt;&gt;"",$BY48,0))))</f>
      </c>
      <c r="BB48" s="7">
        <f>IF($B48="","",IF($AN48="AR",-29*$AS48,IF($AN48="DE",-110*$AS48,IF($AN48="MD",$AZ48*'Second Earner'!$C$74,IF($AN48="AZ",'Second Earner'!$C$82*($M48-$D48)*'Second Earner'!$C$8,IF($AN48="CO",0.044*MAX(0,$AY48-IF($AU48="Married",10000,5000)),IF($AN48="IA",MAX(0,0.038*MAX(0,$AY48-IF($AU48="Head of household",19500,IF($AU48="Married",26000,13000)))-40*$AS48),IF($AN48="ID",0.053*MAX(0,$AY48-IF($AU48="Married",32000,16094)),IF($AN48="IL",0.0495*MAX(0,$AY48-(2925*$AS48+1000*$AT48)),IF($AN48="IN",(0.0295+'Second Earner'!$C$76)*MAX(0,$AY48-(1000*$AS48+1500*$AT48+3000*'Second Earner'!$C$86)),IF($AN48="KY",0.035*MAX(0,$AI48-3360),IF($AN48="LA",IF('Second Earner'!$C$84="0",0.0309*$AI48,0.0309*MAX(0,$AI48-IF('Second Earner'!$C$84="2",25750,12875))),IF($AN48="MA",0.05*MIN(MAX(0,$AY48-MIN(($BD47+$Q48+$R48+$S48),2000)-IF($AS48=0,0,IF($AS48=1,4400,1000*$AS48+3400))),1107750)+0.09*MAX(0,MAX(0,$AY48-MIN(($BD47+$Q48+$R48+$S48),2000)-IF($AS48=0,0,IF($AS48=1,4400,1000*$AS48+3400)))-1107750)-IF($AU48="Head of household",120,0)-110*'Second Earner'!$C$75,IF($AN48="MI",0.0425*MAX(0,$AY48-5900*$AS48),IF($AN48="MS",0.04*MAX(0,$AI48-IF($AU48="Head of household",3400,IF($AU48="Married",4600,2300))-'Second Earner'!$C$85-10000),IF($AN48="OR",IF(OR($AU48="Married",AND($AU48="Single",$AS48&gt;=3)),SUMPRODUCT((MAX(0,$AY48-MIN(($P48-'How This Works &amp; Sources'!$C$10*$D48)*'Second Earner'!$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Sources'!$B$211:$J$214,0,4))*(MAX(0,$AY48-MIN(($P48-'How This Works &amp; Sources'!$C$10*$D48)*'Second Earner'!$C$8,IF(OR($AU48="Married",AND($AU48="Single",$AS48&gt;=3)),IF($AY48&lt;250000,8750,IF($AY48&lt;260000,7000,IF($AY48&lt;270000,5250,IF($AY48&lt;280000,3500,IF($AY48&lt;290000,1750,0))))),IF($AY48&lt;125000,8750,IF($AY48&lt;130000,7000,IF($AY48&lt;135000,5250,IF($AY48&lt;140000,3500,IF($AY48&lt;145000,1750,0)))))))-IF(OR($AU48="Married",AND($AU48="Single",$AS48&gt;=3)),5820,2910))-INDEX('How This Works &amp; Sources'!$B$211:$J$214,0,4))*INDEX('How This Works &amp; Sources'!$B$211:$J$214,0,4+2)),SUMPRODUCT((MAX(0,$AY48-MIN(($P48-'How This Works &amp; Sources'!$C$10*$D48)*'Second Earner'!$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Sources'!$B$211:$J$214,0,1))*(MAX(0,$AY48-MIN(($P48-'How This Works &amp; Sources'!$C$10*$D48)*'Second Earner'!$C$8,IF(OR($AU48="Married",AND($AU48="Single",$AS48&gt;=3)),IF($AY48&lt;250000,8750,IF($AY48&lt;260000,7000,IF($AY48&lt;270000,5250,IF($AY48&lt;280000,3500,IF($AY48&lt;290000,1750,0))))),IF($AY48&lt;125000,8750,IF($AY48&lt;130000,7000,IF($AY48&lt;135000,5250,IF($AY48&lt;140000,3500,IF($AY48&lt;145000,1750,0)))))))-IF(OR($AU48="Married",AND($AU48="Single",$AS48&gt;=3)),5820,2910))-INDEX('How This Works &amp; Sources'!$B$211:$J$214,0,1))*INDEX('How This Works &amp; Sources'!$B$211:$J$214,0,1+2)))+263-263*IF(IF($AU48="Married",$AY48&gt;200000,$AY48&gt;100000),0,$AS48),IF($AN48="PA",0.0307*(($O48+$E48+$G48)*'Second Earner'!$C$8),IF($AN48="NY",IF($AU48="Married",IF($AZ48&gt;=2155350,0,IF($AZ48&gt;=1077550,0.48,IF($AZ48&gt;=373200,1.21,IF($AZ48&gt;=323200,0.21,IF($AZ48&gt;=211550,-0.19,IF($AZ48&gt;=157650,-2.8,IF($AZ48&gt;=107650,-0.8,IF($AZ48&gt;=96800,0.05,IF($AZ48&gt;=80650,-0.1,IF($AZ48&gt;=13900,0.4,IF($AZ48&gt;=11700,-0.3,IF($AZ48&gt;=8500,0.5,0)))))))))))),IF($AZ48&gt;=1077550,0,IF($AZ48&gt;=265400,4.29,IF($AZ48&gt;=215400,2.29,IF($AZ48&gt;=157650,2.29,IF($AZ48&gt;=107650,0.29,IF($AZ48&gt;=96800,0.05,IF($AZ48&gt;=80650,-0.1,IF($AZ48&gt;=13900,0.4,IF($AZ48&gt;=11700,-0.3,IF($AZ48&gt;=8500,0.5,0))))))))))),0))))))))))))))))))</f>
      </c>
      <c r="BC48" s="7">
        <f>IF($B48="","",IF($AN48="AL",0.05*$D48,IF($AN48="AR",0.039*$D48,IF($AN48="ID",0.053*$D48,IF($AN48="IN",(0.0295+'Second Earner'!$C$76)*$D48,IF($AN48="KS",0.05*$D48,IF($AN48="MA",0.09*MIN($D48,MAX(0,MAX(0,$AY48-MIN(($BD47+$Q48+$R48+$S48),2000)-IF($AS48=0,0,IF($AS48=1,4400,1000*$AS48+3400)))+$D48-1107750))+0.05*($D48-MIN($D48,MAX(0,MAX(0,$AY48-MIN(($BD47+$Q48+$R48+$S48),2000)-IF($AS48=0,0,IF($AS48=1,4400,1000*$AS48+3400)))+$D48-1107750))),IF($AN48="MD",(0.065+'Second Earner'!$C$74)*$D48,IF($AN48="MI",0.0425*$D48,IF($AN48="MN",0.0625*$D48,IF($AN48="MO",0.047*$D48,IF($AN48="MT",0.05*$D48,IF($AN48="ND",0.015*$D48,IF($AN48="NE",0.035*$D48,IF($AN48="NJ",IF('Second Earner'!$C$77="B",SUMPRODUCT(($D48*'Second Earner'!$C$8&gt;INDEX('How This Works &amp; Sources'!$B$155:$J$162,0,4))*($D48*'Second Earner'!$C$8-INDEX('How This Works &amp; Sources'!$B$155:$J$162,0,4))*INDEX('How This Works &amp; Sources'!$B$155:$J$162,0,4+2)),IF('Second Earner'!$C$77="C",SUMPRODUCT(($D48*'Second Earner'!$C$8&gt;INDEX('How This Works &amp; Sources'!$B$155:$J$162,0,7))*($D48*'Second Earner'!$C$8-INDEX('How This Works &amp; Sources'!$B$155:$J$162,0,7))*INDEX('How This Works &amp; Sources'!$B$155:$J$162,0,7+2)),IF('Second Earner'!$C$77="D",SUMPRODUCT(($D48*'Second Earner'!$C$8&gt;INDEX('How This Works &amp; Sources'!$B$167:$J$179,0,1))*($D48*'Second Earner'!$C$8-INDEX('How This Works &amp; Sources'!$B$167:$J$179,0,1))*INDEX('How This Works &amp; Sources'!$B$167:$J$179,0,1+2)),IF('Second Earner'!$C$77="E",SUMPRODUCT(($D48*'Second Earner'!$C$8&gt;INDEX('How This Works &amp; Sources'!$B$167:$J$179,0,4))*($D48*'Second Earner'!$C$8-INDEX('How This Works &amp; Sources'!$B$167:$J$179,0,4))*INDEX('How This Works &amp; Sources'!$B$167:$J$179,0,4+2)),SUMPRODUCT(($D48*'Second Earner'!$C$8&gt;INDEX('How This Works &amp; Sources'!$B$155:$J$162,0,1))*($D48*'Second Earner'!$C$8-INDEX('How This Works &amp; Sources'!$B$155:$J$162,0,1))*INDEX('How This Works &amp; Sources'!$B$155:$J$162,0,1+2))))))/'Second Earner'!$C$8,IF($AN48="NY",0.117*$D48,IF($AN48="OH",0.0275*$D48,IF($AN48="OK",0.045*$D48,IF($AN48="OR",0.08*$D48,IF($AN48="WI",IF($AY48&lt;12760,0.0354,IF($AY48&lt;25520,0.0465,IF($AY48&lt;280950,0.053,0.0765)))*$D48,0))))))))))))))))))))</f>
      </c>
      <c r="BD48" s="7">
        <f>IF($B48="","",$BD47+$Q48+$R48+$S48)</f>
      </c>
      <c r="BE48" s="6">
        <f>IF($B48="",$BE47,$BE47+$BF48)</f>
      </c>
      <c r="BF48" s="6">
        <f>IF($B48="","",IF(AND(IF(YEAR(IF('Second Earner'!$C$7="Weekly",'Second Earner'!$C$9+7*(($BE47+1)-1),IF('Second Earner'!$C$7="Biweekly",'Second Earner'!$C$9+14*(($BE47+1)-1),IF('Second Earner'!$C$7="Semimonthly",DATE(YEAR('Second Earner'!$C$9),MONTH('Second Earner'!$C$9)+INT((($BE47+1)-1)/2),MIN(DAY('Second Earner'!$C$9),DAY(EOMONTH(DATE(YEAR('Second Earner'!$C$9),MONTH('Second Earner'!$C$9)+INT((($BE47+1)-1)/2),1),0))))+IF(MOD(($BE47+1)-1,2)=1,15,0),EDATE('Second Earner'!$C$9,($BE47+1)-1)))))&lt;&gt;'Second Earner'!$C$10,"",IF('Second Earner'!$C$7="Weekly",'Second Earner'!$C$9+7*(($BE47+1)-1),IF('Second Earner'!$C$7="Biweekly",'Second Earner'!$C$9+14*(($BE47+1)-1),IF('Second Earner'!$C$7="Semimonthly",DATE(YEAR('Second Earner'!$C$9),MONTH('Second Earner'!$C$9)+INT((($BE47+1)-1)/2),MIN(DAY('Second Earner'!$C$9),DAY(EOMONTH(DATE(YEAR('Second Earner'!$C$9),MONTH('Second Earner'!$C$9)+INT((($BE47+1)-1)/2),1),0))))+IF(MOD(($BE47+1)-1,2)=1,15,0),EDATE('Second Earner'!$C$9,($BE47+1)-1)))))&lt;&gt;"",$B48=IF(YEAR(IF('Second Earner'!$C$7="Weekly",'Second Earner'!$C$9+7*(($BE47+1)-1),IF('Second Earner'!$C$7="Biweekly",'Second Earner'!$C$9+14*(($BE47+1)-1),IF('Second Earner'!$C$7="Semimonthly",DATE(YEAR('Second Earner'!$C$9),MONTH('Second Earner'!$C$9)+INT((($BE47+1)-1)/2),MIN(DAY('Second Earner'!$C$9),DAY(EOMONTH(DATE(YEAR('Second Earner'!$C$9),MONTH('Second Earner'!$C$9)+INT((($BE47+1)-1)/2),1),0))))+IF(MOD(($BE47+1)-1,2)=1,15,0),EDATE('Second Earner'!$C$9,($BE47+1)-1)))))&lt;&gt;'Second Earner'!$C$10,"",IF('Second Earner'!$C$7="Weekly",'Second Earner'!$C$9+7*(($BE47+1)-1),IF('Second Earner'!$C$7="Biweekly",'Second Earner'!$C$9+14*(($BE47+1)-1),IF('Second Earner'!$C$7="Semimonthly",DATE(YEAR('Second Earner'!$C$9),MONTH('Second Earner'!$C$9)+INT((($BE47+1)-1)/2),MIN(DAY('Second Earner'!$C$9),DAY(EOMONTH(DATE(YEAR('Second Earner'!$C$9),MONTH('Second Earner'!$C$9)+INT((($BE47+1)-1)/2),1),0))))+IF(MOD(($BE47+1)-1,2)=1,15,0),EDATE('Second Earner'!$C$9,($BE47+1)-1)))))),1,0))</f>
      </c>
      <c r="BG48" s="7">
        <f>IF($B48="","",$BG47+$H48)</f>
      </c>
      <c r="BH48" s="7">
        <f>IF($B48="","",$BH47+$I48)</f>
      </c>
      <c r="BI48" s="7">
        <f>IF($B48="","",$BI47+$G48)</f>
      </c>
      <c r="BJ48" s="7">
        <f>IF($B48="","",IFERROR(LOOKUP(2,1/(((('Changes — Earner 2'!$C$6:$C$17="Deduction start"))*('Changes — Earner 2'!$D$6:$D$17="Health FSA"))*('Changes — Earner 2'!$B$6:$B$17&lt;=$B48)*('Changes — Earner 2'!$B$6:$B$17&lt;&gt;"")),'Changes — Earner 2'!$E$6:$E$17),'Second Earner'!$D$38))</f>
      </c>
      <c r="BK48" s="7">
        <f>IF($B48="","",IFERROR(LOOKUP(2,1/(((('Changes — Earner 2'!$C$6:$C$17="Deduction start"))*('Changes — Earner 2'!$D$6:$D$17="Dependent-care FSA"))*('Changes — Earner 2'!$B$6:$B$17&lt;=$B48)*('Changes — Earner 2'!$B$6:$B$17&lt;&gt;"")),'Changes — Earner 2'!$E$6:$E$17),'Second Earner'!$D$39))</f>
      </c>
      <c r="BL48" s="7">
        <f>IF($B48="","",IFERROR(LOOKUP(2,1/(((('Changes — Earner 2'!$C$6:$C$17="Deduction start")+('Changes — Earner 2'!$C$6:$C$17="Deduction stop"))*('Changes — Earner 2'!$D$6:$D$17="HSA"))*('Changes — Earner 2'!$B$6:$B$17&lt;=$B48)*('Changes — Earner 2'!$B$6:$B$17&lt;&gt;"")),'Changes — Earner 2'!$I$6:$I$17),'Second Earner'!$D$35))</f>
      </c>
      <c r="BM48" s="7">
        <f>IF($B48="","",IFERROR(LOOKUP(2,1/(((('Changes — Earner 2'!$C$6:$C$17="Deduction start")+('Changes — Earner 2'!$C$6:$C$17="Deduction stop"))*('Changes — Earner 2'!$D$6:$D$17="Premiums"))*('Changes — Earner 2'!$B$6:$B$17&lt;=$B48)*('Changes — Earner 2'!$B$6:$B$17&lt;&gt;"")),'Changes — Earner 2'!$I$6:$I$17),'Second Earner'!$D$40+'Second Earner'!$D$41+'Second Earner'!$D$42))</f>
      </c>
      <c r="BN48" s="7">
        <f>IF($B48="","",IFERROR(LOOKUP(2,1/(((('Changes — Earner 2'!$C$6:$C$17="Deduction start")+('Changes — Earner 2'!$C$6:$C$17="Deduction stop"))*('Changes — Earner 2'!$D$6:$D$17="Commuter"))*('Changes — Earner 2'!$B$6:$B$17&lt;=$B48)*('Changes — Earner 2'!$B$6:$B$17&lt;&gt;"")),'Changes — Earner 2'!$I$6:$I$17),'Second Earner'!$D$43))</f>
      </c>
      <c r="BO48" s="7">
        <f>IF($B48="","",IFERROR(LOOKUP(2,1/(((('Changes — Earner 2'!$C$6:$C$17="Deduction start")+('Changes — Earner 2'!$C$6:$C$17="Deduction stop"))*('Changes — Earner 2'!$D$6:$D$17="Other pre-tax"))*('Changes — Earner 2'!$B$6:$B$17&lt;=$B48)*('Changes — Earner 2'!$B$6:$B$17&lt;&gt;"")),'Changes — Earner 2'!$I$6:$I$17),'Second Earner'!$D$44))</f>
      </c>
      <c r="BP48" s="7">
        <f>IF($B48="","",IFERROR(LOOKUP(2,1/(((('Changes — Earner 2'!$C$6:$C$17="Deduction start")+('Changes — Earner 2'!$C$6:$C$17="Deduction stop"))*('Changes — Earner 2'!$D$6:$D$17="Other post-tax"))*('Changes — Earner 2'!$B$6:$B$17&lt;=$B48)*('Changes — Earner 2'!$B$6:$B$17&lt;&gt;"")),'Changes — Earner 2'!$I$6:$I$17),'Second Earner'!$D$45))</f>
      </c>
      <c r="BQ48" s="6">
        <f>IF($B48="","",IFERROR(LOOKUP(2,1/(((('Changes — Earner 2'!$C$6:$C$17="Deduction start")+('Changes — Earner 2'!$C$6:$C$17="Deduction stop"))*('Changes — Earner 2'!$D$6:$D$17="Health FSA"))*('Changes — Earner 2'!$B$6:$B$17&lt;=$B48)*('Changes — Earner 2'!$B$6:$B$17&lt;&gt;"")),'Changes — Earner 2'!$J$6:$J$17),0))</f>
      </c>
      <c r="BR48" s="6">
        <f>IF($B48="","",IFERROR(LOOKUP(2,1/(((('Changes — Earner 2'!$C$6:$C$17="Deduction start")+('Changes — Earner 2'!$C$6:$C$17="Deduction stop"))*('Changes — Earner 2'!$D$6:$D$17="Dependent-care FSA"))*('Changes — Earner 2'!$B$6:$B$17&lt;=$B48)*('Changes — Earner 2'!$B$6:$B$17&lt;&gt;"")),'Changes — Earner 2'!$J$6:$J$17),0))</f>
      </c>
      <c r="BS48" s="6">
        <f>IF($B48="","",IF(SUMPRODUCT(('Changes — Earner 2'!$C$6:$C$17="Deduction start")*('Changes — Earner 2'!$B$6:$B$17&lt;=$B48)*('Changes — Earner 2'!$B$6:$B$17&lt;&gt;"")*('Changes — Earner 2'!$D$6:$D$17="Health FSA"))&gt;0,1,0))</f>
      </c>
      <c r="BT48" s="6">
        <f>IF($B48="","",IF(SUMPRODUCT(('Changes — Earner 2'!$C$6:$C$17="Deduction start")*('Changes — Earner 2'!$B$6:$B$17&lt;=$B48)*('Changes — Earner 2'!$B$6:$B$17&lt;&gt;"")*('Changes — Earner 2'!$D$6:$D$17="Dependent-care FSA"))&gt;0,1,0))</f>
      </c>
      <c r="BU48" s="24">
        <f>IF($B48="","",IF('Second Earner'!$C$13,SUMPRODUCT(($AH48&gt;=INDEX('How This Works &amp; Sources'!$B$29:$J$36,0,IF('Second Earner'!$C$12="MFJ",1,IF('Second Earner'!$C$12="HoH",7,4))))*INDEX('How This Works &amp; Sources'!$B$29:$J$36,0,IF('Second Earner'!$C$12="MFJ",1,IF('Second Earner'!$C$12="HoH",7,4))+2)),SUMPRODUCT(($AH48&gt;=INDEX('How This Works &amp; Sources'!$B$19:$J$26,0,IF('Second Earner'!$C$12="MFJ",1,IF('Second Earner'!$C$12="HoH",7,4))))*INDEX('How This Works &amp; Sources'!$B$19:$J$26,0,IF('Second Earner'!$C$12="MFJ",1,IF('Second Earner'!$C$12="HoH",7,4))+2))))</f>
      </c>
      <c r="BV48" s="24">
        <f>IF($B48="","",IF($BZ48&lt;&gt;"",$BZ48,IF($CA48&lt;&gt;"",$CA48,IF($CB48&lt;&gt;"",$CB48,IF($CC48&lt;&gt;"",$CC48,0)))))</f>
      </c>
      <c r="BW48" s="7">
        <f>IF($B48="","",IF($AN48="AR",SUMPRODUCT(($AZ48&gt;INDEX('How This Works &amp; Sources'!$B$82:$J$86,0,7))*($AZ48-INDEX('How This Works &amp; Sources'!$B$82:$J$86,0,7))*INDEX('How This Works &amp; Sources'!$B$82:$J$86,0,7+2)),IF($AN48="MD",IF(OR($AU48="Married",$AU48="Head of household"),SUMPRODUCT(($AZ48&gt;INDEX('How This Works &amp; Sources'!$B$114:$J$120,0,1))*($AZ48-INDEX('How This Works &amp; Sources'!$B$114:$J$120,0,1))*INDEX('How This Works &amp; Sources'!$B$114:$J$120,0,1+2)),SUMPRODUCT(($AZ48&gt;INDEX('How This Works &amp; Sources'!$B$103:$J$109,0,7))*($AZ48-INDEX('How This Works &amp; Sources'!$B$103:$J$109,0,7))*INDEX('How This Works &amp; Sources'!$B$103:$J$109,0,7+2))),IF($AN48="MT",IF($AU48="Head of household",SUMPRODUCT(($AZ48&gt;INDEX('How This Works &amp; Sources'!$B$137:$J$139,0,1))*($AZ48-INDEX('How This Works &amp; Sources'!$B$137:$J$139,0,1))*INDEX('How This Works &amp; Sources'!$B$137:$J$139,0,1+2)),IF($AU48="Married",SUMPRODUCT(($AZ48&gt;INDEX('How This Works &amp; Sources'!$B$125:$J$132,0,7))*($AZ48-INDEX('How This Works &amp; Sources'!$B$125:$J$132,0,7))*INDEX('How This Works &amp; Sources'!$B$125:$J$132,0,7+2)),SUMPRODUCT(($AZ48&gt;INDEX('How This Works &amp; Sources'!$B$125:$J$132,0,4))*($AZ48-INDEX('How This Works &amp; Sources'!$B$125:$J$132,0,4))*INDEX('How This Works &amp; Sources'!$B$125:$J$132,0,4+2)))),IF($AN48="ND",IF($AU48="Head of household",SUMPRODUCT(($AZ48&gt;INDEX('How This Works &amp; Sources'!$B$144:$J$150,0,1))*($AZ48-INDEX('How This Works &amp; Sources'!$B$144:$J$150,0,1))*INDEX('How This Works &amp; Sources'!$B$144:$J$150,0,1+2)),IF($AU48="Married",SUMPRODUCT(($AZ48&gt;INDEX('How This Works &amp; Sources'!$B$137:$J$139,0,7))*($AZ48-INDEX('How This Works &amp; Sources'!$B$137:$J$139,0,7))*INDEX('How This Works &amp; Sources'!$B$137:$J$139,0,7+2)),SUMPRODUCT(($AZ48&gt;INDEX('How This Works &amp; Sources'!$B$137:$J$139,0,4))*($AZ48-INDEX('How This Works &amp; Sources'!$B$137:$J$139,0,4))*INDEX('How This Works &amp; Sources'!$B$137:$J$139,0,4+2)))),IF($AN48="NJ",IF('Second Earner'!$C$77="B",SUMPRODUCT(($AZ48&gt;INDEX('How This Works &amp; Sources'!$B$155:$J$162,0,4))*($AZ48-INDEX('How This Works &amp; Sources'!$B$155:$J$162,0,4))*INDEX('How This Works &amp; Sources'!$B$155:$J$162,0,4+2)),IF('Second Earner'!$C$77="C",SUMPRODUCT(($AZ48&gt;INDEX('How This Works &amp; Sources'!$B$155:$J$162,0,7))*($AZ48-INDEX('How This Works &amp; Sources'!$B$155:$J$162,0,7))*INDEX('How This Works &amp; Sources'!$B$155:$J$162,0,7+2)),IF('Second Earner'!$C$77="D",SUMPRODUCT(($AZ48&gt;INDEX('How This Works &amp; Sources'!$B$167:$J$179,0,1))*($AZ48-INDEX('How This Works &amp; Sources'!$B$167:$J$179,0,1))*INDEX('How This Works &amp; Sources'!$B$167:$J$179,0,1+2)),IF('Second Earner'!$C$77="E",SUMPRODUCT(($AZ48&gt;INDEX('How This Works &amp; Sources'!$B$167:$J$179,0,4))*($AZ48-INDEX('How This Works &amp; Sources'!$B$167:$J$179,0,4))*INDEX('How This Works &amp; Sources'!$B$167:$J$179,0,4+2)),SUMPRODUCT(($AZ48&gt;INDEX('How This Works &amp; Sources'!$B$155:$J$162,0,1))*($AZ48-INDEX('How This Works &amp; Sources'!$B$155:$J$162,0,1))*INDEX('How This Works &amp; Sources'!$B$155:$J$162,0,1+2)))))),IF($AN48="NY",IF($AU48="Married",IF($AZ48&gt;=2155350,$AZ48*IF($AZ48&gt;25000000,0.117,IF($AZ48&gt;5000000,0.111,0.1045)),SUMPRODUCT(($AZ48&gt;INDEX('How This Works &amp; Sources'!$B$184:$J$198,0,1))*($AZ48-INDEX('How This Works &amp; Sources'!$B$184:$J$198,0,1))*INDEX('How This Works &amp; Sources'!$B$184:$J$198,0,1+2))),IF($AZ48&gt;=1077550,$AZ48*IF($AZ48&gt;25000000,0.117,IF($AZ48&gt;5000000,0.111,0.1045)),SUMPRODUCT(($AZ48&gt;INDEX('How This Works &amp; Sources'!$B$167:$J$179,0,7))*($AZ48-INDEX('How This Works &amp; Sources'!$B$167:$J$179,0,7))*INDEX('How This Works &amp; Sources'!$B$167:$J$179,0,7+2)))),"")))))))</f>
      </c>
      <c r="BX48" s="7">
        <f>IF($B48="","",IF($AN48="AL",IF(OR($AU48="Married",$AU48="Head of household"),SUMPRODUCT(($AZ48&gt;INDEX('How This Works &amp; Sources'!$B$82:$J$86,0,4))*($AZ48-INDEX('How This Works &amp; Sources'!$B$82:$J$86,0,4))*INDEX('How This Works &amp; Sources'!$B$82:$J$86,0,4+2)),SUMPRODUCT(($AZ48&gt;INDEX('How This Works &amp; Sources'!$B$82:$J$86,0,1))*($AZ48-INDEX('How This Works &amp; Sources'!$B$82:$J$86,0,1))*INDEX('How This Works &amp; Sources'!$B$82:$J$86,0,1+2))),IF($AN48="KS",IF($AU48="Married",SUMPRODUCT(($AZ48&gt;INDEX('How This Works &amp; Sources'!$B$103:$J$109,0,4))*($AZ48-INDEX('How This Works &amp; Sources'!$B$103:$J$109,0,4))*INDEX('How This Works &amp; Sources'!$B$103:$J$109,0,4+2)),SUMPRODUCT(($AZ48&gt;INDEX('How This Works &amp; Sources'!$B$103:$J$109,0,1))*($AZ48-INDEX('How This Works &amp; Sources'!$B$103:$J$109,0,1))*INDEX('How This Works &amp; Sources'!$B$103:$J$109,0,1+2))),IF($AN48="MN",IF($AU48="Married",SUMPRODUCT(($AZ48&gt;INDEX('How This Works &amp; Sources'!$B$114:$J$120,0,7))*($AZ48-INDEX('How This Works &amp; Sources'!$B$114:$J$120,0,7))*INDEX('How This Works &amp; Sources'!$B$114:$J$120,0,7+2)),SUMPRODUCT(($AZ48&gt;INDEX('How This Works &amp; Sources'!$B$114:$J$120,0,4))*($AZ48-INDEX('How This Works &amp; Sources'!$B$114:$J$120,0,4))*INDEX('How This Works &amp; Sources'!$B$114:$J$120,0,4+2))),IF($AN48="MO",SUMPRODUCT(($AZ48&gt;INDEX('How This Works &amp; Sources'!$B$125:$J$132,0,1))*($AZ48-INDEX('How This Works &amp; Sources'!$B$125:$J$132,0,1))*INDEX('How This Works &amp; Sources'!$B$125:$J$132,0,1+2)),IF($AN48="NE",MAX(IF($AU48="Married",SUMPRODUCT(($AZ48&gt;INDEX('How This Works &amp; Sources'!$B$144:$J$150,0,7))*($AZ48-INDEX('How This Works &amp; Sources'!$B$144:$J$150,0,7))*INDEX('How This Works &amp; Sources'!$B$144:$J$150,0,7+2)),SUMPRODUCT(($AZ48&gt;INDEX('How This Works &amp; Sources'!$B$144:$J$150,0,4))*($AZ48-INDEX('How This Works &amp; Sources'!$B$144:$J$150,0,4))*INDEX('How This Works &amp; Sources'!$B$144:$J$150,0,4+2))),0.015*$AZ48),IF($AN48="OH",IF($B48&gt;=DATE(2026,8,1),SUMPRODUCT(($AZ48&gt;INDEX('How This Works &amp; Sources'!$B$203:$J$206,0,1))*($AZ48-INDEX('How This Works &amp; Sources'!$B$203:$J$206,0,1))*INDEX('How This Works &amp; Sources'!$B$203:$J$206,0,1+2)),SUMPRODUCT(($AZ48&gt;INDEX('How This Works &amp; Sources'!$B$184:$J$198,0,7))*($AZ48-INDEX('How This Works &amp; Sources'!$B$184:$J$198,0,7))*INDEX('How This Works &amp; Sources'!$B$184:$J$198,0,7+2))),IF($AN48="OK",IF($AU48="Married",SUMPRODUCT(($AZ48&gt;INDEX('How This Works &amp; Sources'!$B$203:$J$206,0,7))*($AZ48-INDEX('How This Works &amp; Sources'!$B$203:$J$206,0,7))*INDEX('How This Works &amp; Sources'!$B$203:$J$206,0,7+2)),SUMPRODUCT(($AZ48&gt;INDEX('How This Works &amp; Sources'!$B$203:$J$206,0,4))*($AZ48-INDEX('How This Works &amp; Sources'!$B$203:$J$206,0,4))*INDEX('How This Works &amp; Sources'!$B$203:$J$206,0,4+2))),IF($AN48="VT",IF($AU48="Married",SUMPRODUCT(($AZ48&gt;INDEX('How This Works &amp; Sources'!$B$228:$J$232,0,1))*($AZ48-INDEX('How This Works &amp; Sources'!$B$228:$J$232,0,1))*INDEX('How This Works &amp; Sources'!$B$228:$J$232,0,1+2)),SUMPRODUCT(($AZ48&gt;INDEX('How This Works &amp; Sources'!$B$219:$J$223,0,7))*($AZ48-INDEX('How This Works &amp; Sources'!$B$219:$J$223,0,7))*INDEX('How This Works &amp; Sources'!$B$219:$J$223,0,7+2))),IF($AN48="WV",IF($AU48="Married",SUMPRODUCT(($AZ48&gt;INDEX('How This Works &amp; Sources'!$B$237:$J$241,0,7))*($AZ48-INDEX('How This Works &amp; Sources'!$B$237:$J$241,0,7))*INDEX('How This Works &amp; Sources'!$B$237:$J$241,0,7+2)),SUMPRODUCT(($AZ48&gt;INDEX('How This Works &amp; Sources'!$B$228:$J$232,0,7))*($AZ48-INDEX('How This Works &amp; Sources'!$B$228:$J$232,0,7))*INDEX('How This Works &amp; Sources'!$B$228:$J$232,0,7+2))),""))))))))))</f>
      </c>
      <c r="BY48" s="7">
        <f>IF($B48="","",IF($AN48="DE",SUMPRODUCT(($AZ48&gt;INDEX('How This Works &amp; Sources'!$B$91:$J$98,0,1))*($AZ48-INDEX('How This Works &amp; Sources'!$B$91:$J$98,0,1))*INDEX('How This Works &amp; Sources'!$B$91:$J$98,0,1+2)),IF($AN48="HI",IF($AU48="Married",SUMPRODUCT(($AZ48&gt;INDEX('How This Works &amp; Sources'!$B$91:$J$98,0,7))*($AZ48-INDEX('How This Works &amp; Sources'!$B$91:$J$98,0,7))*INDEX('How This Works &amp; Sources'!$B$91:$J$98,0,7+2)),SUMPRODUCT(($AZ48&gt;INDEX('How This Works &amp; Sources'!$B$91:$J$98,0,4))*($AZ48-INDEX('How This Works &amp; Sources'!$B$91:$J$98,0,4))*INDEX('How This Works &amp; Sources'!$B$91:$J$98,0,4+2))),IF($AN48="RI",SUMPRODUCT(($AZ48&gt;INDEX('How This Works &amp; Sources'!$B$211:$J$214,0,7))*($AZ48-INDEX('How This Works &amp; Sources'!$B$211:$J$214,0,7))*INDEX('How This Works &amp; Sources'!$B$211:$J$214,0,7+2)),IF($AN48="SC",SUMPRODUCT(($AZ48&gt;INDEX('How This Works &amp; Sources'!$B$219:$J$223,0,1))*($AZ48-INDEX('How This Works &amp; Sources'!$B$219:$J$223,0,1))*INDEX('How This Works &amp; Sources'!$B$219:$J$223,0,1+2)),IF($AN48="VA",SUMPRODUCT(($AZ48&gt;INDEX('How This Works &amp; Sources'!$B$219:$J$223,0,4))*($AZ48-INDEX('How This Works &amp; Sources'!$B$219:$J$223,0,4))*INDEX('How This Works &amp; Sources'!$B$219:$J$223,0,4+2)),IF($AN48="WI",SUMPRODUCT(($AZ48&gt;INDEX('How This Works &amp; Sources'!$B$228:$J$232,0,4))*($AZ48-INDEX('How This Works &amp; Sources'!$B$228:$J$232,0,4))*INDEX('How This Works &amp; Sources'!$B$228:$J$232,0,4+2)),"")))))))</f>
      </c>
      <c r="BZ48" s="24">
        <f>IF($B48="","",IF($AN48="KS",IF($AU48="Married",SUMPRODUCT(($AZ48&gt;=INDEX('How This Works &amp; Sources'!$B$103:$J$109,0,4))*INDEX('How This Works &amp; Sources'!$B$103:$J$109,0,4+2)),SUMPRODUCT(($AZ48&gt;=INDEX('How This Works &amp; Sources'!$B$103:$J$109,0,1))*INDEX('How This Works &amp; Sources'!$B$103:$J$109,0,1+2))),IF($AN48="MT",IF($AU48="Head of household",SUMPRODUCT(($AZ48&gt;=INDEX('How This Works &amp; Sources'!$B$137:$J$139,0,1))*INDEX('How This Works &amp; Sources'!$B$137:$J$139,0,1+2)),IF($AU48="Married",SUMPRODUCT(($AZ48&gt;=INDEX('How This Works &amp; Sources'!$B$125:$J$132,0,7))*INDEX('How This Works &amp; Sources'!$B$125:$J$132,0,7+2)),SUMPRODUCT(($AZ48&gt;=INDEX('How This Works &amp; Sources'!$B$125:$J$132,0,4))*INDEX('How This Works &amp; Sources'!$B$125:$J$132,0,4+2)))),IF($AN48="OR",IF(OR($AU48="Married",AND($AU48="Single",$AS48&gt;=3)),SUMPRODUCT((MAX(0,$AY48-MIN(($P48-'How This Works &amp; Sources'!$C$10*$D48)*'Second Earner'!$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Sources'!$B$211:$J$214,0,4))*INDEX('How This Works &amp; Sources'!$B$211:$J$214,0,4+2)),SUMPRODUCT((MAX(0,$AY48-MIN(($P48-'How This Works &amp; Sources'!$C$10*$D48)*'Second Earner'!$C$8,IF(OR($AU48="Married",AND($AU48="Single",$AS48&gt;=3)),IF($AY48&lt;250000,8750,IF($AY48&lt;260000,7000,IF($AY48&lt;270000,5250,IF($AY48&lt;280000,3500,IF($AY48&lt;290000,1750,0))))),IF($AY48&lt;125000,8750,IF($AY48&lt;130000,7000,IF($AY48&lt;135000,5250,IF($AY48&lt;140000,3500,IF($AY48&lt;145000,1750,0)))))))-IF(OR($AU48="Married",AND($AU48="Single",$AS48&gt;=3)),5820,2910))&gt;=INDEX('How This Works &amp; Sources'!$B$211:$J$214,0,1))*INDEX('How This Works &amp; Sources'!$B$211:$J$214,0,1+2)))*IF(($P48-'How This Works &amp; Sources'!$C$10*$D48)*'Second Earner'!$C$8&gt;=IF(OR($AU48="Married",AND($AU48="Single",$AS48&gt;=3)),IF($AY48&lt;250000,8750,IF($AY48&lt;260000,7000,IF($AY48&lt;270000,5250,IF($AY48&lt;280000,3500,IF($AY48&lt;290000,1750,0))))),IF($AY48&lt;125000,8750,IF($AY48&lt;130000,7000,IF($AY48&lt;135000,5250,IF($AY48&lt;140000,3500,IF($AY48&lt;145000,1750,0)))))),1,1-IF('Second Earner'!$C$13,SUMPRODUCT(($AH48&gt;=INDEX('How This Works &amp; Sources'!$B$29:$J$36,0,IF('Second Earner'!$C$12="MFJ",1,IF('Second Earner'!$C$12="HoH",7,4))))*INDEX('How This Works &amp; Sources'!$B$29:$J$36,0,IF('Second Earner'!$C$12="MFJ",1,IF('Second Earner'!$C$12="HoH",7,4))+2)),SUMPRODUCT(($AH48&gt;=INDEX('How This Works &amp; Sources'!$B$19:$J$26,0,IF('Second Earner'!$C$12="MFJ",1,IF('Second Earner'!$C$12="HoH",7,4))))*INDEX('How This Works &amp; Sources'!$B$19:$J$26,0,IF('Second Earner'!$C$12="MFJ",1,IF('Second Earner'!$C$12="HoH",7,4))+2)))),""))))</f>
      </c>
      <c r="CA48" s="24">
        <f>IF($B48="","",IF($AN48="CA",SUMPRODUCT(($AJ48&gt;=INDEX('How This Works &amp; Sources'!$B$39:$J$48,0,IF($AU48="Married",4,IF($AU48="Head of household",7,1))))*INDEX('How This Works &amp; Sources'!$B$39:$J$48,0,IF($AU48="Married",4,IF($AU48="Head of household",7,1))+2)),IF($AN48="AL",IF(OR($AU48="Married",$AU48="Head of household"),SUMPRODUCT(($AZ48&gt;=INDEX('How This Works &amp; Sources'!$B$82:$J$86,0,4))*INDEX('How This Works &amp; Sources'!$B$82:$J$86,0,4+2)),SUMPRODUCT(($AZ48&gt;=INDEX('How This Works &amp; Sources'!$B$82:$J$86,0,1))*INDEX('How This Works &amp; Sources'!$B$82:$J$86,0,1+2)))*(1-IF('Second Earner'!$C$13,SUMPRODUCT(($AH48&gt;=INDEX('How This Works &amp; Sources'!$B$29:$J$36,0,IF('Second Earner'!$C$12="MFJ",1,IF('Second Earner'!$C$12="HoH",7,4))))*INDEX('How This Works &amp; Sources'!$B$29:$J$36,0,IF('Second Earner'!$C$12="MFJ",1,IF('Second Earner'!$C$12="HoH",7,4))+2)),SUMPRODUCT(($AH48&gt;=INDEX('How This Works &amp; Sources'!$B$19:$J$26,0,IF('Second Earner'!$C$12="MFJ",1,IF('Second Earner'!$C$12="HoH",7,4))))*INDEX('How This Works &amp; Sources'!$B$19:$J$26,0,IF('Second Earner'!$C$12="MFJ",1,IF('Second Earner'!$C$12="HoH",7,4))+2)))),IF($AN48="ND",IF($AU48="Head of household",SUMPRODUCT(($AZ48&gt;=INDEX('How This Works &amp; Sources'!$B$144:$J$150,0,1))*INDEX('How This Works &amp; Sources'!$B$144:$J$150,0,1+2)),IF($AU48="Married",SUMPRODUCT(($AZ48&gt;=INDEX('How This Works &amp; Sources'!$B$137:$J$139,0,7))*INDEX('How This Works &amp; Sources'!$B$137:$J$139,0,7+2)),SUMPRODUCT(($AZ48&gt;=INDEX('How This Works &amp; Sources'!$B$137:$J$139,0,4))*INDEX('How This Works &amp; Sources'!$B$137:$J$139,0,4+2)))),IF($AN48="NJ",IF('Second Earner'!$C$77="B",SUMPRODUCT(($AZ48&gt;=INDEX('How This Works &amp; Sources'!$B$155:$J$162,0,4))*INDEX('How This Works &amp; Sources'!$B$155:$J$162,0,4+2)),IF('Second Earner'!$C$77="C",SUMPRODUCT(($AZ48&gt;=INDEX('How This Works &amp; Sources'!$B$155:$J$162,0,7))*INDEX('How This Works &amp; Sources'!$B$155:$J$162,0,7+2)),IF('Second Earner'!$C$77="D",SUMPRODUCT(($AZ48&gt;=INDEX('How This Works &amp; Sources'!$B$167:$J$179,0,1))*INDEX('How This Works &amp; Sources'!$B$167:$J$179,0,1+2)),IF('Second Earner'!$C$77="E",SUMPRODUCT(($AZ48&gt;=INDEX('How This Works &amp; Sources'!$B$167:$J$179,0,4))*INDEX('How This Works &amp; Sources'!$B$167:$J$179,0,4+2)),SUMPRODUCT(($AZ48&gt;=INDEX('How This Works &amp; Sources'!$B$155:$J$162,0,1))*INDEX('How This Works &amp; Sources'!$B$155:$J$162,0,1+2)))))),IF($AN48="NY",IF($AU48="Married",IF($AZ48&gt;=2155350,IF($AZ48&gt;25000000,0.117,IF($AZ48&gt;5000000,0.111,0.1045)),SUMPRODUCT(($AZ48&gt;=INDEX('How This Works &amp; Sources'!$B$184:$J$198,0,1))*INDEX('How This Works &amp; Sources'!$B$184:$J$198,0,1+2))),IF($AZ48&gt;=1077550,IF($AZ48&gt;25000000,0.117,IF($AZ48&gt;5000000,0.111,0.1045)),SUMPRODUCT(($AZ48&gt;=INDEX('How This Works &amp; Sources'!$B$167:$J$179,0,7))*INDEX('How This Works &amp; Sources'!$B$167:$J$179,0,7+2)))),IF($AN48="LA",0.0309,"")))))))</f>
      </c>
      <c r="CB48" s="24">
        <f>IF($B48="","",IF($AN48="HI",IF($AU48="Married",SUMPRODUCT(($AZ48&gt;=INDEX('How This Works &amp; Sources'!$B$91:$J$98,0,7))*INDEX('How This Works &amp; Sources'!$B$91:$J$98,0,7+2)),SUMPRODUCT(($AZ48&gt;=INDEX('How This Works &amp; Sources'!$B$91:$J$98,0,4))*INDEX('How This Works &amp; Sources'!$B$91:$J$98,0,4+2))),IF($AN48="MD",IF(OR($AU48="Married",$AU48="Head of household"),SUMPRODUCT(($AZ48&gt;=INDEX('How This Works &amp; Sources'!$B$114:$J$120,0,1))*INDEX('How This Works &amp; Sources'!$B$114:$J$120,0,1+2)),SUMPRODUCT(($AZ48&gt;=INDEX('How This Works &amp; Sources'!$B$103:$J$109,0,7))*INDEX('How This Works &amp; Sources'!$B$103:$J$109,0,7+2)))+'Second Earner'!$C$74,IF($AN48="MN",IF($AU48="Married",SUMPRODUCT(($AZ48&gt;=INDEX('How This Works &amp; Sources'!$B$114:$J$120,0,7))*INDEX('How This Works &amp; Sources'!$B$114:$J$120,0,7+2)),SUMPRODUCT(($AZ48&gt;=INDEX('How This Works &amp; Sources'!$B$114:$J$120,0,4))*INDEX('How This Works &amp; Sources'!$B$114:$J$120,0,4+2))),IF($AN48="MO",SUMPRODUCT(($AZ48&gt;=INDEX('How This Works &amp; Sources'!$B$125:$J$132,0,1))*INDEX('How This Works &amp; Sources'!$B$125:$J$132,0,1+2)),IF($AN48="NE",MAX(IF($AU48="Married",SUMPRODUCT(($AZ48&gt;=INDEX('How This Works &amp; Sources'!$B$144:$J$150,0,7))*INDEX('How This Works &amp; Sources'!$B$144:$J$150,0,7+2)),SUMPRODUCT(($AZ48&gt;=INDEX('How This Works &amp; Sources'!$B$144:$J$150,0,4))*INDEX('How This Works &amp; Sources'!$B$144:$J$150,0,4+2))),0.015),IF($AN48="OH",IF($B48&gt;=DATE(2026,8,1),SUMPRODUCT(($AZ48&gt;=INDEX('How This Works &amp; Sources'!$B$203:$J$206,0,1))*INDEX('How This Works &amp; Sources'!$B$203:$J$206,0,1+2)),SUMPRODUCT(($AZ48&gt;=INDEX('How This Works &amp; Sources'!$B$184:$J$198,0,7))*INDEX('How This Works &amp; Sources'!$B$184:$J$198,0,7+2))),IF($AN48="OK",IF($AU48="Married",SUMPRODUCT(($AZ48&gt;=INDEX('How This Works &amp; Sources'!$B$203:$J$206,0,7))*INDEX('How This Works &amp; Sources'!$B$203:$J$206,0,7+2)),SUMPRODUCT(($AZ48&gt;=INDEX('How This Works &amp; Sources'!$B$203:$J$206,0,4))*INDEX('How This Works &amp; Sources'!$B$203:$J$206,0,4+2))),IF($AN48="RI",SUMPRODUCT(($AZ48&gt;=INDEX('How This Works &amp; Sources'!$B$211:$J$214,0,7))*INDEX('How This Works &amp; Sources'!$B$211:$J$214,0,7+2)),IF($AN48="VT",IF($AU48="Married",SUMPRODUCT(($AZ48&gt;=INDEX('How This Works &amp; Sources'!$B$228:$J$232,0,1))*INDEX('How This Works &amp; Sources'!$B$228:$J$232,0,1+2)),SUMPRODUCT(($AZ48&gt;=INDEX('How This Works &amp; Sources'!$B$219:$J$223,0,7))*INDEX('How This Works &amp; Sources'!$B$219:$J$223,0,7+2))),IF($AN48="WV",IF($AU48="Married",SUMPRODUCT(($AZ48&gt;=INDEX('How This Works &amp; Sources'!$B$237:$J$241,0,7))*INDEX('How This Works &amp; Sources'!$B$237:$J$241,0,7+2)),SUMPRODUCT(($AZ48&gt;=INDEX('How This Works &amp; Sources'!$B$228:$J$232,0,7))*INDEX('How This Works &amp; Sources'!$B$228:$J$232,0,7+2))),IF($AN48="AZ",'Second Earner'!$C$82,IF($AN48="ID",IF($AY48&gt;IF($AU48="Married",32000,16094),0.053,0),"")))))))))))))</f>
      </c>
      <c r="CC48" s="24">
        <f>IF($B48="","",IF($AN48="AR",SUMPRODUCT(($AZ48&gt;=INDEX('How This Works &amp; Sources'!$B$82:$J$86,0,7))*INDEX('How This Works &amp; Sources'!$B$82:$J$86,0,7+2)),IF($AN48="DE",SUMPRODUCT(($AZ48&gt;=INDEX('How This Works &amp; Sources'!$B$91:$J$98,0,1))*INDEX('How This Works &amp; Sources'!$B$91:$J$98,0,1+2)),IF($AN48="SC",SUMPRODUCT(($AZ48&gt;=INDEX('How This Works &amp; Sources'!$B$219:$J$223,0,1))*INDEX('How This Works &amp; Sources'!$B$219:$J$223,0,1+2)),IF($AN48="VA",SUMPRODUCT(($AZ48&gt;=INDEX('How This Works &amp; Sources'!$B$219:$J$223,0,4))*INDEX('How This Works &amp; Sources'!$B$219:$J$223,0,4+2)),IF($AN48="WI",SUMPRODUCT(($AZ48&gt;=INDEX('How This Works &amp; Sources'!$B$228:$J$232,0,4))*INDEX('How This Works &amp; Sources'!$B$228:$J$232,0,4+2)),IF($AN48="CO",IF($AY48&gt;IF($AU48="Married",10000,5000),0.044,0),IF($AN48="IA",IF($AY48&gt;IF($AU48="Head of household",19500,IF($AU48="Married",26000,13000)),0.038,0),IF($AN48="IL",IF($AY48&gt;(2925*$AS48+1000*$AT48),0.0495,0),IF($AN48="IN",(0.0295+'Second Earner'!$C$76),IF($AN48="KY",IF($AI48&gt;3360,0.035,0),IF($AN48="MA",IF(MAX(0,$AY48-MIN(($BD47+$Q48+$R48+$S48),2000)-IF($AS48=0,0,IF($AS48=1,4400,1000*$AS48+3400)))&gt;=1107750,0.09,0.05),IF($AN48="MI",IF($AY48&gt;5900*$AS48,0.0425,0),IF($AN48="MS",IF($AI48-IF($AU48="Head of household",3400,IF($AU48="Married",4600,2300))-'Second Earner'!$C$85&gt;10000,0.04,0),IF($AN48="PA",0.0307,"")))))))))))))))</f>
      </c>
      <c r="CD48" s="21">
        <f>IF(YEAR(IF('Second Earner'!$C$7="Weekly",'Second Earner'!$C$9+7*(($BE47+1)-1),IF('Second Earner'!$C$7="Biweekly",'Second Earner'!$C$9+14*(($BE47+1)-1),IF('Second Earner'!$C$7="Semimonthly",DATE(YEAR('Second Earner'!$C$9),MONTH('Second Earner'!$C$9)+INT((($BE47+1)-1)/2),MIN(DAY('Second Earner'!$C$9),DAY(EOMONTH(DATE(YEAR('Second Earner'!$C$9),MONTH('Second Earner'!$C$9)+INT((($BE47+1)-1)/2),1),0))))+IF(MOD(($BE47+1)-1,2)=1,15,0),EDATE('Second Earner'!$C$9,($BE47+1)-1)))))&lt;&gt;'Second Earner'!$C$10,"",IF('Second Earner'!$C$7="Weekly",'Second Earner'!$C$9+7*(($BE47+1)-1),IF('Second Earner'!$C$7="Biweekly",'Second Earner'!$C$9+14*(($BE47+1)-1),IF('Second Earner'!$C$7="Semimonthly",DATE(YEAR('Second Earner'!$C$9),MONTH('Second Earner'!$C$9)+INT((($BE47+1)-1)/2),MIN(DAY('Second Earner'!$C$9),DAY(EOMONTH(DATE(YEAR('Second Earner'!$C$9),MONTH('Second Earner'!$C$9)+INT((($BE47+1)-1)/2),1),0))))+IF(MOD(($BE47+1)-1,2)=1,15,0),EDATE('Second Earner'!$C$9,($BE47+1)-1)))))</f>
      </c>
      <c r="CE48" s="21">
        <f>IF(MIN(IF(AND('Second Earner'!$C$58&gt;MAX($B$6:$B47),'Second Earner'!$C$58&gt;=DATE('Second Earner'!$C$10,1,1),'Second Earner'!$C$58&lt;=DATE('Second Earner'!$C$10,12,31)),'Second Earner'!$C$58,999999),IF(AND('Second Earner'!$C$59&gt;MAX($B$6:$B47),'Second Earner'!$C$59&gt;=DATE('Second Earner'!$C$10,1,1),'Second Earner'!$C$59&lt;=DATE('Second Earner'!$C$10,12,31)),'Second Earner'!$C$59,999999),IF(AND('Second Earner'!$C$60&gt;MAX($B$6:$B47),'Second Earner'!$C$60&gt;=DATE('Second Earner'!$C$10,1,1),'Second Earner'!$C$60&lt;=DATE('Second Earner'!$C$10,12,31)),'Second Earner'!$C$60,999999),IF(AND('Second Earner'!$C$61&gt;MAX($B$6:$B47),'Second Earner'!$C$61&gt;=DATE('Second Earner'!$C$10,1,1),'Second Earner'!$C$61&lt;=DATE('Second Earner'!$C$10,12,31)),'Second Earner'!$C$61,999999),IF(AND('Second Earner'!$C$62&gt;MAX($B$6:$B47),'Second Earner'!$C$62&gt;=DATE('Second Earner'!$C$10,1,1),'Second Earner'!$C$62&lt;=DATE('Second Earner'!$C$10,12,31)),'Second Earner'!$C$62,999999),IF(AND('Second Earner'!$C$63&gt;MAX($B$6:$B47),'Second Earner'!$C$63&gt;=DATE('Second Earner'!$C$10,1,1),'Second Earner'!$C$63&lt;=DATE('Second Earner'!$C$10,12,31)),'Second Earner'!$C$63,999999),IF(AND('Second Earner'!$C$64&gt;MAX($B$6:$B47),'Second Earner'!$C$64&gt;=DATE('Second Earner'!$C$10,1,1),'Second Earner'!$C$64&lt;=DATE('Second Earner'!$C$10,12,31)),'Second Earner'!$C$64,999999),IF(AND('Second Earner'!$C$65&gt;MAX($B$6:$B47),'Second Earner'!$C$65&gt;=DATE('Second Earner'!$C$10,1,1),'Second Earner'!$C$65&lt;=DATE('Second Earner'!$C$10,12,31)),'Second Earner'!$C$65,999999),IF(AND('Second Earner'!$C$66&gt;MAX($B$6:$B47),'Second Earner'!$C$66&gt;=DATE('Second Earner'!$C$10,1,1),'Second Earner'!$C$66&lt;=DATE('Second Earner'!$C$10,12,31)),'Second Earner'!$C$66,999999),IF(AND('Second Earner'!$C$67&gt;MAX($B$6:$B47),'Second Earner'!$C$67&gt;=DATE('Second Earner'!$C$10,1,1),'Second Earner'!$C$67&lt;=DATE('Second Earner'!$C$10,12,31)),'Second Earner'!$C$67,999999))=999999,"",MIN(IF(AND('Second Earner'!$C$58&gt;MAX($B$6:$B47),'Second Earner'!$C$58&gt;=DATE('Second Earner'!$C$10,1,1),'Second Earner'!$C$58&lt;=DATE('Second Earner'!$C$10,12,31)),'Second Earner'!$C$58,999999),IF(AND('Second Earner'!$C$59&gt;MAX($B$6:$B47),'Second Earner'!$C$59&gt;=DATE('Second Earner'!$C$10,1,1),'Second Earner'!$C$59&lt;=DATE('Second Earner'!$C$10,12,31)),'Second Earner'!$C$59,999999),IF(AND('Second Earner'!$C$60&gt;MAX($B$6:$B47),'Second Earner'!$C$60&gt;=DATE('Second Earner'!$C$10,1,1),'Second Earner'!$C$60&lt;=DATE('Second Earner'!$C$10,12,31)),'Second Earner'!$C$60,999999),IF(AND('Second Earner'!$C$61&gt;MAX($B$6:$B47),'Second Earner'!$C$61&gt;=DATE('Second Earner'!$C$10,1,1),'Second Earner'!$C$61&lt;=DATE('Second Earner'!$C$10,12,31)),'Second Earner'!$C$61,999999),IF(AND('Second Earner'!$C$62&gt;MAX($B$6:$B47),'Second Earner'!$C$62&gt;=DATE('Second Earner'!$C$10,1,1),'Second Earner'!$C$62&lt;=DATE('Second Earner'!$C$10,12,31)),'Second Earner'!$C$62,999999),IF(AND('Second Earner'!$C$63&gt;MAX($B$6:$B47),'Second Earner'!$C$63&gt;=DATE('Second Earner'!$C$10,1,1),'Second Earner'!$C$63&lt;=DATE('Second Earner'!$C$10,12,31)),'Second Earner'!$C$63,999999),IF(AND('Second Earner'!$C$64&gt;MAX($B$6:$B47),'Second Earner'!$C$64&gt;=DATE('Second Earner'!$C$10,1,1),'Second Earner'!$C$64&lt;=DATE('Second Earner'!$C$10,12,31)),'Second Earner'!$C$64,999999),IF(AND('Second Earner'!$C$65&gt;MAX($B$6:$B47),'Second Earner'!$C$65&gt;=DATE('Second Earner'!$C$10,1,1),'Second Earner'!$C$65&lt;=DATE('Second Earner'!$C$10,12,31)),'Second Earner'!$C$65,999999),IF(AND('Second Earner'!$C$66&gt;MAX($B$6:$B47),'Second Earner'!$C$66&gt;=DATE('Second Earner'!$C$10,1,1),'Second Earner'!$C$66&lt;=DATE('Second Earner'!$C$10,12,31)),'Second Earner'!$C$66,999999),IF(AND('Second Earner'!$C$67&gt;MAX($B$6:$B47),'Second Earner'!$C$67&gt;=DATE('Second Earner'!$C$10,1,1),'Second Earner'!$C$67&lt;=DATE('Second Earner'!$C$10,12,31)),'Second Earner'!$C$67,999999)))</f>
      </c>
      <c r="CF48">
        <f>IF($B48="","",IF($D48=0,$Y48,""))</f>
      </c>
    </row>
    <row r="49">
      <c r="A49" t="n">
        <v>44</v>
      </c>
      <c r="B49" s="21">
        <f>IF(AND($CD49="",$CE49=""),"",IF($CE49="",$CD49,IF($CD49="",$CE49,MIN($CD49,$CE49))))</f>
      </c>
      <c r="C49" s="7">
        <f>IF($B49="","",IF($BF49=0,0,IF('Second Earner'!$C$4="Annual salary",ROUND($AK49/IF(AND('Second Earner'!$C$88="Actual paydays",MONTH('Second Earner'!$C$9)=1),MAX(1,MAX($BE$6:$BE$68)),'Second Earner'!$C$8),2),$AK49)))</f>
      </c>
      <c r="D49" s="7">
        <f>IF($B49="","",SUMIF('Second Earner'!$C$58:$C$67,$B49,'Second Earner'!$D$58:$D$67))</f>
      </c>
      <c r="E49" s="7">
        <f>IF($B49="","",ROUND(MAX(0,MIN(IF($AL49="Percent",$AM49*($C49+$D49),$AM49),MAX(0,'Second Earner'!$C$34-$AC48))),2))</f>
      </c>
      <c r="F49" s="7">
        <f>IF($B49="","",ROUND(MAX(0,MIN(IF('Second Earner'!$C$32="Percent",'Second Earner'!$D$32*($C49+$D49),'Second Earner'!$D$32),MAX(0,'Second Earner'!$C$34-$AC48-$E49))),2))</f>
      </c>
      <c r="G49" s="7">
        <f>IF($B49="","",IF($BF49=0,0,ROUND(MAX(0,MIN($BL49,'Second Earner'!$C$37-'Second Earner'!$C$54-$BI48)),2)))</f>
      </c>
      <c r="H49" s="7">
        <f>IF($B49="","",IF(OR($BF49=0,$BQ49=1),0,ROUND(MAX(0,MIN(IF($BS49=1,ROUND(MAX(0,MIN($BJ49,'How This Works &amp; Sources'!$C$13)-$BG48)/MAX(1,MAX($BE$6:$BE$68)-($BE48)),2),ROUND(MIN($BJ49,'How This Works &amp; Sources'!$C$13)/'Second Earner'!$C$8,2)),MIN($BJ49,'How This Works &amp; Sources'!$C$13)-$BG48)),2)))</f>
      </c>
      <c r="I49" s="7">
        <f>IF($B49="","",IF(OR($BF49=0,$BR49=1),0,ROUND(MAX(0,MIN(IF($BT49=1,ROUND(MAX(0,MIN($BK49,IF('Second Earner'!$C$12="MFJ",'How This Works &amp; Sources'!$C$14,'How This Works &amp; Sources'!$C$15))-$BH48)/MAX(1,MAX($BE$6:$BE$68)-($BE48)),2),ROUND(MIN($BK49,IF('Second Earner'!$C$12="MFJ",'How This Works &amp; Sources'!$C$14,'How This Works &amp; Sources'!$C$15))/'Second Earner'!$C$8,2)),MIN($BK49,IF('Second Earner'!$C$12="MFJ",'How This Works &amp; Sources'!$C$14,'How This Works &amp; Sources'!$C$15))-$BH48)),2)))</f>
      </c>
      <c r="J49" s="7">
        <f>IF($B49="","",IF($BF49=0,0,$BM49))</f>
      </c>
      <c r="K49" s="7">
        <f>IF($B49="","",IF($BF49=0,0,$BN49+$BO49))</f>
      </c>
      <c r="L49" s="7">
        <f>IF($B49="","",IF($BF49=0,0,'Second Earner'!$D$46))</f>
      </c>
      <c r="M49" s="7">
        <f>IF($B49="","",$C49+$D49+$L49-$E49-$G49-$H49-$I49-$J49-$K49)</f>
      </c>
      <c r="N49" s="7">
        <f>IF($B49="","",$C49+$D49+$L49-$G49-$H49-$I49-$J49-$K49)</f>
      </c>
      <c r="O49" s="7">
        <f>IF($B49="","",$C49+$D49+$L49-$E49-$H49-$I49-$J49-$K49-IF(OR($AN49="CA",$AN49="NJ"),0,$G49))</f>
      </c>
      <c r="P49" s="7">
        <f>IF($B49="","",IF('Second Earner'!$C$18,0,ROUND(MAX(0,IF('Second Earner'!$C$13,SUMPRODUCT(($AH49&gt;INDEX('How This Works &amp; Sources'!$B$29:$J$36,0,IF('Second Earner'!$C$12="MFJ",1,IF('Second Earner'!$C$12="HoH",7,4))))*($AH49-INDEX('How This Works &amp; Sources'!$B$29:$J$36,0,IF('Second Earner'!$C$12="MFJ",1,IF('Second Earner'!$C$12="HoH",7,4))))*INDEX('How This Works &amp; Sources'!$B$29:$J$36,0,IF('Second Earner'!$C$12="MFJ",1,IF('Second Earner'!$C$12="HoH",7,4))+2)),SUMPRODUCT(($AH49&gt;INDEX('How This Works &amp; Sources'!$B$19:$J$26,0,IF('Second Earner'!$C$12="MFJ",1,IF('Second Earner'!$C$12="HoH",7,4))))*($AH49-INDEX('How This Works &amp; Sources'!$B$19:$J$26,0,IF('Second Earner'!$C$12="MFJ",1,IF('Second Earner'!$C$12="HoH",7,4))))*INDEX('How This Works &amp; Sources'!$B$19:$J$26,0,IF('Second Earner'!$C$12="MFJ",1,IF('Second Earner'!$C$12="HoH",7,4))+2)))/'Second Earner'!$C$8-$AO49/'Second Earner'!$C$8)+$AR49+IF('Second Earner'!$C$89="Aggregate",MAX(0,IF('Second Earner'!$C$13,SUMPRODUCT((($AH49+$D49)&gt;INDEX('How This Works &amp; Sources'!$B$29:$J$36,0,IF('Second Earner'!$C$12="MFJ",1,IF('Second Earner'!$C$12="HoH",7,4))))*(($AH49+$D49)-INDEX('How This Works &amp; Sources'!$B$29:$J$36,0,IF('Second Earner'!$C$12="MFJ",1,IF('Second Earner'!$C$12="HoH",7,4))))*INDEX('How This Works &amp; Sources'!$B$29:$J$36,0,IF('Second Earner'!$C$12="MFJ",1,IF('Second Earner'!$C$12="HoH",7,4))+2)),SUMPRODUCT((($AH49+$D49)&gt;INDEX('How This Works &amp; Sources'!$B$19:$J$26,0,IF('Second Earner'!$C$12="MFJ",1,IF('Second Earner'!$C$12="HoH",7,4))))*(($AH49+$D49)-INDEX('How This Works &amp; Sources'!$B$19:$J$26,0,IF('Second Earner'!$C$12="MFJ",1,IF('Second Earner'!$C$12="HoH",7,4))))*INDEX('How This Works &amp; Sources'!$B$19:$J$26,0,IF('Second Earner'!$C$12="MFJ",1,IF('Second Earner'!$C$12="HoH",7,4))+2)))-IF('Second Earner'!$C$13,SUMPRODUCT(($AH49&gt;INDEX('How This Works &amp; Sources'!$B$29:$J$36,0,IF('Second Earner'!$C$12="MFJ",1,IF('Second Earner'!$C$12="HoH",7,4))))*($AH49-INDEX('How This Works &amp; Sources'!$B$29:$J$36,0,IF('Second Earner'!$C$12="MFJ",1,IF('Second Earner'!$C$12="HoH",7,4))))*INDEX('How This Works &amp; Sources'!$B$29:$J$36,0,IF('Second Earner'!$C$12="MFJ",1,IF('Second Earner'!$C$12="HoH",7,4))+2)),SUMPRODUCT(($AH49&gt;INDEX('How This Works &amp; Sources'!$B$19:$J$26,0,IF('Second Earner'!$C$12="MFJ",1,IF('Second Earner'!$C$12="HoH",7,4))))*($AH49-INDEX('How This Works &amp; Sources'!$B$19:$J$26,0,IF('Second Earner'!$C$12="MFJ",1,IF('Second Earner'!$C$12="HoH",7,4))))*INDEX('How This Works &amp; Sources'!$B$19:$J$26,0,IF('Second Earner'!$C$12="MFJ",1,IF('Second Earner'!$C$12="HoH",7,4))+2)))),'How This Works &amp; Sources'!$C$10*$D49),2)))</f>
      </c>
      <c r="Q49" s="7">
        <f>IF($B49="","",ROUND('How This Works &amp; Sources'!$C$4*MIN($N49,MAX(0,'How This Works &amp; Sources'!$C$3-($AX49+$AB48-$AW49))),2))</f>
      </c>
      <c r="R49" s="7">
        <f>IF($B49="","",ROUND('How This Works &amp; Sources'!$C$5*$N49,2))</f>
      </c>
      <c r="S49" s="7">
        <f>IF($B49="","",ROUND('How This Works &amp; Sources'!$C$6*MAX(0,MIN($N49,$AG48+$N49-'How This Works &amp; Sources'!$C$7)),2))</f>
      </c>
      <c r="T49" s="7">
        <f>IF($B49="","",IF('Second Earner'!$C$26,0,IF($AN49="CA",ROUND(IF($AI49&lt;=IF(($AS49+$AT49)&gt;=2,VLOOKUP($AN49,StateTables!$A$6:$AB$56,10,FALSE),VLOOKUP($AN49,StateTables!$A$6:$AB$56,9,FALSE)),0,MAX(0,SUMPRODUCT(($AJ49&gt;INDEX('How This Works &amp; Sources'!$B$39:$J$48,0,IF($AU49="Married",4,IF($AU49="Head of household",7,1))))*($AJ49-INDEX('How This Works &amp; Sources'!$B$39:$J$48,0,IF($AU49="Married",4,IF($AU49="Head of household",7,1))))*INDEX('How This Works &amp; Sources'!$B$39:$J$48,0,IF($AU49="Married",4,IF($AU49="Head of household",7,1))+2))-VLOOKUP($AN49,StateTables!$A$6:$AB$56,11,FALSE)*$AS49)/'Second Earner'!$C$8)+'Second Earner'!$C$25+VLOOKUP($AN49,StateTables!$A$6:$AB$56,13,FALSE)*$D49,2),IF(VLOOKUP($AN49,StateTables!$A$6:$AB$56,4,FALSE)="None",0,IF(ISNUMBER(SEARCH("MANUAL",VLOOKUP($AN49,StateTables!$A$6:$AB$56,5,FALSE))),'Second Earner'!$C$28,ROUND(MAX(0,$BA49+$BB49)/'Second Earner'!$C$8+'Second Earner'!$C$25+$BC49,2))))))</f>
      </c>
      <c r="U49" s="7">
        <f>IF($B49="","",IF(VLOOKUP($AN49,StateTables!$A$6:$AB$56,24,FALSE)="flatq",IF(OR(MONTH($B49)=1,MONTH($B49)=4,MONTH($B49)=7,MONTH($B49)=10),VLOOKUP($AN49,StateTables!$A$6:$AB$56,25,FALSE),0),IF(VLOOKUP($AN49,StateTables!$A$6:$AB$56,24,FALSE)="dbl",MIN(ROUND(0.005*$N49,2),ROUND(0.6*52/'Second Earner'!$C$8,2)),IF(OR(VLOOKUP($AN49,StateTables!$A$6:$AB$56,15,FALSE)="",VLOOKUP($AN49,StateTables!$A$6:$AB$56,15,FALSE)=0),0,ROUND(VLOOKUP($AN49,StateTables!$A$6:$AB$56,15,FALSE)*IF(OR(VLOOKUP($AN49,StateTables!$A$6:$AB$56,16,FALSE)="",VLOOKUP($AN49,StateTables!$A$6:$AB$56,16,FALSE)=0),$N49,MIN($N49,MAX(0,VLOOKUP($AN49,StateTables!$A$6:$AB$56,16,FALSE)-($AX49+$AB48-$AW49)))),2))))+IF(VLOOKUP($AN49,StateTables!$A$6:$AB$56,27,FALSE)="flatq",IF(OR(MONTH($B49)=1,MONTH($B49)=4,MONTH($B49)=7,MONTH($B49)=10),VLOOKUP($AN49,StateTables!$A$6:$AB$56,28,FALSE),0),IF(VLOOKUP($AN49,StateTables!$A$6:$AB$56,27,FALSE)="dbl",MIN(ROUND(0.005*$N49,2),ROUND(0.6*52/'Second Earner'!$C$8,2)),IF(OR(VLOOKUP($AN49,StateTables!$A$6:$AB$56,18,FALSE)="",VLOOKUP($AN49,StateTables!$A$6:$AB$56,18,FALSE)=0),0,ROUND(VLOOKUP($AN49,StateTables!$A$6:$AB$56,18,FALSE)*IF(OR(VLOOKUP($AN49,StateTables!$A$6:$AB$56,19,FALSE)="",VLOOKUP($AN49,StateTables!$A$6:$AB$56,19,FALSE)=0),$N49,MIN($N49,MAX(0,VLOOKUP($AN49,StateTables!$A$6:$AB$56,19,FALSE)-($AX49+$AB48-$AW49)))),2)))))</f>
      </c>
      <c r="V49" s="7">
        <f>IF($B49="","",IF($AN49="NY",IF('Second Earner'!$C$78,ROUND(SUMPRODUCT((MAX(0,($O49-$D49)*'Second Earner'!$C$8-(IF($AU49="Married",5500,5000)+1000*$AS49))&gt;INDEX('How This Works &amp; Sources'!$B$184:$J$198,0,4))*(MAX(0,($O49-$D49)*'Second Earner'!$C$8-(IF($AU49="Married",5500,5000)+1000*$AS49))-INDEX('How This Works &amp; Sources'!$B$184:$J$198,0,4))*INDEX('How This Works &amp; Sources'!$B$184:$J$198,0,4+2))/'Second Earner'!$C$8+0.0425*$D49,2),0)+IF('Second Earner'!$C$79="Resident",ROUND(0.1675*$T49,2),IF('Second Earner'!$C$79="Nonresident",ROUND(0.005*MAX(0,($O49-$D49)-(IF($AU49="Married",7950,7400)+1000*$AS49)/'Second Earner'!$C$8),2),0)),IF($AN49="PA",IF('Second Earner'!$C$80="None",'Second Earner'!$C$27+ROUND('Second Earner'!$C$81*($C49+$D49),2),ROUND(IF('Second Earner'!$C$80="Resident",IF($B49&lt;DATE(2026,7,1),0.0374,0.03735),IF($B49&lt;DATE(2026,7,1),0.0343,0.03425))*($C49+$D49),2)),IF($BF49=0,ROUND('Second Earner'!$C$81*($C49+$D49),2),'Second Earner'!$C$27+ROUND('Second Earner'!$C$81*($C49+$D49),2)))))</f>
      </c>
      <c r="W49" s="7">
        <f>IF($B49="","",IF($BF49=0,0,$BP49))</f>
      </c>
      <c r="X49" s="7">
        <f>IF($B49="","",SUM($E49:$K49)+$P49+$Q49+$R49+$S49+$T49+$U49+$V49+$W49)</f>
      </c>
      <c r="Y49" s="22">
        <f>IF($B49="","",$C49+$D49-$X49)</f>
      </c>
      <c r="Z49" s="7">
        <f>IF($B49="","",$Z48+$C49+$D49)</f>
      </c>
      <c r="AA49" s="7">
        <f>IF($B49="","",$AA48+$Y49)</f>
      </c>
      <c r="AB49" s="7">
        <f>IF($B49="","",$AB48+MIN($N49,MAX(0,'How This Works &amp; Sources'!$C$3-($AX49+$AB48-$AW49))))</f>
      </c>
      <c r="AC49" s="7">
        <f>IF($B49="","",$AC48+$E49+$F49)</f>
      </c>
      <c r="AD49" s="3">
        <f>IF($B49="","",IF(AND($AB48&lt;'How This Works &amp; Sources'!$C$3,$AB49&gt;='How This Works &amp; Sources'!$C$3),"★ Social Security maxed on this check — from the next check your net rises by about $"&amp;TEXT(ROUND('How This Works &amp; Sources'!$C$4*$N49,2),"#,##0.00")&amp;". ","")&amp;IF(AND($AC48&lt;'Second Earner'!$C$34,$AC49&gt;='Second Earner'!$C$34),"★ 401(k) reaches the $"&amp;TEXT('Second Earner'!$C$34,"#,##0")&amp;" cap on this check — deferrals stop and net pay rises. ","")&amp;IF(AND($AG48&lt;'How This Works &amp; Sources'!$C$7,$AG49&gt;='How This Works &amp; Sources'!$C$7),"★ Wages pass $200,000 — the 0.9% Additional Medicare Tax starts here. ","")&amp;IF(AND($BJ49&gt;0,$H49&gt;0,$BG48&lt;MIN($BJ49,'How This Works &amp; Sources'!$C$13),$BG48+$H49&gt;=MIN($BJ49,'How This Works &amp; Sources'!$C$13)),"★ Health FSA election is now fully deferred for the year. ",""))</f>
      </c>
      <c r="AE49" s="41" t="n"/>
      <c r="AF49" s="7">
        <f>IF(OR($B49="",$AE49=""),"",$AE49-$Y49)</f>
      </c>
      <c r="AG49" s="7">
        <f>IF($B49="","",$AG48+$N49)</f>
      </c>
      <c r="AH49" s="7">
        <f>IF($B49="","",MAX(0,($M49-$D49)*'Second Earner'!$C$8+$AP49-$AQ49-IF('Second Earner'!$C$13,0,IF('Second Earner'!$C$12="MFJ",'How This Works &amp; Sources'!$C$8,'How This Works &amp; Sources'!$C$9))))</f>
      </c>
      <c r="AI49" s="7">
        <f>IF($B49="","",$O49*'Second Earner'!$C$8)</f>
      </c>
      <c r="AJ49" s="7">
        <f>IF($B49="","",MAX(0,$AI49-VLOOKUP($AN49,StateTables!$A$6:$AB$56,12,FALSE)*$AT49-IF(($AS49+$AT49)&gt;=2,VLOOKUP($AN49,StateTables!$A$6:$AB$56,8,FALSE),VLOOKUP($AN49,StateTables!$A$6:$AB$56,7,FALSE))))</f>
      </c>
      <c r="AK49" s="7">
        <f>IF($B49="","",IFERROR(LOOKUP(2,1/(('Changes — Earner 2'!$C$6:$C$17="Salary change")*('Changes — Earner 2'!$B$6:$B$17&lt;=$B49)*('Changes — Earner 2'!$B$6:$B$17&lt;&gt;"")),'Changes — Earner 2'!$D$6:$D$17),IF('Second Earner'!$C$4="Annual salary",'Second Earner'!$C$5,'Second Earner'!$C$6)))</f>
      </c>
      <c r="AL49">
        <f>IF($B49="","",IFERROR(LOOKUP(2,1/(('Changes — Earner 2'!$C$6:$C$17="401(k) change")*('Changes — Earner 2'!$B$6:$B$17&lt;=$B49)*('Changes — Earner 2'!$B$6:$B$17&lt;&gt;"")),'Changes — Earner 2'!$D$6:$D$17),'Second Earner'!$C$30))</f>
      </c>
      <c r="AM49" s="7">
        <f>IF($B49="","",IFERROR(LOOKUP(2,1/(('Changes — Earner 2'!$C$6:$C$17="401(k) change")*('Changes — Earner 2'!$B$6:$B$17&lt;=$B49)*('Changes — Earner 2'!$B$6:$B$17&lt;&gt;"")),'Changes — Earner 2'!$E$6:$E$17),'Second Earner'!$D$31))</f>
      </c>
      <c r="AN49">
        <f>IF($B49="","",IFERROR(LOOKUP(2,1/(('Changes — Earner 2'!$C$6:$C$17="State move")*('Changes — Earner 2'!$B$6:$B$17&lt;=$B49)*('Changes — Earner 2'!$B$6:$B$17&lt;&gt;"")),'Changes — Earner 2'!$D$6:$D$17),'Second Earner'!$C$21))</f>
      </c>
      <c r="AO49" s="7">
        <f>IF($B49="","",IFERROR(LOOKUP(2,1/(('Changes — Earner 2'!$C$6:$C$17="W-4 change")*('Changes — Earner 2'!$B$6:$B$17&lt;=$B49)*('Changes — Earner 2'!$B$6:$B$17&lt;&gt;"")),'Changes — Earner 2'!$D$6:$D$17),'Second Earner'!$C$14))</f>
      </c>
      <c r="AP49" s="7">
        <f>IF($B49="","",IFERROR(LOOKUP(2,1/(('Changes — Earner 2'!$C$6:$C$17="W-4 change")*('Changes — Earner 2'!$B$6:$B$17&lt;=$B49)*('Changes — Earner 2'!$B$6:$B$17&lt;&gt;"")),'Changes — Earner 2'!$E$6:$E$17),'Second Earner'!$C$15))</f>
      </c>
      <c r="AQ49" s="7">
        <f>IF($B49="","",IFERROR(LOOKUP(2,1/(('Changes — Earner 2'!$C$6:$C$17="W-4 change")*('Changes — Earner 2'!$B$6:$B$17&lt;=$B49)*('Changes — Earner 2'!$B$6:$B$17&lt;&gt;"")),'Changes — Earner 2'!$F$6:$F$17),'Second Earner'!$C$16))</f>
      </c>
      <c r="AR49" s="7">
        <f>IF($B49="","",IFERROR(LOOKUP(2,1/(('Changes — Earner 2'!$C$6:$C$17="W-4 change")*('Changes — Earner 2'!$B$6:$B$17&lt;=$B49)*('Changes — Earner 2'!$B$6:$B$17&lt;&gt;"")),'Changes — Earner 2'!$G$6:$G$17),'Second Earner'!$C$17))</f>
      </c>
      <c r="AS49" s="6">
        <f>IF($B49="","",IFERROR(LOOKUP(2,1/((('Changes — Earner 2'!$C$6:$C$17="State move")+('Changes — Earner 2'!$C$6:$C$17="State cert change"))*('Changes — Earner 2'!$B$6:$B$17&lt;=$B49)*('Changes — Earner 2'!$B$6:$B$17&lt;&gt;"")),'Changes — Earner 2'!$F$6:$F$17),'Second Earner'!$C$23))</f>
      </c>
      <c r="AT49" s="6">
        <f>IF($B49="","",IFERROR(LOOKUP(2,1/((('Changes — Earner 2'!$C$6:$C$17="State move")+('Changes — Earner 2'!$C$6:$C$17="State cert change"))*('Changes — Earner 2'!$B$6:$B$17&lt;=$B49)*('Changes — Earner 2'!$B$6:$B$17&lt;&gt;"")),'Changes — Earner 2'!$G$6:$G$17),'Second Earner'!$C$24))</f>
      </c>
      <c r="AU49">
        <f>IF($B49="","",IFERROR(LOOKUP(2,1/(('Changes — Earner 2'!$C$6:$C$17="State move")*('Changes — Earner 2'!$B$6:$B$17&lt;=$B49)*('Changes — Earner 2'!$B$6:$B$17&lt;&gt;"")),'Changes — Earner 2'!$E$6:$E$17),'Second Earner'!$C$22))</f>
      </c>
      <c r="AV49" s="6">
        <f>IF($B49="","",1+COUNTIFS('Changes — Earner 2'!$C$6:$C$17,"Employer change",'Changes — Earner 2'!$B$6:$B$17,"&lt;="&amp;$B49,'Changes — Earner 2'!$B$6:$B$17,"&lt;&gt;"))</f>
      </c>
      <c r="AW49" s="7">
        <f>IF($B49="","",IF($AV49=1,'Second Earner'!$C$49,IF(IFERROR(MATCH(IFERROR(LOOKUP(2,1/(('Changes — Earner 2'!$C$6:$C$17="Employer change")*('Changes — Earner 2'!$B$6:$B$17&lt;=$B49)*('Changes — Earner 2'!$B$6:$B$17&lt;&gt;"")),'Changes — Earner 2'!$B$6:$B$17),""),$B$6:$B$68,1),1)&lt;=1,'Second Earner'!$C$49,INDEX($AB$6:$AB$68,MATCH(IFERROR(LOOKUP(2,1/(('Changes — Earner 2'!$C$6:$C$17="Employer change")*('Changes — Earner 2'!$B$6:$B$17&lt;=$B49)*('Changes — Earner 2'!$B$6:$B$17&lt;&gt;"")),'Changes — Earner 2'!$B$6:$B$17),""),$B$6:$B$68,1)-1))))</f>
      </c>
      <c r="AX49" s="7">
        <f>IF($B49="","",IF($AV49=1,'Second Earner'!$C$49,IFERROR(LOOKUP(2,1/(('Changes — Earner 2'!$C$6:$C$17="Employer change")*('Changes — Earner 2'!$B$6:$B$17&lt;=$B49)*('Changes — Earner 2'!$B$6:$B$17&lt;&gt;"")),'Changes — Earner 2'!$D$6:$D$17),0)))</f>
      </c>
      <c r="AY49" s="7">
        <f>IF($B49="","",($O49-$D49)*'Second Earner'!$C$8)</f>
      </c>
      <c r="AZ49" s="7">
        <f>IF($B49="","",IF($AN49="AL",MAX(0,$AY49-IF($AU49="Married",IF($AY49&lt;=25999,8500,MAX(5000,8500-175*CEILING(($AY49-25999)/500,1))),IF($AU49="Head of household",IF($AY49&lt;=25999,5200,MAX(2500,5200-135*CEILING(($AY49-25999)/500,1))),IF($AY49&lt;=25999,3000,MAX(2500,3000-25*CEILING(($AY49-25999)/500,1)))))-($P49-'How This Works &amp; Sources'!$C$10*$D49)*'Second Earner'!$C$8-IF(OR($AU49="Married",$AU49="Head of household"),3000,1500)-$AT49*IF($AY49&lt;=50000,1000,IF($AY49&lt;=100000,500,300))),IF($AN49="AR",IF(MAX(0,$AY49-2470)&lt;97701,INT(MAX(0,$AY49-2470)/100)*100+50,MAX(0,$AY49-2470)),IF($AN49="DE",MAX(0,$AI49-3250),IF($AN49="HI",MAX(0,$AI49-1144*$AS49-4350),IF($AN49="KS",MAX(0,$AI49-(9160*IF($AU49="Married",2,1)+2320*$AT49+IF($AU49="Head of household",2320,0))),IF($AN49="MD",MAX(0,$AI49-3400-3200*$AS49),IF($AN49="MN",MAX(0,$AY49-5300*$AS49),IF($AN49="MO",MAX(0,$AI49-IF($AU49="Head of household",24150,IF($AU49="Married",IF('Second Earner'!$C$83,16100,32200),16100))),IF($AN49="MT",$AY49,IF($AN49="ND",($C49+$L49)*'Second Earner'!$C$8,IF($AN49="NE",MAX(0,$AY49-2440*$AS49),IF($AN49="NJ",MAX(0,$AY49-1000*$AS49),IF($AN49="NY",MAX(0,$AY49-(IF($AU49="Married",7950,7400)+1000*$AS49)),IF($AN49="OH",MAX(0,$AY49-650*$AS49),IF($AN49="OK",MAX(0,$AY49-1000*$AS49),IF($AN49="RI",MAX(0,$AI49-1000*$AS49),IF($AN49="SC",MAX(0,$AI49-5000*$AS49-IF($AS49=0,0,MIN(0.1*$AI49,7500))),IF($AN49="VA",MAX(0,$AI49-IF($AU49="Married",17500,8750)-930*$AS49-800*$AT49),IF($AN49="VT",MAX(0,$AI49-5400*$AS49),IF($AN49="WI",MAX(0,$AI49-MAX(0,IF($AU49="Married",9461-0.2*MAX(0,$AI49-25727),6702-0.12*MAX(0,$AI49-17780)))-400*$AS49),IF($AN49="WV",MAX(0,$AI49-2000*$AS49),$AI49))))))))))))))))))))))</f>
      </c>
      <c r="BA49" s="7">
        <f>IF($B49="","",IF($BW49&lt;&gt;"",$BW49,IF($BX49&lt;&gt;"",$BX49,IF($BY49&lt;&gt;"",$BY49,0))))</f>
      </c>
      <c r="BB49" s="7">
        <f>IF($B49="","",IF($AN49="AR",-29*$AS49,IF($AN49="DE",-110*$AS49,IF($AN49="MD",$AZ49*'Second Earner'!$C$74,IF($AN49="AZ",'Second Earner'!$C$82*($M49-$D49)*'Second Earner'!$C$8,IF($AN49="CO",0.044*MAX(0,$AY49-IF($AU49="Married",10000,5000)),IF($AN49="IA",MAX(0,0.038*MAX(0,$AY49-IF($AU49="Head of household",19500,IF($AU49="Married",26000,13000)))-40*$AS49),IF($AN49="ID",0.053*MAX(0,$AY49-IF($AU49="Married",32000,16094)),IF($AN49="IL",0.0495*MAX(0,$AY49-(2925*$AS49+1000*$AT49)),IF($AN49="IN",(0.0295+'Second Earner'!$C$76)*MAX(0,$AY49-(1000*$AS49+1500*$AT49+3000*'Second Earner'!$C$86)),IF($AN49="KY",0.035*MAX(0,$AI49-3360),IF($AN49="LA",IF('Second Earner'!$C$84="0",0.0309*$AI49,0.0309*MAX(0,$AI49-IF('Second Earner'!$C$84="2",25750,12875))),IF($AN49="MA",0.05*MIN(MAX(0,$AY49-MIN(($BD48+$Q49+$R49+$S49),2000)-IF($AS49=0,0,IF($AS49=1,4400,1000*$AS49+3400))),1107750)+0.09*MAX(0,MAX(0,$AY49-MIN(($BD48+$Q49+$R49+$S49),2000)-IF($AS49=0,0,IF($AS49=1,4400,1000*$AS49+3400)))-1107750)-IF($AU49="Head of household",120,0)-110*'Second Earner'!$C$75,IF($AN49="MI",0.0425*MAX(0,$AY49-5900*$AS49),IF($AN49="MS",0.04*MAX(0,$AI49-IF($AU49="Head of household",3400,IF($AU49="Married",4600,2300))-'Second Earner'!$C$85-10000),IF($AN49="OR",IF(OR($AU49="Married",AND($AU49="Single",$AS49&gt;=3)),SUMPRODUCT((MAX(0,$AY49-MIN(($P49-'How This Works &amp; Sources'!$C$10*$D49)*'Second Earner'!$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Sources'!$B$211:$J$214,0,4))*(MAX(0,$AY49-MIN(($P49-'How This Works &amp; Sources'!$C$10*$D49)*'Second Earner'!$C$8,IF(OR($AU49="Married",AND($AU49="Single",$AS49&gt;=3)),IF($AY49&lt;250000,8750,IF($AY49&lt;260000,7000,IF($AY49&lt;270000,5250,IF($AY49&lt;280000,3500,IF($AY49&lt;290000,1750,0))))),IF($AY49&lt;125000,8750,IF($AY49&lt;130000,7000,IF($AY49&lt;135000,5250,IF($AY49&lt;140000,3500,IF($AY49&lt;145000,1750,0)))))))-IF(OR($AU49="Married",AND($AU49="Single",$AS49&gt;=3)),5820,2910))-INDEX('How This Works &amp; Sources'!$B$211:$J$214,0,4))*INDEX('How This Works &amp; Sources'!$B$211:$J$214,0,4+2)),SUMPRODUCT((MAX(0,$AY49-MIN(($P49-'How This Works &amp; Sources'!$C$10*$D49)*'Second Earner'!$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Sources'!$B$211:$J$214,0,1))*(MAX(0,$AY49-MIN(($P49-'How This Works &amp; Sources'!$C$10*$D49)*'Second Earner'!$C$8,IF(OR($AU49="Married",AND($AU49="Single",$AS49&gt;=3)),IF($AY49&lt;250000,8750,IF($AY49&lt;260000,7000,IF($AY49&lt;270000,5250,IF($AY49&lt;280000,3500,IF($AY49&lt;290000,1750,0))))),IF($AY49&lt;125000,8750,IF($AY49&lt;130000,7000,IF($AY49&lt;135000,5250,IF($AY49&lt;140000,3500,IF($AY49&lt;145000,1750,0)))))))-IF(OR($AU49="Married",AND($AU49="Single",$AS49&gt;=3)),5820,2910))-INDEX('How This Works &amp; Sources'!$B$211:$J$214,0,1))*INDEX('How This Works &amp; Sources'!$B$211:$J$214,0,1+2)))+263-263*IF(IF($AU49="Married",$AY49&gt;200000,$AY49&gt;100000),0,$AS49),IF($AN49="PA",0.0307*(($O49+$E49+$G49)*'Second Earner'!$C$8),IF($AN49="NY",IF($AU49="Married",IF($AZ49&gt;=2155350,0,IF($AZ49&gt;=1077550,0.48,IF($AZ49&gt;=373200,1.21,IF($AZ49&gt;=323200,0.21,IF($AZ49&gt;=211550,-0.19,IF($AZ49&gt;=157650,-2.8,IF($AZ49&gt;=107650,-0.8,IF($AZ49&gt;=96800,0.05,IF($AZ49&gt;=80650,-0.1,IF($AZ49&gt;=13900,0.4,IF($AZ49&gt;=11700,-0.3,IF($AZ49&gt;=8500,0.5,0)))))))))))),IF($AZ49&gt;=1077550,0,IF($AZ49&gt;=265400,4.29,IF($AZ49&gt;=215400,2.29,IF($AZ49&gt;=157650,2.29,IF($AZ49&gt;=107650,0.29,IF($AZ49&gt;=96800,0.05,IF($AZ49&gt;=80650,-0.1,IF($AZ49&gt;=13900,0.4,IF($AZ49&gt;=11700,-0.3,IF($AZ49&gt;=8500,0.5,0))))))))))),0))))))))))))))))))</f>
      </c>
      <c r="BC49" s="7">
        <f>IF($B49="","",IF($AN49="AL",0.05*$D49,IF($AN49="AR",0.039*$D49,IF($AN49="ID",0.053*$D49,IF($AN49="IN",(0.0295+'Second Earner'!$C$76)*$D49,IF($AN49="KS",0.05*$D49,IF($AN49="MA",0.09*MIN($D49,MAX(0,MAX(0,$AY49-MIN(($BD48+$Q49+$R49+$S49),2000)-IF($AS49=0,0,IF($AS49=1,4400,1000*$AS49+3400)))+$D49-1107750))+0.05*($D49-MIN($D49,MAX(0,MAX(0,$AY49-MIN(($BD48+$Q49+$R49+$S49),2000)-IF($AS49=0,0,IF($AS49=1,4400,1000*$AS49+3400)))+$D49-1107750))),IF($AN49="MD",(0.065+'Second Earner'!$C$74)*$D49,IF($AN49="MI",0.0425*$D49,IF($AN49="MN",0.0625*$D49,IF($AN49="MO",0.047*$D49,IF($AN49="MT",0.05*$D49,IF($AN49="ND",0.015*$D49,IF($AN49="NE",0.035*$D49,IF($AN49="NJ",IF('Second Earner'!$C$77="B",SUMPRODUCT(($D49*'Second Earner'!$C$8&gt;INDEX('How This Works &amp; Sources'!$B$155:$J$162,0,4))*($D49*'Second Earner'!$C$8-INDEX('How This Works &amp; Sources'!$B$155:$J$162,0,4))*INDEX('How This Works &amp; Sources'!$B$155:$J$162,0,4+2)),IF('Second Earner'!$C$77="C",SUMPRODUCT(($D49*'Second Earner'!$C$8&gt;INDEX('How This Works &amp; Sources'!$B$155:$J$162,0,7))*($D49*'Second Earner'!$C$8-INDEX('How This Works &amp; Sources'!$B$155:$J$162,0,7))*INDEX('How This Works &amp; Sources'!$B$155:$J$162,0,7+2)),IF('Second Earner'!$C$77="D",SUMPRODUCT(($D49*'Second Earner'!$C$8&gt;INDEX('How This Works &amp; Sources'!$B$167:$J$179,0,1))*($D49*'Second Earner'!$C$8-INDEX('How This Works &amp; Sources'!$B$167:$J$179,0,1))*INDEX('How This Works &amp; Sources'!$B$167:$J$179,0,1+2)),IF('Second Earner'!$C$77="E",SUMPRODUCT(($D49*'Second Earner'!$C$8&gt;INDEX('How This Works &amp; Sources'!$B$167:$J$179,0,4))*($D49*'Second Earner'!$C$8-INDEX('How This Works &amp; Sources'!$B$167:$J$179,0,4))*INDEX('How This Works &amp; Sources'!$B$167:$J$179,0,4+2)),SUMPRODUCT(($D49*'Second Earner'!$C$8&gt;INDEX('How This Works &amp; Sources'!$B$155:$J$162,0,1))*($D49*'Second Earner'!$C$8-INDEX('How This Works &amp; Sources'!$B$155:$J$162,0,1))*INDEX('How This Works &amp; Sources'!$B$155:$J$162,0,1+2))))))/'Second Earner'!$C$8,IF($AN49="NY",0.117*$D49,IF($AN49="OH",0.0275*$D49,IF($AN49="OK",0.045*$D49,IF($AN49="OR",0.08*$D49,IF($AN49="WI",IF($AY49&lt;12760,0.0354,IF($AY49&lt;25520,0.0465,IF($AY49&lt;280950,0.053,0.0765)))*$D49,0))))))))))))))))))))</f>
      </c>
      <c r="BD49" s="7">
        <f>IF($B49="","",$BD48+$Q49+$R49+$S49)</f>
      </c>
      <c r="BE49" s="6">
        <f>IF($B49="",$BE48,$BE48+$BF49)</f>
      </c>
      <c r="BF49" s="6">
        <f>IF($B49="","",IF(AND(IF(YEAR(IF('Second Earner'!$C$7="Weekly",'Second Earner'!$C$9+7*(($BE48+1)-1),IF('Second Earner'!$C$7="Biweekly",'Second Earner'!$C$9+14*(($BE48+1)-1),IF('Second Earner'!$C$7="Semimonthly",DATE(YEAR('Second Earner'!$C$9),MONTH('Second Earner'!$C$9)+INT((($BE48+1)-1)/2),MIN(DAY('Second Earner'!$C$9),DAY(EOMONTH(DATE(YEAR('Second Earner'!$C$9),MONTH('Second Earner'!$C$9)+INT((($BE48+1)-1)/2),1),0))))+IF(MOD(($BE48+1)-1,2)=1,15,0),EDATE('Second Earner'!$C$9,($BE48+1)-1)))))&lt;&gt;'Second Earner'!$C$10,"",IF('Second Earner'!$C$7="Weekly",'Second Earner'!$C$9+7*(($BE48+1)-1),IF('Second Earner'!$C$7="Biweekly",'Second Earner'!$C$9+14*(($BE48+1)-1),IF('Second Earner'!$C$7="Semimonthly",DATE(YEAR('Second Earner'!$C$9),MONTH('Second Earner'!$C$9)+INT((($BE48+1)-1)/2),MIN(DAY('Second Earner'!$C$9),DAY(EOMONTH(DATE(YEAR('Second Earner'!$C$9),MONTH('Second Earner'!$C$9)+INT((($BE48+1)-1)/2),1),0))))+IF(MOD(($BE48+1)-1,2)=1,15,0),EDATE('Second Earner'!$C$9,($BE48+1)-1)))))&lt;&gt;"",$B49=IF(YEAR(IF('Second Earner'!$C$7="Weekly",'Second Earner'!$C$9+7*(($BE48+1)-1),IF('Second Earner'!$C$7="Biweekly",'Second Earner'!$C$9+14*(($BE48+1)-1),IF('Second Earner'!$C$7="Semimonthly",DATE(YEAR('Second Earner'!$C$9),MONTH('Second Earner'!$C$9)+INT((($BE48+1)-1)/2),MIN(DAY('Second Earner'!$C$9),DAY(EOMONTH(DATE(YEAR('Second Earner'!$C$9),MONTH('Second Earner'!$C$9)+INT((($BE48+1)-1)/2),1),0))))+IF(MOD(($BE48+1)-1,2)=1,15,0),EDATE('Second Earner'!$C$9,($BE48+1)-1)))))&lt;&gt;'Second Earner'!$C$10,"",IF('Second Earner'!$C$7="Weekly",'Second Earner'!$C$9+7*(($BE48+1)-1),IF('Second Earner'!$C$7="Biweekly",'Second Earner'!$C$9+14*(($BE48+1)-1),IF('Second Earner'!$C$7="Semimonthly",DATE(YEAR('Second Earner'!$C$9),MONTH('Second Earner'!$C$9)+INT((($BE48+1)-1)/2),MIN(DAY('Second Earner'!$C$9),DAY(EOMONTH(DATE(YEAR('Second Earner'!$C$9),MONTH('Second Earner'!$C$9)+INT((($BE48+1)-1)/2),1),0))))+IF(MOD(($BE48+1)-1,2)=1,15,0),EDATE('Second Earner'!$C$9,($BE48+1)-1)))))),1,0))</f>
      </c>
      <c r="BG49" s="7">
        <f>IF($B49="","",$BG48+$H49)</f>
      </c>
      <c r="BH49" s="7">
        <f>IF($B49="","",$BH48+$I49)</f>
      </c>
      <c r="BI49" s="7">
        <f>IF($B49="","",$BI48+$G49)</f>
      </c>
      <c r="BJ49" s="7">
        <f>IF($B49="","",IFERROR(LOOKUP(2,1/(((('Changes — Earner 2'!$C$6:$C$17="Deduction start"))*('Changes — Earner 2'!$D$6:$D$17="Health FSA"))*('Changes — Earner 2'!$B$6:$B$17&lt;=$B49)*('Changes — Earner 2'!$B$6:$B$17&lt;&gt;"")),'Changes — Earner 2'!$E$6:$E$17),'Second Earner'!$D$38))</f>
      </c>
      <c r="BK49" s="7">
        <f>IF($B49="","",IFERROR(LOOKUP(2,1/(((('Changes — Earner 2'!$C$6:$C$17="Deduction start"))*('Changes — Earner 2'!$D$6:$D$17="Dependent-care FSA"))*('Changes — Earner 2'!$B$6:$B$17&lt;=$B49)*('Changes — Earner 2'!$B$6:$B$17&lt;&gt;"")),'Changes — Earner 2'!$E$6:$E$17),'Second Earner'!$D$39))</f>
      </c>
      <c r="BL49" s="7">
        <f>IF($B49="","",IFERROR(LOOKUP(2,1/(((('Changes — Earner 2'!$C$6:$C$17="Deduction start")+('Changes — Earner 2'!$C$6:$C$17="Deduction stop"))*('Changes — Earner 2'!$D$6:$D$17="HSA"))*('Changes — Earner 2'!$B$6:$B$17&lt;=$B49)*('Changes — Earner 2'!$B$6:$B$17&lt;&gt;"")),'Changes — Earner 2'!$I$6:$I$17),'Second Earner'!$D$35))</f>
      </c>
      <c r="BM49" s="7">
        <f>IF($B49="","",IFERROR(LOOKUP(2,1/(((('Changes — Earner 2'!$C$6:$C$17="Deduction start")+('Changes — Earner 2'!$C$6:$C$17="Deduction stop"))*('Changes — Earner 2'!$D$6:$D$17="Premiums"))*('Changes — Earner 2'!$B$6:$B$17&lt;=$B49)*('Changes — Earner 2'!$B$6:$B$17&lt;&gt;"")),'Changes — Earner 2'!$I$6:$I$17),'Second Earner'!$D$40+'Second Earner'!$D$41+'Second Earner'!$D$42))</f>
      </c>
      <c r="BN49" s="7">
        <f>IF($B49="","",IFERROR(LOOKUP(2,1/(((('Changes — Earner 2'!$C$6:$C$17="Deduction start")+('Changes — Earner 2'!$C$6:$C$17="Deduction stop"))*('Changes — Earner 2'!$D$6:$D$17="Commuter"))*('Changes — Earner 2'!$B$6:$B$17&lt;=$B49)*('Changes — Earner 2'!$B$6:$B$17&lt;&gt;"")),'Changes — Earner 2'!$I$6:$I$17),'Second Earner'!$D$43))</f>
      </c>
      <c r="BO49" s="7">
        <f>IF($B49="","",IFERROR(LOOKUP(2,1/(((('Changes — Earner 2'!$C$6:$C$17="Deduction start")+('Changes — Earner 2'!$C$6:$C$17="Deduction stop"))*('Changes — Earner 2'!$D$6:$D$17="Other pre-tax"))*('Changes — Earner 2'!$B$6:$B$17&lt;=$B49)*('Changes — Earner 2'!$B$6:$B$17&lt;&gt;"")),'Changes — Earner 2'!$I$6:$I$17),'Second Earner'!$D$44))</f>
      </c>
      <c r="BP49" s="7">
        <f>IF($B49="","",IFERROR(LOOKUP(2,1/(((('Changes — Earner 2'!$C$6:$C$17="Deduction start")+('Changes — Earner 2'!$C$6:$C$17="Deduction stop"))*('Changes — Earner 2'!$D$6:$D$17="Other post-tax"))*('Changes — Earner 2'!$B$6:$B$17&lt;=$B49)*('Changes — Earner 2'!$B$6:$B$17&lt;&gt;"")),'Changes — Earner 2'!$I$6:$I$17),'Second Earner'!$D$45))</f>
      </c>
      <c r="BQ49" s="6">
        <f>IF($B49="","",IFERROR(LOOKUP(2,1/(((('Changes — Earner 2'!$C$6:$C$17="Deduction start")+('Changes — Earner 2'!$C$6:$C$17="Deduction stop"))*('Changes — Earner 2'!$D$6:$D$17="Health FSA"))*('Changes — Earner 2'!$B$6:$B$17&lt;=$B49)*('Changes — Earner 2'!$B$6:$B$17&lt;&gt;"")),'Changes — Earner 2'!$J$6:$J$17),0))</f>
      </c>
      <c r="BR49" s="6">
        <f>IF($B49="","",IFERROR(LOOKUP(2,1/(((('Changes — Earner 2'!$C$6:$C$17="Deduction start")+('Changes — Earner 2'!$C$6:$C$17="Deduction stop"))*('Changes — Earner 2'!$D$6:$D$17="Dependent-care FSA"))*('Changes — Earner 2'!$B$6:$B$17&lt;=$B49)*('Changes — Earner 2'!$B$6:$B$17&lt;&gt;"")),'Changes — Earner 2'!$J$6:$J$17),0))</f>
      </c>
      <c r="BS49" s="6">
        <f>IF($B49="","",IF(SUMPRODUCT(('Changes — Earner 2'!$C$6:$C$17="Deduction start")*('Changes — Earner 2'!$B$6:$B$17&lt;=$B49)*('Changes — Earner 2'!$B$6:$B$17&lt;&gt;"")*('Changes — Earner 2'!$D$6:$D$17="Health FSA"))&gt;0,1,0))</f>
      </c>
      <c r="BT49" s="6">
        <f>IF($B49="","",IF(SUMPRODUCT(('Changes — Earner 2'!$C$6:$C$17="Deduction start")*('Changes — Earner 2'!$B$6:$B$17&lt;=$B49)*('Changes — Earner 2'!$B$6:$B$17&lt;&gt;"")*('Changes — Earner 2'!$D$6:$D$17="Dependent-care FSA"))&gt;0,1,0))</f>
      </c>
      <c r="BU49" s="24">
        <f>IF($B49="","",IF('Second Earner'!$C$13,SUMPRODUCT(($AH49&gt;=INDEX('How This Works &amp; Sources'!$B$29:$J$36,0,IF('Second Earner'!$C$12="MFJ",1,IF('Second Earner'!$C$12="HoH",7,4))))*INDEX('How This Works &amp; Sources'!$B$29:$J$36,0,IF('Second Earner'!$C$12="MFJ",1,IF('Second Earner'!$C$12="HoH",7,4))+2)),SUMPRODUCT(($AH49&gt;=INDEX('How This Works &amp; Sources'!$B$19:$J$26,0,IF('Second Earner'!$C$12="MFJ",1,IF('Second Earner'!$C$12="HoH",7,4))))*INDEX('How This Works &amp; Sources'!$B$19:$J$26,0,IF('Second Earner'!$C$12="MFJ",1,IF('Second Earner'!$C$12="HoH",7,4))+2))))</f>
      </c>
      <c r="BV49" s="24">
        <f>IF($B49="","",IF($BZ49&lt;&gt;"",$BZ49,IF($CA49&lt;&gt;"",$CA49,IF($CB49&lt;&gt;"",$CB49,IF($CC49&lt;&gt;"",$CC49,0)))))</f>
      </c>
      <c r="BW49" s="7">
        <f>IF($B49="","",IF($AN49="AR",SUMPRODUCT(($AZ49&gt;INDEX('How This Works &amp; Sources'!$B$82:$J$86,0,7))*($AZ49-INDEX('How This Works &amp; Sources'!$B$82:$J$86,0,7))*INDEX('How This Works &amp; Sources'!$B$82:$J$86,0,7+2)),IF($AN49="MD",IF(OR($AU49="Married",$AU49="Head of household"),SUMPRODUCT(($AZ49&gt;INDEX('How This Works &amp; Sources'!$B$114:$J$120,0,1))*($AZ49-INDEX('How This Works &amp; Sources'!$B$114:$J$120,0,1))*INDEX('How This Works &amp; Sources'!$B$114:$J$120,0,1+2)),SUMPRODUCT(($AZ49&gt;INDEX('How This Works &amp; Sources'!$B$103:$J$109,0,7))*($AZ49-INDEX('How This Works &amp; Sources'!$B$103:$J$109,0,7))*INDEX('How This Works &amp; Sources'!$B$103:$J$109,0,7+2))),IF($AN49="MT",IF($AU49="Head of household",SUMPRODUCT(($AZ49&gt;INDEX('How This Works &amp; Sources'!$B$137:$J$139,0,1))*($AZ49-INDEX('How This Works &amp; Sources'!$B$137:$J$139,0,1))*INDEX('How This Works &amp; Sources'!$B$137:$J$139,0,1+2)),IF($AU49="Married",SUMPRODUCT(($AZ49&gt;INDEX('How This Works &amp; Sources'!$B$125:$J$132,0,7))*($AZ49-INDEX('How This Works &amp; Sources'!$B$125:$J$132,0,7))*INDEX('How This Works &amp; Sources'!$B$125:$J$132,0,7+2)),SUMPRODUCT(($AZ49&gt;INDEX('How This Works &amp; Sources'!$B$125:$J$132,0,4))*($AZ49-INDEX('How This Works &amp; Sources'!$B$125:$J$132,0,4))*INDEX('How This Works &amp; Sources'!$B$125:$J$132,0,4+2)))),IF($AN49="ND",IF($AU49="Head of household",SUMPRODUCT(($AZ49&gt;INDEX('How This Works &amp; Sources'!$B$144:$J$150,0,1))*($AZ49-INDEX('How This Works &amp; Sources'!$B$144:$J$150,0,1))*INDEX('How This Works &amp; Sources'!$B$144:$J$150,0,1+2)),IF($AU49="Married",SUMPRODUCT(($AZ49&gt;INDEX('How This Works &amp; Sources'!$B$137:$J$139,0,7))*($AZ49-INDEX('How This Works &amp; Sources'!$B$137:$J$139,0,7))*INDEX('How This Works &amp; Sources'!$B$137:$J$139,0,7+2)),SUMPRODUCT(($AZ49&gt;INDEX('How This Works &amp; Sources'!$B$137:$J$139,0,4))*($AZ49-INDEX('How This Works &amp; Sources'!$B$137:$J$139,0,4))*INDEX('How This Works &amp; Sources'!$B$137:$J$139,0,4+2)))),IF($AN49="NJ",IF('Second Earner'!$C$77="B",SUMPRODUCT(($AZ49&gt;INDEX('How This Works &amp; Sources'!$B$155:$J$162,0,4))*($AZ49-INDEX('How This Works &amp; Sources'!$B$155:$J$162,0,4))*INDEX('How This Works &amp; Sources'!$B$155:$J$162,0,4+2)),IF('Second Earner'!$C$77="C",SUMPRODUCT(($AZ49&gt;INDEX('How This Works &amp; Sources'!$B$155:$J$162,0,7))*($AZ49-INDEX('How This Works &amp; Sources'!$B$155:$J$162,0,7))*INDEX('How This Works &amp; Sources'!$B$155:$J$162,0,7+2)),IF('Second Earner'!$C$77="D",SUMPRODUCT(($AZ49&gt;INDEX('How This Works &amp; Sources'!$B$167:$J$179,0,1))*($AZ49-INDEX('How This Works &amp; Sources'!$B$167:$J$179,0,1))*INDEX('How This Works &amp; Sources'!$B$167:$J$179,0,1+2)),IF('Second Earner'!$C$77="E",SUMPRODUCT(($AZ49&gt;INDEX('How This Works &amp; Sources'!$B$167:$J$179,0,4))*($AZ49-INDEX('How This Works &amp; Sources'!$B$167:$J$179,0,4))*INDEX('How This Works &amp; Sources'!$B$167:$J$179,0,4+2)),SUMPRODUCT(($AZ49&gt;INDEX('How This Works &amp; Sources'!$B$155:$J$162,0,1))*($AZ49-INDEX('How This Works &amp; Sources'!$B$155:$J$162,0,1))*INDEX('How This Works &amp; Sources'!$B$155:$J$162,0,1+2)))))),IF($AN49="NY",IF($AU49="Married",IF($AZ49&gt;=2155350,$AZ49*IF($AZ49&gt;25000000,0.117,IF($AZ49&gt;5000000,0.111,0.1045)),SUMPRODUCT(($AZ49&gt;INDEX('How This Works &amp; Sources'!$B$184:$J$198,0,1))*($AZ49-INDEX('How This Works &amp; Sources'!$B$184:$J$198,0,1))*INDEX('How This Works &amp; Sources'!$B$184:$J$198,0,1+2))),IF($AZ49&gt;=1077550,$AZ49*IF($AZ49&gt;25000000,0.117,IF($AZ49&gt;5000000,0.111,0.1045)),SUMPRODUCT(($AZ49&gt;INDEX('How This Works &amp; Sources'!$B$167:$J$179,0,7))*($AZ49-INDEX('How This Works &amp; Sources'!$B$167:$J$179,0,7))*INDEX('How This Works &amp; Sources'!$B$167:$J$179,0,7+2)))),"")))))))</f>
      </c>
      <c r="BX49" s="7">
        <f>IF($B49="","",IF($AN49="AL",IF(OR($AU49="Married",$AU49="Head of household"),SUMPRODUCT(($AZ49&gt;INDEX('How This Works &amp; Sources'!$B$82:$J$86,0,4))*($AZ49-INDEX('How This Works &amp; Sources'!$B$82:$J$86,0,4))*INDEX('How This Works &amp; Sources'!$B$82:$J$86,0,4+2)),SUMPRODUCT(($AZ49&gt;INDEX('How This Works &amp; Sources'!$B$82:$J$86,0,1))*($AZ49-INDEX('How This Works &amp; Sources'!$B$82:$J$86,0,1))*INDEX('How This Works &amp; Sources'!$B$82:$J$86,0,1+2))),IF($AN49="KS",IF($AU49="Married",SUMPRODUCT(($AZ49&gt;INDEX('How This Works &amp; Sources'!$B$103:$J$109,0,4))*($AZ49-INDEX('How This Works &amp; Sources'!$B$103:$J$109,0,4))*INDEX('How This Works &amp; Sources'!$B$103:$J$109,0,4+2)),SUMPRODUCT(($AZ49&gt;INDEX('How This Works &amp; Sources'!$B$103:$J$109,0,1))*($AZ49-INDEX('How This Works &amp; Sources'!$B$103:$J$109,0,1))*INDEX('How This Works &amp; Sources'!$B$103:$J$109,0,1+2))),IF($AN49="MN",IF($AU49="Married",SUMPRODUCT(($AZ49&gt;INDEX('How This Works &amp; Sources'!$B$114:$J$120,0,7))*($AZ49-INDEX('How This Works &amp; Sources'!$B$114:$J$120,0,7))*INDEX('How This Works &amp; Sources'!$B$114:$J$120,0,7+2)),SUMPRODUCT(($AZ49&gt;INDEX('How This Works &amp; Sources'!$B$114:$J$120,0,4))*($AZ49-INDEX('How This Works &amp; Sources'!$B$114:$J$120,0,4))*INDEX('How This Works &amp; Sources'!$B$114:$J$120,0,4+2))),IF($AN49="MO",SUMPRODUCT(($AZ49&gt;INDEX('How This Works &amp; Sources'!$B$125:$J$132,0,1))*($AZ49-INDEX('How This Works &amp; Sources'!$B$125:$J$132,0,1))*INDEX('How This Works &amp; Sources'!$B$125:$J$132,0,1+2)),IF($AN49="NE",MAX(IF($AU49="Married",SUMPRODUCT(($AZ49&gt;INDEX('How This Works &amp; Sources'!$B$144:$J$150,0,7))*($AZ49-INDEX('How This Works &amp; Sources'!$B$144:$J$150,0,7))*INDEX('How This Works &amp; Sources'!$B$144:$J$150,0,7+2)),SUMPRODUCT(($AZ49&gt;INDEX('How This Works &amp; Sources'!$B$144:$J$150,0,4))*($AZ49-INDEX('How This Works &amp; Sources'!$B$144:$J$150,0,4))*INDEX('How This Works &amp; Sources'!$B$144:$J$150,0,4+2))),0.015*$AZ49),IF($AN49="OH",IF($B49&gt;=DATE(2026,8,1),SUMPRODUCT(($AZ49&gt;INDEX('How This Works &amp; Sources'!$B$203:$J$206,0,1))*($AZ49-INDEX('How This Works &amp; Sources'!$B$203:$J$206,0,1))*INDEX('How This Works &amp; Sources'!$B$203:$J$206,0,1+2)),SUMPRODUCT(($AZ49&gt;INDEX('How This Works &amp; Sources'!$B$184:$J$198,0,7))*($AZ49-INDEX('How This Works &amp; Sources'!$B$184:$J$198,0,7))*INDEX('How This Works &amp; Sources'!$B$184:$J$198,0,7+2))),IF($AN49="OK",IF($AU49="Married",SUMPRODUCT(($AZ49&gt;INDEX('How This Works &amp; Sources'!$B$203:$J$206,0,7))*($AZ49-INDEX('How This Works &amp; Sources'!$B$203:$J$206,0,7))*INDEX('How This Works &amp; Sources'!$B$203:$J$206,0,7+2)),SUMPRODUCT(($AZ49&gt;INDEX('How This Works &amp; Sources'!$B$203:$J$206,0,4))*($AZ49-INDEX('How This Works &amp; Sources'!$B$203:$J$206,0,4))*INDEX('How This Works &amp; Sources'!$B$203:$J$206,0,4+2))),IF($AN49="VT",IF($AU49="Married",SUMPRODUCT(($AZ49&gt;INDEX('How This Works &amp; Sources'!$B$228:$J$232,0,1))*($AZ49-INDEX('How This Works &amp; Sources'!$B$228:$J$232,0,1))*INDEX('How This Works &amp; Sources'!$B$228:$J$232,0,1+2)),SUMPRODUCT(($AZ49&gt;INDEX('How This Works &amp; Sources'!$B$219:$J$223,0,7))*($AZ49-INDEX('How This Works &amp; Sources'!$B$219:$J$223,0,7))*INDEX('How This Works &amp; Sources'!$B$219:$J$223,0,7+2))),IF($AN49="WV",IF($AU49="Married",SUMPRODUCT(($AZ49&gt;INDEX('How This Works &amp; Sources'!$B$237:$J$241,0,7))*($AZ49-INDEX('How This Works &amp; Sources'!$B$237:$J$241,0,7))*INDEX('How This Works &amp; Sources'!$B$237:$J$241,0,7+2)),SUMPRODUCT(($AZ49&gt;INDEX('How This Works &amp; Sources'!$B$228:$J$232,0,7))*($AZ49-INDEX('How This Works &amp; Sources'!$B$228:$J$232,0,7))*INDEX('How This Works &amp; Sources'!$B$228:$J$232,0,7+2))),""))))))))))</f>
      </c>
      <c r="BY49" s="7">
        <f>IF($B49="","",IF($AN49="DE",SUMPRODUCT(($AZ49&gt;INDEX('How This Works &amp; Sources'!$B$91:$J$98,0,1))*($AZ49-INDEX('How This Works &amp; Sources'!$B$91:$J$98,0,1))*INDEX('How This Works &amp; Sources'!$B$91:$J$98,0,1+2)),IF($AN49="HI",IF($AU49="Married",SUMPRODUCT(($AZ49&gt;INDEX('How This Works &amp; Sources'!$B$91:$J$98,0,7))*($AZ49-INDEX('How This Works &amp; Sources'!$B$91:$J$98,0,7))*INDEX('How This Works &amp; Sources'!$B$91:$J$98,0,7+2)),SUMPRODUCT(($AZ49&gt;INDEX('How This Works &amp; Sources'!$B$91:$J$98,0,4))*($AZ49-INDEX('How This Works &amp; Sources'!$B$91:$J$98,0,4))*INDEX('How This Works &amp; Sources'!$B$91:$J$98,0,4+2))),IF($AN49="RI",SUMPRODUCT(($AZ49&gt;INDEX('How This Works &amp; Sources'!$B$211:$J$214,0,7))*($AZ49-INDEX('How This Works &amp; Sources'!$B$211:$J$214,0,7))*INDEX('How This Works &amp; Sources'!$B$211:$J$214,0,7+2)),IF($AN49="SC",SUMPRODUCT(($AZ49&gt;INDEX('How This Works &amp; Sources'!$B$219:$J$223,0,1))*($AZ49-INDEX('How This Works &amp; Sources'!$B$219:$J$223,0,1))*INDEX('How This Works &amp; Sources'!$B$219:$J$223,0,1+2)),IF($AN49="VA",SUMPRODUCT(($AZ49&gt;INDEX('How This Works &amp; Sources'!$B$219:$J$223,0,4))*($AZ49-INDEX('How This Works &amp; Sources'!$B$219:$J$223,0,4))*INDEX('How This Works &amp; Sources'!$B$219:$J$223,0,4+2)),IF($AN49="WI",SUMPRODUCT(($AZ49&gt;INDEX('How This Works &amp; Sources'!$B$228:$J$232,0,4))*($AZ49-INDEX('How This Works &amp; Sources'!$B$228:$J$232,0,4))*INDEX('How This Works &amp; Sources'!$B$228:$J$232,0,4+2)),"")))))))</f>
      </c>
      <c r="BZ49" s="24">
        <f>IF($B49="","",IF($AN49="KS",IF($AU49="Married",SUMPRODUCT(($AZ49&gt;=INDEX('How This Works &amp; Sources'!$B$103:$J$109,0,4))*INDEX('How This Works &amp; Sources'!$B$103:$J$109,0,4+2)),SUMPRODUCT(($AZ49&gt;=INDEX('How This Works &amp; Sources'!$B$103:$J$109,0,1))*INDEX('How This Works &amp; Sources'!$B$103:$J$109,0,1+2))),IF($AN49="MT",IF($AU49="Head of household",SUMPRODUCT(($AZ49&gt;=INDEX('How This Works &amp; Sources'!$B$137:$J$139,0,1))*INDEX('How This Works &amp; Sources'!$B$137:$J$139,0,1+2)),IF($AU49="Married",SUMPRODUCT(($AZ49&gt;=INDEX('How This Works &amp; Sources'!$B$125:$J$132,0,7))*INDEX('How This Works &amp; Sources'!$B$125:$J$132,0,7+2)),SUMPRODUCT(($AZ49&gt;=INDEX('How This Works &amp; Sources'!$B$125:$J$132,0,4))*INDEX('How This Works &amp; Sources'!$B$125:$J$132,0,4+2)))),IF($AN49="OR",IF(OR($AU49="Married",AND($AU49="Single",$AS49&gt;=3)),SUMPRODUCT((MAX(0,$AY49-MIN(($P49-'How This Works &amp; Sources'!$C$10*$D49)*'Second Earner'!$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Sources'!$B$211:$J$214,0,4))*INDEX('How This Works &amp; Sources'!$B$211:$J$214,0,4+2)),SUMPRODUCT((MAX(0,$AY49-MIN(($P49-'How This Works &amp; Sources'!$C$10*$D49)*'Second Earner'!$C$8,IF(OR($AU49="Married",AND($AU49="Single",$AS49&gt;=3)),IF($AY49&lt;250000,8750,IF($AY49&lt;260000,7000,IF($AY49&lt;270000,5250,IF($AY49&lt;280000,3500,IF($AY49&lt;290000,1750,0))))),IF($AY49&lt;125000,8750,IF($AY49&lt;130000,7000,IF($AY49&lt;135000,5250,IF($AY49&lt;140000,3500,IF($AY49&lt;145000,1750,0)))))))-IF(OR($AU49="Married",AND($AU49="Single",$AS49&gt;=3)),5820,2910))&gt;=INDEX('How This Works &amp; Sources'!$B$211:$J$214,0,1))*INDEX('How This Works &amp; Sources'!$B$211:$J$214,0,1+2)))*IF(($P49-'How This Works &amp; Sources'!$C$10*$D49)*'Second Earner'!$C$8&gt;=IF(OR($AU49="Married",AND($AU49="Single",$AS49&gt;=3)),IF($AY49&lt;250000,8750,IF($AY49&lt;260000,7000,IF($AY49&lt;270000,5250,IF($AY49&lt;280000,3500,IF($AY49&lt;290000,1750,0))))),IF($AY49&lt;125000,8750,IF($AY49&lt;130000,7000,IF($AY49&lt;135000,5250,IF($AY49&lt;140000,3500,IF($AY49&lt;145000,1750,0)))))),1,1-IF('Second Earner'!$C$13,SUMPRODUCT(($AH49&gt;=INDEX('How This Works &amp; Sources'!$B$29:$J$36,0,IF('Second Earner'!$C$12="MFJ",1,IF('Second Earner'!$C$12="HoH",7,4))))*INDEX('How This Works &amp; Sources'!$B$29:$J$36,0,IF('Second Earner'!$C$12="MFJ",1,IF('Second Earner'!$C$12="HoH",7,4))+2)),SUMPRODUCT(($AH49&gt;=INDEX('How This Works &amp; Sources'!$B$19:$J$26,0,IF('Second Earner'!$C$12="MFJ",1,IF('Second Earner'!$C$12="HoH",7,4))))*INDEX('How This Works &amp; Sources'!$B$19:$J$26,0,IF('Second Earner'!$C$12="MFJ",1,IF('Second Earner'!$C$12="HoH",7,4))+2)))),""))))</f>
      </c>
      <c r="CA49" s="24">
        <f>IF($B49="","",IF($AN49="CA",SUMPRODUCT(($AJ49&gt;=INDEX('How This Works &amp; Sources'!$B$39:$J$48,0,IF($AU49="Married",4,IF($AU49="Head of household",7,1))))*INDEX('How This Works &amp; Sources'!$B$39:$J$48,0,IF($AU49="Married",4,IF($AU49="Head of household",7,1))+2)),IF($AN49="AL",IF(OR($AU49="Married",$AU49="Head of household"),SUMPRODUCT(($AZ49&gt;=INDEX('How This Works &amp; Sources'!$B$82:$J$86,0,4))*INDEX('How This Works &amp; Sources'!$B$82:$J$86,0,4+2)),SUMPRODUCT(($AZ49&gt;=INDEX('How This Works &amp; Sources'!$B$82:$J$86,0,1))*INDEX('How This Works &amp; Sources'!$B$82:$J$86,0,1+2)))*(1-IF('Second Earner'!$C$13,SUMPRODUCT(($AH49&gt;=INDEX('How This Works &amp; Sources'!$B$29:$J$36,0,IF('Second Earner'!$C$12="MFJ",1,IF('Second Earner'!$C$12="HoH",7,4))))*INDEX('How This Works &amp; Sources'!$B$29:$J$36,0,IF('Second Earner'!$C$12="MFJ",1,IF('Second Earner'!$C$12="HoH",7,4))+2)),SUMPRODUCT(($AH49&gt;=INDEX('How This Works &amp; Sources'!$B$19:$J$26,0,IF('Second Earner'!$C$12="MFJ",1,IF('Second Earner'!$C$12="HoH",7,4))))*INDEX('How This Works &amp; Sources'!$B$19:$J$26,0,IF('Second Earner'!$C$12="MFJ",1,IF('Second Earner'!$C$12="HoH",7,4))+2)))),IF($AN49="ND",IF($AU49="Head of household",SUMPRODUCT(($AZ49&gt;=INDEX('How This Works &amp; Sources'!$B$144:$J$150,0,1))*INDEX('How This Works &amp; Sources'!$B$144:$J$150,0,1+2)),IF($AU49="Married",SUMPRODUCT(($AZ49&gt;=INDEX('How This Works &amp; Sources'!$B$137:$J$139,0,7))*INDEX('How This Works &amp; Sources'!$B$137:$J$139,0,7+2)),SUMPRODUCT(($AZ49&gt;=INDEX('How This Works &amp; Sources'!$B$137:$J$139,0,4))*INDEX('How This Works &amp; Sources'!$B$137:$J$139,0,4+2)))),IF($AN49="NJ",IF('Second Earner'!$C$77="B",SUMPRODUCT(($AZ49&gt;=INDEX('How This Works &amp; Sources'!$B$155:$J$162,0,4))*INDEX('How This Works &amp; Sources'!$B$155:$J$162,0,4+2)),IF('Second Earner'!$C$77="C",SUMPRODUCT(($AZ49&gt;=INDEX('How This Works &amp; Sources'!$B$155:$J$162,0,7))*INDEX('How This Works &amp; Sources'!$B$155:$J$162,0,7+2)),IF('Second Earner'!$C$77="D",SUMPRODUCT(($AZ49&gt;=INDEX('How This Works &amp; Sources'!$B$167:$J$179,0,1))*INDEX('How This Works &amp; Sources'!$B$167:$J$179,0,1+2)),IF('Second Earner'!$C$77="E",SUMPRODUCT(($AZ49&gt;=INDEX('How This Works &amp; Sources'!$B$167:$J$179,0,4))*INDEX('How This Works &amp; Sources'!$B$167:$J$179,0,4+2)),SUMPRODUCT(($AZ49&gt;=INDEX('How This Works &amp; Sources'!$B$155:$J$162,0,1))*INDEX('How This Works &amp; Sources'!$B$155:$J$162,0,1+2)))))),IF($AN49="NY",IF($AU49="Married",IF($AZ49&gt;=2155350,IF($AZ49&gt;25000000,0.117,IF($AZ49&gt;5000000,0.111,0.1045)),SUMPRODUCT(($AZ49&gt;=INDEX('How This Works &amp; Sources'!$B$184:$J$198,0,1))*INDEX('How This Works &amp; Sources'!$B$184:$J$198,0,1+2))),IF($AZ49&gt;=1077550,IF($AZ49&gt;25000000,0.117,IF($AZ49&gt;5000000,0.111,0.1045)),SUMPRODUCT(($AZ49&gt;=INDEX('How This Works &amp; Sources'!$B$167:$J$179,0,7))*INDEX('How This Works &amp; Sources'!$B$167:$J$179,0,7+2)))),IF($AN49="LA",0.0309,"")))))))</f>
      </c>
      <c r="CB49" s="24">
        <f>IF($B49="","",IF($AN49="HI",IF($AU49="Married",SUMPRODUCT(($AZ49&gt;=INDEX('How This Works &amp; Sources'!$B$91:$J$98,0,7))*INDEX('How This Works &amp; Sources'!$B$91:$J$98,0,7+2)),SUMPRODUCT(($AZ49&gt;=INDEX('How This Works &amp; Sources'!$B$91:$J$98,0,4))*INDEX('How This Works &amp; Sources'!$B$91:$J$98,0,4+2))),IF($AN49="MD",IF(OR($AU49="Married",$AU49="Head of household"),SUMPRODUCT(($AZ49&gt;=INDEX('How This Works &amp; Sources'!$B$114:$J$120,0,1))*INDEX('How This Works &amp; Sources'!$B$114:$J$120,0,1+2)),SUMPRODUCT(($AZ49&gt;=INDEX('How This Works &amp; Sources'!$B$103:$J$109,0,7))*INDEX('How This Works &amp; Sources'!$B$103:$J$109,0,7+2)))+'Second Earner'!$C$74,IF($AN49="MN",IF($AU49="Married",SUMPRODUCT(($AZ49&gt;=INDEX('How This Works &amp; Sources'!$B$114:$J$120,0,7))*INDEX('How This Works &amp; Sources'!$B$114:$J$120,0,7+2)),SUMPRODUCT(($AZ49&gt;=INDEX('How This Works &amp; Sources'!$B$114:$J$120,0,4))*INDEX('How This Works &amp; Sources'!$B$114:$J$120,0,4+2))),IF($AN49="MO",SUMPRODUCT(($AZ49&gt;=INDEX('How This Works &amp; Sources'!$B$125:$J$132,0,1))*INDEX('How This Works &amp; Sources'!$B$125:$J$132,0,1+2)),IF($AN49="NE",MAX(IF($AU49="Married",SUMPRODUCT(($AZ49&gt;=INDEX('How This Works &amp; Sources'!$B$144:$J$150,0,7))*INDEX('How This Works &amp; Sources'!$B$144:$J$150,0,7+2)),SUMPRODUCT(($AZ49&gt;=INDEX('How This Works &amp; Sources'!$B$144:$J$150,0,4))*INDEX('How This Works &amp; Sources'!$B$144:$J$150,0,4+2))),0.015),IF($AN49="OH",IF($B49&gt;=DATE(2026,8,1),SUMPRODUCT(($AZ49&gt;=INDEX('How This Works &amp; Sources'!$B$203:$J$206,0,1))*INDEX('How This Works &amp; Sources'!$B$203:$J$206,0,1+2)),SUMPRODUCT(($AZ49&gt;=INDEX('How This Works &amp; Sources'!$B$184:$J$198,0,7))*INDEX('How This Works &amp; Sources'!$B$184:$J$198,0,7+2))),IF($AN49="OK",IF($AU49="Married",SUMPRODUCT(($AZ49&gt;=INDEX('How This Works &amp; Sources'!$B$203:$J$206,0,7))*INDEX('How This Works &amp; Sources'!$B$203:$J$206,0,7+2)),SUMPRODUCT(($AZ49&gt;=INDEX('How This Works &amp; Sources'!$B$203:$J$206,0,4))*INDEX('How This Works &amp; Sources'!$B$203:$J$206,0,4+2))),IF($AN49="RI",SUMPRODUCT(($AZ49&gt;=INDEX('How This Works &amp; Sources'!$B$211:$J$214,0,7))*INDEX('How This Works &amp; Sources'!$B$211:$J$214,0,7+2)),IF($AN49="VT",IF($AU49="Married",SUMPRODUCT(($AZ49&gt;=INDEX('How This Works &amp; Sources'!$B$228:$J$232,0,1))*INDEX('How This Works &amp; Sources'!$B$228:$J$232,0,1+2)),SUMPRODUCT(($AZ49&gt;=INDEX('How This Works &amp; Sources'!$B$219:$J$223,0,7))*INDEX('How This Works &amp; Sources'!$B$219:$J$223,0,7+2))),IF($AN49="WV",IF($AU49="Married",SUMPRODUCT(($AZ49&gt;=INDEX('How This Works &amp; Sources'!$B$237:$J$241,0,7))*INDEX('How This Works &amp; Sources'!$B$237:$J$241,0,7+2)),SUMPRODUCT(($AZ49&gt;=INDEX('How This Works &amp; Sources'!$B$228:$J$232,0,7))*INDEX('How This Works &amp; Sources'!$B$228:$J$232,0,7+2))),IF($AN49="AZ",'Second Earner'!$C$82,IF($AN49="ID",IF($AY49&gt;IF($AU49="Married",32000,16094),0.053,0),"")))))))))))))</f>
      </c>
      <c r="CC49" s="24">
        <f>IF($B49="","",IF($AN49="AR",SUMPRODUCT(($AZ49&gt;=INDEX('How This Works &amp; Sources'!$B$82:$J$86,0,7))*INDEX('How This Works &amp; Sources'!$B$82:$J$86,0,7+2)),IF($AN49="DE",SUMPRODUCT(($AZ49&gt;=INDEX('How This Works &amp; Sources'!$B$91:$J$98,0,1))*INDEX('How This Works &amp; Sources'!$B$91:$J$98,0,1+2)),IF($AN49="SC",SUMPRODUCT(($AZ49&gt;=INDEX('How This Works &amp; Sources'!$B$219:$J$223,0,1))*INDEX('How This Works &amp; Sources'!$B$219:$J$223,0,1+2)),IF($AN49="VA",SUMPRODUCT(($AZ49&gt;=INDEX('How This Works &amp; Sources'!$B$219:$J$223,0,4))*INDEX('How This Works &amp; Sources'!$B$219:$J$223,0,4+2)),IF($AN49="WI",SUMPRODUCT(($AZ49&gt;=INDEX('How This Works &amp; Sources'!$B$228:$J$232,0,4))*INDEX('How This Works &amp; Sources'!$B$228:$J$232,0,4+2)),IF($AN49="CO",IF($AY49&gt;IF($AU49="Married",10000,5000),0.044,0),IF($AN49="IA",IF($AY49&gt;IF($AU49="Head of household",19500,IF($AU49="Married",26000,13000)),0.038,0),IF($AN49="IL",IF($AY49&gt;(2925*$AS49+1000*$AT49),0.0495,0),IF($AN49="IN",(0.0295+'Second Earner'!$C$76),IF($AN49="KY",IF($AI49&gt;3360,0.035,0),IF($AN49="MA",IF(MAX(0,$AY49-MIN(($BD48+$Q49+$R49+$S49),2000)-IF($AS49=0,0,IF($AS49=1,4400,1000*$AS49+3400)))&gt;=1107750,0.09,0.05),IF($AN49="MI",IF($AY49&gt;5900*$AS49,0.0425,0),IF($AN49="MS",IF($AI49-IF($AU49="Head of household",3400,IF($AU49="Married",4600,2300))-'Second Earner'!$C$85&gt;10000,0.04,0),IF($AN49="PA",0.0307,"")))))))))))))))</f>
      </c>
      <c r="CD49" s="21">
        <f>IF(YEAR(IF('Second Earner'!$C$7="Weekly",'Second Earner'!$C$9+7*(($BE48+1)-1),IF('Second Earner'!$C$7="Biweekly",'Second Earner'!$C$9+14*(($BE48+1)-1),IF('Second Earner'!$C$7="Semimonthly",DATE(YEAR('Second Earner'!$C$9),MONTH('Second Earner'!$C$9)+INT((($BE48+1)-1)/2),MIN(DAY('Second Earner'!$C$9),DAY(EOMONTH(DATE(YEAR('Second Earner'!$C$9),MONTH('Second Earner'!$C$9)+INT((($BE48+1)-1)/2),1),0))))+IF(MOD(($BE48+1)-1,2)=1,15,0),EDATE('Second Earner'!$C$9,($BE48+1)-1)))))&lt;&gt;'Second Earner'!$C$10,"",IF('Second Earner'!$C$7="Weekly",'Second Earner'!$C$9+7*(($BE48+1)-1),IF('Second Earner'!$C$7="Biweekly",'Second Earner'!$C$9+14*(($BE48+1)-1),IF('Second Earner'!$C$7="Semimonthly",DATE(YEAR('Second Earner'!$C$9),MONTH('Second Earner'!$C$9)+INT((($BE48+1)-1)/2),MIN(DAY('Second Earner'!$C$9),DAY(EOMONTH(DATE(YEAR('Second Earner'!$C$9),MONTH('Second Earner'!$C$9)+INT((($BE48+1)-1)/2),1),0))))+IF(MOD(($BE48+1)-1,2)=1,15,0),EDATE('Second Earner'!$C$9,($BE48+1)-1)))))</f>
      </c>
      <c r="CE49" s="21">
        <f>IF(MIN(IF(AND('Second Earner'!$C$58&gt;MAX($B$6:$B48),'Second Earner'!$C$58&gt;=DATE('Second Earner'!$C$10,1,1),'Second Earner'!$C$58&lt;=DATE('Second Earner'!$C$10,12,31)),'Second Earner'!$C$58,999999),IF(AND('Second Earner'!$C$59&gt;MAX($B$6:$B48),'Second Earner'!$C$59&gt;=DATE('Second Earner'!$C$10,1,1),'Second Earner'!$C$59&lt;=DATE('Second Earner'!$C$10,12,31)),'Second Earner'!$C$59,999999),IF(AND('Second Earner'!$C$60&gt;MAX($B$6:$B48),'Second Earner'!$C$60&gt;=DATE('Second Earner'!$C$10,1,1),'Second Earner'!$C$60&lt;=DATE('Second Earner'!$C$10,12,31)),'Second Earner'!$C$60,999999),IF(AND('Second Earner'!$C$61&gt;MAX($B$6:$B48),'Second Earner'!$C$61&gt;=DATE('Second Earner'!$C$10,1,1),'Second Earner'!$C$61&lt;=DATE('Second Earner'!$C$10,12,31)),'Second Earner'!$C$61,999999),IF(AND('Second Earner'!$C$62&gt;MAX($B$6:$B48),'Second Earner'!$C$62&gt;=DATE('Second Earner'!$C$10,1,1),'Second Earner'!$C$62&lt;=DATE('Second Earner'!$C$10,12,31)),'Second Earner'!$C$62,999999),IF(AND('Second Earner'!$C$63&gt;MAX($B$6:$B48),'Second Earner'!$C$63&gt;=DATE('Second Earner'!$C$10,1,1),'Second Earner'!$C$63&lt;=DATE('Second Earner'!$C$10,12,31)),'Second Earner'!$C$63,999999),IF(AND('Second Earner'!$C$64&gt;MAX($B$6:$B48),'Second Earner'!$C$64&gt;=DATE('Second Earner'!$C$10,1,1),'Second Earner'!$C$64&lt;=DATE('Second Earner'!$C$10,12,31)),'Second Earner'!$C$64,999999),IF(AND('Second Earner'!$C$65&gt;MAX($B$6:$B48),'Second Earner'!$C$65&gt;=DATE('Second Earner'!$C$10,1,1),'Second Earner'!$C$65&lt;=DATE('Second Earner'!$C$10,12,31)),'Second Earner'!$C$65,999999),IF(AND('Second Earner'!$C$66&gt;MAX($B$6:$B48),'Second Earner'!$C$66&gt;=DATE('Second Earner'!$C$10,1,1),'Second Earner'!$C$66&lt;=DATE('Second Earner'!$C$10,12,31)),'Second Earner'!$C$66,999999),IF(AND('Second Earner'!$C$67&gt;MAX($B$6:$B48),'Second Earner'!$C$67&gt;=DATE('Second Earner'!$C$10,1,1),'Second Earner'!$C$67&lt;=DATE('Second Earner'!$C$10,12,31)),'Second Earner'!$C$67,999999))=999999,"",MIN(IF(AND('Second Earner'!$C$58&gt;MAX($B$6:$B48),'Second Earner'!$C$58&gt;=DATE('Second Earner'!$C$10,1,1),'Second Earner'!$C$58&lt;=DATE('Second Earner'!$C$10,12,31)),'Second Earner'!$C$58,999999),IF(AND('Second Earner'!$C$59&gt;MAX($B$6:$B48),'Second Earner'!$C$59&gt;=DATE('Second Earner'!$C$10,1,1),'Second Earner'!$C$59&lt;=DATE('Second Earner'!$C$10,12,31)),'Second Earner'!$C$59,999999),IF(AND('Second Earner'!$C$60&gt;MAX($B$6:$B48),'Second Earner'!$C$60&gt;=DATE('Second Earner'!$C$10,1,1),'Second Earner'!$C$60&lt;=DATE('Second Earner'!$C$10,12,31)),'Second Earner'!$C$60,999999),IF(AND('Second Earner'!$C$61&gt;MAX($B$6:$B48),'Second Earner'!$C$61&gt;=DATE('Second Earner'!$C$10,1,1),'Second Earner'!$C$61&lt;=DATE('Second Earner'!$C$10,12,31)),'Second Earner'!$C$61,999999),IF(AND('Second Earner'!$C$62&gt;MAX($B$6:$B48),'Second Earner'!$C$62&gt;=DATE('Second Earner'!$C$10,1,1),'Second Earner'!$C$62&lt;=DATE('Second Earner'!$C$10,12,31)),'Second Earner'!$C$62,999999),IF(AND('Second Earner'!$C$63&gt;MAX($B$6:$B48),'Second Earner'!$C$63&gt;=DATE('Second Earner'!$C$10,1,1),'Second Earner'!$C$63&lt;=DATE('Second Earner'!$C$10,12,31)),'Second Earner'!$C$63,999999),IF(AND('Second Earner'!$C$64&gt;MAX($B$6:$B48),'Second Earner'!$C$64&gt;=DATE('Second Earner'!$C$10,1,1),'Second Earner'!$C$64&lt;=DATE('Second Earner'!$C$10,12,31)),'Second Earner'!$C$64,999999),IF(AND('Second Earner'!$C$65&gt;MAX($B$6:$B48),'Second Earner'!$C$65&gt;=DATE('Second Earner'!$C$10,1,1),'Second Earner'!$C$65&lt;=DATE('Second Earner'!$C$10,12,31)),'Second Earner'!$C$65,999999),IF(AND('Second Earner'!$C$66&gt;MAX($B$6:$B48),'Second Earner'!$C$66&gt;=DATE('Second Earner'!$C$10,1,1),'Second Earner'!$C$66&lt;=DATE('Second Earner'!$C$10,12,31)),'Second Earner'!$C$66,999999),IF(AND('Second Earner'!$C$67&gt;MAX($B$6:$B48),'Second Earner'!$C$67&gt;=DATE('Second Earner'!$C$10,1,1),'Second Earner'!$C$67&lt;=DATE('Second Earner'!$C$10,12,31)),'Second Earner'!$C$67,999999)))</f>
      </c>
      <c r="CF49">
        <f>IF($B49="","",IF($D49=0,$Y49,""))</f>
      </c>
    </row>
    <row r="50">
      <c r="A50" t="n">
        <v>45</v>
      </c>
      <c r="B50" s="21">
        <f>IF(AND($CD50="",$CE50=""),"",IF($CE50="",$CD50,IF($CD50="",$CE50,MIN($CD50,$CE50))))</f>
      </c>
      <c r="C50" s="7">
        <f>IF($B50="","",IF($BF50=0,0,IF('Second Earner'!$C$4="Annual salary",ROUND($AK50/IF(AND('Second Earner'!$C$88="Actual paydays",MONTH('Second Earner'!$C$9)=1),MAX(1,MAX($BE$6:$BE$68)),'Second Earner'!$C$8),2),$AK50)))</f>
      </c>
      <c r="D50" s="7">
        <f>IF($B50="","",SUMIF('Second Earner'!$C$58:$C$67,$B50,'Second Earner'!$D$58:$D$67))</f>
      </c>
      <c r="E50" s="7">
        <f>IF($B50="","",ROUND(MAX(0,MIN(IF($AL50="Percent",$AM50*($C50+$D50),$AM50),MAX(0,'Second Earner'!$C$34-$AC49))),2))</f>
      </c>
      <c r="F50" s="7">
        <f>IF($B50="","",ROUND(MAX(0,MIN(IF('Second Earner'!$C$32="Percent",'Second Earner'!$D$32*($C50+$D50),'Second Earner'!$D$32),MAX(0,'Second Earner'!$C$34-$AC49-$E50))),2))</f>
      </c>
      <c r="G50" s="7">
        <f>IF($B50="","",IF($BF50=0,0,ROUND(MAX(0,MIN($BL50,'Second Earner'!$C$37-'Second Earner'!$C$54-$BI49)),2)))</f>
      </c>
      <c r="H50" s="7">
        <f>IF($B50="","",IF(OR($BF50=0,$BQ50=1),0,ROUND(MAX(0,MIN(IF($BS50=1,ROUND(MAX(0,MIN($BJ50,'How This Works &amp; Sources'!$C$13)-$BG49)/MAX(1,MAX($BE$6:$BE$68)-($BE49)),2),ROUND(MIN($BJ50,'How This Works &amp; Sources'!$C$13)/'Second Earner'!$C$8,2)),MIN($BJ50,'How This Works &amp; Sources'!$C$13)-$BG49)),2)))</f>
      </c>
      <c r="I50" s="7">
        <f>IF($B50="","",IF(OR($BF50=0,$BR50=1),0,ROUND(MAX(0,MIN(IF($BT50=1,ROUND(MAX(0,MIN($BK50,IF('Second Earner'!$C$12="MFJ",'How This Works &amp; Sources'!$C$14,'How This Works &amp; Sources'!$C$15))-$BH49)/MAX(1,MAX($BE$6:$BE$68)-($BE49)),2),ROUND(MIN($BK50,IF('Second Earner'!$C$12="MFJ",'How This Works &amp; Sources'!$C$14,'How This Works &amp; Sources'!$C$15))/'Second Earner'!$C$8,2)),MIN($BK50,IF('Second Earner'!$C$12="MFJ",'How This Works &amp; Sources'!$C$14,'How This Works &amp; Sources'!$C$15))-$BH49)),2)))</f>
      </c>
      <c r="J50" s="7">
        <f>IF($B50="","",IF($BF50=0,0,$BM50))</f>
      </c>
      <c r="K50" s="7">
        <f>IF($B50="","",IF($BF50=0,0,$BN50+$BO50))</f>
      </c>
      <c r="L50" s="7">
        <f>IF($B50="","",IF($BF50=0,0,'Second Earner'!$D$46))</f>
      </c>
      <c r="M50" s="7">
        <f>IF($B50="","",$C50+$D50+$L50-$E50-$G50-$H50-$I50-$J50-$K50)</f>
      </c>
      <c r="N50" s="7">
        <f>IF($B50="","",$C50+$D50+$L50-$G50-$H50-$I50-$J50-$K50)</f>
      </c>
      <c r="O50" s="7">
        <f>IF($B50="","",$C50+$D50+$L50-$E50-$H50-$I50-$J50-$K50-IF(OR($AN50="CA",$AN50="NJ"),0,$G50))</f>
      </c>
      <c r="P50" s="7">
        <f>IF($B50="","",IF('Second Earner'!$C$18,0,ROUND(MAX(0,IF('Second Earner'!$C$13,SUMPRODUCT(($AH50&gt;INDEX('How This Works &amp; Sources'!$B$29:$J$36,0,IF('Second Earner'!$C$12="MFJ",1,IF('Second Earner'!$C$12="HoH",7,4))))*($AH50-INDEX('How This Works &amp; Sources'!$B$29:$J$36,0,IF('Second Earner'!$C$12="MFJ",1,IF('Second Earner'!$C$12="HoH",7,4))))*INDEX('How This Works &amp; Sources'!$B$29:$J$36,0,IF('Second Earner'!$C$12="MFJ",1,IF('Second Earner'!$C$12="HoH",7,4))+2)),SUMPRODUCT(($AH50&gt;INDEX('How This Works &amp; Sources'!$B$19:$J$26,0,IF('Second Earner'!$C$12="MFJ",1,IF('Second Earner'!$C$12="HoH",7,4))))*($AH50-INDEX('How This Works &amp; Sources'!$B$19:$J$26,0,IF('Second Earner'!$C$12="MFJ",1,IF('Second Earner'!$C$12="HoH",7,4))))*INDEX('How This Works &amp; Sources'!$B$19:$J$26,0,IF('Second Earner'!$C$12="MFJ",1,IF('Second Earner'!$C$12="HoH",7,4))+2)))/'Second Earner'!$C$8-$AO50/'Second Earner'!$C$8)+$AR50+IF('Second Earner'!$C$89="Aggregate",MAX(0,IF('Second Earner'!$C$13,SUMPRODUCT((($AH50+$D50)&gt;INDEX('How This Works &amp; Sources'!$B$29:$J$36,0,IF('Second Earner'!$C$12="MFJ",1,IF('Second Earner'!$C$12="HoH",7,4))))*(($AH50+$D50)-INDEX('How This Works &amp; Sources'!$B$29:$J$36,0,IF('Second Earner'!$C$12="MFJ",1,IF('Second Earner'!$C$12="HoH",7,4))))*INDEX('How This Works &amp; Sources'!$B$29:$J$36,0,IF('Second Earner'!$C$12="MFJ",1,IF('Second Earner'!$C$12="HoH",7,4))+2)),SUMPRODUCT((($AH50+$D50)&gt;INDEX('How This Works &amp; Sources'!$B$19:$J$26,0,IF('Second Earner'!$C$12="MFJ",1,IF('Second Earner'!$C$12="HoH",7,4))))*(($AH50+$D50)-INDEX('How This Works &amp; Sources'!$B$19:$J$26,0,IF('Second Earner'!$C$12="MFJ",1,IF('Second Earner'!$C$12="HoH",7,4))))*INDEX('How This Works &amp; Sources'!$B$19:$J$26,0,IF('Second Earner'!$C$12="MFJ",1,IF('Second Earner'!$C$12="HoH",7,4))+2)))-IF('Second Earner'!$C$13,SUMPRODUCT(($AH50&gt;INDEX('How This Works &amp; Sources'!$B$29:$J$36,0,IF('Second Earner'!$C$12="MFJ",1,IF('Second Earner'!$C$12="HoH",7,4))))*($AH50-INDEX('How This Works &amp; Sources'!$B$29:$J$36,0,IF('Second Earner'!$C$12="MFJ",1,IF('Second Earner'!$C$12="HoH",7,4))))*INDEX('How This Works &amp; Sources'!$B$29:$J$36,0,IF('Second Earner'!$C$12="MFJ",1,IF('Second Earner'!$C$12="HoH",7,4))+2)),SUMPRODUCT(($AH50&gt;INDEX('How This Works &amp; Sources'!$B$19:$J$26,0,IF('Second Earner'!$C$12="MFJ",1,IF('Second Earner'!$C$12="HoH",7,4))))*($AH50-INDEX('How This Works &amp; Sources'!$B$19:$J$26,0,IF('Second Earner'!$C$12="MFJ",1,IF('Second Earner'!$C$12="HoH",7,4))))*INDEX('How This Works &amp; Sources'!$B$19:$J$26,0,IF('Second Earner'!$C$12="MFJ",1,IF('Second Earner'!$C$12="HoH",7,4))+2)))),'How This Works &amp; Sources'!$C$10*$D50),2)))</f>
      </c>
      <c r="Q50" s="7">
        <f>IF($B50="","",ROUND('How This Works &amp; Sources'!$C$4*MIN($N50,MAX(0,'How This Works &amp; Sources'!$C$3-($AX50+$AB49-$AW50))),2))</f>
      </c>
      <c r="R50" s="7">
        <f>IF($B50="","",ROUND('How This Works &amp; Sources'!$C$5*$N50,2))</f>
      </c>
      <c r="S50" s="7">
        <f>IF($B50="","",ROUND('How This Works &amp; Sources'!$C$6*MAX(0,MIN($N50,$AG49+$N50-'How This Works &amp; Sources'!$C$7)),2))</f>
      </c>
      <c r="T50" s="7">
        <f>IF($B50="","",IF('Second Earner'!$C$26,0,IF($AN50="CA",ROUND(IF($AI50&lt;=IF(($AS50+$AT50)&gt;=2,VLOOKUP($AN50,StateTables!$A$6:$AB$56,10,FALSE),VLOOKUP($AN50,StateTables!$A$6:$AB$56,9,FALSE)),0,MAX(0,SUMPRODUCT(($AJ50&gt;INDEX('How This Works &amp; Sources'!$B$39:$J$48,0,IF($AU50="Married",4,IF($AU50="Head of household",7,1))))*($AJ50-INDEX('How This Works &amp; Sources'!$B$39:$J$48,0,IF($AU50="Married",4,IF($AU50="Head of household",7,1))))*INDEX('How This Works &amp; Sources'!$B$39:$J$48,0,IF($AU50="Married",4,IF($AU50="Head of household",7,1))+2))-VLOOKUP($AN50,StateTables!$A$6:$AB$56,11,FALSE)*$AS50)/'Second Earner'!$C$8)+'Second Earner'!$C$25+VLOOKUP($AN50,StateTables!$A$6:$AB$56,13,FALSE)*$D50,2),IF(VLOOKUP($AN50,StateTables!$A$6:$AB$56,4,FALSE)="None",0,IF(ISNUMBER(SEARCH("MANUAL",VLOOKUP($AN50,StateTables!$A$6:$AB$56,5,FALSE))),'Second Earner'!$C$28,ROUND(MAX(0,$BA50+$BB50)/'Second Earner'!$C$8+'Second Earner'!$C$25+$BC50,2))))))</f>
      </c>
      <c r="U50" s="7">
        <f>IF($B50="","",IF(VLOOKUP($AN50,StateTables!$A$6:$AB$56,24,FALSE)="flatq",IF(OR(MONTH($B50)=1,MONTH($B50)=4,MONTH($B50)=7,MONTH($B50)=10),VLOOKUP($AN50,StateTables!$A$6:$AB$56,25,FALSE),0),IF(VLOOKUP($AN50,StateTables!$A$6:$AB$56,24,FALSE)="dbl",MIN(ROUND(0.005*$N50,2),ROUND(0.6*52/'Second Earner'!$C$8,2)),IF(OR(VLOOKUP($AN50,StateTables!$A$6:$AB$56,15,FALSE)="",VLOOKUP($AN50,StateTables!$A$6:$AB$56,15,FALSE)=0),0,ROUND(VLOOKUP($AN50,StateTables!$A$6:$AB$56,15,FALSE)*IF(OR(VLOOKUP($AN50,StateTables!$A$6:$AB$56,16,FALSE)="",VLOOKUP($AN50,StateTables!$A$6:$AB$56,16,FALSE)=0),$N50,MIN($N50,MAX(0,VLOOKUP($AN50,StateTables!$A$6:$AB$56,16,FALSE)-($AX50+$AB49-$AW50)))),2))))+IF(VLOOKUP($AN50,StateTables!$A$6:$AB$56,27,FALSE)="flatq",IF(OR(MONTH($B50)=1,MONTH($B50)=4,MONTH($B50)=7,MONTH($B50)=10),VLOOKUP($AN50,StateTables!$A$6:$AB$56,28,FALSE),0),IF(VLOOKUP($AN50,StateTables!$A$6:$AB$56,27,FALSE)="dbl",MIN(ROUND(0.005*$N50,2),ROUND(0.6*52/'Second Earner'!$C$8,2)),IF(OR(VLOOKUP($AN50,StateTables!$A$6:$AB$56,18,FALSE)="",VLOOKUP($AN50,StateTables!$A$6:$AB$56,18,FALSE)=0),0,ROUND(VLOOKUP($AN50,StateTables!$A$6:$AB$56,18,FALSE)*IF(OR(VLOOKUP($AN50,StateTables!$A$6:$AB$56,19,FALSE)="",VLOOKUP($AN50,StateTables!$A$6:$AB$56,19,FALSE)=0),$N50,MIN($N50,MAX(0,VLOOKUP($AN50,StateTables!$A$6:$AB$56,19,FALSE)-($AX50+$AB49-$AW50)))),2)))))</f>
      </c>
      <c r="V50" s="7">
        <f>IF($B50="","",IF($AN50="NY",IF('Second Earner'!$C$78,ROUND(SUMPRODUCT((MAX(0,($O50-$D50)*'Second Earner'!$C$8-(IF($AU50="Married",5500,5000)+1000*$AS50))&gt;INDEX('How This Works &amp; Sources'!$B$184:$J$198,0,4))*(MAX(0,($O50-$D50)*'Second Earner'!$C$8-(IF($AU50="Married",5500,5000)+1000*$AS50))-INDEX('How This Works &amp; Sources'!$B$184:$J$198,0,4))*INDEX('How This Works &amp; Sources'!$B$184:$J$198,0,4+2))/'Second Earner'!$C$8+0.0425*$D50,2),0)+IF('Second Earner'!$C$79="Resident",ROUND(0.1675*$T50,2),IF('Second Earner'!$C$79="Nonresident",ROUND(0.005*MAX(0,($O50-$D50)-(IF($AU50="Married",7950,7400)+1000*$AS50)/'Second Earner'!$C$8),2),0)),IF($AN50="PA",IF('Second Earner'!$C$80="None",'Second Earner'!$C$27+ROUND('Second Earner'!$C$81*($C50+$D50),2),ROUND(IF('Second Earner'!$C$80="Resident",IF($B50&lt;DATE(2026,7,1),0.0374,0.03735),IF($B50&lt;DATE(2026,7,1),0.0343,0.03425))*($C50+$D50),2)),IF($BF50=0,ROUND('Second Earner'!$C$81*($C50+$D50),2),'Second Earner'!$C$27+ROUND('Second Earner'!$C$81*($C50+$D50),2)))))</f>
      </c>
      <c r="W50" s="7">
        <f>IF($B50="","",IF($BF50=0,0,$BP50))</f>
      </c>
      <c r="X50" s="7">
        <f>IF($B50="","",SUM($E50:$K50)+$P50+$Q50+$R50+$S50+$T50+$U50+$V50+$W50)</f>
      </c>
      <c r="Y50" s="22">
        <f>IF($B50="","",$C50+$D50-$X50)</f>
      </c>
      <c r="Z50" s="7">
        <f>IF($B50="","",$Z49+$C50+$D50)</f>
      </c>
      <c r="AA50" s="7">
        <f>IF($B50="","",$AA49+$Y50)</f>
      </c>
      <c r="AB50" s="7">
        <f>IF($B50="","",$AB49+MIN($N50,MAX(0,'How This Works &amp; Sources'!$C$3-($AX50+$AB49-$AW50))))</f>
      </c>
      <c r="AC50" s="7">
        <f>IF($B50="","",$AC49+$E50+$F50)</f>
      </c>
      <c r="AD50" s="3">
        <f>IF($B50="","",IF(AND($AB49&lt;'How This Works &amp; Sources'!$C$3,$AB50&gt;='How This Works &amp; Sources'!$C$3),"★ Social Security maxed on this check — from the next check your net rises by about $"&amp;TEXT(ROUND('How This Works &amp; Sources'!$C$4*$N50,2),"#,##0.00")&amp;". ","")&amp;IF(AND($AC49&lt;'Second Earner'!$C$34,$AC50&gt;='Second Earner'!$C$34),"★ 401(k) reaches the $"&amp;TEXT('Second Earner'!$C$34,"#,##0")&amp;" cap on this check — deferrals stop and net pay rises. ","")&amp;IF(AND($AG49&lt;'How This Works &amp; Sources'!$C$7,$AG50&gt;='How This Works &amp; Sources'!$C$7),"★ Wages pass $200,000 — the 0.9% Additional Medicare Tax starts here. ","")&amp;IF(AND($BJ50&gt;0,$H50&gt;0,$BG49&lt;MIN($BJ50,'How This Works &amp; Sources'!$C$13),$BG49+$H50&gt;=MIN($BJ50,'How This Works &amp; Sources'!$C$13)),"★ Health FSA election is now fully deferred for the year. ",""))</f>
      </c>
      <c r="AE50" s="41" t="n"/>
      <c r="AF50" s="7">
        <f>IF(OR($B50="",$AE50=""),"",$AE50-$Y50)</f>
      </c>
      <c r="AG50" s="7">
        <f>IF($B50="","",$AG49+$N50)</f>
      </c>
      <c r="AH50" s="7">
        <f>IF($B50="","",MAX(0,($M50-$D50)*'Second Earner'!$C$8+$AP50-$AQ50-IF('Second Earner'!$C$13,0,IF('Second Earner'!$C$12="MFJ",'How This Works &amp; Sources'!$C$8,'How This Works &amp; Sources'!$C$9))))</f>
      </c>
      <c r="AI50" s="7">
        <f>IF($B50="","",$O50*'Second Earner'!$C$8)</f>
      </c>
      <c r="AJ50" s="7">
        <f>IF($B50="","",MAX(0,$AI50-VLOOKUP($AN50,StateTables!$A$6:$AB$56,12,FALSE)*$AT50-IF(($AS50+$AT50)&gt;=2,VLOOKUP($AN50,StateTables!$A$6:$AB$56,8,FALSE),VLOOKUP($AN50,StateTables!$A$6:$AB$56,7,FALSE))))</f>
      </c>
      <c r="AK50" s="7">
        <f>IF($B50="","",IFERROR(LOOKUP(2,1/(('Changes — Earner 2'!$C$6:$C$17="Salary change")*('Changes — Earner 2'!$B$6:$B$17&lt;=$B50)*('Changes — Earner 2'!$B$6:$B$17&lt;&gt;"")),'Changes — Earner 2'!$D$6:$D$17),IF('Second Earner'!$C$4="Annual salary",'Second Earner'!$C$5,'Second Earner'!$C$6)))</f>
      </c>
      <c r="AL50">
        <f>IF($B50="","",IFERROR(LOOKUP(2,1/(('Changes — Earner 2'!$C$6:$C$17="401(k) change")*('Changes — Earner 2'!$B$6:$B$17&lt;=$B50)*('Changes — Earner 2'!$B$6:$B$17&lt;&gt;"")),'Changes — Earner 2'!$D$6:$D$17),'Second Earner'!$C$30))</f>
      </c>
      <c r="AM50" s="7">
        <f>IF($B50="","",IFERROR(LOOKUP(2,1/(('Changes — Earner 2'!$C$6:$C$17="401(k) change")*('Changes — Earner 2'!$B$6:$B$17&lt;=$B50)*('Changes — Earner 2'!$B$6:$B$17&lt;&gt;"")),'Changes — Earner 2'!$E$6:$E$17),'Second Earner'!$D$31))</f>
      </c>
      <c r="AN50">
        <f>IF($B50="","",IFERROR(LOOKUP(2,1/(('Changes — Earner 2'!$C$6:$C$17="State move")*('Changes — Earner 2'!$B$6:$B$17&lt;=$B50)*('Changes — Earner 2'!$B$6:$B$17&lt;&gt;"")),'Changes — Earner 2'!$D$6:$D$17),'Second Earner'!$C$21))</f>
      </c>
      <c r="AO50" s="7">
        <f>IF($B50="","",IFERROR(LOOKUP(2,1/(('Changes — Earner 2'!$C$6:$C$17="W-4 change")*('Changes — Earner 2'!$B$6:$B$17&lt;=$B50)*('Changes — Earner 2'!$B$6:$B$17&lt;&gt;"")),'Changes — Earner 2'!$D$6:$D$17),'Second Earner'!$C$14))</f>
      </c>
      <c r="AP50" s="7">
        <f>IF($B50="","",IFERROR(LOOKUP(2,1/(('Changes — Earner 2'!$C$6:$C$17="W-4 change")*('Changes — Earner 2'!$B$6:$B$17&lt;=$B50)*('Changes — Earner 2'!$B$6:$B$17&lt;&gt;"")),'Changes — Earner 2'!$E$6:$E$17),'Second Earner'!$C$15))</f>
      </c>
      <c r="AQ50" s="7">
        <f>IF($B50="","",IFERROR(LOOKUP(2,1/(('Changes — Earner 2'!$C$6:$C$17="W-4 change")*('Changes — Earner 2'!$B$6:$B$17&lt;=$B50)*('Changes — Earner 2'!$B$6:$B$17&lt;&gt;"")),'Changes — Earner 2'!$F$6:$F$17),'Second Earner'!$C$16))</f>
      </c>
      <c r="AR50" s="7">
        <f>IF($B50="","",IFERROR(LOOKUP(2,1/(('Changes — Earner 2'!$C$6:$C$17="W-4 change")*('Changes — Earner 2'!$B$6:$B$17&lt;=$B50)*('Changes — Earner 2'!$B$6:$B$17&lt;&gt;"")),'Changes — Earner 2'!$G$6:$G$17),'Second Earner'!$C$17))</f>
      </c>
      <c r="AS50" s="6">
        <f>IF($B50="","",IFERROR(LOOKUP(2,1/((('Changes — Earner 2'!$C$6:$C$17="State move")+('Changes — Earner 2'!$C$6:$C$17="State cert change"))*('Changes — Earner 2'!$B$6:$B$17&lt;=$B50)*('Changes — Earner 2'!$B$6:$B$17&lt;&gt;"")),'Changes — Earner 2'!$F$6:$F$17),'Second Earner'!$C$23))</f>
      </c>
      <c r="AT50" s="6">
        <f>IF($B50="","",IFERROR(LOOKUP(2,1/((('Changes — Earner 2'!$C$6:$C$17="State move")+('Changes — Earner 2'!$C$6:$C$17="State cert change"))*('Changes — Earner 2'!$B$6:$B$17&lt;=$B50)*('Changes — Earner 2'!$B$6:$B$17&lt;&gt;"")),'Changes — Earner 2'!$G$6:$G$17),'Second Earner'!$C$24))</f>
      </c>
      <c r="AU50">
        <f>IF($B50="","",IFERROR(LOOKUP(2,1/(('Changes — Earner 2'!$C$6:$C$17="State move")*('Changes — Earner 2'!$B$6:$B$17&lt;=$B50)*('Changes — Earner 2'!$B$6:$B$17&lt;&gt;"")),'Changes — Earner 2'!$E$6:$E$17),'Second Earner'!$C$22))</f>
      </c>
      <c r="AV50" s="6">
        <f>IF($B50="","",1+COUNTIFS('Changes — Earner 2'!$C$6:$C$17,"Employer change",'Changes — Earner 2'!$B$6:$B$17,"&lt;="&amp;$B50,'Changes — Earner 2'!$B$6:$B$17,"&lt;&gt;"))</f>
      </c>
      <c r="AW50" s="7">
        <f>IF($B50="","",IF($AV50=1,'Second Earner'!$C$49,IF(IFERROR(MATCH(IFERROR(LOOKUP(2,1/(('Changes — Earner 2'!$C$6:$C$17="Employer change")*('Changes — Earner 2'!$B$6:$B$17&lt;=$B50)*('Changes — Earner 2'!$B$6:$B$17&lt;&gt;"")),'Changes — Earner 2'!$B$6:$B$17),""),$B$6:$B$68,1),1)&lt;=1,'Second Earner'!$C$49,INDEX($AB$6:$AB$68,MATCH(IFERROR(LOOKUP(2,1/(('Changes — Earner 2'!$C$6:$C$17="Employer change")*('Changes — Earner 2'!$B$6:$B$17&lt;=$B50)*('Changes — Earner 2'!$B$6:$B$17&lt;&gt;"")),'Changes — Earner 2'!$B$6:$B$17),""),$B$6:$B$68,1)-1))))</f>
      </c>
      <c r="AX50" s="7">
        <f>IF($B50="","",IF($AV50=1,'Second Earner'!$C$49,IFERROR(LOOKUP(2,1/(('Changes — Earner 2'!$C$6:$C$17="Employer change")*('Changes — Earner 2'!$B$6:$B$17&lt;=$B50)*('Changes — Earner 2'!$B$6:$B$17&lt;&gt;"")),'Changes — Earner 2'!$D$6:$D$17),0)))</f>
      </c>
      <c r="AY50" s="7">
        <f>IF($B50="","",($O50-$D50)*'Second Earner'!$C$8)</f>
      </c>
      <c r="AZ50" s="7">
        <f>IF($B50="","",IF($AN50="AL",MAX(0,$AY50-IF($AU50="Married",IF($AY50&lt;=25999,8500,MAX(5000,8500-175*CEILING(($AY50-25999)/500,1))),IF($AU50="Head of household",IF($AY50&lt;=25999,5200,MAX(2500,5200-135*CEILING(($AY50-25999)/500,1))),IF($AY50&lt;=25999,3000,MAX(2500,3000-25*CEILING(($AY50-25999)/500,1)))))-($P50-'How This Works &amp; Sources'!$C$10*$D50)*'Second Earner'!$C$8-IF(OR($AU50="Married",$AU50="Head of household"),3000,1500)-$AT50*IF($AY50&lt;=50000,1000,IF($AY50&lt;=100000,500,300))),IF($AN50="AR",IF(MAX(0,$AY50-2470)&lt;97701,INT(MAX(0,$AY50-2470)/100)*100+50,MAX(0,$AY50-2470)),IF($AN50="DE",MAX(0,$AI50-3250),IF($AN50="HI",MAX(0,$AI50-1144*$AS50-4350),IF($AN50="KS",MAX(0,$AI50-(9160*IF($AU50="Married",2,1)+2320*$AT50+IF($AU50="Head of household",2320,0))),IF($AN50="MD",MAX(0,$AI50-3400-3200*$AS50),IF($AN50="MN",MAX(0,$AY50-5300*$AS50),IF($AN50="MO",MAX(0,$AI50-IF($AU50="Head of household",24150,IF($AU50="Married",IF('Second Earner'!$C$83,16100,32200),16100))),IF($AN50="MT",$AY50,IF($AN50="ND",($C50+$L50)*'Second Earner'!$C$8,IF($AN50="NE",MAX(0,$AY50-2440*$AS50),IF($AN50="NJ",MAX(0,$AY50-1000*$AS50),IF($AN50="NY",MAX(0,$AY50-(IF($AU50="Married",7950,7400)+1000*$AS50)),IF($AN50="OH",MAX(0,$AY50-650*$AS50),IF($AN50="OK",MAX(0,$AY50-1000*$AS50),IF($AN50="RI",MAX(0,$AI50-1000*$AS50),IF($AN50="SC",MAX(0,$AI50-5000*$AS50-IF($AS50=0,0,MIN(0.1*$AI50,7500))),IF($AN50="VA",MAX(0,$AI50-IF($AU50="Married",17500,8750)-930*$AS50-800*$AT50),IF($AN50="VT",MAX(0,$AI50-5400*$AS50),IF($AN50="WI",MAX(0,$AI50-MAX(0,IF($AU50="Married",9461-0.2*MAX(0,$AI50-25727),6702-0.12*MAX(0,$AI50-17780)))-400*$AS50),IF($AN50="WV",MAX(0,$AI50-2000*$AS50),$AI50))))))))))))))))))))))</f>
      </c>
      <c r="BA50" s="7">
        <f>IF($B50="","",IF($BW50&lt;&gt;"",$BW50,IF($BX50&lt;&gt;"",$BX50,IF($BY50&lt;&gt;"",$BY50,0))))</f>
      </c>
      <c r="BB50" s="7">
        <f>IF($B50="","",IF($AN50="AR",-29*$AS50,IF($AN50="DE",-110*$AS50,IF($AN50="MD",$AZ50*'Second Earner'!$C$74,IF($AN50="AZ",'Second Earner'!$C$82*($M50-$D50)*'Second Earner'!$C$8,IF($AN50="CO",0.044*MAX(0,$AY50-IF($AU50="Married",10000,5000)),IF($AN50="IA",MAX(0,0.038*MAX(0,$AY50-IF($AU50="Head of household",19500,IF($AU50="Married",26000,13000)))-40*$AS50),IF($AN50="ID",0.053*MAX(0,$AY50-IF($AU50="Married",32000,16094)),IF($AN50="IL",0.0495*MAX(0,$AY50-(2925*$AS50+1000*$AT50)),IF($AN50="IN",(0.0295+'Second Earner'!$C$76)*MAX(0,$AY50-(1000*$AS50+1500*$AT50+3000*'Second Earner'!$C$86)),IF($AN50="KY",0.035*MAX(0,$AI50-3360),IF($AN50="LA",IF('Second Earner'!$C$84="0",0.0309*$AI50,0.0309*MAX(0,$AI50-IF('Second Earner'!$C$84="2",25750,12875))),IF($AN50="MA",0.05*MIN(MAX(0,$AY50-MIN(($BD49+$Q50+$R50+$S50),2000)-IF($AS50=0,0,IF($AS50=1,4400,1000*$AS50+3400))),1107750)+0.09*MAX(0,MAX(0,$AY50-MIN(($BD49+$Q50+$R50+$S50),2000)-IF($AS50=0,0,IF($AS50=1,4400,1000*$AS50+3400)))-1107750)-IF($AU50="Head of household",120,0)-110*'Second Earner'!$C$75,IF($AN50="MI",0.0425*MAX(0,$AY50-5900*$AS50),IF($AN50="MS",0.04*MAX(0,$AI50-IF($AU50="Head of household",3400,IF($AU50="Married",4600,2300))-'Second Earner'!$C$85-10000),IF($AN50="OR",IF(OR($AU50="Married",AND($AU50="Single",$AS50&gt;=3)),SUMPRODUCT((MAX(0,$AY50-MIN(($P50-'How This Works &amp; Sources'!$C$10*$D50)*'Second Earner'!$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Sources'!$B$211:$J$214,0,4))*(MAX(0,$AY50-MIN(($P50-'How This Works &amp; Sources'!$C$10*$D50)*'Second Earner'!$C$8,IF(OR($AU50="Married",AND($AU50="Single",$AS50&gt;=3)),IF($AY50&lt;250000,8750,IF($AY50&lt;260000,7000,IF($AY50&lt;270000,5250,IF($AY50&lt;280000,3500,IF($AY50&lt;290000,1750,0))))),IF($AY50&lt;125000,8750,IF($AY50&lt;130000,7000,IF($AY50&lt;135000,5250,IF($AY50&lt;140000,3500,IF($AY50&lt;145000,1750,0)))))))-IF(OR($AU50="Married",AND($AU50="Single",$AS50&gt;=3)),5820,2910))-INDEX('How This Works &amp; Sources'!$B$211:$J$214,0,4))*INDEX('How This Works &amp; Sources'!$B$211:$J$214,0,4+2)),SUMPRODUCT((MAX(0,$AY50-MIN(($P50-'How This Works &amp; Sources'!$C$10*$D50)*'Second Earner'!$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Sources'!$B$211:$J$214,0,1))*(MAX(0,$AY50-MIN(($P50-'How This Works &amp; Sources'!$C$10*$D50)*'Second Earner'!$C$8,IF(OR($AU50="Married",AND($AU50="Single",$AS50&gt;=3)),IF($AY50&lt;250000,8750,IF($AY50&lt;260000,7000,IF($AY50&lt;270000,5250,IF($AY50&lt;280000,3500,IF($AY50&lt;290000,1750,0))))),IF($AY50&lt;125000,8750,IF($AY50&lt;130000,7000,IF($AY50&lt;135000,5250,IF($AY50&lt;140000,3500,IF($AY50&lt;145000,1750,0)))))))-IF(OR($AU50="Married",AND($AU50="Single",$AS50&gt;=3)),5820,2910))-INDEX('How This Works &amp; Sources'!$B$211:$J$214,0,1))*INDEX('How This Works &amp; Sources'!$B$211:$J$214,0,1+2)))+263-263*IF(IF($AU50="Married",$AY50&gt;200000,$AY50&gt;100000),0,$AS50),IF($AN50="PA",0.0307*(($O50+$E50+$G50)*'Second Earner'!$C$8),IF($AN50="NY",IF($AU50="Married",IF($AZ50&gt;=2155350,0,IF($AZ50&gt;=1077550,0.48,IF($AZ50&gt;=373200,1.21,IF($AZ50&gt;=323200,0.21,IF($AZ50&gt;=211550,-0.19,IF($AZ50&gt;=157650,-2.8,IF($AZ50&gt;=107650,-0.8,IF($AZ50&gt;=96800,0.05,IF($AZ50&gt;=80650,-0.1,IF($AZ50&gt;=13900,0.4,IF($AZ50&gt;=11700,-0.3,IF($AZ50&gt;=8500,0.5,0)))))))))))),IF($AZ50&gt;=1077550,0,IF($AZ50&gt;=265400,4.29,IF($AZ50&gt;=215400,2.29,IF($AZ50&gt;=157650,2.29,IF($AZ50&gt;=107650,0.29,IF($AZ50&gt;=96800,0.05,IF($AZ50&gt;=80650,-0.1,IF($AZ50&gt;=13900,0.4,IF($AZ50&gt;=11700,-0.3,IF($AZ50&gt;=8500,0.5,0))))))))))),0))))))))))))))))))</f>
      </c>
      <c r="BC50" s="7">
        <f>IF($B50="","",IF($AN50="AL",0.05*$D50,IF($AN50="AR",0.039*$D50,IF($AN50="ID",0.053*$D50,IF($AN50="IN",(0.0295+'Second Earner'!$C$76)*$D50,IF($AN50="KS",0.05*$D50,IF($AN50="MA",0.09*MIN($D50,MAX(0,MAX(0,$AY50-MIN(($BD49+$Q50+$R50+$S50),2000)-IF($AS50=0,0,IF($AS50=1,4400,1000*$AS50+3400)))+$D50-1107750))+0.05*($D50-MIN($D50,MAX(0,MAX(0,$AY50-MIN(($BD49+$Q50+$R50+$S50),2000)-IF($AS50=0,0,IF($AS50=1,4400,1000*$AS50+3400)))+$D50-1107750))),IF($AN50="MD",(0.065+'Second Earner'!$C$74)*$D50,IF($AN50="MI",0.0425*$D50,IF($AN50="MN",0.0625*$D50,IF($AN50="MO",0.047*$D50,IF($AN50="MT",0.05*$D50,IF($AN50="ND",0.015*$D50,IF($AN50="NE",0.035*$D50,IF($AN50="NJ",IF('Second Earner'!$C$77="B",SUMPRODUCT(($D50*'Second Earner'!$C$8&gt;INDEX('How This Works &amp; Sources'!$B$155:$J$162,0,4))*($D50*'Second Earner'!$C$8-INDEX('How This Works &amp; Sources'!$B$155:$J$162,0,4))*INDEX('How This Works &amp; Sources'!$B$155:$J$162,0,4+2)),IF('Second Earner'!$C$77="C",SUMPRODUCT(($D50*'Second Earner'!$C$8&gt;INDEX('How This Works &amp; Sources'!$B$155:$J$162,0,7))*($D50*'Second Earner'!$C$8-INDEX('How This Works &amp; Sources'!$B$155:$J$162,0,7))*INDEX('How This Works &amp; Sources'!$B$155:$J$162,0,7+2)),IF('Second Earner'!$C$77="D",SUMPRODUCT(($D50*'Second Earner'!$C$8&gt;INDEX('How This Works &amp; Sources'!$B$167:$J$179,0,1))*($D50*'Second Earner'!$C$8-INDEX('How This Works &amp; Sources'!$B$167:$J$179,0,1))*INDEX('How This Works &amp; Sources'!$B$167:$J$179,0,1+2)),IF('Second Earner'!$C$77="E",SUMPRODUCT(($D50*'Second Earner'!$C$8&gt;INDEX('How This Works &amp; Sources'!$B$167:$J$179,0,4))*($D50*'Second Earner'!$C$8-INDEX('How This Works &amp; Sources'!$B$167:$J$179,0,4))*INDEX('How This Works &amp; Sources'!$B$167:$J$179,0,4+2)),SUMPRODUCT(($D50*'Second Earner'!$C$8&gt;INDEX('How This Works &amp; Sources'!$B$155:$J$162,0,1))*($D50*'Second Earner'!$C$8-INDEX('How This Works &amp; Sources'!$B$155:$J$162,0,1))*INDEX('How This Works &amp; Sources'!$B$155:$J$162,0,1+2))))))/'Second Earner'!$C$8,IF($AN50="NY",0.117*$D50,IF($AN50="OH",0.0275*$D50,IF($AN50="OK",0.045*$D50,IF($AN50="OR",0.08*$D50,IF($AN50="WI",IF($AY50&lt;12760,0.0354,IF($AY50&lt;25520,0.0465,IF($AY50&lt;280950,0.053,0.0765)))*$D50,0))))))))))))))))))))</f>
      </c>
      <c r="BD50" s="7">
        <f>IF($B50="","",$BD49+$Q50+$R50+$S50)</f>
      </c>
      <c r="BE50" s="6">
        <f>IF($B50="",$BE49,$BE49+$BF50)</f>
      </c>
      <c r="BF50" s="6">
        <f>IF($B50="","",IF(AND(IF(YEAR(IF('Second Earner'!$C$7="Weekly",'Second Earner'!$C$9+7*(($BE49+1)-1),IF('Second Earner'!$C$7="Biweekly",'Second Earner'!$C$9+14*(($BE49+1)-1),IF('Second Earner'!$C$7="Semimonthly",DATE(YEAR('Second Earner'!$C$9),MONTH('Second Earner'!$C$9)+INT((($BE49+1)-1)/2),MIN(DAY('Second Earner'!$C$9),DAY(EOMONTH(DATE(YEAR('Second Earner'!$C$9),MONTH('Second Earner'!$C$9)+INT((($BE49+1)-1)/2),1),0))))+IF(MOD(($BE49+1)-1,2)=1,15,0),EDATE('Second Earner'!$C$9,($BE49+1)-1)))))&lt;&gt;'Second Earner'!$C$10,"",IF('Second Earner'!$C$7="Weekly",'Second Earner'!$C$9+7*(($BE49+1)-1),IF('Second Earner'!$C$7="Biweekly",'Second Earner'!$C$9+14*(($BE49+1)-1),IF('Second Earner'!$C$7="Semimonthly",DATE(YEAR('Second Earner'!$C$9),MONTH('Second Earner'!$C$9)+INT((($BE49+1)-1)/2),MIN(DAY('Second Earner'!$C$9),DAY(EOMONTH(DATE(YEAR('Second Earner'!$C$9),MONTH('Second Earner'!$C$9)+INT((($BE49+1)-1)/2),1),0))))+IF(MOD(($BE49+1)-1,2)=1,15,0),EDATE('Second Earner'!$C$9,($BE49+1)-1)))))&lt;&gt;"",$B50=IF(YEAR(IF('Second Earner'!$C$7="Weekly",'Second Earner'!$C$9+7*(($BE49+1)-1),IF('Second Earner'!$C$7="Biweekly",'Second Earner'!$C$9+14*(($BE49+1)-1),IF('Second Earner'!$C$7="Semimonthly",DATE(YEAR('Second Earner'!$C$9),MONTH('Second Earner'!$C$9)+INT((($BE49+1)-1)/2),MIN(DAY('Second Earner'!$C$9),DAY(EOMONTH(DATE(YEAR('Second Earner'!$C$9),MONTH('Second Earner'!$C$9)+INT((($BE49+1)-1)/2),1),0))))+IF(MOD(($BE49+1)-1,2)=1,15,0),EDATE('Second Earner'!$C$9,($BE49+1)-1)))))&lt;&gt;'Second Earner'!$C$10,"",IF('Second Earner'!$C$7="Weekly",'Second Earner'!$C$9+7*(($BE49+1)-1),IF('Second Earner'!$C$7="Biweekly",'Second Earner'!$C$9+14*(($BE49+1)-1),IF('Second Earner'!$C$7="Semimonthly",DATE(YEAR('Second Earner'!$C$9),MONTH('Second Earner'!$C$9)+INT((($BE49+1)-1)/2),MIN(DAY('Second Earner'!$C$9),DAY(EOMONTH(DATE(YEAR('Second Earner'!$C$9),MONTH('Second Earner'!$C$9)+INT((($BE49+1)-1)/2),1),0))))+IF(MOD(($BE49+1)-1,2)=1,15,0),EDATE('Second Earner'!$C$9,($BE49+1)-1)))))),1,0))</f>
      </c>
      <c r="BG50" s="7">
        <f>IF($B50="","",$BG49+$H50)</f>
      </c>
      <c r="BH50" s="7">
        <f>IF($B50="","",$BH49+$I50)</f>
      </c>
      <c r="BI50" s="7">
        <f>IF($B50="","",$BI49+$G50)</f>
      </c>
      <c r="BJ50" s="7">
        <f>IF($B50="","",IFERROR(LOOKUP(2,1/(((('Changes — Earner 2'!$C$6:$C$17="Deduction start"))*('Changes — Earner 2'!$D$6:$D$17="Health FSA"))*('Changes — Earner 2'!$B$6:$B$17&lt;=$B50)*('Changes — Earner 2'!$B$6:$B$17&lt;&gt;"")),'Changes — Earner 2'!$E$6:$E$17),'Second Earner'!$D$38))</f>
      </c>
      <c r="BK50" s="7">
        <f>IF($B50="","",IFERROR(LOOKUP(2,1/(((('Changes — Earner 2'!$C$6:$C$17="Deduction start"))*('Changes — Earner 2'!$D$6:$D$17="Dependent-care FSA"))*('Changes — Earner 2'!$B$6:$B$17&lt;=$B50)*('Changes — Earner 2'!$B$6:$B$17&lt;&gt;"")),'Changes — Earner 2'!$E$6:$E$17),'Second Earner'!$D$39))</f>
      </c>
      <c r="BL50" s="7">
        <f>IF($B50="","",IFERROR(LOOKUP(2,1/(((('Changes — Earner 2'!$C$6:$C$17="Deduction start")+('Changes — Earner 2'!$C$6:$C$17="Deduction stop"))*('Changes — Earner 2'!$D$6:$D$17="HSA"))*('Changes — Earner 2'!$B$6:$B$17&lt;=$B50)*('Changes — Earner 2'!$B$6:$B$17&lt;&gt;"")),'Changes — Earner 2'!$I$6:$I$17),'Second Earner'!$D$35))</f>
      </c>
      <c r="BM50" s="7">
        <f>IF($B50="","",IFERROR(LOOKUP(2,1/(((('Changes — Earner 2'!$C$6:$C$17="Deduction start")+('Changes — Earner 2'!$C$6:$C$17="Deduction stop"))*('Changes — Earner 2'!$D$6:$D$17="Premiums"))*('Changes — Earner 2'!$B$6:$B$17&lt;=$B50)*('Changes — Earner 2'!$B$6:$B$17&lt;&gt;"")),'Changes — Earner 2'!$I$6:$I$17),'Second Earner'!$D$40+'Second Earner'!$D$41+'Second Earner'!$D$42))</f>
      </c>
      <c r="BN50" s="7">
        <f>IF($B50="","",IFERROR(LOOKUP(2,1/(((('Changes — Earner 2'!$C$6:$C$17="Deduction start")+('Changes — Earner 2'!$C$6:$C$17="Deduction stop"))*('Changes — Earner 2'!$D$6:$D$17="Commuter"))*('Changes — Earner 2'!$B$6:$B$17&lt;=$B50)*('Changes — Earner 2'!$B$6:$B$17&lt;&gt;"")),'Changes — Earner 2'!$I$6:$I$17),'Second Earner'!$D$43))</f>
      </c>
      <c r="BO50" s="7">
        <f>IF($B50="","",IFERROR(LOOKUP(2,1/(((('Changes — Earner 2'!$C$6:$C$17="Deduction start")+('Changes — Earner 2'!$C$6:$C$17="Deduction stop"))*('Changes — Earner 2'!$D$6:$D$17="Other pre-tax"))*('Changes — Earner 2'!$B$6:$B$17&lt;=$B50)*('Changes — Earner 2'!$B$6:$B$17&lt;&gt;"")),'Changes — Earner 2'!$I$6:$I$17),'Second Earner'!$D$44))</f>
      </c>
      <c r="BP50" s="7">
        <f>IF($B50="","",IFERROR(LOOKUP(2,1/(((('Changes — Earner 2'!$C$6:$C$17="Deduction start")+('Changes — Earner 2'!$C$6:$C$17="Deduction stop"))*('Changes — Earner 2'!$D$6:$D$17="Other post-tax"))*('Changes — Earner 2'!$B$6:$B$17&lt;=$B50)*('Changes — Earner 2'!$B$6:$B$17&lt;&gt;"")),'Changes — Earner 2'!$I$6:$I$17),'Second Earner'!$D$45))</f>
      </c>
      <c r="BQ50" s="6">
        <f>IF($B50="","",IFERROR(LOOKUP(2,1/(((('Changes — Earner 2'!$C$6:$C$17="Deduction start")+('Changes — Earner 2'!$C$6:$C$17="Deduction stop"))*('Changes — Earner 2'!$D$6:$D$17="Health FSA"))*('Changes — Earner 2'!$B$6:$B$17&lt;=$B50)*('Changes — Earner 2'!$B$6:$B$17&lt;&gt;"")),'Changes — Earner 2'!$J$6:$J$17),0))</f>
      </c>
      <c r="BR50" s="6">
        <f>IF($B50="","",IFERROR(LOOKUP(2,1/(((('Changes — Earner 2'!$C$6:$C$17="Deduction start")+('Changes — Earner 2'!$C$6:$C$17="Deduction stop"))*('Changes — Earner 2'!$D$6:$D$17="Dependent-care FSA"))*('Changes — Earner 2'!$B$6:$B$17&lt;=$B50)*('Changes — Earner 2'!$B$6:$B$17&lt;&gt;"")),'Changes — Earner 2'!$J$6:$J$17),0))</f>
      </c>
      <c r="BS50" s="6">
        <f>IF($B50="","",IF(SUMPRODUCT(('Changes — Earner 2'!$C$6:$C$17="Deduction start")*('Changes — Earner 2'!$B$6:$B$17&lt;=$B50)*('Changes — Earner 2'!$B$6:$B$17&lt;&gt;"")*('Changes — Earner 2'!$D$6:$D$17="Health FSA"))&gt;0,1,0))</f>
      </c>
      <c r="BT50" s="6">
        <f>IF($B50="","",IF(SUMPRODUCT(('Changes — Earner 2'!$C$6:$C$17="Deduction start")*('Changes — Earner 2'!$B$6:$B$17&lt;=$B50)*('Changes — Earner 2'!$B$6:$B$17&lt;&gt;"")*('Changes — Earner 2'!$D$6:$D$17="Dependent-care FSA"))&gt;0,1,0))</f>
      </c>
      <c r="BU50" s="24">
        <f>IF($B50="","",IF('Second Earner'!$C$13,SUMPRODUCT(($AH50&gt;=INDEX('How This Works &amp; Sources'!$B$29:$J$36,0,IF('Second Earner'!$C$12="MFJ",1,IF('Second Earner'!$C$12="HoH",7,4))))*INDEX('How This Works &amp; Sources'!$B$29:$J$36,0,IF('Second Earner'!$C$12="MFJ",1,IF('Second Earner'!$C$12="HoH",7,4))+2)),SUMPRODUCT(($AH50&gt;=INDEX('How This Works &amp; Sources'!$B$19:$J$26,0,IF('Second Earner'!$C$12="MFJ",1,IF('Second Earner'!$C$12="HoH",7,4))))*INDEX('How This Works &amp; Sources'!$B$19:$J$26,0,IF('Second Earner'!$C$12="MFJ",1,IF('Second Earner'!$C$12="HoH",7,4))+2))))</f>
      </c>
      <c r="BV50" s="24">
        <f>IF($B50="","",IF($BZ50&lt;&gt;"",$BZ50,IF($CA50&lt;&gt;"",$CA50,IF($CB50&lt;&gt;"",$CB50,IF($CC50&lt;&gt;"",$CC50,0)))))</f>
      </c>
      <c r="BW50" s="7">
        <f>IF($B50="","",IF($AN50="AR",SUMPRODUCT(($AZ50&gt;INDEX('How This Works &amp; Sources'!$B$82:$J$86,0,7))*($AZ50-INDEX('How This Works &amp; Sources'!$B$82:$J$86,0,7))*INDEX('How This Works &amp; Sources'!$B$82:$J$86,0,7+2)),IF($AN50="MD",IF(OR($AU50="Married",$AU50="Head of household"),SUMPRODUCT(($AZ50&gt;INDEX('How This Works &amp; Sources'!$B$114:$J$120,0,1))*($AZ50-INDEX('How This Works &amp; Sources'!$B$114:$J$120,0,1))*INDEX('How This Works &amp; Sources'!$B$114:$J$120,0,1+2)),SUMPRODUCT(($AZ50&gt;INDEX('How This Works &amp; Sources'!$B$103:$J$109,0,7))*($AZ50-INDEX('How This Works &amp; Sources'!$B$103:$J$109,0,7))*INDEX('How This Works &amp; Sources'!$B$103:$J$109,0,7+2))),IF($AN50="MT",IF($AU50="Head of household",SUMPRODUCT(($AZ50&gt;INDEX('How This Works &amp; Sources'!$B$137:$J$139,0,1))*($AZ50-INDEX('How This Works &amp; Sources'!$B$137:$J$139,0,1))*INDEX('How This Works &amp; Sources'!$B$137:$J$139,0,1+2)),IF($AU50="Married",SUMPRODUCT(($AZ50&gt;INDEX('How This Works &amp; Sources'!$B$125:$J$132,0,7))*($AZ50-INDEX('How This Works &amp; Sources'!$B$125:$J$132,0,7))*INDEX('How This Works &amp; Sources'!$B$125:$J$132,0,7+2)),SUMPRODUCT(($AZ50&gt;INDEX('How This Works &amp; Sources'!$B$125:$J$132,0,4))*($AZ50-INDEX('How This Works &amp; Sources'!$B$125:$J$132,0,4))*INDEX('How This Works &amp; Sources'!$B$125:$J$132,0,4+2)))),IF($AN50="ND",IF($AU50="Head of household",SUMPRODUCT(($AZ50&gt;INDEX('How This Works &amp; Sources'!$B$144:$J$150,0,1))*($AZ50-INDEX('How This Works &amp; Sources'!$B$144:$J$150,0,1))*INDEX('How This Works &amp; Sources'!$B$144:$J$150,0,1+2)),IF($AU50="Married",SUMPRODUCT(($AZ50&gt;INDEX('How This Works &amp; Sources'!$B$137:$J$139,0,7))*($AZ50-INDEX('How This Works &amp; Sources'!$B$137:$J$139,0,7))*INDEX('How This Works &amp; Sources'!$B$137:$J$139,0,7+2)),SUMPRODUCT(($AZ50&gt;INDEX('How This Works &amp; Sources'!$B$137:$J$139,0,4))*($AZ50-INDEX('How This Works &amp; Sources'!$B$137:$J$139,0,4))*INDEX('How This Works &amp; Sources'!$B$137:$J$139,0,4+2)))),IF($AN50="NJ",IF('Second Earner'!$C$77="B",SUMPRODUCT(($AZ50&gt;INDEX('How This Works &amp; Sources'!$B$155:$J$162,0,4))*($AZ50-INDEX('How This Works &amp; Sources'!$B$155:$J$162,0,4))*INDEX('How This Works &amp; Sources'!$B$155:$J$162,0,4+2)),IF('Second Earner'!$C$77="C",SUMPRODUCT(($AZ50&gt;INDEX('How This Works &amp; Sources'!$B$155:$J$162,0,7))*($AZ50-INDEX('How This Works &amp; Sources'!$B$155:$J$162,0,7))*INDEX('How This Works &amp; Sources'!$B$155:$J$162,0,7+2)),IF('Second Earner'!$C$77="D",SUMPRODUCT(($AZ50&gt;INDEX('How This Works &amp; Sources'!$B$167:$J$179,0,1))*($AZ50-INDEX('How This Works &amp; Sources'!$B$167:$J$179,0,1))*INDEX('How This Works &amp; Sources'!$B$167:$J$179,0,1+2)),IF('Second Earner'!$C$77="E",SUMPRODUCT(($AZ50&gt;INDEX('How This Works &amp; Sources'!$B$167:$J$179,0,4))*($AZ50-INDEX('How This Works &amp; Sources'!$B$167:$J$179,0,4))*INDEX('How This Works &amp; Sources'!$B$167:$J$179,0,4+2)),SUMPRODUCT(($AZ50&gt;INDEX('How This Works &amp; Sources'!$B$155:$J$162,0,1))*($AZ50-INDEX('How This Works &amp; Sources'!$B$155:$J$162,0,1))*INDEX('How This Works &amp; Sources'!$B$155:$J$162,0,1+2)))))),IF($AN50="NY",IF($AU50="Married",IF($AZ50&gt;=2155350,$AZ50*IF($AZ50&gt;25000000,0.117,IF($AZ50&gt;5000000,0.111,0.1045)),SUMPRODUCT(($AZ50&gt;INDEX('How This Works &amp; Sources'!$B$184:$J$198,0,1))*($AZ50-INDEX('How This Works &amp; Sources'!$B$184:$J$198,0,1))*INDEX('How This Works &amp; Sources'!$B$184:$J$198,0,1+2))),IF($AZ50&gt;=1077550,$AZ50*IF($AZ50&gt;25000000,0.117,IF($AZ50&gt;5000000,0.111,0.1045)),SUMPRODUCT(($AZ50&gt;INDEX('How This Works &amp; Sources'!$B$167:$J$179,0,7))*($AZ50-INDEX('How This Works &amp; Sources'!$B$167:$J$179,0,7))*INDEX('How This Works &amp; Sources'!$B$167:$J$179,0,7+2)))),"")))))))</f>
      </c>
      <c r="BX50" s="7">
        <f>IF($B50="","",IF($AN50="AL",IF(OR($AU50="Married",$AU50="Head of household"),SUMPRODUCT(($AZ50&gt;INDEX('How This Works &amp; Sources'!$B$82:$J$86,0,4))*($AZ50-INDEX('How This Works &amp; Sources'!$B$82:$J$86,0,4))*INDEX('How This Works &amp; Sources'!$B$82:$J$86,0,4+2)),SUMPRODUCT(($AZ50&gt;INDEX('How This Works &amp; Sources'!$B$82:$J$86,0,1))*($AZ50-INDEX('How This Works &amp; Sources'!$B$82:$J$86,0,1))*INDEX('How This Works &amp; Sources'!$B$82:$J$86,0,1+2))),IF($AN50="KS",IF($AU50="Married",SUMPRODUCT(($AZ50&gt;INDEX('How This Works &amp; Sources'!$B$103:$J$109,0,4))*($AZ50-INDEX('How This Works &amp; Sources'!$B$103:$J$109,0,4))*INDEX('How This Works &amp; Sources'!$B$103:$J$109,0,4+2)),SUMPRODUCT(($AZ50&gt;INDEX('How This Works &amp; Sources'!$B$103:$J$109,0,1))*($AZ50-INDEX('How This Works &amp; Sources'!$B$103:$J$109,0,1))*INDEX('How This Works &amp; Sources'!$B$103:$J$109,0,1+2))),IF($AN50="MN",IF($AU50="Married",SUMPRODUCT(($AZ50&gt;INDEX('How This Works &amp; Sources'!$B$114:$J$120,0,7))*($AZ50-INDEX('How This Works &amp; Sources'!$B$114:$J$120,0,7))*INDEX('How This Works &amp; Sources'!$B$114:$J$120,0,7+2)),SUMPRODUCT(($AZ50&gt;INDEX('How This Works &amp; Sources'!$B$114:$J$120,0,4))*($AZ50-INDEX('How This Works &amp; Sources'!$B$114:$J$120,0,4))*INDEX('How This Works &amp; Sources'!$B$114:$J$120,0,4+2))),IF($AN50="MO",SUMPRODUCT(($AZ50&gt;INDEX('How This Works &amp; Sources'!$B$125:$J$132,0,1))*($AZ50-INDEX('How This Works &amp; Sources'!$B$125:$J$132,0,1))*INDEX('How This Works &amp; Sources'!$B$125:$J$132,0,1+2)),IF($AN50="NE",MAX(IF($AU50="Married",SUMPRODUCT(($AZ50&gt;INDEX('How This Works &amp; Sources'!$B$144:$J$150,0,7))*($AZ50-INDEX('How This Works &amp; Sources'!$B$144:$J$150,0,7))*INDEX('How This Works &amp; Sources'!$B$144:$J$150,0,7+2)),SUMPRODUCT(($AZ50&gt;INDEX('How This Works &amp; Sources'!$B$144:$J$150,0,4))*($AZ50-INDEX('How This Works &amp; Sources'!$B$144:$J$150,0,4))*INDEX('How This Works &amp; Sources'!$B$144:$J$150,0,4+2))),0.015*$AZ50),IF($AN50="OH",IF($B50&gt;=DATE(2026,8,1),SUMPRODUCT(($AZ50&gt;INDEX('How This Works &amp; Sources'!$B$203:$J$206,0,1))*($AZ50-INDEX('How This Works &amp; Sources'!$B$203:$J$206,0,1))*INDEX('How This Works &amp; Sources'!$B$203:$J$206,0,1+2)),SUMPRODUCT(($AZ50&gt;INDEX('How This Works &amp; Sources'!$B$184:$J$198,0,7))*($AZ50-INDEX('How This Works &amp; Sources'!$B$184:$J$198,0,7))*INDEX('How This Works &amp; Sources'!$B$184:$J$198,0,7+2))),IF($AN50="OK",IF($AU50="Married",SUMPRODUCT(($AZ50&gt;INDEX('How This Works &amp; Sources'!$B$203:$J$206,0,7))*($AZ50-INDEX('How This Works &amp; Sources'!$B$203:$J$206,0,7))*INDEX('How This Works &amp; Sources'!$B$203:$J$206,0,7+2)),SUMPRODUCT(($AZ50&gt;INDEX('How This Works &amp; Sources'!$B$203:$J$206,0,4))*($AZ50-INDEX('How This Works &amp; Sources'!$B$203:$J$206,0,4))*INDEX('How This Works &amp; Sources'!$B$203:$J$206,0,4+2))),IF($AN50="VT",IF($AU50="Married",SUMPRODUCT(($AZ50&gt;INDEX('How This Works &amp; Sources'!$B$228:$J$232,0,1))*($AZ50-INDEX('How This Works &amp; Sources'!$B$228:$J$232,0,1))*INDEX('How This Works &amp; Sources'!$B$228:$J$232,0,1+2)),SUMPRODUCT(($AZ50&gt;INDEX('How This Works &amp; Sources'!$B$219:$J$223,0,7))*($AZ50-INDEX('How This Works &amp; Sources'!$B$219:$J$223,0,7))*INDEX('How This Works &amp; Sources'!$B$219:$J$223,0,7+2))),IF($AN50="WV",IF($AU50="Married",SUMPRODUCT(($AZ50&gt;INDEX('How This Works &amp; Sources'!$B$237:$J$241,0,7))*($AZ50-INDEX('How This Works &amp; Sources'!$B$237:$J$241,0,7))*INDEX('How This Works &amp; Sources'!$B$237:$J$241,0,7+2)),SUMPRODUCT(($AZ50&gt;INDEX('How This Works &amp; Sources'!$B$228:$J$232,0,7))*($AZ50-INDEX('How This Works &amp; Sources'!$B$228:$J$232,0,7))*INDEX('How This Works &amp; Sources'!$B$228:$J$232,0,7+2))),""))))))))))</f>
      </c>
      <c r="BY50" s="7">
        <f>IF($B50="","",IF($AN50="DE",SUMPRODUCT(($AZ50&gt;INDEX('How This Works &amp; Sources'!$B$91:$J$98,0,1))*($AZ50-INDEX('How This Works &amp; Sources'!$B$91:$J$98,0,1))*INDEX('How This Works &amp; Sources'!$B$91:$J$98,0,1+2)),IF($AN50="HI",IF($AU50="Married",SUMPRODUCT(($AZ50&gt;INDEX('How This Works &amp; Sources'!$B$91:$J$98,0,7))*($AZ50-INDEX('How This Works &amp; Sources'!$B$91:$J$98,0,7))*INDEX('How This Works &amp; Sources'!$B$91:$J$98,0,7+2)),SUMPRODUCT(($AZ50&gt;INDEX('How This Works &amp; Sources'!$B$91:$J$98,0,4))*($AZ50-INDEX('How This Works &amp; Sources'!$B$91:$J$98,0,4))*INDEX('How This Works &amp; Sources'!$B$91:$J$98,0,4+2))),IF($AN50="RI",SUMPRODUCT(($AZ50&gt;INDEX('How This Works &amp; Sources'!$B$211:$J$214,0,7))*($AZ50-INDEX('How This Works &amp; Sources'!$B$211:$J$214,0,7))*INDEX('How This Works &amp; Sources'!$B$211:$J$214,0,7+2)),IF($AN50="SC",SUMPRODUCT(($AZ50&gt;INDEX('How This Works &amp; Sources'!$B$219:$J$223,0,1))*($AZ50-INDEX('How This Works &amp; Sources'!$B$219:$J$223,0,1))*INDEX('How This Works &amp; Sources'!$B$219:$J$223,0,1+2)),IF($AN50="VA",SUMPRODUCT(($AZ50&gt;INDEX('How This Works &amp; Sources'!$B$219:$J$223,0,4))*($AZ50-INDEX('How This Works &amp; Sources'!$B$219:$J$223,0,4))*INDEX('How This Works &amp; Sources'!$B$219:$J$223,0,4+2)),IF($AN50="WI",SUMPRODUCT(($AZ50&gt;INDEX('How This Works &amp; Sources'!$B$228:$J$232,0,4))*($AZ50-INDEX('How This Works &amp; Sources'!$B$228:$J$232,0,4))*INDEX('How This Works &amp; Sources'!$B$228:$J$232,0,4+2)),"")))))))</f>
      </c>
      <c r="BZ50" s="24">
        <f>IF($B50="","",IF($AN50="KS",IF($AU50="Married",SUMPRODUCT(($AZ50&gt;=INDEX('How This Works &amp; Sources'!$B$103:$J$109,0,4))*INDEX('How This Works &amp; Sources'!$B$103:$J$109,0,4+2)),SUMPRODUCT(($AZ50&gt;=INDEX('How This Works &amp; Sources'!$B$103:$J$109,0,1))*INDEX('How This Works &amp; Sources'!$B$103:$J$109,0,1+2))),IF($AN50="MT",IF($AU50="Head of household",SUMPRODUCT(($AZ50&gt;=INDEX('How This Works &amp; Sources'!$B$137:$J$139,0,1))*INDEX('How This Works &amp; Sources'!$B$137:$J$139,0,1+2)),IF($AU50="Married",SUMPRODUCT(($AZ50&gt;=INDEX('How This Works &amp; Sources'!$B$125:$J$132,0,7))*INDEX('How This Works &amp; Sources'!$B$125:$J$132,0,7+2)),SUMPRODUCT(($AZ50&gt;=INDEX('How This Works &amp; Sources'!$B$125:$J$132,0,4))*INDEX('How This Works &amp; Sources'!$B$125:$J$132,0,4+2)))),IF($AN50="OR",IF(OR($AU50="Married",AND($AU50="Single",$AS50&gt;=3)),SUMPRODUCT((MAX(0,$AY50-MIN(($P50-'How This Works &amp; Sources'!$C$10*$D50)*'Second Earner'!$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Sources'!$B$211:$J$214,0,4))*INDEX('How This Works &amp; Sources'!$B$211:$J$214,0,4+2)),SUMPRODUCT((MAX(0,$AY50-MIN(($P50-'How This Works &amp; Sources'!$C$10*$D50)*'Second Earner'!$C$8,IF(OR($AU50="Married",AND($AU50="Single",$AS50&gt;=3)),IF($AY50&lt;250000,8750,IF($AY50&lt;260000,7000,IF($AY50&lt;270000,5250,IF($AY50&lt;280000,3500,IF($AY50&lt;290000,1750,0))))),IF($AY50&lt;125000,8750,IF($AY50&lt;130000,7000,IF($AY50&lt;135000,5250,IF($AY50&lt;140000,3500,IF($AY50&lt;145000,1750,0)))))))-IF(OR($AU50="Married",AND($AU50="Single",$AS50&gt;=3)),5820,2910))&gt;=INDEX('How This Works &amp; Sources'!$B$211:$J$214,0,1))*INDEX('How This Works &amp; Sources'!$B$211:$J$214,0,1+2)))*IF(($P50-'How This Works &amp; Sources'!$C$10*$D50)*'Second Earner'!$C$8&gt;=IF(OR($AU50="Married",AND($AU50="Single",$AS50&gt;=3)),IF($AY50&lt;250000,8750,IF($AY50&lt;260000,7000,IF($AY50&lt;270000,5250,IF($AY50&lt;280000,3500,IF($AY50&lt;290000,1750,0))))),IF($AY50&lt;125000,8750,IF($AY50&lt;130000,7000,IF($AY50&lt;135000,5250,IF($AY50&lt;140000,3500,IF($AY50&lt;145000,1750,0)))))),1,1-IF('Second Earner'!$C$13,SUMPRODUCT(($AH50&gt;=INDEX('How This Works &amp; Sources'!$B$29:$J$36,0,IF('Second Earner'!$C$12="MFJ",1,IF('Second Earner'!$C$12="HoH",7,4))))*INDEX('How This Works &amp; Sources'!$B$29:$J$36,0,IF('Second Earner'!$C$12="MFJ",1,IF('Second Earner'!$C$12="HoH",7,4))+2)),SUMPRODUCT(($AH50&gt;=INDEX('How This Works &amp; Sources'!$B$19:$J$26,0,IF('Second Earner'!$C$12="MFJ",1,IF('Second Earner'!$C$12="HoH",7,4))))*INDEX('How This Works &amp; Sources'!$B$19:$J$26,0,IF('Second Earner'!$C$12="MFJ",1,IF('Second Earner'!$C$12="HoH",7,4))+2)))),""))))</f>
      </c>
      <c r="CA50" s="24">
        <f>IF($B50="","",IF($AN50="CA",SUMPRODUCT(($AJ50&gt;=INDEX('How This Works &amp; Sources'!$B$39:$J$48,0,IF($AU50="Married",4,IF($AU50="Head of household",7,1))))*INDEX('How This Works &amp; Sources'!$B$39:$J$48,0,IF($AU50="Married",4,IF($AU50="Head of household",7,1))+2)),IF($AN50="AL",IF(OR($AU50="Married",$AU50="Head of household"),SUMPRODUCT(($AZ50&gt;=INDEX('How This Works &amp; Sources'!$B$82:$J$86,0,4))*INDEX('How This Works &amp; Sources'!$B$82:$J$86,0,4+2)),SUMPRODUCT(($AZ50&gt;=INDEX('How This Works &amp; Sources'!$B$82:$J$86,0,1))*INDEX('How This Works &amp; Sources'!$B$82:$J$86,0,1+2)))*(1-IF('Second Earner'!$C$13,SUMPRODUCT(($AH50&gt;=INDEX('How This Works &amp; Sources'!$B$29:$J$36,0,IF('Second Earner'!$C$12="MFJ",1,IF('Second Earner'!$C$12="HoH",7,4))))*INDEX('How This Works &amp; Sources'!$B$29:$J$36,0,IF('Second Earner'!$C$12="MFJ",1,IF('Second Earner'!$C$12="HoH",7,4))+2)),SUMPRODUCT(($AH50&gt;=INDEX('How This Works &amp; Sources'!$B$19:$J$26,0,IF('Second Earner'!$C$12="MFJ",1,IF('Second Earner'!$C$12="HoH",7,4))))*INDEX('How This Works &amp; Sources'!$B$19:$J$26,0,IF('Second Earner'!$C$12="MFJ",1,IF('Second Earner'!$C$12="HoH",7,4))+2)))),IF($AN50="ND",IF($AU50="Head of household",SUMPRODUCT(($AZ50&gt;=INDEX('How This Works &amp; Sources'!$B$144:$J$150,0,1))*INDEX('How This Works &amp; Sources'!$B$144:$J$150,0,1+2)),IF($AU50="Married",SUMPRODUCT(($AZ50&gt;=INDEX('How This Works &amp; Sources'!$B$137:$J$139,0,7))*INDEX('How This Works &amp; Sources'!$B$137:$J$139,0,7+2)),SUMPRODUCT(($AZ50&gt;=INDEX('How This Works &amp; Sources'!$B$137:$J$139,0,4))*INDEX('How This Works &amp; Sources'!$B$137:$J$139,0,4+2)))),IF($AN50="NJ",IF('Second Earner'!$C$77="B",SUMPRODUCT(($AZ50&gt;=INDEX('How This Works &amp; Sources'!$B$155:$J$162,0,4))*INDEX('How This Works &amp; Sources'!$B$155:$J$162,0,4+2)),IF('Second Earner'!$C$77="C",SUMPRODUCT(($AZ50&gt;=INDEX('How This Works &amp; Sources'!$B$155:$J$162,0,7))*INDEX('How This Works &amp; Sources'!$B$155:$J$162,0,7+2)),IF('Second Earner'!$C$77="D",SUMPRODUCT(($AZ50&gt;=INDEX('How This Works &amp; Sources'!$B$167:$J$179,0,1))*INDEX('How This Works &amp; Sources'!$B$167:$J$179,0,1+2)),IF('Second Earner'!$C$77="E",SUMPRODUCT(($AZ50&gt;=INDEX('How This Works &amp; Sources'!$B$167:$J$179,0,4))*INDEX('How This Works &amp; Sources'!$B$167:$J$179,0,4+2)),SUMPRODUCT(($AZ50&gt;=INDEX('How This Works &amp; Sources'!$B$155:$J$162,0,1))*INDEX('How This Works &amp; Sources'!$B$155:$J$162,0,1+2)))))),IF($AN50="NY",IF($AU50="Married",IF($AZ50&gt;=2155350,IF($AZ50&gt;25000000,0.117,IF($AZ50&gt;5000000,0.111,0.1045)),SUMPRODUCT(($AZ50&gt;=INDEX('How This Works &amp; Sources'!$B$184:$J$198,0,1))*INDEX('How This Works &amp; Sources'!$B$184:$J$198,0,1+2))),IF($AZ50&gt;=1077550,IF($AZ50&gt;25000000,0.117,IF($AZ50&gt;5000000,0.111,0.1045)),SUMPRODUCT(($AZ50&gt;=INDEX('How This Works &amp; Sources'!$B$167:$J$179,0,7))*INDEX('How This Works &amp; Sources'!$B$167:$J$179,0,7+2)))),IF($AN50="LA",0.0309,"")))))))</f>
      </c>
      <c r="CB50" s="24">
        <f>IF($B50="","",IF($AN50="HI",IF($AU50="Married",SUMPRODUCT(($AZ50&gt;=INDEX('How This Works &amp; Sources'!$B$91:$J$98,0,7))*INDEX('How This Works &amp; Sources'!$B$91:$J$98,0,7+2)),SUMPRODUCT(($AZ50&gt;=INDEX('How This Works &amp; Sources'!$B$91:$J$98,0,4))*INDEX('How This Works &amp; Sources'!$B$91:$J$98,0,4+2))),IF($AN50="MD",IF(OR($AU50="Married",$AU50="Head of household"),SUMPRODUCT(($AZ50&gt;=INDEX('How This Works &amp; Sources'!$B$114:$J$120,0,1))*INDEX('How This Works &amp; Sources'!$B$114:$J$120,0,1+2)),SUMPRODUCT(($AZ50&gt;=INDEX('How This Works &amp; Sources'!$B$103:$J$109,0,7))*INDEX('How This Works &amp; Sources'!$B$103:$J$109,0,7+2)))+'Second Earner'!$C$74,IF($AN50="MN",IF($AU50="Married",SUMPRODUCT(($AZ50&gt;=INDEX('How This Works &amp; Sources'!$B$114:$J$120,0,7))*INDEX('How This Works &amp; Sources'!$B$114:$J$120,0,7+2)),SUMPRODUCT(($AZ50&gt;=INDEX('How This Works &amp; Sources'!$B$114:$J$120,0,4))*INDEX('How This Works &amp; Sources'!$B$114:$J$120,0,4+2))),IF($AN50="MO",SUMPRODUCT(($AZ50&gt;=INDEX('How This Works &amp; Sources'!$B$125:$J$132,0,1))*INDEX('How This Works &amp; Sources'!$B$125:$J$132,0,1+2)),IF($AN50="NE",MAX(IF($AU50="Married",SUMPRODUCT(($AZ50&gt;=INDEX('How This Works &amp; Sources'!$B$144:$J$150,0,7))*INDEX('How This Works &amp; Sources'!$B$144:$J$150,0,7+2)),SUMPRODUCT(($AZ50&gt;=INDEX('How This Works &amp; Sources'!$B$144:$J$150,0,4))*INDEX('How This Works &amp; Sources'!$B$144:$J$150,0,4+2))),0.015),IF($AN50="OH",IF($B50&gt;=DATE(2026,8,1),SUMPRODUCT(($AZ50&gt;=INDEX('How This Works &amp; Sources'!$B$203:$J$206,0,1))*INDEX('How This Works &amp; Sources'!$B$203:$J$206,0,1+2)),SUMPRODUCT(($AZ50&gt;=INDEX('How This Works &amp; Sources'!$B$184:$J$198,0,7))*INDEX('How This Works &amp; Sources'!$B$184:$J$198,0,7+2))),IF($AN50="OK",IF($AU50="Married",SUMPRODUCT(($AZ50&gt;=INDEX('How This Works &amp; Sources'!$B$203:$J$206,0,7))*INDEX('How This Works &amp; Sources'!$B$203:$J$206,0,7+2)),SUMPRODUCT(($AZ50&gt;=INDEX('How This Works &amp; Sources'!$B$203:$J$206,0,4))*INDEX('How This Works &amp; Sources'!$B$203:$J$206,0,4+2))),IF($AN50="RI",SUMPRODUCT(($AZ50&gt;=INDEX('How This Works &amp; Sources'!$B$211:$J$214,0,7))*INDEX('How This Works &amp; Sources'!$B$211:$J$214,0,7+2)),IF($AN50="VT",IF($AU50="Married",SUMPRODUCT(($AZ50&gt;=INDEX('How This Works &amp; Sources'!$B$228:$J$232,0,1))*INDEX('How This Works &amp; Sources'!$B$228:$J$232,0,1+2)),SUMPRODUCT(($AZ50&gt;=INDEX('How This Works &amp; Sources'!$B$219:$J$223,0,7))*INDEX('How This Works &amp; Sources'!$B$219:$J$223,0,7+2))),IF($AN50="WV",IF($AU50="Married",SUMPRODUCT(($AZ50&gt;=INDEX('How This Works &amp; Sources'!$B$237:$J$241,0,7))*INDEX('How This Works &amp; Sources'!$B$237:$J$241,0,7+2)),SUMPRODUCT(($AZ50&gt;=INDEX('How This Works &amp; Sources'!$B$228:$J$232,0,7))*INDEX('How This Works &amp; Sources'!$B$228:$J$232,0,7+2))),IF($AN50="AZ",'Second Earner'!$C$82,IF($AN50="ID",IF($AY50&gt;IF($AU50="Married",32000,16094),0.053,0),"")))))))))))))</f>
      </c>
      <c r="CC50" s="24">
        <f>IF($B50="","",IF($AN50="AR",SUMPRODUCT(($AZ50&gt;=INDEX('How This Works &amp; Sources'!$B$82:$J$86,0,7))*INDEX('How This Works &amp; Sources'!$B$82:$J$86,0,7+2)),IF($AN50="DE",SUMPRODUCT(($AZ50&gt;=INDEX('How This Works &amp; Sources'!$B$91:$J$98,0,1))*INDEX('How This Works &amp; Sources'!$B$91:$J$98,0,1+2)),IF($AN50="SC",SUMPRODUCT(($AZ50&gt;=INDEX('How This Works &amp; Sources'!$B$219:$J$223,0,1))*INDEX('How This Works &amp; Sources'!$B$219:$J$223,0,1+2)),IF($AN50="VA",SUMPRODUCT(($AZ50&gt;=INDEX('How This Works &amp; Sources'!$B$219:$J$223,0,4))*INDEX('How This Works &amp; Sources'!$B$219:$J$223,0,4+2)),IF($AN50="WI",SUMPRODUCT(($AZ50&gt;=INDEX('How This Works &amp; Sources'!$B$228:$J$232,0,4))*INDEX('How This Works &amp; Sources'!$B$228:$J$232,0,4+2)),IF($AN50="CO",IF($AY50&gt;IF($AU50="Married",10000,5000),0.044,0),IF($AN50="IA",IF($AY50&gt;IF($AU50="Head of household",19500,IF($AU50="Married",26000,13000)),0.038,0),IF($AN50="IL",IF($AY50&gt;(2925*$AS50+1000*$AT50),0.0495,0),IF($AN50="IN",(0.0295+'Second Earner'!$C$76),IF($AN50="KY",IF($AI50&gt;3360,0.035,0),IF($AN50="MA",IF(MAX(0,$AY50-MIN(($BD49+$Q50+$R50+$S50),2000)-IF($AS50=0,0,IF($AS50=1,4400,1000*$AS50+3400)))&gt;=1107750,0.09,0.05),IF($AN50="MI",IF($AY50&gt;5900*$AS50,0.0425,0),IF($AN50="MS",IF($AI50-IF($AU50="Head of household",3400,IF($AU50="Married",4600,2300))-'Second Earner'!$C$85&gt;10000,0.04,0),IF($AN50="PA",0.0307,"")))))))))))))))</f>
      </c>
      <c r="CD50" s="21">
        <f>IF(YEAR(IF('Second Earner'!$C$7="Weekly",'Second Earner'!$C$9+7*(($BE49+1)-1),IF('Second Earner'!$C$7="Biweekly",'Second Earner'!$C$9+14*(($BE49+1)-1),IF('Second Earner'!$C$7="Semimonthly",DATE(YEAR('Second Earner'!$C$9),MONTH('Second Earner'!$C$9)+INT((($BE49+1)-1)/2),MIN(DAY('Second Earner'!$C$9),DAY(EOMONTH(DATE(YEAR('Second Earner'!$C$9),MONTH('Second Earner'!$C$9)+INT((($BE49+1)-1)/2),1),0))))+IF(MOD(($BE49+1)-1,2)=1,15,0),EDATE('Second Earner'!$C$9,($BE49+1)-1)))))&lt;&gt;'Second Earner'!$C$10,"",IF('Second Earner'!$C$7="Weekly",'Second Earner'!$C$9+7*(($BE49+1)-1),IF('Second Earner'!$C$7="Biweekly",'Second Earner'!$C$9+14*(($BE49+1)-1),IF('Second Earner'!$C$7="Semimonthly",DATE(YEAR('Second Earner'!$C$9),MONTH('Second Earner'!$C$9)+INT((($BE49+1)-1)/2),MIN(DAY('Second Earner'!$C$9),DAY(EOMONTH(DATE(YEAR('Second Earner'!$C$9),MONTH('Second Earner'!$C$9)+INT((($BE49+1)-1)/2),1),0))))+IF(MOD(($BE49+1)-1,2)=1,15,0),EDATE('Second Earner'!$C$9,($BE49+1)-1)))))</f>
      </c>
      <c r="CE50" s="21">
        <f>IF(MIN(IF(AND('Second Earner'!$C$58&gt;MAX($B$6:$B49),'Second Earner'!$C$58&gt;=DATE('Second Earner'!$C$10,1,1),'Second Earner'!$C$58&lt;=DATE('Second Earner'!$C$10,12,31)),'Second Earner'!$C$58,999999),IF(AND('Second Earner'!$C$59&gt;MAX($B$6:$B49),'Second Earner'!$C$59&gt;=DATE('Second Earner'!$C$10,1,1),'Second Earner'!$C$59&lt;=DATE('Second Earner'!$C$10,12,31)),'Second Earner'!$C$59,999999),IF(AND('Second Earner'!$C$60&gt;MAX($B$6:$B49),'Second Earner'!$C$60&gt;=DATE('Second Earner'!$C$10,1,1),'Second Earner'!$C$60&lt;=DATE('Second Earner'!$C$10,12,31)),'Second Earner'!$C$60,999999),IF(AND('Second Earner'!$C$61&gt;MAX($B$6:$B49),'Second Earner'!$C$61&gt;=DATE('Second Earner'!$C$10,1,1),'Second Earner'!$C$61&lt;=DATE('Second Earner'!$C$10,12,31)),'Second Earner'!$C$61,999999),IF(AND('Second Earner'!$C$62&gt;MAX($B$6:$B49),'Second Earner'!$C$62&gt;=DATE('Second Earner'!$C$10,1,1),'Second Earner'!$C$62&lt;=DATE('Second Earner'!$C$10,12,31)),'Second Earner'!$C$62,999999),IF(AND('Second Earner'!$C$63&gt;MAX($B$6:$B49),'Second Earner'!$C$63&gt;=DATE('Second Earner'!$C$10,1,1),'Second Earner'!$C$63&lt;=DATE('Second Earner'!$C$10,12,31)),'Second Earner'!$C$63,999999),IF(AND('Second Earner'!$C$64&gt;MAX($B$6:$B49),'Second Earner'!$C$64&gt;=DATE('Second Earner'!$C$10,1,1),'Second Earner'!$C$64&lt;=DATE('Second Earner'!$C$10,12,31)),'Second Earner'!$C$64,999999),IF(AND('Second Earner'!$C$65&gt;MAX($B$6:$B49),'Second Earner'!$C$65&gt;=DATE('Second Earner'!$C$10,1,1),'Second Earner'!$C$65&lt;=DATE('Second Earner'!$C$10,12,31)),'Second Earner'!$C$65,999999),IF(AND('Second Earner'!$C$66&gt;MAX($B$6:$B49),'Second Earner'!$C$66&gt;=DATE('Second Earner'!$C$10,1,1),'Second Earner'!$C$66&lt;=DATE('Second Earner'!$C$10,12,31)),'Second Earner'!$C$66,999999),IF(AND('Second Earner'!$C$67&gt;MAX($B$6:$B49),'Second Earner'!$C$67&gt;=DATE('Second Earner'!$C$10,1,1),'Second Earner'!$C$67&lt;=DATE('Second Earner'!$C$10,12,31)),'Second Earner'!$C$67,999999))=999999,"",MIN(IF(AND('Second Earner'!$C$58&gt;MAX($B$6:$B49),'Second Earner'!$C$58&gt;=DATE('Second Earner'!$C$10,1,1),'Second Earner'!$C$58&lt;=DATE('Second Earner'!$C$10,12,31)),'Second Earner'!$C$58,999999),IF(AND('Second Earner'!$C$59&gt;MAX($B$6:$B49),'Second Earner'!$C$59&gt;=DATE('Second Earner'!$C$10,1,1),'Second Earner'!$C$59&lt;=DATE('Second Earner'!$C$10,12,31)),'Second Earner'!$C$59,999999),IF(AND('Second Earner'!$C$60&gt;MAX($B$6:$B49),'Second Earner'!$C$60&gt;=DATE('Second Earner'!$C$10,1,1),'Second Earner'!$C$60&lt;=DATE('Second Earner'!$C$10,12,31)),'Second Earner'!$C$60,999999),IF(AND('Second Earner'!$C$61&gt;MAX($B$6:$B49),'Second Earner'!$C$61&gt;=DATE('Second Earner'!$C$10,1,1),'Second Earner'!$C$61&lt;=DATE('Second Earner'!$C$10,12,31)),'Second Earner'!$C$61,999999),IF(AND('Second Earner'!$C$62&gt;MAX($B$6:$B49),'Second Earner'!$C$62&gt;=DATE('Second Earner'!$C$10,1,1),'Second Earner'!$C$62&lt;=DATE('Second Earner'!$C$10,12,31)),'Second Earner'!$C$62,999999),IF(AND('Second Earner'!$C$63&gt;MAX($B$6:$B49),'Second Earner'!$C$63&gt;=DATE('Second Earner'!$C$10,1,1),'Second Earner'!$C$63&lt;=DATE('Second Earner'!$C$10,12,31)),'Second Earner'!$C$63,999999),IF(AND('Second Earner'!$C$64&gt;MAX($B$6:$B49),'Second Earner'!$C$64&gt;=DATE('Second Earner'!$C$10,1,1),'Second Earner'!$C$64&lt;=DATE('Second Earner'!$C$10,12,31)),'Second Earner'!$C$64,999999),IF(AND('Second Earner'!$C$65&gt;MAX($B$6:$B49),'Second Earner'!$C$65&gt;=DATE('Second Earner'!$C$10,1,1),'Second Earner'!$C$65&lt;=DATE('Second Earner'!$C$10,12,31)),'Second Earner'!$C$65,999999),IF(AND('Second Earner'!$C$66&gt;MAX($B$6:$B49),'Second Earner'!$C$66&gt;=DATE('Second Earner'!$C$10,1,1),'Second Earner'!$C$66&lt;=DATE('Second Earner'!$C$10,12,31)),'Second Earner'!$C$66,999999),IF(AND('Second Earner'!$C$67&gt;MAX($B$6:$B49),'Second Earner'!$C$67&gt;=DATE('Second Earner'!$C$10,1,1),'Second Earner'!$C$67&lt;=DATE('Second Earner'!$C$10,12,31)),'Second Earner'!$C$67,999999)))</f>
      </c>
      <c r="CF50">
        <f>IF($B50="","",IF($D50=0,$Y50,""))</f>
      </c>
    </row>
    <row r="51">
      <c r="A51" t="n">
        <v>46</v>
      </c>
      <c r="B51" s="21">
        <f>IF(AND($CD51="",$CE51=""),"",IF($CE51="",$CD51,IF($CD51="",$CE51,MIN($CD51,$CE51))))</f>
      </c>
      <c r="C51" s="7">
        <f>IF($B51="","",IF($BF51=0,0,IF('Second Earner'!$C$4="Annual salary",ROUND($AK51/IF(AND('Second Earner'!$C$88="Actual paydays",MONTH('Second Earner'!$C$9)=1),MAX(1,MAX($BE$6:$BE$68)),'Second Earner'!$C$8),2),$AK51)))</f>
      </c>
      <c r="D51" s="7">
        <f>IF($B51="","",SUMIF('Second Earner'!$C$58:$C$67,$B51,'Second Earner'!$D$58:$D$67))</f>
      </c>
      <c r="E51" s="7">
        <f>IF($B51="","",ROUND(MAX(0,MIN(IF($AL51="Percent",$AM51*($C51+$D51),$AM51),MAX(0,'Second Earner'!$C$34-$AC50))),2))</f>
      </c>
      <c r="F51" s="7">
        <f>IF($B51="","",ROUND(MAX(0,MIN(IF('Second Earner'!$C$32="Percent",'Second Earner'!$D$32*($C51+$D51),'Second Earner'!$D$32),MAX(0,'Second Earner'!$C$34-$AC50-$E51))),2))</f>
      </c>
      <c r="G51" s="7">
        <f>IF($B51="","",IF($BF51=0,0,ROUND(MAX(0,MIN($BL51,'Second Earner'!$C$37-'Second Earner'!$C$54-$BI50)),2)))</f>
      </c>
      <c r="H51" s="7">
        <f>IF($B51="","",IF(OR($BF51=0,$BQ51=1),0,ROUND(MAX(0,MIN(IF($BS51=1,ROUND(MAX(0,MIN($BJ51,'How This Works &amp; Sources'!$C$13)-$BG50)/MAX(1,MAX($BE$6:$BE$68)-($BE50)),2),ROUND(MIN($BJ51,'How This Works &amp; Sources'!$C$13)/'Second Earner'!$C$8,2)),MIN($BJ51,'How This Works &amp; Sources'!$C$13)-$BG50)),2)))</f>
      </c>
      <c r="I51" s="7">
        <f>IF($B51="","",IF(OR($BF51=0,$BR51=1),0,ROUND(MAX(0,MIN(IF($BT51=1,ROUND(MAX(0,MIN($BK51,IF('Second Earner'!$C$12="MFJ",'How This Works &amp; Sources'!$C$14,'How This Works &amp; Sources'!$C$15))-$BH50)/MAX(1,MAX($BE$6:$BE$68)-($BE50)),2),ROUND(MIN($BK51,IF('Second Earner'!$C$12="MFJ",'How This Works &amp; Sources'!$C$14,'How This Works &amp; Sources'!$C$15))/'Second Earner'!$C$8,2)),MIN($BK51,IF('Second Earner'!$C$12="MFJ",'How This Works &amp; Sources'!$C$14,'How This Works &amp; Sources'!$C$15))-$BH50)),2)))</f>
      </c>
      <c r="J51" s="7">
        <f>IF($B51="","",IF($BF51=0,0,$BM51))</f>
      </c>
      <c r="K51" s="7">
        <f>IF($B51="","",IF($BF51=0,0,$BN51+$BO51))</f>
      </c>
      <c r="L51" s="7">
        <f>IF($B51="","",IF($BF51=0,0,'Second Earner'!$D$46))</f>
      </c>
      <c r="M51" s="7">
        <f>IF($B51="","",$C51+$D51+$L51-$E51-$G51-$H51-$I51-$J51-$K51)</f>
      </c>
      <c r="N51" s="7">
        <f>IF($B51="","",$C51+$D51+$L51-$G51-$H51-$I51-$J51-$K51)</f>
      </c>
      <c r="O51" s="7">
        <f>IF($B51="","",$C51+$D51+$L51-$E51-$H51-$I51-$J51-$K51-IF(OR($AN51="CA",$AN51="NJ"),0,$G51))</f>
      </c>
      <c r="P51" s="7">
        <f>IF($B51="","",IF('Second Earner'!$C$18,0,ROUND(MAX(0,IF('Second Earner'!$C$13,SUMPRODUCT(($AH51&gt;INDEX('How This Works &amp; Sources'!$B$29:$J$36,0,IF('Second Earner'!$C$12="MFJ",1,IF('Second Earner'!$C$12="HoH",7,4))))*($AH51-INDEX('How This Works &amp; Sources'!$B$29:$J$36,0,IF('Second Earner'!$C$12="MFJ",1,IF('Second Earner'!$C$12="HoH",7,4))))*INDEX('How This Works &amp; Sources'!$B$29:$J$36,0,IF('Second Earner'!$C$12="MFJ",1,IF('Second Earner'!$C$12="HoH",7,4))+2)),SUMPRODUCT(($AH51&gt;INDEX('How This Works &amp; Sources'!$B$19:$J$26,0,IF('Second Earner'!$C$12="MFJ",1,IF('Second Earner'!$C$12="HoH",7,4))))*($AH51-INDEX('How This Works &amp; Sources'!$B$19:$J$26,0,IF('Second Earner'!$C$12="MFJ",1,IF('Second Earner'!$C$12="HoH",7,4))))*INDEX('How This Works &amp; Sources'!$B$19:$J$26,0,IF('Second Earner'!$C$12="MFJ",1,IF('Second Earner'!$C$12="HoH",7,4))+2)))/'Second Earner'!$C$8-$AO51/'Second Earner'!$C$8)+$AR51+IF('Second Earner'!$C$89="Aggregate",MAX(0,IF('Second Earner'!$C$13,SUMPRODUCT((($AH51+$D51)&gt;INDEX('How This Works &amp; Sources'!$B$29:$J$36,0,IF('Second Earner'!$C$12="MFJ",1,IF('Second Earner'!$C$12="HoH",7,4))))*(($AH51+$D51)-INDEX('How This Works &amp; Sources'!$B$29:$J$36,0,IF('Second Earner'!$C$12="MFJ",1,IF('Second Earner'!$C$12="HoH",7,4))))*INDEX('How This Works &amp; Sources'!$B$29:$J$36,0,IF('Second Earner'!$C$12="MFJ",1,IF('Second Earner'!$C$12="HoH",7,4))+2)),SUMPRODUCT((($AH51+$D51)&gt;INDEX('How This Works &amp; Sources'!$B$19:$J$26,0,IF('Second Earner'!$C$12="MFJ",1,IF('Second Earner'!$C$12="HoH",7,4))))*(($AH51+$D51)-INDEX('How This Works &amp; Sources'!$B$19:$J$26,0,IF('Second Earner'!$C$12="MFJ",1,IF('Second Earner'!$C$12="HoH",7,4))))*INDEX('How This Works &amp; Sources'!$B$19:$J$26,0,IF('Second Earner'!$C$12="MFJ",1,IF('Second Earner'!$C$12="HoH",7,4))+2)))-IF('Second Earner'!$C$13,SUMPRODUCT(($AH51&gt;INDEX('How This Works &amp; Sources'!$B$29:$J$36,0,IF('Second Earner'!$C$12="MFJ",1,IF('Second Earner'!$C$12="HoH",7,4))))*($AH51-INDEX('How This Works &amp; Sources'!$B$29:$J$36,0,IF('Second Earner'!$C$12="MFJ",1,IF('Second Earner'!$C$12="HoH",7,4))))*INDEX('How This Works &amp; Sources'!$B$29:$J$36,0,IF('Second Earner'!$C$12="MFJ",1,IF('Second Earner'!$C$12="HoH",7,4))+2)),SUMPRODUCT(($AH51&gt;INDEX('How This Works &amp; Sources'!$B$19:$J$26,0,IF('Second Earner'!$C$12="MFJ",1,IF('Second Earner'!$C$12="HoH",7,4))))*($AH51-INDEX('How This Works &amp; Sources'!$B$19:$J$26,0,IF('Second Earner'!$C$12="MFJ",1,IF('Second Earner'!$C$12="HoH",7,4))))*INDEX('How This Works &amp; Sources'!$B$19:$J$26,0,IF('Second Earner'!$C$12="MFJ",1,IF('Second Earner'!$C$12="HoH",7,4))+2)))),'How This Works &amp; Sources'!$C$10*$D51),2)))</f>
      </c>
      <c r="Q51" s="7">
        <f>IF($B51="","",ROUND('How This Works &amp; Sources'!$C$4*MIN($N51,MAX(0,'How This Works &amp; Sources'!$C$3-($AX51+$AB50-$AW51))),2))</f>
      </c>
      <c r="R51" s="7">
        <f>IF($B51="","",ROUND('How This Works &amp; Sources'!$C$5*$N51,2))</f>
      </c>
      <c r="S51" s="7">
        <f>IF($B51="","",ROUND('How This Works &amp; Sources'!$C$6*MAX(0,MIN($N51,$AG50+$N51-'How This Works &amp; Sources'!$C$7)),2))</f>
      </c>
      <c r="T51" s="7">
        <f>IF($B51="","",IF('Second Earner'!$C$26,0,IF($AN51="CA",ROUND(IF($AI51&lt;=IF(($AS51+$AT51)&gt;=2,VLOOKUP($AN51,StateTables!$A$6:$AB$56,10,FALSE),VLOOKUP($AN51,StateTables!$A$6:$AB$56,9,FALSE)),0,MAX(0,SUMPRODUCT(($AJ51&gt;INDEX('How This Works &amp; Sources'!$B$39:$J$48,0,IF($AU51="Married",4,IF($AU51="Head of household",7,1))))*($AJ51-INDEX('How This Works &amp; Sources'!$B$39:$J$48,0,IF($AU51="Married",4,IF($AU51="Head of household",7,1))))*INDEX('How This Works &amp; Sources'!$B$39:$J$48,0,IF($AU51="Married",4,IF($AU51="Head of household",7,1))+2))-VLOOKUP($AN51,StateTables!$A$6:$AB$56,11,FALSE)*$AS51)/'Second Earner'!$C$8)+'Second Earner'!$C$25+VLOOKUP($AN51,StateTables!$A$6:$AB$56,13,FALSE)*$D51,2),IF(VLOOKUP($AN51,StateTables!$A$6:$AB$56,4,FALSE)="None",0,IF(ISNUMBER(SEARCH("MANUAL",VLOOKUP($AN51,StateTables!$A$6:$AB$56,5,FALSE))),'Second Earner'!$C$28,ROUND(MAX(0,$BA51+$BB51)/'Second Earner'!$C$8+'Second Earner'!$C$25+$BC51,2))))))</f>
      </c>
      <c r="U51" s="7">
        <f>IF($B51="","",IF(VLOOKUP($AN51,StateTables!$A$6:$AB$56,24,FALSE)="flatq",IF(OR(MONTH($B51)=1,MONTH($B51)=4,MONTH($B51)=7,MONTH($B51)=10),VLOOKUP($AN51,StateTables!$A$6:$AB$56,25,FALSE),0),IF(VLOOKUP($AN51,StateTables!$A$6:$AB$56,24,FALSE)="dbl",MIN(ROUND(0.005*$N51,2),ROUND(0.6*52/'Second Earner'!$C$8,2)),IF(OR(VLOOKUP($AN51,StateTables!$A$6:$AB$56,15,FALSE)="",VLOOKUP($AN51,StateTables!$A$6:$AB$56,15,FALSE)=0),0,ROUND(VLOOKUP($AN51,StateTables!$A$6:$AB$56,15,FALSE)*IF(OR(VLOOKUP($AN51,StateTables!$A$6:$AB$56,16,FALSE)="",VLOOKUP($AN51,StateTables!$A$6:$AB$56,16,FALSE)=0),$N51,MIN($N51,MAX(0,VLOOKUP($AN51,StateTables!$A$6:$AB$56,16,FALSE)-($AX51+$AB50-$AW51)))),2))))+IF(VLOOKUP($AN51,StateTables!$A$6:$AB$56,27,FALSE)="flatq",IF(OR(MONTH($B51)=1,MONTH($B51)=4,MONTH($B51)=7,MONTH($B51)=10),VLOOKUP($AN51,StateTables!$A$6:$AB$56,28,FALSE),0),IF(VLOOKUP($AN51,StateTables!$A$6:$AB$56,27,FALSE)="dbl",MIN(ROUND(0.005*$N51,2),ROUND(0.6*52/'Second Earner'!$C$8,2)),IF(OR(VLOOKUP($AN51,StateTables!$A$6:$AB$56,18,FALSE)="",VLOOKUP($AN51,StateTables!$A$6:$AB$56,18,FALSE)=0),0,ROUND(VLOOKUP($AN51,StateTables!$A$6:$AB$56,18,FALSE)*IF(OR(VLOOKUP($AN51,StateTables!$A$6:$AB$56,19,FALSE)="",VLOOKUP($AN51,StateTables!$A$6:$AB$56,19,FALSE)=0),$N51,MIN($N51,MAX(0,VLOOKUP($AN51,StateTables!$A$6:$AB$56,19,FALSE)-($AX51+$AB50-$AW51)))),2)))))</f>
      </c>
      <c r="V51" s="7">
        <f>IF($B51="","",IF($AN51="NY",IF('Second Earner'!$C$78,ROUND(SUMPRODUCT((MAX(0,($O51-$D51)*'Second Earner'!$C$8-(IF($AU51="Married",5500,5000)+1000*$AS51))&gt;INDEX('How This Works &amp; Sources'!$B$184:$J$198,0,4))*(MAX(0,($O51-$D51)*'Second Earner'!$C$8-(IF($AU51="Married",5500,5000)+1000*$AS51))-INDEX('How This Works &amp; Sources'!$B$184:$J$198,0,4))*INDEX('How This Works &amp; Sources'!$B$184:$J$198,0,4+2))/'Second Earner'!$C$8+0.0425*$D51,2),0)+IF('Second Earner'!$C$79="Resident",ROUND(0.1675*$T51,2),IF('Second Earner'!$C$79="Nonresident",ROUND(0.005*MAX(0,($O51-$D51)-(IF($AU51="Married",7950,7400)+1000*$AS51)/'Second Earner'!$C$8),2),0)),IF($AN51="PA",IF('Second Earner'!$C$80="None",'Second Earner'!$C$27+ROUND('Second Earner'!$C$81*($C51+$D51),2),ROUND(IF('Second Earner'!$C$80="Resident",IF($B51&lt;DATE(2026,7,1),0.0374,0.03735),IF($B51&lt;DATE(2026,7,1),0.0343,0.03425))*($C51+$D51),2)),IF($BF51=0,ROUND('Second Earner'!$C$81*($C51+$D51),2),'Second Earner'!$C$27+ROUND('Second Earner'!$C$81*($C51+$D51),2)))))</f>
      </c>
      <c r="W51" s="7">
        <f>IF($B51="","",IF($BF51=0,0,$BP51))</f>
      </c>
      <c r="X51" s="7">
        <f>IF($B51="","",SUM($E51:$K51)+$P51+$Q51+$R51+$S51+$T51+$U51+$V51+$W51)</f>
      </c>
      <c r="Y51" s="22">
        <f>IF($B51="","",$C51+$D51-$X51)</f>
      </c>
      <c r="Z51" s="7">
        <f>IF($B51="","",$Z50+$C51+$D51)</f>
      </c>
      <c r="AA51" s="7">
        <f>IF($B51="","",$AA50+$Y51)</f>
      </c>
      <c r="AB51" s="7">
        <f>IF($B51="","",$AB50+MIN($N51,MAX(0,'How This Works &amp; Sources'!$C$3-($AX51+$AB50-$AW51))))</f>
      </c>
      <c r="AC51" s="7">
        <f>IF($B51="","",$AC50+$E51+$F51)</f>
      </c>
      <c r="AD51" s="3">
        <f>IF($B51="","",IF(AND($AB50&lt;'How This Works &amp; Sources'!$C$3,$AB51&gt;='How This Works &amp; Sources'!$C$3),"★ Social Security maxed on this check — from the next check your net rises by about $"&amp;TEXT(ROUND('How This Works &amp; Sources'!$C$4*$N51,2),"#,##0.00")&amp;". ","")&amp;IF(AND($AC50&lt;'Second Earner'!$C$34,$AC51&gt;='Second Earner'!$C$34),"★ 401(k) reaches the $"&amp;TEXT('Second Earner'!$C$34,"#,##0")&amp;" cap on this check — deferrals stop and net pay rises. ","")&amp;IF(AND($AG50&lt;'How This Works &amp; Sources'!$C$7,$AG51&gt;='How This Works &amp; Sources'!$C$7),"★ Wages pass $200,000 — the 0.9% Additional Medicare Tax starts here. ","")&amp;IF(AND($BJ51&gt;0,$H51&gt;0,$BG50&lt;MIN($BJ51,'How This Works &amp; Sources'!$C$13),$BG50+$H51&gt;=MIN($BJ51,'How This Works &amp; Sources'!$C$13)),"★ Health FSA election is now fully deferred for the year. ",""))</f>
      </c>
      <c r="AE51" s="41" t="n"/>
      <c r="AF51" s="7">
        <f>IF(OR($B51="",$AE51=""),"",$AE51-$Y51)</f>
      </c>
      <c r="AG51" s="7">
        <f>IF($B51="","",$AG50+$N51)</f>
      </c>
      <c r="AH51" s="7">
        <f>IF($B51="","",MAX(0,($M51-$D51)*'Second Earner'!$C$8+$AP51-$AQ51-IF('Second Earner'!$C$13,0,IF('Second Earner'!$C$12="MFJ",'How This Works &amp; Sources'!$C$8,'How This Works &amp; Sources'!$C$9))))</f>
      </c>
      <c r="AI51" s="7">
        <f>IF($B51="","",$O51*'Second Earner'!$C$8)</f>
      </c>
      <c r="AJ51" s="7">
        <f>IF($B51="","",MAX(0,$AI51-VLOOKUP($AN51,StateTables!$A$6:$AB$56,12,FALSE)*$AT51-IF(($AS51+$AT51)&gt;=2,VLOOKUP($AN51,StateTables!$A$6:$AB$56,8,FALSE),VLOOKUP($AN51,StateTables!$A$6:$AB$56,7,FALSE))))</f>
      </c>
      <c r="AK51" s="7">
        <f>IF($B51="","",IFERROR(LOOKUP(2,1/(('Changes — Earner 2'!$C$6:$C$17="Salary change")*('Changes — Earner 2'!$B$6:$B$17&lt;=$B51)*('Changes — Earner 2'!$B$6:$B$17&lt;&gt;"")),'Changes — Earner 2'!$D$6:$D$17),IF('Second Earner'!$C$4="Annual salary",'Second Earner'!$C$5,'Second Earner'!$C$6)))</f>
      </c>
      <c r="AL51">
        <f>IF($B51="","",IFERROR(LOOKUP(2,1/(('Changes — Earner 2'!$C$6:$C$17="401(k) change")*('Changes — Earner 2'!$B$6:$B$17&lt;=$B51)*('Changes — Earner 2'!$B$6:$B$17&lt;&gt;"")),'Changes — Earner 2'!$D$6:$D$17),'Second Earner'!$C$30))</f>
      </c>
      <c r="AM51" s="7">
        <f>IF($B51="","",IFERROR(LOOKUP(2,1/(('Changes — Earner 2'!$C$6:$C$17="401(k) change")*('Changes — Earner 2'!$B$6:$B$17&lt;=$B51)*('Changes — Earner 2'!$B$6:$B$17&lt;&gt;"")),'Changes — Earner 2'!$E$6:$E$17),'Second Earner'!$D$31))</f>
      </c>
      <c r="AN51">
        <f>IF($B51="","",IFERROR(LOOKUP(2,1/(('Changes — Earner 2'!$C$6:$C$17="State move")*('Changes — Earner 2'!$B$6:$B$17&lt;=$B51)*('Changes — Earner 2'!$B$6:$B$17&lt;&gt;"")),'Changes — Earner 2'!$D$6:$D$17),'Second Earner'!$C$21))</f>
      </c>
      <c r="AO51" s="7">
        <f>IF($B51="","",IFERROR(LOOKUP(2,1/(('Changes — Earner 2'!$C$6:$C$17="W-4 change")*('Changes — Earner 2'!$B$6:$B$17&lt;=$B51)*('Changes — Earner 2'!$B$6:$B$17&lt;&gt;"")),'Changes — Earner 2'!$D$6:$D$17),'Second Earner'!$C$14))</f>
      </c>
      <c r="AP51" s="7">
        <f>IF($B51="","",IFERROR(LOOKUP(2,1/(('Changes — Earner 2'!$C$6:$C$17="W-4 change")*('Changes — Earner 2'!$B$6:$B$17&lt;=$B51)*('Changes — Earner 2'!$B$6:$B$17&lt;&gt;"")),'Changes — Earner 2'!$E$6:$E$17),'Second Earner'!$C$15))</f>
      </c>
      <c r="AQ51" s="7">
        <f>IF($B51="","",IFERROR(LOOKUP(2,1/(('Changes — Earner 2'!$C$6:$C$17="W-4 change")*('Changes — Earner 2'!$B$6:$B$17&lt;=$B51)*('Changes — Earner 2'!$B$6:$B$17&lt;&gt;"")),'Changes — Earner 2'!$F$6:$F$17),'Second Earner'!$C$16))</f>
      </c>
      <c r="AR51" s="7">
        <f>IF($B51="","",IFERROR(LOOKUP(2,1/(('Changes — Earner 2'!$C$6:$C$17="W-4 change")*('Changes — Earner 2'!$B$6:$B$17&lt;=$B51)*('Changes — Earner 2'!$B$6:$B$17&lt;&gt;"")),'Changes — Earner 2'!$G$6:$G$17),'Second Earner'!$C$17))</f>
      </c>
      <c r="AS51" s="6">
        <f>IF($B51="","",IFERROR(LOOKUP(2,1/((('Changes — Earner 2'!$C$6:$C$17="State move")+('Changes — Earner 2'!$C$6:$C$17="State cert change"))*('Changes — Earner 2'!$B$6:$B$17&lt;=$B51)*('Changes — Earner 2'!$B$6:$B$17&lt;&gt;"")),'Changes — Earner 2'!$F$6:$F$17),'Second Earner'!$C$23))</f>
      </c>
      <c r="AT51" s="6">
        <f>IF($B51="","",IFERROR(LOOKUP(2,1/((('Changes — Earner 2'!$C$6:$C$17="State move")+('Changes — Earner 2'!$C$6:$C$17="State cert change"))*('Changes — Earner 2'!$B$6:$B$17&lt;=$B51)*('Changes — Earner 2'!$B$6:$B$17&lt;&gt;"")),'Changes — Earner 2'!$G$6:$G$17),'Second Earner'!$C$24))</f>
      </c>
      <c r="AU51">
        <f>IF($B51="","",IFERROR(LOOKUP(2,1/(('Changes — Earner 2'!$C$6:$C$17="State move")*('Changes — Earner 2'!$B$6:$B$17&lt;=$B51)*('Changes — Earner 2'!$B$6:$B$17&lt;&gt;"")),'Changes — Earner 2'!$E$6:$E$17),'Second Earner'!$C$22))</f>
      </c>
      <c r="AV51" s="6">
        <f>IF($B51="","",1+COUNTIFS('Changes — Earner 2'!$C$6:$C$17,"Employer change",'Changes — Earner 2'!$B$6:$B$17,"&lt;="&amp;$B51,'Changes — Earner 2'!$B$6:$B$17,"&lt;&gt;"))</f>
      </c>
      <c r="AW51" s="7">
        <f>IF($B51="","",IF($AV51=1,'Second Earner'!$C$49,IF(IFERROR(MATCH(IFERROR(LOOKUP(2,1/(('Changes — Earner 2'!$C$6:$C$17="Employer change")*('Changes — Earner 2'!$B$6:$B$17&lt;=$B51)*('Changes — Earner 2'!$B$6:$B$17&lt;&gt;"")),'Changes — Earner 2'!$B$6:$B$17),""),$B$6:$B$68,1),1)&lt;=1,'Second Earner'!$C$49,INDEX($AB$6:$AB$68,MATCH(IFERROR(LOOKUP(2,1/(('Changes — Earner 2'!$C$6:$C$17="Employer change")*('Changes — Earner 2'!$B$6:$B$17&lt;=$B51)*('Changes — Earner 2'!$B$6:$B$17&lt;&gt;"")),'Changes — Earner 2'!$B$6:$B$17),""),$B$6:$B$68,1)-1))))</f>
      </c>
      <c r="AX51" s="7">
        <f>IF($B51="","",IF($AV51=1,'Second Earner'!$C$49,IFERROR(LOOKUP(2,1/(('Changes — Earner 2'!$C$6:$C$17="Employer change")*('Changes — Earner 2'!$B$6:$B$17&lt;=$B51)*('Changes — Earner 2'!$B$6:$B$17&lt;&gt;"")),'Changes — Earner 2'!$D$6:$D$17),0)))</f>
      </c>
      <c r="AY51" s="7">
        <f>IF($B51="","",($O51-$D51)*'Second Earner'!$C$8)</f>
      </c>
      <c r="AZ51" s="7">
        <f>IF($B51="","",IF($AN51="AL",MAX(0,$AY51-IF($AU51="Married",IF($AY51&lt;=25999,8500,MAX(5000,8500-175*CEILING(($AY51-25999)/500,1))),IF($AU51="Head of household",IF($AY51&lt;=25999,5200,MAX(2500,5200-135*CEILING(($AY51-25999)/500,1))),IF($AY51&lt;=25999,3000,MAX(2500,3000-25*CEILING(($AY51-25999)/500,1)))))-($P51-'How This Works &amp; Sources'!$C$10*$D51)*'Second Earner'!$C$8-IF(OR($AU51="Married",$AU51="Head of household"),3000,1500)-$AT51*IF($AY51&lt;=50000,1000,IF($AY51&lt;=100000,500,300))),IF($AN51="AR",IF(MAX(0,$AY51-2470)&lt;97701,INT(MAX(0,$AY51-2470)/100)*100+50,MAX(0,$AY51-2470)),IF($AN51="DE",MAX(0,$AI51-3250),IF($AN51="HI",MAX(0,$AI51-1144*$AS51-4350),IF($AN51="KS",MAX(0,$AI51-(9160*IF($AU51="Married",2,1)+2320*$AT51+IF($AU51="Head of household",2320,0))),IF($AN51="MD",MAX(0,$AI51-3400-3200*$AS51),IF($AN51="MN",MAX(0,$AY51-5300*$AS51),IF($AN51="MO",MAX(0,$AI51-IF($AU51="Head of household",24150,IF($AU51="Married",IF('Second Earner'!$C$83,16100,32200),16100))),IF($AN51="MT",$AY51,IF($AN51="ND",($C51+$L51)*'Second Earner'!$C$8,IF($AN51="NE",MAX(0,$AY51-2440*$AS51),IF($AN51="NJ",MAX(0,$AY51-1000*$AS51),IF($AN51="NY",MAX(0,$AY51-(IF($AU51="Married",7950,7400)+1000*$AS51)),IF($AN51="OH",MAX(0,$AY51-650*$AS51),IF($AN51="OK",MAX(0,$AY51-1000*$AS51),IF($AN51="RI",MAX(0,$AI51-1000*$AS51),IF($AN51="SC",MAX(0,$AI51-5000*$AS51-IF($AS51=0,0,MIN(0.1*$AI51,7500))),IF($AN51="VA",MAX(0,$AI51-IF($AU51="Married",17500,8750)-930*$AS51-800*$AT51),IF($AN51="VT",MAX(0,$AI51-5400*$AS51),IF($AN51="WI",MAX(0,$AI51-MAX(0,IF($AU51="Married",9461-0.2*MAX(0,$AI51-25727),6702-0.12*MAX(0,$AI51-17780)))-400*$AS51),IF($AN51="WV",MAX(0,$AI51-2000*$AS51),$AI51))))))))))))))))))))))</f>
      </c>
      <c r="BA51" s="7">
        <f>IF($B51="","",IF($BW51&lt;&gt;"",$BW51,IF($BX51&lt;&gt;"",$BX51,IF($BY51&lt;&gt;"",$BY51,0))))</f>
      </c>
      <c r="BB51" s="7">
        <f>IF($B51="","",IF($AN51="AR",-29*$AS51,IF($AN51="DE",-110*$AS51,IF($AN51="MD",$AZ51*'Second Earner'!$C$74,IF($AN51="AZ",'Second Earner'!$C$82*($M51-$D51)*'Second Earner'!$C$8,IF($AN51="CO",0.044*MAX(0,$AY51-IF($AU51="Married",10000,5000)),IF($AN51="IA",MAX(0,0.038*MAX(0,$AY51-IF($AU51="Head of household",19500,IF($AU51="Married",26000,13000)))-40*$AS51),IF($AN51="ID",0.053*MAX(0,$AY51-IF($AU51="Married",32000,16094)),IF($AN51="IL",0.0495*MAX(0,$AY51-(2925*$AS51+1000*$AT51)),IF($AN51="IN",(0.0295+'Second Earner'!$C$76)*MAX(0,$AY51-(1000*$AS51+1500*$AT51+3000*'Second Earner'!$C$86)),IF($AN51="KY",0.035*MAX(0,$AI51-3360),IF($AN51="LA",IF('Second Earner'!$C$84="0",0.0309*$AI51,0.0309*MAX(0,$AI51-IF('Second Earner'!$C$84="2",25750,12875))),IF($AN51="MA",0.05*MIN(MAX(0,$AY51-MIN(($BD50+$Q51+$R51+$S51),2000)-IF($AS51=0,0,IF($AS51=1,4400,1000*$AS51+3400))),1107750)+0.09*MAX(0,MAX(0,$AY51-MIN(($BD50+$Q51+$R51+$S51),2000)-IF($AS51=0,0,IF($AS51=1,4400,1000*$AS51+3400)))-1107750)-IF($AU51="Head of household",120,0)-110*'Second Earner'!$C$75,IF($AN51="MI",0.0425*MAX(0,$AY51-5900*$AS51),IF($AN51="MS",0.04*MAX(0,$AI51-IF($AU51="Head of household",3400,IF($AU51="Married",4600,2300))-'Second Earner'!$C$85-10000),IF($AN51="OR",IF(OR($AU51="Married",AND($AU51="Single",$AS51&gt;=3)),SUMPRODUCT((MAX(0,$AY51-MIN(($P51-'How This Works &amp; Sources'!$C$10*$D51)*'Second Earner'!$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Sources'!$B$211:$J$214,0,4))*(MAX(0,$AY51-MIN(($P51-'How This Works &amp; Sources'!$C$10*$D51)*'Second Earner'!$C$8,IF(OR($AU51="Married",AND($AU51="Single",$AS51&gt;=3)),IF($AY51&lt;250000,8750,IF($AY51&lt;260000,7000,IF($AY51&lt;270000,5250,IF($AY51&lt;280000,3500,IF($AY51&lt;290000,1750,0))))),IF($AY51&lt;125000,8750,IF($AY51&lt;130000,7000,IF($AY51&lt;135000,5250,IF($AY51&lt;140000,3500,IF($AY51&lt;145000,1750,0)))))))-IF(OR($AU51="Married",AND($AU51="Single",$AS51&gt;=3)),5820,2910))-INDEX('How This Works &amp; Sources'!$B$211:$J$214,0,4))*INDEX('How This Works &amp; Sources'!$B$211:$J$214,0,4+2)),SUMPRODUCT((MAX(0,$AY51-MIN(($P51-'How This Works &amp; Sources'!$C$10*$D51)*'Second Earner'!$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Sources'!$B$211:$J$214,0,1))*(MAX(0,$AY51-MIN(($P51-'How This Works &amp; Sources'!$C$10*$D51)*'Second Earner'!$C$8,IF(OR($AU51="Married",AND($AU51="Single",$AS51&gt;=3)),IF($AY51&lt;250000,8750,IF($AY51&lt;260000,7000,IF($AY51&lt;270000,5250,IF($AY51&lt;280000,3500,IF($AY51&lt;290000,1750,0))))),IF($AY51&lt;125000,8750,IF($AY51&lt;130000,7000,IF($AY51&lt;135000,5250,IF($AY51&lt;140000,3500,IF($AY51&lt;145000,1750,0)))))))-IF(OR($AU51="Married",AND($AU51="Single",$AS51&gt;=3)),5820,2910))-INDEX('How This Works &amp; Sources'!$B$211:$J$214,0,1))*INDEX('How This Works &amp; Sources'!$B$211:$J$214,0,1+2)))+263-263*IF(IF($AU51="Married",$AY51&gt;200000,$AY51&gt;100000),0,$AS51),IF($AN51="PA",0.0307*(($O51+$E51+$G51)*'Second Earner'!$C$8),IF($AN51="NY",IF($AU51="Married",IF($AZ51&gt;=2155350,0,IF($AZ51&gt;=1077550,0.48,IF($AZ51&gt;=373200,1.21,IF($AZ51&gt;=323200,0.21,IF($AZ51&gt;=211550,-0.19,IF($AZ51&gt;=157650,-2.8,IF($AZ51&gt;=107650,-0.8,IF($AZ51&gt;=96800,0.05,IF($AZ51&gt;=80650,-0.1,IF($AZ51&gt;=13900,0.4,IF($AZ51&gt;=11700,-0.3,IF($AZ51&gt;=8500,0.5,0)))))))))))),IF($AZ51&gt;=1077550,0,IF($AZ51&gt;=265400,4.29,IF($AZ51&gt;=215400,2.29,IF($AZ51&gt;=157650,2.29,IF($AZ51&gt;=107650,0.29,IF($AZ51&gt;=96800,0.05,IF($AZ51&gt;=80650,-0.1,IF($AZ51&gt;=13900,0.4,IF($AZ51&gt;=11700,-0.3,IF($AZ51&gt;=8500,0.5,0))))))))))),0))))))))))))))))))</f>
      </c>
      <c r="BC51" s="7">
        <f>IF($B51="","",IF($AN51="AL",0.05*$D51,IF($AN51="AR",0.039*$D51,IF($AN51="ID",0.053*$D51,IF($AN51="IN",(0.0295+'Second Earner'!$C$76)*$D51,IF($AN51="KS",0.05*$D51,IF($AN51="MA",0.09*MIN($D51,MAX(0,MAX(0,$AY51-MIN(($BD50+$Q51+$R51+$S51),2000)-IF($AS51=0,0,IF($AS51=1,4400,1000*$AS51+3400)))+$D51-1107750))+0.05*($D51-MIN($D51,MAX(0,MAX(0,$AY51-MIN(($BD50+$Q51+$R51+$S51),2000)-IF($AS51=0,0,IF($AS51=1,4400,1000*$AS51+3400)))+$D51-1107750))),IF($AN51="MD",(0.065+'Second Earner'!$C$74)*$D51,IF($AN51="MI",0.0425*$D51,IF($AN51="MN",0.0625*$D51,IF($AN51="MO",0.047*$D51,IF($AN51="MT",0.05*$D51,IF($AN51="ND",0.015*$D51,IF($AN51="NE",0.035*$D51,IF($AN51="NJ",IF('Second Earner'!$C$77="B",SUMPRODUCT(($D51*'Second Earner'!$C$8&gt;INDEX('How This Works &amp; Sources'!$B$155:$J$162,0,4))*($D51*'Second Earner'!$C$8-INDEX('How This Works &amp; Sources'!$B$155:$J$162,0,4))*INDEX('How This Works &amp; Sources'!$B$155:$J$162,0,4+2)),IF('Second Earner'!$C$77="C",SUMPRODUCT(($D51*'Second Earner'!$C$8&gt;INDEX('How This Works &amp; Sources'!$B$155:$J$162,0,7))*($D51*'Second Earner'!$C$8-INDEX('How This Works &amp; Sources'!$B$155:$J$162,0,7))*INDEX('How This Works &amp; Sources'!$B$155:$J$162,0,7+2)),IF('Second Earner'!$C$77="D",SUMPRODUCT(($D51*'Second Earner'!$C$8&gt;INDEX('How This Works &amp; Sources'!$B$167:$J$179,0,1))*($D51*'Second Earner'!$C$8-INDEX('How This Works &amp; Sources'!$B$167:$J$179,0,1))*INDEX('How This Works &amp; Sources'!$B$167:$J$179,0,1+2)),IF('Second Earner'!$C$77="E",SUMPRODUCT(($D51*'Second Earner'!$C$8&gt;INDEX('How This Works &amp; Sources'!$B$167:$J$179,0,4))*($D51*'Second Earner'!$C$8-INDEX('How This Works &amp; Sources'!$B$167:$J$179,0,4))*INDEX('How This Works &amp; Sources'!$B$167:$J$179,0,4+2)),SUMPRODUCT(($D51*'Second Earner'!$C$8&gt;INDEX('How This Works &amp; Sources'!$B$155:$J$162,0,1))*($D51*'Second Earner'!$C$8-INDEX('How This Works &amp; Sources'!$B$155:$J$162,0,1))*INDEX('How This Works &amp; Sources'!$B$155:$J$162,0,1+2))))))/'Second Earner'!$C$8,IF($AN51="NY",0.117*$D51,IF($AN51="OH",0.0275*$D51,IF($AN51="OK",0.045*$D51,IF($AN51="OR",0.08*$D51,IF($AN51="WI",IF($AY51&lt;12760,0.0354,IF($AY51&lt;25520,0.0465,IF($AY51&lt;280950,0.053,0.0765)))*$D51,0))))))))))))))))))))</f>
      </c>
      <c r="BD51" s="7">
        <f>IF($B51="","",$BD50+$Q51+$R51+$S51)</f>
      </c>
      <c r="BE51" s="6">
        <f>IF($B51="",$BE50,$BE50+$BF51)</f>
      </c>
      <c r="BF51" s="6">
        <f>IF($B51="","",IF(AND(IF(YEAR(IF('Second Earner'!$C$7="Weekly",'Second Earner'!$C$9+7*(($BE50+1)-1),IF('Second Earner'!$C$7="Biweekly",'Second Earner'!$C$9+14*(($BE50+1)-1),IF('Second Earner'!$C$7="Semimonthly",DATE(YEAR('Second Earner'!$C$9),MONTH('Second Earner'!$C$9)+INT((($BE50+1)-1)/2),MIN(DAY('Second Earner'!$C$9),DAY(EOMONTH(DATE(YEAR('Second Earner'!$C$9),MONTH('Second Earner'!$C$9)+INT((($BE50+1)-1)/2),1),0))))+IF(MOD(($BE50+1)-1,2)=1,15,0),EDATE('Second Earner'!$C$9,($BE50+1)-1)))))&lt;&gt;'Second Earner'!$C$10,"",IF('Second Earner'!$C$7="Weekly",'Second Earner'!$C$9+7*(($BE50+1)-1),IF('Second Earner'!$C$7="Biweekly",'Second Earner'!$C$9+14*(($BE50+1)-1),IF('Second Earner'!$C$7="Semimonthly",DATE(YEAR('Second Earner'!$C$9),MONTH('Second Earner'!$C$9)+INT((($BE50+1)-1)/2),MIN(DAY('Second Earner'!$C$9),DAY(EOMONTH(DATE(YEAR('Second Earner'!$C$9),MONTH('Second Earner'!$C$9)+INT((($BE50+1)-1)/2),1),0))))+IF(MOD(($BE50+1)-1,2)=1,15,0),EDATE('Second Earner'!$C$9,($BE50+1)-1)))))&lt;&gt;"",$B51=IF(YEAR(IF('Second Earner'!$C$7="Weekly",'Second Earner'!$C$9+7*(($BE50+1)-1),IF('Second Earner'!$C$7="Biweekly",'Second Earner'!$C$9+14*(($BE50+1)-1),IF('Second Earner'!$C$7="Semimonthly",DATE(YEAR('Second Earner'!$C$9),MONTH('Second Earner'!$C$9)+INT((($BE50+1)-1)/2),MIN(DAY('Second Earner'!$C$9),DAY(EOMONTH(DATE(YEAR('Second Earner'!$C$9),MONTH('Second Earner'!$C$9)+INT((($BE50+1)-1)/2),1),0))))+IF(MOD(($BE50+1)-1,2)=1,15,0),EDATE('Second Earner'!$C$9,($BE50+1)-1)))))&lt;&gt;'Second Earner'!$C$10,"",IF('Second Earner'!$C$7="Weekly",'Second Earner'!$C$9+7*(($BE50+1)-1),IF('Second Earner'!$C$7="Biweekly",'Second Earner'!$C$9+14*(($BE50+1)-1),IF('Second Earner'!$C$7="Semimonthly",DATE(YEAR('Second Earner'!$C$9),MONTH('Second Earner'!$C$9)+INT((($BE50+1)-1)/2),MIN(DAY('Second Earner'!$C$9),DAY(EOMONTH(DATE(YEAR('Second Earner'!$C$9),MONTH('Second Earner'!$C$9)+INT((($BE50+1)-1)/2),1),0))))+IF(MOD(($BE50+1)-1,2)=1,15,0),EDATE('Second Earner'!$C$9,($BE50+1)-1)))))),1,0))</f>
      </c>
      <c r="BG51" s="7">
        <f>IF($B51="","",$BG50+$H51)</f>
      </c>
      <c r="BH51" s="7">
        <f>IF($B51="","",$BH50+$I51)</f>
      </c>
      <c r="BI51" s="7">
        <f>IF($B51="","",$BI50+$G51)</f>
      </c>
      <c r="BJ51" s="7">
        <f>IF($B51="","",IFERROR(LOOKUP(2,1/(((('Changes — Earner 2'!$C$6:$C$17="Deduction start"))*('Changes — Earner 2'!$D$6:$D$17="Health FSA"))*('Changes — Earner 2'!$B$6:$B$17&lt;=$B51)*('Changes — Earner 2'!$B$6:$B$17&lt;&gt;"")),'Changes — Earner 2'!$E$6:$E$17),'Second Earner'!$D$38))</f>
      </c>
      <c r="BK51" s="7">
        <f>IF($B51="","",IFERROR(LOOKUP(2,1/(((('Changes — Earner 2'!$C$6:$C$17="Deduction start"))*('Changes — Earner 2'!$D$6:$D$17="Dependent-care FSA"))*('Changes — Earner 2'!$B$6:$B$17&lt;=$B51)*('Changes — Earner 2'!$B$6:$B$17&lt;&gt;"")),'Changes — Earner 2'!$E$6:$E$17),'Second Earner'!$D$39))</f>
      </c>
      <c r="BL51" s="7">
        <f>IF($B51="","",IFERROR(LOOKUP(2,1/(((('Changes — Earner 2'!$C$6:$C$17="Deduction start")+('Changes — Earner 2'!$C$6:$C$17="Deduction stop"))*('Changes — Earner 2'!$D$6:$D$17="HSA"))*('Changes — Earner 2'!$B$6:$B$17&lt;=$B51)*('Changes — Earner 2'!$B$6:$B$17&lt;&gt;"")),'Changes — Earner 2'!$I$6:$I$17),'Second Earner'!$D$35))</f>
      </c>
      <c r="BM51" s="7">
        <f>IF($B51="","",IFERROR(LOOKUP(2,1/(((('Changes — Earner 2'!$C$6:$C$17="Deduction start")+('Changes — Earner 2'!$C$6:$C$17="Deduction stop"))*('Changes — Earner 2'!$D$6:$D$17="Premiums"))*('Changes — Earner 2'!$B$6:$B$17&lt;=$B51)*('Changes — Earner 2'!$B$6:$B$17&lt;&gt;"")),'Changes — Earner 2'!$I$6:$I$17),'Second Earner'!$D$40+'Second Earner'!$D$41+'Second Earner'!$D$42))</f>
      </c>
      <c r="BN51" s="7">
        <f>IF($B51="","",IFERROR(LOOKUP(2,1/(((('Changes — Earner 2'!$C$6:$C$17="Deduction start")+('Changes — Earner 2'!$C$6:$C$17="Deduction stop"))*('Changes — Earner 2'!$D$6:$D$17="Commuter"))*('Changes — Earner 2'!$B$6:$B$17&lt;=$B51)*('Changes — Earner 2'!$B$6:$B$17&lt;&gt;"")),'Changes — Earner 2'!$I$6:$I$17),'Second Earner'!$D$43))</f>
      </c>
      <c r="BO51" s="7">
        <f>IF($B51="","",IFERROR(LOOKUP(2,1/(((('Changes — Earner 2'!$C$6:$C$17="Deduction start")+('Changes — Earner 2'!$C$6:$C$17="Deduction stop"))*('Changes — Earner 2'!$D$6:$D$17="Other pre-tax"))*('Changes — Earner 2'!$B$6:$B$17&lt;=$B51)*('Changes — Earner 2'!$B$6:$B$17&lt;&gt;"")),'Changes — Earner 2'!$I$6:$I$17),'Second Earner'!$D$44))</f>
      </c>
      <c r="BP51" s="7">
        <f>IF($B51="","",IFERROR(LOOKUP(2,1/(((('Changes — Earner 2'!$C$6:$C$17="Deduction start")+('Changes — Earner 2'!$C$6:$C$17="Deduction stop"))*('Changes — Earner 2'!$D$6:$D$17="Other post-tax"))*('Changes — Earner 2'!$B$6:$B$17&lt;=$B51)*('Changes — Earner 2'!$B$6:$B$17&lt;&gt;"")),'Changes — Earner 2'!$I$6:$I$17),'Second Earner'!$D$45))</f>
      </c>
      <c r="BQ51" s="6">
        <f>IF($B51="","",IFERROR(LOOKUP(2,1/(((('Changes — Earner 2'!$C$6:$C$17="Deduction start")+('Changes — Earner 2'!$C$6:$C$17="Deduction stop"))*('Changes — Earner 2'!$D$6:$D$17="Health FSA"))*('Changes — Earner 2'!$B$6:$B$17&lt;=$B51)*('Changes — Earner 2'!$B$6:$B$17&lt;&gt;"")),'Changes — Earner 2'!$J$6:$J$17),0))</f>
      </c>
      <c r="BR51" s="6">
        <f>IF($B51="","",IFERROR(LOOKUP(2,1/(((('Changes — Earner 2'!$C$6:$C$17="Deduction start")+('Changes — Earner 2'!$C$6:$C$17="Deduction stop"))*('Changes — Earner 2'!$D$6:$D$17="Dependent-care FSA"))*('Changes — Earner 2'!$B$6:$B$17&lt;=$B51)*('Changes — Earner 2'!$B$6:$B$17&lt;&gt;"")),'Changes — Earner 2'!$J$6:$J$17),0))</f>
      </c>
      <c r="BS51" s="6">
        <f>IF($B51="","",IF(SUMPRODUCT(('Changes — Earner 2'!$C$6:$C$17="Deduction start")*('Changes — Earner 2'!$B$6:$B$17&lt;=$B51)*('Changes — Earner 2'!$B$6:$B$17&lt;&gt;"")*('Changes — Earner 2'!$D$6:$D$17="Health FSA"))&gt;0,1,0))</f>
      </c>
      <c r="BT51" s="6">
        <f>IF($B51="","",IF(SUMPRODUCT(('Changes — Earner 2'!$C$6:$C$17="Deduction start")*('Changes — Earner 2'!$B$6:$B$17&lt;=$B51)*('Changes — Earner 2'!$B$6:$B$17&lt;&gt;"")*('Changes — Earner 2'!$D$6:$D$17="Dependent-care FSA"))&gt;0,1,0))</f>
      </c>
      <c r="BU51" s="24">
        <f>IF($B51="","",IF('Second Earner'!$C$13,SUMPRODUCT(($AH51&gt;=INDEX('How This Works &amp; Sources'!$B$29:$J$36,0,IF('Second Earner'!$C$12="MFJ",1,IF('Second Earner'!$C$12="HoH",7,4))))*INDEX('How This Works &amp; Sources'!$B$29:$J$36,0,IF('Second Earner'!$C$12="MFJ",1,IF('Second Earner'!$C$12="HoH",7,4))+2)),SUMPRODUCT(($AH51&gt;=INDEX('How This Works &amp; Sources'!$B$19:$J$26,0,IF('Second Earner'!$C$12="MFJ",1,IF('Second Earner'!$C$12="HoH",7,4))))*INDEX('How This Works &amp; Sources'!$B$19:$J$26,0,IF('Second Earner'!$C$12="MFJ",1,IF('Second Earner'!$C$12="HoH",7,4))+2))))</f>
      </c>
      <c r="BV51" s="24">
        <f>IF($B51="","",IF($BZ51&lt;&gt;"",$BZ51,IF($CA51&lt;&gt;"",$CA51,IF($CB51&lt;&gt;"",$CB51,IF($CC51&lt;&gt;"",$CC51,0)))))</f>
      </c>
      <c r="BW51" s="7">
        <f>IF($B51="","",IF($AN51="AR",SUMPRODUCT(($AZ51&gt;INDEX('How This Works &amp; Sources'!$B$82:$J$86,0,7))*($AZ51-INDEX('How This Works &amp; Sources'!$B$82:$J$86,0,7))*INDEX('How This Works &amp; Sources'!$B$82:$J$86,0,7+2)),IF($AN51="MD",IF(OR($AU51="Married",$AU51="Head of household"),SUMPRODUCT(($AZ51&gt;INDEX('How This Works &amp; Sources'!$B$114:$J$120,0,1))*($AZ51-INDEX('How This Works &amp; Sources'!$B$114:$J$120,0,1))*INDEX('How This Works &amp; Sources'!$B$114:$J$120,0,1+2)),SUMPRODUCT(($AZ51&gt;INDEX('How This Works &amp; Sources'!$B$103:$J$109,0,7))*($AZ51-INDEX('How This Works &amp; Sources'!$B$103:$J$109,0,7))*INDEX('How This Works &amp; Sources'!$B$103:$J$109,0,7+2))),IF($AN51="MT",IF($AU51="Head of household",SUMPRODUCT(($AZ51&gt;INDEX('How This Works &amp; Sources'!$B$137:$J$139,0,1))*($AZ51-INDEX('How This Works &amp; Sources'!$B$137:$J$139,0,1))*INDEX('How This Works &amp; Sources'!$B$137:$J$139,0,1+2)),IF($AU51="Married",SUMPRODUCT(($AZ51&gt;INDEX('How This Works &amp; Sources'!$B$125:$J$132,0,7))*($AZ51-INDEX('How This Works &amp; Sources'!$B$125:$J$132,0,7))*INDEX('How This Works &amp; Sources'!$B$125:$J$132,0,7+2)),SUMPRODUCT(($AZ51&gt;INDEX('How This Works &amp; Sources'!$B$125:$J$132,0,4))*($AZ51-INDEX('How This Works &amp; Sources'!$B$125:$J$132,0,4))*INDEX('How This Works &amp; Sources'!$B$125:$J$132,0,4+2)))),IF($AN51="ND",IF($AU51="Head of household",SUMPRODUCT(($AZ51&gt;INDEX('How This Works &amp; Sources'!$B$144:$J$150,0,1))*($AZ51-INDEX('How This Works &amp; Sources'!$B$144:$J$150,0,1))*INDEX('How This Works &amp; Sources'!$B$144:$J$150,0,1+2)),IF($AU51="Married",SUMPRODUCT(($AZ51&gt;INDEX('How This Works &amp; Sources'!$B$137:$J$139,0,7))*($AZ51-INDEX('How This Works &amp; Sources'!$B$137:$J$139,0,7))*INDEX('How This Works &amp; Sources'!$B$137:$J$139,0,7+2)),SUMPRODUCT(($AZ51&gt;INDEX('How This Works &amp; Sources'!$B$137:$J$139,0,4))*($AZ51-INDEX('How This Works &amp; Sources'!$B$137:$J$139,0,4))*INDEX('How This Works &amp; Sources'!$B$137:$J$139,0,4+2)))),IF($AN51="NJ",IF('Second Earner'!$C$77="B",SUMPRODUCT(($AZ51&gt;INDEX('How This Works &amp; Sources'!$B$155:$J$162,0,4))*($AZ51-INDEX('How This Works &amp; Sources'!$B$155:$J$162,0,4))*INDEX('How This Works &amp; Sources'!$B$155:$J$162,0,4+2)),IF('Second Earner'!$C$77="C",SUMPRODUCT(($AZ51&gt;INDEX('How This Works &amp; Sources'!$B$155:$J$162,0,7))*($AZ51-INDEX('How This Works &amp; Sources'!$B$155:$J$162,0,7))*INDEX('How This Works &amp; Sources'!$B$155:$J$162,0,7+2)),IF('Second Earner'!$C$77="D",SUMPRODUCT(($AZ51&gt;INDEX('How This Works &amp; Sources'!$B$167:$J$179,0,1))*($AZ51-INDEX('How This Works &amp; Sources'!$B$167:$J$179,0,1))*INDEX('How This Works &amp; Sources'!$B$167:$J$179,0,1+2)),IF('Second Earner'!$C$77="E",SUMPRODUCT(($AZ51&gt;INDEX('How This Works &amp; Sources'!$B$167:$J$179,0,4))*($AZ51-INDEX('How This Works &amp; Sources'!$B$167:$J$179,0,4))*INDEX('How This Works &amp; Sources'!$B$167:$J$179,0,4+2)),SUMPRODUCT(($AZ51&gt;INDEX('How This Works &amp; Sources'!$B$155:$J$162,0,1))*($AZ51-INDEX('How This Works &amp; Sources'!$B$155:$J$162,0,1))*INDEX('How This Works &amp; Sources'!$B$155:$J$162,0,1+2)))))),IF($AN51="NY",IF($AU51="Married",IF($AZ51&gt;=2155350,$AZ51*IF($AZ51&gt;25000000,0.117,IF($AZ51&gt;5000000,0.111,0.1045)),SUMPRODUCT(($AZ51&gt;INDEX('How This Works &amp; Sources'!$B$184:$J$198,0,1))*($AZ51-INDEX('How This Works &amp; Sources'!$B$184:$J$198,0,1))*INDEX('How This Works &amp; Sources'!$B$184:$J$198,0,1+2))),IF($AZ51&gt;=1077550,$AZ51*IF($AZ51&gt;25000000,0.117,IF($AZ51&gt;5000000,0.111,0.1045)),SUMPRODUCT(($AZ51&gt;INDEX('How This Works &amp; Sources'!$B$167:$J$179,0,7))*($AZ51-INDEX('How This Works &amp; Sources'!$B$167:$J$179,0,7))*INDEX('How This Works &amp; Sources'!$B$167:$J$179,0,7+2)))),"")))))))</f>
      </c>
      <c r="BX51" s="7">
        <f>IF($B51="","",IF($AN51="AL",IF(OR($AU51="Married",$AU51="Head of household"),SUMPRODUCT(($AZ51&gt;INDEX('How This Works &amp; Sources'!$B$82:$J$86,0,4))*($AZ51-INDEX('How This Works &amp; Sources'!$B$82:$J$86,0,4))*INDEX('How This Works &amp; Sources'!$B$82:$J$86,0,4+2)),SUMPRODUCT(($AZ51&gt;INDEX('How This Works &amp; Sources'!$B$82:$J$86,0,1))*($AZ51-INDEX('How This Works &amp; Sources'!$B$82:$J$86,0,1))*INDEX('How This Works &amp; Sources'!$B$82:$J$86,0,1+2))),IF($AN51="KS",IF($AU51="Married",SUMPRODUCT(($AZ51&gt;INDEX('How This Works &amp; Sources'!$B$103:$J$109,0,4))*($AZ51-INDEX('How This Works &amp; Sources'!$B$103:$J$109,0,4))*INDEX('How This Works &amp; Sources'!$B$103:$J$109,0,4+2)),SUMPRODUCT(($AZ51&gt;INDEX('How This Works &amp; Sources'!$B$103:$J$109,0,1))*($AZ51-INDEX('How This Works &amp; Sources'!$B$103:$J$109,0,1))*INDEX('How This Works &amp; Sources'!$B$103:$J$109,0,1+2))),IF($AN51="MN",IF($AU51="Married",SUMPRODUCT(($AZ51&gt;INDEX('How This Works &amp; Sources'!$B$114:$J$120,0,7))*($AZ51-INDEX('How This Works &amp; Sources'!$B$114:$J$120,0,7))*INDEX('How This Works &amp; Sources'!$B$114:$J$120,0,7+2)),SUMPRODUCT(($AZ51&gt;INDEX('How This Works &amp; Sources'!$B$114:$J$120,0,4))*($AZ51-INDEX('How This Works &amp; Sources'!$B$114:$J$120,0,4))*INDEX('How This Works &amp; Sources'!$B$114:$J$120,0,4+2))),IF($AN51="MO",SUMPRODUCT(($AZ51&gt;INDEX('How This Works &amp; Sources'!$B$125:$J$132,0,1))*($AZ51-INDEX('How This Works &amp; Sources'!$B$125:$J$132,0,1))*INDEX('How This Works &amp; Sources'!$B$125:$J$132,0,1+2)),IF($AN51="NE",MAX(IF($AU51="Married",SUMPRODUCT(($AZ51&gt;INDEX('How This Works &amp; Sources'!$B$144:$J$150,0,7))*($AZ51-INDEX('How This Works &amp; Sources'!$B$144:$J$150,0,7))*INDEX('How This Works &amp; Sources'!$B$144:$J$150,0,7+2)),SUMPRODUCT(($AZ51&gt;INDEX('How This Works &amp; Sources'!$B$144:$J$150,0,4))*($AZ51-INDEX('How This Works &amp; Sources'!$B$144:$J$150,0,4))*INDEX('How This Works &amp; Sources'!$B$144:$J$150,0,4+2))),0.015*$AZ51),IF($AN51="OH",IF($B51&gt;=DATE(2026,8,1),SUMPRODUCT(($AZ51&gt;INDEX('How This Works &amp; Sources'!$B$203:$J$206,0,1))*($AZ51-INDEX('How This Works &amp; Sources'!$B$203:$J$206,0,1))*INDEX('How This Works &amp; Sources'!$B$203:$J$206,0,1+2)),SUMPRODUCT(($AZ51&gt;INDEX('How This Works &amp; Sources'!$B$184:$J$198,0,7))*($AZ51-INDEX('How This Works &amp; Sources'!$B$184:$J$198,0,7))*INDEX('How This Works &amp; Sources'!$B$184:$J$198,0,7+2))),IF($AN51="OK",IF($AU51="Married",SUMPRODUCT(($AZ51&gt;INDEX('How This Works &amp; Sources'!$B$203:$J$206,0,7))*($AZ51-INDEX('How This Works &amp; Sources'!$B$203:$J$206,0,7))*INDEX('How This Works &amp; Sources'!$B$203:$J$206,0,7+2)),SUMPRODUCT(($AZ51&gt;INDEX('How This Works &amp; Sources'!$B$203:$J$206,0,4))*($AZ51-INDEX('How This Works &amp; Sources'!$B$203:$J$206,0,4))*INDEX('How This Works &amp; Sources'!$B$203:$J$206,0,4+2))),IF($AN51="VT",IF($AU51="Married",SUMPRODUCT(($AZ51&gt;INDEX('How This Works &amp; Sources'!$B$228:$J$232,0,1))*($AZ51-INDEX('How This Works &amp; Sources'!$B$228:$J$232,0,1))*INDEX('How This Works &amp; Sources'!$B$228:$J$232,0,1+2)),SUMPRODUCT(($AZ51&gt;INDEX('How This Works &amp; Sources'!$B$219:$J$223,0,7))*($AZ51-INDEX('How This Works &amp; Sources'!$B$219:$J$223,0,7))*INDEX('How This Works &amp; Sources'!$B$219:$J$223,0,7+2))),IF($AN51="WV",IF($AU51="Married",SUMPRODUCT(($AZ51&gt;INDEX('How This Works &amp; Sources'!$B$237:$J$241,0,7))*($AZ51-INDEX('How This Works &amp; Sources'!$B$237:$J$241,0,7))*INDEX('How This Works &amp; Sources'!$B$237:$J$241,0,7+2)),SUMPRODUCT(($AZ51&gt;INDEX('How This Works &amp; Sources'!$B$228:$J$232,0,7))*($AZ51-INDEX('How This Works &amp; Sources'!$B$228:$J$232,0,7))*INDEX('How This Works &amp; Sources'!$B$228:$J$232,0,7+2))),""))))))))))</f>
      </c>
      <c r="BY51" s="7">
        <f>IF($B51="","",IF($AN51="DE",SUMPRODUCT(($AZ51&gt;INDEX('How This Works &amp; Sources'!$B$91:$J$98,0,1))*($AZ51-INDEX('How This Works &amp; Sources'!$B$91:$J$98,0,1))*INDEX('How This Works &amp; Sources'!$B$91:$J$98,0,1+2)),IF($AN51="HI",IF($AU51="Married",SUMPRODUCT(($AZ51&gt;INDEX('How This Works &amp; Sources'!$B$91:$J$98,0,7))*($AZ51-INDEX('How This Works &amp; Sources'!$B$91:$J$98,0,7))*INDEX('How This Works &amp; Sources'!$B$91:$J$98,0,7+2)),SUMPRODUCT(($AZ51&gt;INDEX('How This Works &amp; Sources'!$B$91:$J$98,0,4))*($AZ51-INDEX('How This Works &amp; Sources'!$B$91:$J$98,0,4))*INDEX('How This Works &amp; Sources'!$B$91:$J$98,0,4+2))),IF($AN51="RI",SUMPRODUCT(($AZ51&gt;INDEX('How This Works &amp; Sources'!$B$211:$J$214,0,7))*($AZ51-INDEX('How This Works &amp; Sources'!$B$211:$J$214,0,7))*INDEX('How This Works &amp; Sources'!$B$211:$J$214,0,7+2)),IF($AN51="SC",SUMPRODUCT(($AZ51&gt;INDEX('How This Works &amp; Sources'!$B$219:$J$223,0,1))*($AZ51-INDEX('How This Works &amp; Sources'!$B$219:$J$223,0,1))*INDEX('How This Works &amp; Sources'!$B$219:$J$223,0,1+2)),IF($AN51="VA",SUMPRODUCT(($AZ51&gt;INDEX('How This Works &amp; Sources'!$B$219:$J$223,0,4))*($AZ51-INDEX('How This Works &amp; Sources'!$B$219:$J$223,0,4))*INDEX('How This Works &amp; Sources'!$B$219:$J$223,0,4+2)),IF($AN51="WI",SUMPRODUCT(($AZ51&gt;INDEX('How This Works &amp; Sources'!$B$228:$J$232,0,4))*($AZ51-INDEX('How This Works &amp; Sources'!$B$228:$J$232,0,4))*INDEX('How This Works &amp; Sources'!$B$228:$J$232,0,4+2)),"")))))))</f>
      </c>
      <c r="BZ51" s="24">
        <f>IF($B51="","",IF($AN51="KS",IF($AU51="Married",SUMPRODUCT(($AZ51&gt;=INDEX('How This Works &amp; Sources'!$B$103:$J$109,0,4))*INDEX('How This Works &amp; Sources'!$B$103:$J$109,0,4+2)),SUMPRODUCT(($AZ51&gt;=INDEX('How This Works &amp; Sources'!$B$103:$J$109,0,1))*INDEX('How This Works &amp; Sources'!$B$103:$J$109,0,1+2))),IF($AN51="MT",IF($AU51="Head of household",SUMPRODUCT(($AZ51&gt;=INDEX('How This Works &amp; Sources'!$B$137:$J$139,0,1))*INDEX('How This Works &amp; Sources'!$B$137:$J$139,0,1+2)),IF($AU51="Married",SUMPRODUCT(($AZ51&gt;=INDEX('How This Works &amp; Sources'!$B$125:$J$132,0,7))*INDEX('How This Works &amp; Sources'!$B$125:$J$132,0,7+2)),SUMPRODUCT(($AZ51&gt;=INDEX('How This Works &amp; Sources'!$B$125:$J$132,0,4))*INDEX('How This Works &amp; Sources'!$B$125:$J$132,0,4+2)))),IF($AN51="OR",IF(OR($AU51="Married",AND($AU51="Single",$AS51&gt;=3)),SUMPRODUCT((MAX(0,$AY51-MIN(($P51-'How This Works &amp; Sources'!$C$10*$D51)*'Second Earner'!$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Sources'!$B$211:$J$214,0,4))*INDEX('How This Works &amp; Sources'!$B$211:$J$214,0,4+2)),SUMPRODUCT((MAX(0,$AY51-MIN(($P51-'How This Works &amp; Sources'!$C$10*$D51)*'Second Earner'!$C$8,IF(OR($AU51="Married",AND($AU51="Single",$AS51&gt;=3)),IF($AY51&lt;250000,8750,IF($AY51&lt;260000,7000,IF($AY51&lt;270000,5250,IF($AY51&lt;280000,3500,IF($AY51&lt;290000,1750,0))))),IF($AY51&lt;125000,8750,IF($AY51&lt;130000,7000,IF($AY51&lt;135000,5250,IF($AY51&lt;140000,3500,IF($AY51&lt;145000,1750,0)))))))-IF(OR($AU51="Married",AND($AU51="Single",$AS51&gt;=3)),5820,2910))&gt;=INDEX('How This Works &amp; Sources'!$B$211:$J$214,0,1))*INDEX('How This Works &amp; Sources'!$B$211:$J$214,0,1+2)))*IF(($P51-'How This Works &amp; Sources'!$C$10*$D51)*'Second Earner'!$C$8&gt;=IF(OR($AU51="Married",AND($AU51="Single",$AS51&gt;=3)),IF($AY51&lt;250000,8750,IF($AY51&lt;260000,7000,IF($AY51&lt;270000,5250,IF($AY51&lt;280000,3500,IF($AY51&lt;290000,1750,0))))),IF($AY51&lt;125000,8750,IF($AY51&lt;130000,7000,IF($AY51&lt;135000,5250,IF($AY51&lt;140000,3500,IF($AY51&lt;145000,1750,0)))))),1,1-IF('Second Earner'!$C$13,SUMPRODUCT(($AH51&gt;=INDEX('How This Works &amp; Sources'!$B$29:$J$36,0,IF('Second Earner'!$C$12="MFJ",1,IF('Second Earner'!$C$12="HoH",7,4))))*INDEX('How This Works &amp; Sources'!$B$29:$J$36,0,IF('Second Earner'!$C$12="MFJ",1,IF('Second Earner'!$C$12="HoH",7,4))+2)),SUMPRODUCT(($AH51&gt;=INDEX('How This Works &amp; Sources'!$B$19:$J$26,0,IF('Second Earner'!$C$12="MFJ",1,IF('Second Earner'!$C$12="HoH",7,4))))*INDEX('How This Works &amp; Sources'!$B$19:$J$26,0,IF('Second Earner'!$C$12="MFJ",1,IF('Second Earner'!$C$12="HoH",7,4))+2)))),""))))</f>
      </c>
      <c r="CA51" s="24">
        <f>IF($B51="","",IF($AN51="CA",SUMPRODUCT(($AJ51&gt;=INDEX('How This Works &amp; Sources'!$B$39:$J$48,0,IF($AU51="Married",4,IF($AU51="Head of household",7,1))))*INDEX('How This Works &amp; Sources'!$B$39:$J$48,0,IF($AU51="Married",4,IF($AU51="Head of household",7,1))+2)),IF($AN51="AL",IF(OR($AU51="Married",$AU51="Head of household"),SUMPRODUCT(($AZ51&gt;=INDEX('How This Works &amp; Sources'!$B$82:$J$86,0,4))*INDEX('How This Works &amp; Sources'!$B$82:$J$86,0,4+2)),SUMPRODUCT(($AZ51&gt;=INDEX('How This Works &amp; Sources'!$B$82:$J$86,0,1))*INDEX('How This Works &amp; Sources'!$B$82:$J$86,0,1+2)))*(1-IF('Second Earner'!$C$13,SUMPRODUCT(($AH51&gt;=INDEX('How This Works &amp; Sources'!$B$29:$J$36,0,IF('Second Earner'!$C$12="MFJ",1,IF('Second Earner'!$C$12="HoH",7,4))))*INDEX('How This Works &amp; Sources'!$B$29:$J$36,0,IF('Second Earner'!$C$12="MFJ",1,IF('Second Earner'!$C$12="HoH",7,4))+2)),SUMPRODUCT(($AH51&gt;=INDEX('How This Works &amp; Sources'!$B$19:$J$26,0,IF('Second Earner'!$C$12="MFJ",1,IF('Second Earner'!$C$12="HoH",7,4))))*INDEX('How This Works &amp; Sources'!$B$19:$J$26,0,IF('Second Earner'!$C$12="MFJ",1,IF('Second Earner'!$C$12="HoH",7,4))+2)))),IF($AN51="ND",IF($AU51="Head of household",SUMPRODUCT(($AZ51&gt;=INDEX('How This Works &amp; Sources'!$B$144:$J$150,0,1))*INDEX('How This Works &amp; Sources'!$B$144:$J$150,0,1+2)),IF($AU51="Married",SUMPRODUCT(($AZ51&gt;=INDEX('How This Works &amp; Sources'!$B$137:$J$139,0,7))*INDEX('How This Works &amp; Sources'!$B$137:$J$139,0,7+2)),SUMPRODUCT(($AZ51&gt;=INDEX('How This Works &amp; Sources'!$B$137:$J$139,0,4))*INDEX('How This Works &amp; Sources'!$B$137:$J$139,0,4+2)))),IF($AN51="NJ",IF('Second Earner'!$C$77="B",SUMPRODUCT(($AZ51&gt;=INDEX('How This Works &amp; Sources'!$B$155:$J$162,0,4))*INDEX('How This Works &amp; Sources'!$B$155:$J$162,0,4+2)),IF('Second Earner'!$C$77="C",SUMPRODUCT(($AZ51&gt;=INDEX('How This Works &amp; Sources'!$B$155:$J$162,0,7))*INDEX('How This Works &amp; Sources'!$B$155:$J$162,0,7+2)),IF('Second Earner'!$C$77="D",SUMPRODUCT(($AZ51&gt;=INDEX('How This Works &amp; Sources'!$B$167:$J$179,0,1))*INDEX('How This Works &amp; Sources'!$B$167:$J$179,0,1+2)),IF('Second Earner'!$C$77="E",SUMPRODUCT(($AZ51&gt;=INDEX('How This Works &amp; Sources'!$B$167:$J$179,0,4))*INDEX('How This Works &amp; Sources'!$B$167:$J$179,0,4+2)),SUMPRODUCT(($AZ51&gt;=INDEX('How This Works &amp; Sources'!$B$155:$J$162,0,1))*INDEX('How This Works &amp; Sources'!$B$155:$J$162,0,1+2)))))),IF($AN51="NY",IF($AU51="Married",IF($AZ51&gt;=2155350,IF($AZ51&gt;25000000,0.117,IF($AZ51&gt;5000000,0.111,0.1045)),SUMPRODUCT(($AZ51&gt;=INDEX('How This Works &amp; Sources'!$B$184:$J$198,0,1))*INDEX('How This Works &amp; Sources'!$B$184:$J$198,0,1+2))),IF($AZ51&gt;=1077550,IF($AZ51&gt;25000000,0.117,IF($AZ51&gt;5000000,0.111,0.1045)),SUMPRODUCT(($AZ51&gt;=INDEX('How This Works &amp; Sources'!$B$167:$J$179,0,7))*INDEX('How This Works &amp; Sources'!$B$167:$J$179,0,7+2)))),IF($AN51="LA",0.0309,"")))))))</f>
      </c>
      <c r="CB51" s="24">
        <f>IF($B51="","",IF($AN51="HI",IF($AU51="Married",SUMPRODUCT(($AZ51&gt;=INDEX('How This Works &amp; Sources'!$B$91:$J$98,0,7))*INDEX('How This Works &amp; Sources'!$B$91:$J$98,0,7+2)),SUMPRODUCT(($AZ51&gt;=INDEX('How This Works &amp; Sources'!$B$91:$J$98,0,4))*INDEX('How This Works &amp; Sources'!$B$91:$J$98,0,4+2))),IF($AN51="MD",IF(OR($AU51="Married",$AU51="Head of household"),SUMPRODUCT(($AZ51&gt;=INDEX('How This Works &amp; Sources'!$B$114:$J$120,0,1))*INDEX('How This Works &amp; Sources'!$B$114:$J$120,0,1+2)),SUMPRODUCT(($AZ51&gt;=INDEX('How This Works &amp; Sources'!$B$103:$J$109,0,7))*INDEX('How This Works &amp; Sources'!$B$103:$J$109,0,7+2)))+'Second Earner'!$C$74,IF($AN51="MN",IF($AU51="Married",SUMPRODUCT(($AZ51&gt;=INDEX('How This Works &amp; Sources'!$B$114:$J$120,0,7))*INDEX('How This Works &amp; Sources'!$B$114:$J$120,0,7+2)),SUMPRODUCT(($AZ51&gt;=INDEX('How This Works &amp; Sources'!$B$114:$J$120,0,4))*INDEX('How This Works &amp; Sources'!$B$114:$J$120,0,4+2))),IF($AN51="MO",SUMPRODUCT(($AZ51&gt;=INDEX('How This Works &amp; Sources'!$B$125:$J$132,0,1))*INDEX('How This Works &amp; Sources'!$B$125:$J$132,0,1+2)),IF($AN51="NE",MAX(IF($AU51="Married",SUMPRODUCT(($AZ51&gt;=INDEX('How This Works &amp; Sources'!$B$144:$J$150,0,7))*INDEX('How This Works &amp; Sources'!$B$144:$J$150,0,7+2)),SUMPRODUCT(($AZ51&gt;=INDEX('How This Works &amp; Sources'!$B$144:$J$150,0,4))*INDEX('How This Works &amp; Sources'!$B$144:$J$150,0,4+2))),0.015),IF($AN51="OH",IF($B51&gt;=DATE(2026,8,1),SUMPRODUCT(($AZ51&gt;=INDEX('How This Works &amp; Sources'!$B$203:$J$206,0,1))*INDEX('How This Works &amp; Sources'!$B$203:$J$206,0,1+2)),SUMPRODUCT(($AZ51&gt;=INDEX('How This Works &amp; Sources'!$B$184:$J$198,0,7))*INDEX('How This Works &amp; Sources'!$B$184:$J$198,0,7+2))),IF($AN51="OK",IF($AU51="Married",SUMPRODUCT(($AZ51&gt;=INDEX('How This Works &amp; Sources'!$B$203:$J$206,0,7))*INDEX('How This Works &amp; Sources'!$B$203:$J$206,0,7+2)),SUMPRODUCT(($AZ51&gt;=INDEX('How This Works &amp; Sources'!$B$203:$J$206,0,4))*INDEX('How This Works &amp; Sources'!$B$203:$J$206,0,4+2))),IF($AN51="RI",SUMPRODUCT(($AZ51&gt;=INDEX('How This Works &amp; Sources'!$B$211:$J$214,0,7))*INDEX('How This Works &amp; Sources'!$B$211:$J$214,0,7+2)),IF($AN51="VT",IF($AU51="Married",SUMPRODUCT(($AZ51&gt;=INDEX('How This Works &amp; Sources'!$B$228:$J$232,0,1))*INDEX('How This Works &amp; Sources'!$B$228:$J$232,0,1+2)),SUMPRODUCT(($AZ51&gt;=INDEX('How This Works &amp; Sources'!$B$219:$J$223,0,7))*INDEX('How This Works &amp; Sources'!$B$219:$J$223,0,7+2))),IF($AN51="WV",IF($AU51="Married",SUMPRODUCT(($AZ51&gt;=INDEX('How This Works &amp; Sources'!$B$237:$J$241,0,7))*INDEX('How This Works &amp; Sources'!$B$237:$J$241,0,7+2)),SUMPRODUCT(($AZ51&gt;=INDEX('How This Works &amp; Sources'!$B$228:$J$232,0,7))*INDEX('How This Works &amp; Sources'!$B$228:$J$232,0,7+2))),IF($AN51="AZ",'Second Earner'!$C$82,IF($AN51="ID",IF($AY51&gt;IF($AU51="Married",32000,16094),0.053,0),"")))))))))))))</f>
      </c>
      <c r="CC51" s="24">
        <f>IF($B51="","",IF($AN51="AR",SUMPRODUCT(($AZ51&gt;=INDEX('How This Works &amp; Sources'!$B$82:$J$86,0,7))*INDEX('How This Works &amp; Sources'!$B$82:$J$86,0,7+2)),IF($AN51="DE",SUMPRODUCT(($AZ51&gt;=INDEX('How This Works &amp; Sources'!$B$91:$J$98,0,1))*INDEX('How This Works &amp; Sources'!$B$91:$J$98,0,1+2)),IF($AN51="SC",SUMPRODUCT(($AZ51&gt;=INDEX('How This Works &amp; Sources'!$B$219:$J$223,0,1))*INDEX('How This Works &amp; Sources'!$B$219:$J$223,0,1+2)),IF($AN51="VA",SUMPRODUCT(($AZ51&gt;=INDEX('How This Works &amp; Sources'!$B$219:$J$223,0,4))*INDEX('How This Works &amp; Sources'!$B$219:$J$223,0,4+2)),IF($AN51="WI",SUMPRODUCT(($AZ51&gt;=INDEX('How This Works &amp; Sources'!$B$228:$J$232,0,4))*INDEX('How This Works &amp; Sources'!$B$228:$J$232,0,4+2)),IF($AN51="CO",IF($AY51&gt;IF($AU51="Married",10000,5000),0.044,0),IF($AN51="IA",IF($AY51&gt;IF($AU51="Head of household",19500,IF($AU51="Married",26000,13000)),0.038,0),IF($AN51="IL",IF($AY51&gt;(2925*$AS51+1000*$AT51),0.0495,0),IF($AN51="IN",(0.0295+'Second Earner'!$C$76),IF($AN51="KY",IF($AI51&gt;3360,0.035,0),IF($AN51="MA",IF(MAX(0,$AY51-MIN(($BD50+$Q51+$R51+$S51),2000)-IF($AS51=0,0,IF($AS51=1,4400,1000*$AS51+3400)))&gt;=1107750,0.09,0.05),IF($AN51="MI",IF($AY51&gt;5900*$AS51,0.0425,0),IF($AN51="MS",IF($AI51-IF($AU51="Head of household",3400,IF($AU51="Married",4600,2300))-'Second Earner'!$C$85&gt;10000,0.04,0),IF($AN51="PA",0.0307,"")))))))))))))))</f>
      </c>
      <c r="CD51" s="21">
        <f>IF(YEAR(IF('Second Earner'!$C$7="Weekly",'Second Earner'!$C$9+7*(($BE50+1)-1),IF('Second Earner'!$C$7="Biweekly",'Second Earner'!$C$9+14*(($BE50+1)-1),IF('Second Earner'!$C$7="Semimonthly",DATE(YEAR('Second Earner'!$C$9),MONTH('Second Earner'!$C$9)+INT((($BE50+1)-1)/2),MIN(DAY('Second Earner'!$C$9),DAY(EOMONTH(DATE(YEAR('Second Earner'!$C$9),MONTH('Second Earner'!$C$9)+INT((($BE50+1)-1)/2),1),0))))+IF(MOD(($BE50+1)-1,2)=1,15,0),EDATE('Second Earner'!$C$9,($BE50+1)-1)))))&lt;&gt;'Second Earner'!$C$10,"",IF('Second Earner'!$C$7="Weekly",'Second Earner'!$C$9+7*(($BE50+1)-1),IF('Second Earner'!$C$7="Biweekly",'Second Earner'!$C$9+14*(($BE50+1)-1),IF('Second Earner'!$C$7="Semimonthly",DATE(YEAR('Second Earner'!$C$9),MONTH('Second Earner'!$C$9)+INT((($BE50+1)-1)/2),MIN(DAY('Second Earner'!$C$9),DAY(EOMONTH(DATE(YEAR('Second Earner'!$C$9),MONTH('Second Earner'!$C$9)+INT((($BE50+1)-1)/2),1),0))))+IF(MOD(($BE50+1)-1,2)=1,15,0),EDATE('Second Earner'!$C$9,($BE50+1)-1)))))</f>
      </c>
      <c r="CE51" s="21">
        <f>IF(MIN(IF(AND('Second Earner'!$C$58&gt;MAX($B$6:$B50),'Second Earner'!$C$58&gt;=DATE('Second Earner'!$C$10,1,1),'Second Earner'!$C$58&lt;=DATE('Second Earner'!$C$10,12,31)),'Second Earner'!$C$58,999999),IF(AND('Second Earner'!$C$59&gt;MAX($B$6:$B50),'Second Earner'!$C$59&gt;=DATE('Second Earner'!$C$10,1,1),'Second Earner'!$C$59&lt;=DATE('Second Earner'!$C$10,12,31)),'Second Earner'!$C$59,999999),IF(AND('Second Earner'!$C$60&gt;MAX($B$6:$B50),'Second Earner'!$C$60&gt;=DATE('Second Earner'!$C$10,1,1),'Second Earner'!$C$60&lt;=DATE('Second Earner'!$C$10,12,31)),'Second Earner'!$C$60,999999),IF(AND('Second Earner'!$C$61&gt;MAX($B$6:$B50),'Second Earner'!$C$61&gt;=DATE('Second Earner'!$C$10,1,1),'Second Earner'!$C$61&lt;=DATE('Second Earner'!$C$10,12,31)),'Second Earner'!$C$61,999999),IF(AND('Second Earner'!$C$62&gt;MAX($B$6:$B50),'Second Earner'!$C$62&gt;=DATE('Second Earner'!$C$10,1,1),'Second Earner'!$C$62&lt;=DATE('Second Earner'!$C$10,12,31)),'Second Earner'!$C$62,999999),IF(AND('Second Earner'!$C$63&gt;MAX($B$6:$B50),'Second Earner'!$C$63&gt;=DATE('Second Earner'!$C$10,1,1),'Second Earner'!$C$63&lt;=DATE('Second Earner'!$C$10,12,31)),'Second Earner'!$C$63,999999),IF(AND('Second Earner'!$C$64&gt;MAX($B$6:$B50),'Second Earner'!$C$64&gt;=DATE('Second Earner'!$C$10,1,1),'Second Earner'!$C$64&lt;=DATE('Second Earner'!$C$10,12,31)),'Second Earner'!$C$64,999999),IF(AND('Second Earner'!$C$65&gt;MAX($B$6:$B50),'Second Earner'!$C$65&gt;=DATE('Second Earner'!$C$10,1,1),'Second Earner'!$C$65&lt;=DATE('Second Earner'!$C$10,12,31)),'Second Earner'!$C$65,999999),IF(AND('Second Earner'!$C$66&gt;MAX($B$6:$B50),'Second Earner'!$C$66&gt;=DATE('Second Earner'!$C$10,1,1),'Second Earner'!$C$66&lt;=DATE('Second Earner'!$C$10,12,31)),'Second Earner'!$C$66,999999),IF(AND('Second Earner'!$C$67&gt;MAX($B$6:$B50),'Second Earner'!$C$67&gt;=DATE('Second Earner'!$C$10,1,1),'Second Earner'!$C$67&lt;=DATE('Second Earner'!$C$10,12,31)),'Second Earner'!$C$67,999999))=999999,"",MIN(IF(AND('Second Earner'!$C$58&gt;MAX($B$6:$B50),'Second Earner'!$C$58&gt;=DATE('Second Earner'!$C$10,1,1),'Second Earner'!$C$58&lt;=DATE('Second Earner'!$C$10,12,31)),'Second Earner'!$C$58,999999),IF(AND('Second Earner'!$C$59&gt;MAX($B$6:$B50),'Second Earner'!$C$59&gt;=DATE('Second Earner'!$C$10,1,1),'Second Earner'!$C$59&lt;=DATE('Second Earner'!$C$10,12,31)),'Second Earner'!$C$59,999999),IF(AND('Second Earner'!$C$60&gt;MAX($B$6:$B50),'Second Earner'!$C$60&gt;=DATE('Second Earner'!$C$10,1,1),'Second Earner'!$C$60&lt;=DATE('Second Earner'!$C$10,12,31)),'Second Earner'!$C$60,999999),IF(AND('Second Earner'!$C$61&gt;MAX($B$6:$B50),'Second Earner'!$C$61&gt;=DATE('Second Earner'!$C$10,1,1),'Second Earner'!$C$61&lt;=DATE('Second Earner'!$C$10,12,31)),'Second Earner'!$C$61,999999),IF(AND('Second Earner'!$C$62&gt;MAX($B$6:$B50),'Second Earner'!$C$62&gt;=DATE('Second Earner'!$C$10,1,1),'Second Earner'!$C$62&lt;=DATE('Second Earner'!$C$10,12,31)),'Second Earner'!$C$62,999999),IF(AND('Second Earner'!$C$63&gt;MAX($B$6:$B50),'Second Earner'!$C$63&gt;=DATE('Second Earner'!$C$10,1,1),'Second Earner'!$C$63&lt;=DATE('Second Earner'!$C$10,12,31)),'Second Earner'!$C$63,999999),IF(AND('Second Earner'!$C$64&gt;MAX($B$6:$B50),'Second Earner'!$C$64&gt;=DATE('Second Earner'!$C$10,1,1),'Second Earner'!$C$64&lt;=DATE('Second Earner'!$C$10,12,31)),'Second Earner'!$C$64,999999),IF(AND('Second Earner'!$C$65&gt;MAX($B$6:$B50),'Second Earner'!$C$65&gt;=DATE('Second Earner'!$C$10,1,1),'Second Earner'!$C$65&lt;=DATE('Second Earner'!$C$10,12,31)),'Second Earner'!$C$65,999999),IF(AND('Second Earner'!$C$66&gt;MAX($B$6:$B50),'Second Earner'!$C$66&gt;=DATE('Second Earner'!$C$10,1,1),'Second Earner'!$C$66&lt;=DATE('Second Earner'!$C$10,12,31)),'Second Earner'!$C$66,999999),IF(AND('Second Earner'!$C$67&gt;MAX($B$6:$B50),'Second Earner'!$C$67&gt;=DATE('Second Earner'!$C$10,1,1),'Second Earner'!$C$67&lt;=DATE('Second Earner'!$C$10,12,31)),'Second Earner'!$C$67,999999)))</f>
      </c>
      <c r="CF51">
        <f>IF($B51="","",IF($D51=0,$Y51,""))</f>
      </c>
    </row>
    <row r="52">
      <c r="A52" t="n">
        <v>47</v>
      </c>
      <c r="B52" s="21">
        <f>IF(AND($CD52="",$CE52=""),"",IF($CE52="",$CD52,IF($CD52="",$CE52,MIN($CD52,$CE52))))</f>
      </c>
      <c r="C52" s="7">
        <f>IF($B52="","",IF($BF52=0,0,IF('Second Earner'!$C$4="Annual salary",ROUND($AK52/IF(AND('Second Earner'!$C$88="Actual paydays",MONTH('Second Earner'!$C$9)=1),MAX(1,MAX($BE$6:$BE$68)),'Second Earner'!$C$8),2),$AK52)))</f>
      </c>
      <c r="D52" s="7">
        <f>IF($B52="","",SUMIF('Second Earner'!$C$58:$C$67,$B52,'Second Earner'!$D$58:$D$67))</f>
      </c>
      <c r="E52" s="7">
        <f>IF($B52="","",ROUND(MAX(0,MIN(IF($AL52="Percent",$AM52*($C52+$D52),$AM52),MAX(0,'Second Earner'!$C$34-$AC51))),2))</f>
      </c>
      <c r="F52" s="7">
        <f>IF($B52="","",ROUND(MAX(0,MIN(IF('Second Earner'!$C$32="Percent",'Second Earner'!$D$32*($C52+$D52),'Second Earner'!$D$32),MAX(0,'Second Earner'!$C$34-$AC51-$E52))),2))</f>
      </c>
      <c r="G52" s="7">
        <f>IF($B52="","",IF($BF52=0,0,ROUND(MAX(0,MIN($BL52,'Second Earner'!$C$37-'Second Earner'!$C$54-$BI51)),2)))</f>
      </c>
      <c r="H52" s="7">
        <f>IF($B52="","",IF(OR($BF52=0,$BQ52=1),0,ROUND(MAX(0,MIN(IF($BS52=1,ROUND(MAX(0,MIN($BJ52,'How This Works &amp; Sources'!$C$13)-$BG51)/MAX(1,MAX($BE$6:$BE$68)-($BE51)),2),ROUND(MIN($BJ52,'How This Works &amp; Sources'!$C$13)/'Second Earner'!$C$8,2)),MIN($BJ52,'How This Works &amp; Sources'!$C$13)-$BG51)),2)))</f>
      </c>
      <c r="I52" s="7">
        <f>IF($B52="","",IF(OR($BF52=0,$BR52=1),0,ROUND(MAX(0,MIN(IF($BT52=1,ROUND(MAX(0,MIN($BK52,IF('Second Earner'!$C$12="MFJ",'How This Works &amp; Sources'!$C$14,'How This Works &amp; Sources'!$C$15))-$BH51)/MAX(1,MAX($BE$6:$BE$68)-($BE51)),2),ROUND(MIN($BK52,IF('Second Earner'!$C$12="MFJ",'How This Works &amp; Sources'!$C$14,'How This Works &amp; Sources'!$C$15))/'Second Earner'!$C$8,2)),MIN($BK52,IF('Second Earner'!$C$12="MFJ",'How This Works &amp; Sources'!$C$14,'How This Works &amp; Sources'!$C$15))-$BH51)),2)))</f>
      </c>
      <c r="J52" s="7">
        <f>IF($B52="","",IF($BF52=0,0,$BM52))</f>
      </c>
      <c r="K52" s="7">
        <f>IF($B52="","",IF($BF52=0,0,$BN52+$BO52))</f>
      </c>
      <c r="L52" s="7">
        <f>IF($B52="","",IF($BF52=0,0,'Second Earner'!$D$46))</f>
      </c>
      <c r="M52" s="7">
        <f>IF($B52="","",$C52+$D52+$L52-$E52-$G52-$H52-$I52-$J52-$K52)</f>
      </c>
      <c r="N52" s="7">
        <f>IF($B52="","",$C52+$D52+$L52-$G52-$H52-$I52-$J52-$K52)</f>
      </c>
      <c r="O52" s="7">
        <f>IF($B52="","",$C52+$D52+$L52-$E52-$H52-$I52-$J52-$K52-IF(OR($AN52="CA",$AN52="NJ"),0,$G52))</f>
      </c>
      <c r="P52" s="7">
        <f>IF($B52="","",IF('Second Earner'!$C$18,0,ROUND(MAX(0,IF('Second Earner'!$C$13,SUMPRODUCT(($AH52&gt;INDEX('How This Works &amp; Sources'!$B$29:$J$36,0,IF('Second Earner'!$C$12="MFJ",1,IF('Second Earner'!$C$12="HoH",7,4))))*($AH52-INDEX('How This Works &amp; Sources'!$B$29:$J$36,0,IF('Second Earner'!$C$12="MFJ",1,IF('Second Earner'!$C$12="HoH",7,4))))*INDEX('How This Works &amp; Sources'!$B$29:$J$36,0,IF('Second Earner'!$C$12="MFJ",1,IF('Second Earner'!$C$12="HoH",7,4))+2)),SUMPRODUCT(($AH52&gt;INDEX('How This Works &amp; Sources'!$B$19:$J$26,0,IF('Second Earner'!$C$12="MFJ",1,IF('Second Earner'!$C$12="HoH",7,4))))*($AH52-INDEX('How This Works &amp; Sources'!$B$19:$J$26,0,IF('Second Earner'!$C$12="MFJ",1,IF('Second Earner'!$C$12="HoH",7,4))))*INDEX('How This Works &amp; Sources'!$B$19:$J$26,0,IF('Second Earner'!$C$12="MFJ",1,IF('Second Earner'!$C$12="HoH",7,4))+2)))/'Second Earner'!$C$8-$AO52/'Second Earner'!$C$8)+$AR52+IF('Second Earner'!$C$89="Aggregate",MAX(0,IF('Second Earner'!$C$13,SUMPRODUCT((($AH52+$D52)&gt;INDEX('How This Works &amp; Sources'!$B$29:$J$36,0,IF('Second Earner'!$C$12="MFJ",1,IF('Second Earner'!$C$12="HoH",7,4))))*(($AH52+$D52)-INDEX('How This Works &amp; Sources'!$B$29:$J$36,0,IF('Second Earner'!$C$12="MFJ",1,IF('Second Earner'!$C$12="HoH",7,4))))*INDEX('How This Works &amp; Sources'!$B$29:$J$36,0,IF('Second Earner'!$C$12="MFJ",1,IF('Second Earner'!$C$12="HoH",7,4))+2)),SUMPRODUCT((($AH52+$D52)&gt;INDEX('How This Works &amp; Sources'!$B$19:$J$26,0,IF('Second Earner'!$C$12="MFJ",1,IF('Second Earner'!$C$12="HoH",7,4))))*(($AH52+$D52)-INDEX('How This Works &amp; Sources'!$B$19:$J$26,0,IF('Second Earner'!$C$12="MFJ",1,IF('Second Earner'!$C$12="HoH",7,4))))*INDEX('How This Works &amp; Sources'!$B$19:$J$26,0,IF('Second Earner'!$C$12="MFJ",1,IF('Second Earner'!$C$12="HoH",7,4))+2)))-IF('Second Earner'!$C$13,SUMPRODUCT(($AH52&gt;INDEX('How This Works &amp; Sources'!$B$29:$J$36,0,IF('Second Earner'!$C$12="MFJ",1,IF('Second Earner'!$C$12="HoH",7,4))))*($AH52-INDEX('How This Works &amp; Sources'!$B$29:$J$36,0,IF('Second Earner'!$C$12="MFJ",1,IF('Second Earner'!$C$12="HoH",7,4))))*INDEX('How This Works &amp; Sources'!$B$29:$J$36,0,IF('Second Earner'!$C$12="MFJ",1,IF('Second Earner'!$C$12="HoH",7,4))+2)),SUMPRODUCT(($AH52&gt;INDEX('How This Works &amp; Sources'!$B$19:$J$26,0,IF('Second Earner'!$C$12="MFJ",1,IF('Second Earner'!$C$12="HoH",7,4))))*($AH52-INDEX('How This Works &amp; Sources'!$B$19:$J$26,0,IF('Second Earner'!$C$12="MFJ",1,IF('Second Earner'!$C$12="HoH",7,4))))*INDEX('How This Works &amp; Sources'!$B$19:$J$26,0,IF('Second Earner'!$C$12="MFJ",1,IF('Second Earner'!$C$12="HoH",7,4))+2)))),'How This Works &amp; Sources'!$C$10*$D52),2)))</f>
      </c>
      <c r="Q52" s="7">
        <f>IF($B52="","",ROUND('How This Works &amp; Sources'!$C$4*MIN($N52,MAX(0,'How This Works &amp; Sources'!$C$3-($AX52+$AB51-$AW52))),2))</f>
      </c>
      <c r="R52" s="7">
        <f>IF($B52="","",ROUND('How This Works &amp; Sources'!$C$5*$N52,2))</f>
      </c>
      <c r="S52" s="7">
        <f>IF($B52="","",ROUND('How This Works &amp; Sources'!$C$6*MAX(0,MIN($N52,$AG51+$N52-'How This Works &amp; Sources'!$C$7)),2))</f>
      </c>
      <c r="T52" s="7">
        <f>IF($B52="","",IF('Second Earner'!$C$26,0,IF($AN52="CA",ROUND(IF($AI52&lt;=IF(($AS52+$AT52)&gt;=2,VLOOKUP($AN52,StateTables!$A$6:$AB$56,10,FALSE),VLOOKUP($AN52,StateTables!$A$6:$AB$56,9,FALSE)),0,MAX(0,SUMPRODUCT(($AJ52&gt;INDEX('How This Works &amp; Sources'!$B$39:$J$48,0,IF($AU52="Married",4,IF($AU52="Head of household",7,1))))*($AJ52-INDEX('How This Works &amp; Sources'!$B$39:$J$48,0,IF($AU52="Married",4,IF($AU52="Head of household",7,1))))*INDEX('How This Works &amp; Sources'!$B$39:$J$48,0,IF($AU52="Married",4,IF($AU52="Head of household",7,1))+2))-VLOOKUP($AN52,StateTables!$A$6:$AB$56,11,FALSE)*$AS52)/'Second Earner'!$C$8)+'Second Earner'!$C$25+VLOOKUP($AN52,StateTables!$A$6:$AB$56,13,FALSE)*$D52,2),IF(VLOOKUP($AN52,StateTables!$A$6:$AB$56,4,FALSE)="None",0,IF(ISNUMBER(SEARCH("MANUAL",VLOOKUP($AN52,StateTables!$A$6:$AB$56,5,FALSE))),'Second Earner'!$C$28,ROUND(MAX(0,$BA52+$BB52)/'Second Earner'!$C$8+'Second Earner'!$C$25+$BC52,2))))))</f>
      </c>
      <c r="U52" s="7">
        <f>IF($B52="","",IF(VLOOKUP($AN52,StateTables!$A$6:$AB$56,24,FALSE)="flatq",IF(OR(MONTH($B52)=1,MONTH($B52)=4,MONTH($B52)=7,MONTH($B52)=10),VLOOKUP($AN52,StateTables!$A$6:$AB$56,25,FALSE),0),IF(VLOOKUP($AN52,StateTables!$A$6:$AB$56,24,FALSE)="dbl",MIN(ROUND(0.005*$N52,2),ROUND(0.6*52/'Second Earner'!$C$8,2)),IF(OR(VLOOKUP($AN52,StateTables!$A$6:$AB$56,15,FALSE)="",VLOOKUP($AN52,StateTables!$A$6:$AB$56,15,FALSE)=0),0,ROUND(VLOOKUP($AN52,StateTables!$A$6:$AB$56,15,FALSE)*IF(OR(VLOOKUP($AN52,StateTables!$A$6:$AB$56,16,FALSE)="",VLOOKUP($AN52,StateTables!$A$6:$AB$56,16,FALSE)=0),$N52,MIN($N52,MAX(0,VLOOKUP($AN52,StateTables!$A$6:$AB$56,16,FALSE)-($AX52+$AB51-$AW52)))),2))))+IF(VLOOKUP($AN52,StateTables!$A$6:$AB$56,27,FALSE)="flatq",IF(OR(MONTH($B52)=1,MONTH($B52)=4,MONTH($B52)=7,MONTH($B52)=10),VLOOKUP($AN52,StateTables!$A$6:$AB$56,28,FALSE),0),IF(VLOOKUP($AN52,StateTables!$A$6:$AB$56,27,FALSE)="dbl",MIN(ROUND(0.005*$N52,2),ROUND(0.6*52/'Second Earner'!$C$8,2)),IF(OR(VLOOKUP($AN52,StateTables!$A$6:$AB$56,18,FALSE)="",VLOOKUP($AN52,StateTables!$A$6:$AB$56,18,FALSE)=0),0,ROUND(VLOOKUP($AN52,StateTables!$A$6:$AB$56,18,FALSE)*IF(OR(VLOOKUP($AN52,StateTables!$A$6:$AB$56,19,FALSE)="",VLOOKUP($AN52,StateTables!$A$6:$AB$56,19,FALSE)=0),$N52,MIN($N52,MAX(0,VLOOKUP($AN52,StateTables!$A$6:$AB$56,19,FALSE)-($AX52+$AB51-$AW52)))),2)))))</f>
      </c>
      <c r="V52" s="7">
        <f>IF($B52="","",IF($AN52="NY",IF('Second Earner'!$C$78,ROUND(SUMPRODUCT((MAX(0,($O52-$D52)*'Second Earner'!$C$8-(IF($AU52="Married",5500,5000)+1000*$AS52))&gt;INDEX('How This Works &amp; Sources'!$B$184:$J$198,0,4))*(MAX(0,($O52-$D52)*'Second Earner'!$C$8-(IF($AU52="Married",5500,5000)+1000*$AS52))-INDEX('How This Works &amp; Sources'!$B$184:$J$198,0,4))*INDEX('How This Works &amp; Sources'!$B$184:$J$198,0,4+2))/'Second Earner'!$C$8+0.0425*$D52,2),0)+IF('Second Earner'!$C$79="Resident",ROUND(0.1675*$T52,2),IF('Second Earner'!$C$79="Nonresident",ROUND(0.005*MAX(0,($O52-$D52)-(IF($AU52="Married",7950,7400)+1000*$AS52)/'Second Earner'!$C$8),2),0)),IF($AN52="PA",IF('Second Earner'!$C$80="None",'Second Earner'!$C$27+ROUND('Second Earner'!$C$81*($C52+$D52),2),ROUND(IF('Second Earner'!$C$80="Resident",IF($B52&lt;DATE(2026,7,1),0.0374,0.03735),IF($B52&lt;DATE(2026,7,1),0.0343,0.03425))*($C52+$D52),2)),IF($BF52=0,ROUND('Second Earner'!$C$81*($C52+$D52),2),'Second Earner'!$C$27+ROUND('Second Earner'!$C$81*($C52+$D52),2)))))</f>
      </c>
      <c r="W52" s="7">
        <f>IF($B52="","",IF($BF52=0,0,$BP52))</f>
      </c>
      <c r="X52" s="7">
        <f>IF($B52="","",SUM($E52:$K52)+$P52+$Q52+$R52+$S52+$T52+$U52+$V52+$W52)</f>
      </c>
      <c r="Y52" s="22">
        <f>IF($B52="","",$C52+$D52-$X52)</f>
      </c>
      <c r="Z52" s="7">
        <f>IF($B52="","",$Z51+$C52+$D52)</f>
      </c>
      <c r="AA52" s="7">
        <f>IF($B52="","",$AA51+$Y52)</f>
      </c>
      <c r="AB52" s="7">
        <f>IF($B52="","",$AB51+MIN($N52,MAX(0,'How This Works &amp; Sources'!$C$3-($AX52+$AB51-$AW52))))</f>
      </c>
      <c r="AC52" s="7">
        <f>IF($B52="","",$AC51+$E52+$F52)</f>
      </c>
      <c r="AD52" s="3">
        <f>IF($B52="","",IF(AND($AB51&lt;'How This Works &amp; Sources'!$C$3,$AB52&gt;='How This Works &amp; Sources'!$C$3),"★ Social Security maxed on this check — from the next check your net rises by about $"&amp;TEXT(ROUND('How This Works &amp; Sources'!$C$4*$N52,2),"#,##0.00")&amp;". ","")&amp;IF(AND($AC51&lt;'Second Earner'!$C$34,$AC52&gt;='Second Earner'!$C$34),"★ 401(k) reaches the $"&amp;TEXT('Second Earner'!$C$34,"#,##0")&amp;" cap on this check — deferrals stop and net pay rises. ","")&amp;IF(AND($AG51&lt;'How This Works &amp; Sources'!$C$7,$AG52&gt;='How This Works &amp; Sources'!$C$7),"★ Wages pass $200,000 — the 0.9% Additional Medicare Tax starts here. ","")&amp;IF(AND($BJ52&gt;0,$H52&gt;0,$BG51&lt;MIN($BJ52,'How This Works &amp; Sources'!$C$13),$BG51+$H52&gt;=MIN($BJ52,'How This Works &amp; Sources'!$C$13)),"★ Health FSA election is now fully deferred for the year. ",""))</f>
      </c>
      <c r="AE52" s="41" t="n"/>
      <c r="AF52" s="7">
        <f>IF(OR($B52="",$AE52=""),"",$AE52-$Y52)</f>
      </c>
      <c r="AG52" s="7">
        <f>IF($B52="","",$AG51+$N52)</f>
      </c>
      <c r="AH52" s="7">
        <f>IF($B52="","",MAX(0,($M52-$D52)*'Second Earner'!$C$8+$AP52-$AQ52-IF('Second Earner'!$C$13,0,IF('Second Earner'!$C$12="MFJ",'How This Works &amp; Sources'!$C$8,'How This Works &amp; Sources'!$C$9))))</f>
      </c>
      <c r="AI52" s="7">
        <f>IF($B52="","",$O52*'Second Earner'!$C$8)</f>
      </c>
      <c r="AJ52" s="7">
        <f>IF($B52="","",MAX(0,$AI52-VLOOKUP($AN52,StateTables!$A$6:$AB$56,12,FALSE)*$AT52-IF(($AS52+$AT52)&gt;=2,VLOOKUP($AN52,StateTables!$A$6:$AB$56,8,FALSE),VLOOKUP($AN52,StateTables!$A$6:$AB$56,7,FALSE))))</f>
      </c>
      <c r="AK52" s="7">
        <f>IF($B52="","",IFERROR(LOOKUP(2,1/(('Changes — Earner 2'!$C$6:$C$17="Salary change")*('Changes — Earner 2'!$B$6:$B$17&lt;=$B52)*('Changes — Earner 2'!$B$6:$B$17&lt;&gt;"")),'Changes — Earner 2'!$D$6:$D$17),IF('Second Earner'!$C$4="Annual salary",'Second Earner'!$C$5,'Second Earner'!$C$6)))</f>
      </c>
      <c r="AL52">
        <f>IF($B52="","",IFERROR(LOOKUP(2,1/(('Changes — Earner 2'!$C$6:$C$17="401(k) change")*('Changes — Earner 2'!$B$6:$B$17&lt;=$B52)*('Changes — Earner 2'!$B$6:$B$17&lt;&gt;"")),'Changes — Earner 2'!$D$6:$D$17),'Second Earner'!$C$30))</f>
      </c>
      <c r="AM52" s="7">
        <f>IF($B52="","",IFERROR(LOOKUP(2,1/(('Changes — Earner 2'!$C$6:$C$17="401(k) change")*('Changes — Earner 2'!$B$6:$B$17&lt;=$B52)*('Changes — Earner 2'!$B$6:$B$17&lt;&gt;"")),'Changes — Earner 2'!$E$6:$E$17),'Second Earner'!$D$31))</f>
      </c>
      <c r="AN52">
        <f>IF($B52="","",IFERROR(LOOKUP(2,1/(('Changes — Earner 2'!$C$6:$C$17="State move")*('Changes — Earner 2'!$B$6:$B$17&lt;=$B52)*('Changes — Earner 2'!$B$6:$B$17&lt;&gt;"")),'Changes — Earner 2'!$D$6:$D$17),'Second Earner'!$C$21))</f>
      </c>
      <c r="AO52" s="7">
        <f>IF($B52="","",IFERROR(LOOKUP(2,1/(('Changes — Earner 2'!$C$6:$C$17="W-4 change")*('Changes — Earner 2'!$B$6:$B$17&lt;=$B52)*('Changes — Earner 2'!$B$6:$B$17&lt;&gt;"")),'Changes — Earner 2'!$D$6:$D$17),'Second Earner'!$C$14))</f>
      </c>
      <c r="AP52" s="7">
        <f>IF($B52="","",IFERROR(LOOKUP(2,1/(('Changes — Earner 2'!$C$6:$C$17="W-4 change")*('Changes — Earner 2'!$B$6:$B$17&lt;=$B52)*('Changes — Earner 2'!$B$6:$B$17&lt;&gt;"")),'Changes — Earner 2'!$E$6:$E$17),'Second Earner'!$C$15))</f>
      </c>
      <c r="AQ52" s="7">
        <f>IF($B52="","",IFERROR(LOOKUP(2,1/(('Changes — Earner 2'!$C$6:$C$17="W-4 change")*('Changes — Earner 2'!$B$6:$B$17&lt;=$B52)*('Changes — Earner 2'!$B$6:$B$17&lt;&gt;"")),'Changes — Earner 2'!$F$6:$F$17),'Second Earner'!$C$16))</f>
      </c>
      <c r="AR52" s="7">
        <f>IF($B52="","",IFERROR(LOOKUP(2,1/(('Changes — Earner 2'!$C$6:$C$17="W-4 change")*('Changes — Earner 2'!$B$6:$B$17&lt;=$B52)*('Changes — Earner 2'!$B$6:$B$17&lt;&gt;"")),'Changes — Earner 2'!$G$6:$G$17),'Second Earner'!$C$17))</f>
      </c>
      <c r="AS52" s="6">
        <f>IF($B52="","",IFERROR(LOOKUP(2,1/((('Changes — Earner 2'!$C$6:$C$17="State move")+('Changes — Earner 2'!$C$6:$C$17="State cert change"))*('Changes — Earner 2'!$B$6:$B$17&lt;=$B52)*('Changes — Earner 2'!$B$6:$B$17&lt;&gt;"")),'Changes — Earner 2'!$F$6:$F$17),'Second Earner'!$C$23))</f>
      </c>
      <c r="AT52" s="6">
        <f>IF($B52="","",IFERROR(LOOKUP(2,1/((('Changes — Earner 2'!$C$6:$C$17="State move")+('Changes — Earner 2'!$C$6:$C$17="State cert change"))*('Changes — Earner 2'!$B$6:$B$17&lt;=$B52)*('Changes — Earner 2'!$B$6:$B$17&lt;&gt;"")),'Changes — Earner 2'!$G$6:$G$17),'Second Earner'!$C$24))</f>
      </c>
      <c r="AU52">
        <f>IF($B52="","",IFERROR(LOOKUP(2,1/(('Changes — Earner 2'!$C$6:$C$17="State move")*('Changes — Earner 2'!$B$6:$B$17&lt;=$B52)*('Changes — Earner 2'!$B$6:$B$17&lt;&gt;"")),'Changes — Earner 2'!$E$6:$E$17),'Second Earner'!$C$22))</f>
      </c>
      <c r="AV52" s="6">
        <f>IF($B52="","",1+COUNTIFS('Changes — Earner 2'!$C$6:$C$17,"Employer change",'Changes — Earner 2'!$B$6:$B$17,"&lt;="&amp;$B52,'Changes — Earner 2'!$B$6:$B$17,"&lt;&gt;"))</f>
      </c>
      <c r="AW52" s="7">
        <f>IF($B52="","",IF($AV52=1,'Second Earner'!$C$49,IF(IFERROR(MATCH(IFERROR(LOOKUP(2,1/(('Changes — Earner 2'!$C$6:$C$17="Employer change")*('Changes — Earner 2'!$B$6:$B$17&lt;=$B52)*('Changes — Earner 2'!$B$6:$B$17&lt;&gt;"")),'Changes — Earner 2'!$B$6:$B$17),""),$B$6:$B$68,1),1)&lt;=1,'Second Earner'!$C$49,INDEX($AB$6:$AB$68,MATCH(IFERROR(LOOKUP(2,1/(('Changes — Earner 2'!$C$6:$C$17="Employer change")*('Changes — Earner 2'!$B$6:$B$17&lt;=$B52)*('Changes — Earner 2'!$B$6:$B$17&lt;&gt;"")),'Changes — Earner 2'!$B$6:$B$17),""),$B$6:$B$68,1)-1))))</f>
      </c>
      <c r="AX52" s="7">
        <f>IF($B52="","",IF($AV52=1,'Second Earner'!$C$49,IFERROR(LOOKUP(2,1/(('Changes — Earner 2'!$C$6:$C$17="Employer change")*('Changes — Earner 2'!$B$6:$B$17&lt;=$B52)*('Changes — Earner 2'!$B$6:$B$17&lt;&gt;"")),'Changes — Earner 2'!$D$6:$D$17),0)))</f>
      </c>
      <c r="AY52" s="7">
        <f>IF($B52="","",($O52-$D52)*'Second Earner'!$C$8)</f>
      </c>
      <c r="AZ52" s="7">
        <f>IF($B52="","",IF($AN52="AL",MAX(0,$AY52-IF($AU52="Married",IF($AY52&lt;=25999,8500,MAX(5000,8500-175*CEILING(($AY52-25999)/500,1))),IF($AU52="Head of household",IF($AY52&lt;=25999,5200,MAX(2500,5200-135*CEILING(($AY52-25999)/500,1))),IF($AY52&lt;=25999,3000,MAX(2500,3000-25*CEILING(($AY52-25999)/500,1)))))-($P52-'How This Works &amp; Sources'!$C$10*$D52)*'Second Earner'!$C$8-IF(OR($AU52="Married",$AU52="Head of household"),3000,1500)-$AT52*IF($AY52&lt;=50000,1000,IF($AY52&lt;=100000,500,300))),IF($AN52="AR",IF(MAX(0,$AY52-2470)&lt;97701,INT(MAX(0,$AY52-2470)/100)*100+50,MAX(0,$AY52-2470)),IF($AN52="DE",MAX(0,$AI52-3250),IF($AN52="HI",MAX(0,$AI52-1144*$AS52-4350),IF($AN52="KS",MAX(0,$AI52-(9160*IF($AU52="Married",2,1)+2320*$AT52+IF($AU52="Head of household",2320,0))),IF($AN52="MD",MAX(0,$AI52-3400-3200*$AS52),IF($AN52="MN",MAX(0,$AY52-5300*$AS52),IF($AN52="MO",MAX(0,$AI52-IF($AU52="Head of household",24150,IF($AU52="Married",IF('Second Earner'!$C$83,16100,32200),16100))),IF($AN52="MT",$AY52,IF($AN52="ND",($C52+$L52)*'Second Earner'!$C$8,IF($AN52="NE",MAX(0,$AY52-2440*$AS52),IF($AN52="NJ",MAX(0,$AY52-1000*$AS52),IF($AN52="NY",MAX(0,$AY52-(IF($AU52="Married",7950,7400)+1000*$AS52)),IF($AN52="OH",MAX(0,$AY52-650*$AS52),IF($AN52="OK",MAX(0,$AY52-1000*$AS52),IF($AN52="RI",MAX(0,$AI52-1000*$AS52),IF($AN52="SC",MAX(0,$AI52-5000*$AS52-IF($AS52=0,0,MIN(0.1*$AI52,7500))),IF($AN52="VA",MAX(0,$AI52-IF($AU52="Married",17500,8750)-930*$AS52-800*$AT52),IF($AN52="VT",MAX(0,$AI52-5400*$AS52),IF($AN52="WI",MAX(0,$AI52-MAX(0,IF($AU52="Married",9461-0.2*MAX(0,$AI52-25727),6702-0.12*MAX(0,$AI52-17780)))-400*$AS52),IF($AN52="WV",MAX(0,$AI52-2000*$AS52),$AI52))))))))))))))))))))))</f>
      </c>
      <c r="BA52" s="7">
        <f>IF($B52="","",IF($BW52&lt;&gt;"",$BW52,IF($BX52&lt;&gt;"",$BX52,IF($BY52&lt;&gt;"",$BY52,0))))</f>
      </c>
      <c r="BB52" s="7">
        <f>IF($B52="","",IF($AN52="AR",-29*$AS52,IF($AN52="DE",-110*$AS52,IF($AN52="MD",$AZ52*'Second Earner'!$C$74,IF($AN52="AZ",'Second Earner'!$C$82*($M52-$D52)*'Second Earner'!$C$8,IF($AN52="CO",0.044*MAX(0,$AY52-IF($AU52="Married",10000,5000)),IF($AN52="IA",MAX(0,0.038*MAX(0,$AY52-IF($AU52="Head of household",19500,IF($AU52="Married",26000,13000)))-40*$AS52),IF($AN52="ID",0.053*MAX(0,$AY52-IF($AU52="Married",32000,16094)),IF($AN52="IL",0.0495*MAX(0,$AY52-(2925*$AS52+1000*$AT52)),IF($AN52="IN",(0.0295+'Second Earner'!$C$76)*MAX(0,$AY52-(1000*$AS52+1500*$AT52+3000*'Second Earner'!$C$86)),IF($AN52="KY",0.035*MAX(0,$AI52-3360),IF($AN52="LA",IF('Second Earner'!$C$84="0",0.0309*$AI52,0.0309*MAX(0,$AI52-IF('Second Earner'!$C$84="2",25750,12875))),IF($AN52="MA",0.05*MIN(MAX(0,$AY52-MIN(($BD51+$Q52+$R52+$S52),2000)-IF($AS52=0,0,IF($AS52=1,4400,1000*$AS52+3400))),1107750)+0.09*MAX(0,MAX(0,$AY52-MIN(($BD51+$Q52+$R52+$S52),2000)-IF($AS52=0,0,IF($AS52=1,4400,1000*$AS52+3400)))-1107750)-IF($AU52="Head of household",120,0)-110*'Second Earner'!$C$75,IF($AN52="MI",0.0425*MAX(0,$AY52-5900*$AS52),IF($AN52="MS",0.04*MAX(0,$AI52-IF($AU52="Head of household",3400,IF($AU52="Married",4600,2300))-'Second Earner'!$C$85-10000),IF($AN52="OR",IF(OR($AU52="Married",AND($AU52="Single",$AS52&gt;=3)),SUMPRODUCT((MAX(0,$AY52-MIN(($P52-'How This Works &amp; Sources'!$C$10*$D52)*'Second Earner'!$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Sources'!$B$211:$J$214,0,4))*(MAX(0,$AY52-MIN(($P52-'How This Works &amp; Sources'!$C$10*$D52)*'Second Earner'!$C$8,IF(OR($AU52="Married",AND($AU52="Single",$AS52&gt;=3)),IF($AY52&lt;250000,8750,IF($AY52&lt;260000,7000,IF($AY52&lt;270000,5250,IF($AY52&lt;280000,3500,IF($AY52&lt;290000,1750,0))))),IF($AY52&lt;125000,8750,IF($AY52&lt;130000,7000,IF($AY52&lt;135000,5250,IF($AY52&lt;140000,3500,IF($AY52&lt;145000,1750,0)))))))-IF(OR($AU52="Married",AND($AU52="Single",$AS52&gt;=3)),5820,2910))-INDEX('How This Works &amp; Sources'!$B$211:$J$214,0,4))*INDEX('How This Works &amp; Sources'!$B$211:$J$214,0,4+2)),SUMPRODUCT((MAX(0,$AY52-MIN(($P52-'How This Works &amp; Sources'!$C$10*$D52)*'Second Earner'!$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Sources'!$B$211:$J$214,0,1))*(MAX(0,$AY52-MIN(($P52-'How This Works &amp; Sources'!$C$10*$D52)*'Second Earner'!$C$8,IF(OR($AU52="Married",AND($AU52="Single",$AS52&gt;=3)),IF($AY52&lt;250000,8750,IF($AY52&lt;260000,7000,IF($AY52&lt;270000,5250,IF($AY52&lt;280000,3500,IF($AY52&lt;290000,1750,0))))),IF($AY52&lt;125000,8750,IF($AY52&lt;130000,7000,IF($AY52&lt;135000,5250,IF($AY52&lt;140000,3500,IF($AY52&lt;145000,1750,0)))))))-IF(OR($AU52="Married",AND($AU52="Single",$AS52&gt;=3)),5820,2910))-INDEX('How This Works &amp; Sources'!$B$211:$J$214,0,1))*INDEX('How This Works &amp; Sources'!$B$211:$J$214,0,1+2)))+263-263*IF(IF($AU52="Married",$AY52&gt;200000,$AY52&gt;100000),0,$AS52),IF($AN52="PA",0.0307*(($O52+$E52+$G52)*'Second Earner'!$C$8),IF($AN52="NY",IF($AU52="Married",IF($AZ52&gt;=2155350,0,IF($AZ52&gt;=1077550,0.48,IF($AZ52&gt;=373200,1.21,IF($AZ52&gt;=323200,0.21,IF($AZ52&gt;=211550,-0.19,IF($AZ52&gt;=157650,-2.8,IF($AZ52&gt;=107650,-0.8,IF($AZ52&gt;=96800,0.05,IF($AZ52&gt;=80650,-0.1,IF($AZ52&gt;=13900,0.4,IF($AZ52&gt;=11700,-0.3,IF($AZ52&gt;=8500,0.5,0)))))))))))),IF($AZ52&gt;=1077550,0,IF($AZ52&gt;=265400,4.29,IF($AZ52&gt;=215400,2.29,IF($AZ52&gt;=157650,2.29,IF($AZ52&gt;=107650,0.29,IF($AZ52&gt;=96800,0.05,IF($AZ52&gt;=80650,-0.1,IF($AZ52&gt;=13900,0.4,IF($AZ52&gt;=11700,-0.3,IF($AZ52&gt;=8500,0.5,0))))))))))),0))))))))))))))))))</f>
      </c>
      <c r="BC52" s="7">
        <f>IF($B52="","",IF($AN52="AL",0.05*$D52,IF($AN52="AR",0.039*$D52,IF($AN52="ID",0.053*$D52,IF($AN52="IN",(0.0295+'Second Earner'!$C$76)*$D52,IF($AN52="KS",0.05*$D52,IF($AN52="MA",0.09*MIN($D52,MAX(0,MAX(0,$AY52-MIN(($BD51+$Q52+$R52+$S52),2000)-IF($AS52=0,0,IF($AS52=1,4400,1000*$AS52+3400)))+$D52-1107750))+0.05*($D52-MIN($D52,MAX(0,MAX(0,$AY52-MIN(($BD51+$Q52+$R52+$S52),2000)-IF($AS52=0,0,IF($AS52=1,4400,1000*$AS52+3400)))+$D52-1107750))),IF($AN52="MD",(0.065+'Second Earner'!$C$74)*$D52,IF($AN52="MI",0.0425*$D52,IF($AN52="MN",0.0625*$D52,IF($AN52="MO",0.047*$D52,IF($AN52="MT",0.05*$D52,IF($AN52="ND",0.015*$D52,IF($AN52="NE",0.035*$D52,IF($AN52="NJ",IF('Second Earner'!$C$77="B",SUMPRODUCT(($D52*'Second Earner'!$C$8&gt;INDEX('How This Works &amp; Sources'!$B$155:$J$162,0,4))*($D52*'Second Earner'!$C$8-INDEX('How This Works &amp; Sources'!$B$155:$J$162,0,4))*INDEX('How This Works &amp; Sources'!$B$155:$J$162,0,4+2)),IF('Second Earner'!$C$77="C",SUMPRODUCT(($D52*'Second Earner'!$C$8&gt;INDEX('How This Works &amp; Sources'!$B$155:$J$162,0,7))*($D52*'Second Earner'!$C$8-INDEX('How This Works &amp; Sources'!$B$155:$J$162,0,7))*INDEX('How This Works &amp; Sources'!$B$155:$J$162,0,7+2)),IF('Second Earner'!$C$77="D",SUMPRODUCT(($D52*'Second Earner'!$C$8&gt;INDEX('How This Works &amp; Sources'!$B$167:$J$179,0,1))*($D52*'Second Earner'!$C$8-INDEX('How This Works &amp; Sources'!$B$167:$J$179,0,1))*INDEX('How This Works &amp; Sources'!$B$167:$J$179,0,1+2)),IF('Second Earner'!$C$77="E",SUMPRODUCT(($D52*'Second Earner'!$C$8&gt;INDEX('How This Works &amp; Sources'!$B$167:$J$179,0,4))*($D52*'Second Earner'!$C$8-INDEX('How This Works &amp; Sources'!$B$167:$J$179,0,4))*INDEX('How This Works &amp; Sources'!$B$167:$J$179,0,4+2)),SUMPRODUCT(($D52*'Second Earner'!$C$8&gt;INDEX('How This Works &amp; Sources'!$B$155:$J$162,0,1))*($D52*'Second Earner'!$C$8-INDEX('How This Works &amp; Sources'!$B$155:$J$162,0,1))*INDEX('How This Works &amp; Sources'!$B$155:$J$162,0,1+2))))))/'Second Earner'!$C$8,IF($AN52="NY",0.117*$D52,IF($AN52="OH",0.0275*$D52,IF($AN52="OK",0.045*$D52,IF($AN52="OR",0.08*$D52,IF($AN52="WI",IF($AY52&lt;12760,0.0354,IF($AY52&lt;25520,0.0465,IF($AY52&lt;280950,0.053,0.0765)))*$D52,0))))))))))))))))))))</f>
      </c>
      <c r="BD52" s="7">
        <f>IF($B52="","",$BD51+$Q52+$R52+$S52)</f>
      </c>
      <c r="BE52" s="6">
        <f>IF($B52="",$BE51,$BE51+$BF52)</f>
      </c>
      <c r="BF52" s="6">
        <f>IF($B52="","",IF(AND(IF(YEAR(IF('Second Earner'!$C$7="Weekly",'Second Earner'!$C$9+7*(($BE51+1)-1),IF('Second Earner'!$C$7="Biweekly",'Second Earner'!$C$9+14*(($BE51+1)-1),IF('Second Earner'!$C$7="Semimonthly",DATE(YEAR('Second Earner'!$C$9),MONTH('Second Earner'!$C$9)+INT((($BE51+1)-1)/2),MIN(DAY('Second Earner'!$C$9),DAY(EOMONTH(DATE(YEAR('Second Earner'!$C$9),MONTH('Second Earner'!$C$9)+INT((($BE51+1)-1)/2),1),0))))+IF(MOD(($BE51+1)-1,2)=1,15,0),EDATE('Second Earner'!$C$9,($BE51+1)-1)))))&lt;&gt;'Second Earner'!$C$10,"",IF('Second Earner'!$C$7="Weekly",'Second Earner'!$C$9+7*(($BE51+1)-1),IF('Second Earner'!$C$7="Biweekly",'Second Earner'!$C$9+14*(($BE51+1)-1),IF('Second Earner'!$C$7="Semimonthly",DATE(YEAR('Second Earner'!$C$9),MONTH('Second Earner'!$C$9)+INT((($BE51+1)-1)/2),MIN(DAY('Second Earner'!$C$9),DAY(EOMONTH(DATE(YEAR('Second Earner'!$C$9),MONTH('Second Earner'!$C$9)+INT((($BE51+1)-1)/2),1),0))))+IF(MOD(($BE51+1)-1,2)=1,15,0),EDATE('Second Earner'!$C$9,($BE51+1)-1)))))&lt;&gt;"",$B52=IF(YEAR(IF('Second Earner'!$C$7="Weekly",'Second Earner'!$C$9+7*(($BE51+1)-1),IF('Second Earner'!$C$7="Biweekly",'Second Earner'!$C$9+14*(($BE51+1)-1),IF('Second Earner'!$C$7="Semimonthly",DATE(YEAR('Second Earner'!$C$9),MONTH('Second Earner'!$C$9)+INT((($BE51+1)-1)/2),MIN(DAY('Second Earner'!$C$9),DAY(EOMONTH(DATE(YEAR('Second Earner'!$C$9),MONTH('Second Earner'!$C$9)+INT((($BE51+1)-1)/2),1),0))))+IF(MOD(($BE51+1)-1,2)=1,15,0),EDATE('Second Earner'!$C$9,($BE51+1)-1)))))&lt;&gt;'Second Earner'!$C$10,"",IF('Second Earner'!$C$7="Weekly",'Second Earner'!$C$9+7*(($BE51+1)-1),IF('Second Earner'!$C$7="Biweekly",'Second Earner'!$C$9+14*(($BE51+1)-1),IF('Second Earner'!$C$7="Semimonthly",DATE(YEAR('Second Earner'!$C$9),MONTH('Second Earner'!$C$9)+INT((($BE51+1)-1)/2),MIN(DAY('Second Earner'!$C$9),DAY(EOMONTH(DATE(YEAR('Second Earner'!$C$9),MONTH('Second Earner'!$C$9)+INT((($BE51+1)-1)/2),1),0))))+IF(MOD(($BE51+1)-1,2)=1,15,0),EDATE('Second Earner'!$C$9,($BE51+1)-1)))))),1,0))</f>
      </c>
      <c r="BG52" s="7">
        <f>IF($B52="","",$BG51+$H52)</f>
      </c>
      <c r="BH52" s="7">
        <f>IF($B52="","",$BH51+$I52)</f>
      </c>
      <c r="BI52" s="7">
        <f>IF($B52="","",$BI51+$G52)</f>
      </c>
      <c r="BJ52" s="7">
        <f>IF($B52="","",IFERROR(LOOKUP(2,1/(((('Changes — Earner 2'!$C$6:$C$17="Deduction start"))*('Changes — Earner 2'!$D$6:$D$17="Health FSA"))*('Changes — Earner 2'!$B$6:$B$17&lt;=$B52)*('Changes — Earner 2'!$B$6:$B$17&lt;&gt;"")),'Changes — Earner 2'!$E$6:$E$17),'Second Earner'!$D$38))</f>
      </c>
      <c r="BK52" s="7">
        <f>IF($B52="","",IFERROR(LOOKUP(2,1/(((('Changes — Earner 2'!$C$6:$C$17="Deduction start"))*('Changes — Earner 2'!$D$6:$D$17="Dependent-care FSA"))*('Changes — Earner 2'!$B$6:$B$17&lt;=$B52)*('Changes — Earner 2'!$B$6:$B$17&lt;&gt;"")),'Changes — Earner 2'!$E$6:$E$17),'Second Earner'!$D$39))</f>
      </c>
      <c r="BL52" s="7">
        <f>IF($B52="","",IFERROR(LOOKUP(2,1/(((('Changes — Earner 2'!$C$6:$C$17="Deduction start")+('Changes — Earner 2'!$C$6:$C$17="Deduction stop"))*('Changes — Earner 2'!$D$6:$D$17="HSA"))*('Changes — Earner 2'!$B$6:$B$17&lt;=$B52)*('Changes — Earner 2'!$B$6:$B$17&lt;&gt;"")),'Changes — Earner 2'!$I$6:$I$17),'Second Earner'!$D$35))</f>
      </c>
      <c r="BM52" s="7">
        <f>IF($B52="","",IFERROR(LOOKUP(2,1/(((('Changes — Earner 2'!$C$6:$C$17="Deduction start")+('Changes — Earner 2'!$C$6:$C$17="Deduction stop"))*('Changes — Earner 2'!$D$6:$D$17="Premiums"))*('Changes — Earner 2'!$B$6:$B$17&lt;=$B52)*('Changes — Earner 2'!$B$6:$B$17&lt;&gt;"")),'Changes — Earner 2'!$I$6:$I$17),'Second Earner'!$D$40+'Second Earner'!$D$41+'Second Earner'!$D$42))</f>
      </c>
      <c r="BN52" s="7">
        <f>IF($B52="","",IFERROR(LOOKUP(2,1/(((('Changes — Earner 2'!$C$6:$C$17="Deduction start")+('Changes — Earner 2'!$C$6:$C$17="Deduction stop"))*('Changes — Earner 2'!$D$6:$D$17="Commuter"))*('Changes — Earner 2'!$B$6:$B$17&lt;=$B52)*('Changes — Earner 2'!$B$6:$B$17&lt;&gt;"")),'Changes — Earner 2'!$I$6:$I$17),'Second Earner'!$D$43))</f>
      </c>
      <c r="BO52" s="7">
        <f>IF($B52="","",IFERROR(LOOKUP(2,1/(((('Changes — Earner 2'!$C$6:$C$17="Deduction start")+('Changes — Earner 2'!$C$6:$C$17="Deduction stop"))*('Changes — Earner 2'!$D$6:$D$17="Other pre-tax"))*('Changes — Earner 2'!$B$6:$B$17&lt;=$B52)*('Changes — Earner 2'!$B$6:$B$17&lt;&gt;"")),'Changes — Earner 2'!$I$6:$I$17),'Second Earner'!$D$44))</f>
      </c>
      <c r="BP52" s="7">
        <f>IF($B52="","",IFERROR(LOOKUP(2,1/(((('Changes — Earner 2'!$C$6:$C$17="Deduction start")+('Changes — Earner 2'!$C$6:$C$17="Deduction stop"))*('Changes — Earner 2'!$D$6:$D$17="Other post-tax"))*('Changes — Earner 2'!$B$6:$B$17&lt;=$B52)*('Changes — Earner 2'!$B$6:$B$17&lt;&gt;"")),'Changes — Earner 2'!$I$6:$I$17),'Second Earner'!$D$45))</f>
      </c>
      <c r="BQ52" s="6">
        <f>IF($B52="","",IFERROR(LOOKUP(2,1/(((('Changes — Earner 2'!$C$6:$C$17="Deduction start")+('Changes — Earner 2'!$C$6:$C$17="Deduction stop"))*('Changes — Earner 2'!$D$6:$D$17="Health FSA"))*('Changes — Earner 2'!$B$6:$B$17&lt;=$B52)*('Changes — Earner 2'!$B$6:$B$17&lt;&gt;"")),'Changes — Earner 2'!$J$6:$J$17),0))</f>
      </c>
      <c r="BR52" s="6">
        <f>IF($B52="","",IFERROR(LOOKUP(2,1/(((('Changes — Earner 2'!$C$6:$C$17="Deduction start")+('Changes — Earner 2'!$C$6:$C$17="Deduction stop"))*('Changes — Earner 2'!$D$6:$D$17="Dependent-care FSA"))*('Changes — Earner 2'!$B$6:$B$17&lt;=$B52)*('Changes — Earner 2'!$B$6:$B$17&lt;&gt;"")),'Changes — Earner 2'!$J$6:$J$17),0))</f>
      </c>
      <c r="BS52" s="6">
        <f>IF($B52="","",IF(SUMPRODUCT(('Changes — Earner 2'!$C$6:$C$17="Deduction start")*('Changes — Earner 2'!$B$6:$B$17&lt;=$B52)*('Changes — Earner 2'!$B$6:$B$17&lt;&gt;"")*('Changes — Earner 2'!$D$6:$D$17="Health FSA"))&gt;0,1,0))</f>
      </c>
      <c r="BT52" s="6">
        <f>IF($B52="","",IF(SUMPRODUCT(('Changes — Earner 2'!$C$6:$C$17="Deduction start")*('Changes — Earner 2'!$B$6:$B$17&lt;=$B52)*('Changes — Earner 2'!$B$6:$B$17&lt;&gt;"")*('Changes — Earner 2'!$D$6:$D$17="Dependent-care FSA"))&gt;0,1,0))</f>
      </c>
      <c r="BU52" s="24">
        <f>IF($B52="","",IF('Second Earner'!$C$13,SUMPRODUCT(($AH52&gt;=INDEX('How This Works &amp; Sources'!$B$29:$J$36,0,IF('Second Earner'!$C$12="MFJ",1,IF('Second Earner'!$C$12="HoH",7,4))))*INDEX('How This Works &amp; Sources'!$B$29:$J$36,0,IF('Second Earner'!$C$12="MFJ",1,IF('Second Earner'!$C$12="HoH",7,4))+2)),SUMPRODUCT(($AH52&gt;=INDEX('How This Works &amp; Sources'!$B$19:$J$26,0,IF('Second Earner'!$C$12="MFJ",1,IF('Second Earner'!$C$12="HoH",7,4))))*INDEX('How This Works &amp; Sources'!$B$19:$J$26,0,IF('Second Earner'!$C$12="MFJ",1,IF('Second Earner'!$C$12="HoH",7,4))+2))))</f>
      </c>
      <c r="BV52" s="24">
        <f>IF($B52="","",IF($BZ52&lt;&gt;"",$BZ52,IF($CA52&lt;&gt;"",$CA52,IF($CB52&lt;&gt;"",$CB52,IF($CC52&lt;&gt;"",$CC52,0)))))</f>
      </c>
      <c r="BW52" s="7">
        <f>IF($B52="","",IF($AN52="AR",SUMPRODUCT(($AZ52&gt;INDEX('How This Works &amp; Sources'!$B$82:$J$86,0,7))*($AZ52-INDEX('How This Works &amp; Sources'!$B$82:$J$86,0,7))*INDEX('How This Works &amp; Sources'!$B$82:$J$86,0,7+2)),IF($AN52="MD",IF(OR($AU52="Married",$AU52="Head of household"),SUMPRODUCT(($AZ52&gt;INDEX('How This Works &amp; Sources'!$B$114:$J$120,0,1))*($AZ52-INDEX('How This Works &amp; Sources'!$B$114:$J$120,0,1))*INDEX('How This Works &amp; Sources'!$B$114:$J$120,0,1+2)),SUMPRODUCT(($AZ52&gt;INDEX('How This Works &amp; Sources'!$B$103:$J$109,0,7))*($AZ52-INDEX('How This Works &amp; Sources'!$B$103:$J$109,0,7))*INDEX('How This Works &amp; Sources'!$B$103:$J$109,0,7+2))),IF($AN52="MT",IF($AU52="Head of household",SUMPRODUCT(($AZ52&gt;INDEX('How This Works &amp; Sources'!$B$137:$J$139,0,1))*($AZ52-INDEX('How This Works &amp; Sources'!$B$137:$J$139,0,1))*INDEX('How This Works &amp; Sources'!$B$137:$J$139,0,1+2)),IF($AU52="Married",SUMPRODUCT(($AZ52&gt;INDEX('How This Works &amp; Sources'!$B$125:$J$132,0,7))*($AZ52-INDEX('How This Works &amp; Sources'!$B$125:$J$132,0,7))*INDEX('How This Works &amp; Sources'!$B$125:$J$132,0,7+2)),SUMPRODUCT(($AZ52&gt;INDEX('How This Works &amp; Sources'!$B$125:$J$132,0,4))*($AZ52-INDEX('How This Works &amp; Sources'!$B$125:$J$132,0,4))*INDEX('How This Works &amp; Sources'!$B$125:$J$132,0,4+2)))),IF($AN52="ND",IF($AU52="Head of household",SUMPRODUCT(($AZ52&gt;INDEX('How This Works &amp; Sources'!$B$144:$J$150,0,1))*($AZ52-INDEX('How This Works &amp; Sources'!$B$144:$J$150,0,1))*INDEX('How This Works &amp; Sources'!$B$144:$J$150,0,1+2)),IF($AU52="Married",SUMPRODUCT(($AZ52&gt;INDEX('How This Works &amp; Sources'!$B$137:$J$139,0,7))*($AZ52-INDEX('How This Works &amp; Sources'!$B$137:$J$139,0,7))*INDEX('How This Works &amp; Sources'!$B$137:$J$139,0,7+2)),SUMPRODUCT(($AZ52&gt;INDEX('How This Works &amp; Sources'!$B$137:$J$139,0,4))*($AZ52-INDEX('How This Works &amp; Sources'!$B$137:$J$139,0,4))*INDEX('How This Works &amp; Sources'!$B$137:$J$139,0,4+2)))),IF($AN52="NJ",IF('Second Earner'!$C$77="B",SUMPRODUCT(($AZ52&gt;INDEX('How This Works &amp; Sources'!$B$155:$J$162,0,4))*($AZ52-INDEX('How This Works &amp; Sources'!$B$155:$J$162,0,4))*INDEX('How This Works &amp; Sources'!$B$155:$J$162,0,4+2)),IF('Second Earner'!$C$77="C",SUMPRODUCT(($AZ52&gt;INDEX('How This Works &amp; Sources'!$B$155:$J$162,0,7))*($AZ52-INDEX('How This Works &amp; Sources'!$B$155:$J$162,0,7))*INDEX('How This Works &amp; Sources'!$B$155:$J$162,0,7+2)),IF('Second Earner'!$C$77="D",SUMPRODUCT(($AZ52&gt;INDEX('How This Works &amp; Sources'!$B$167:$J$179,0,1))*($AZ52-INDEX('How This Works &amp; Sources'!$B$167:$J$179,0,1))*INDEX('How This Works &amp; Sources'!$B$167:$J$179,0,1+2)),IF('Second Earner'!$C$77="E",SUMPRODUCT(($AZ52&gt;INDEX('How This Works &amp; Sources'!$B$167:$J$179,0,4))*($AZ52-INDEX('How This Works &amp; Sources'!$B$167:$J$179,0,4))*INDEX('How This Works &amp; Sources'!$B$167:$J$179,0,4+2)),SUMPRODUCT(($AZ52&gt;INDEX('How This Works &amp; Sources'!$B$155:$J$162,0,1))*($AZ52-INDEX('How This Works &amp; Sources'!$B$155:$J$162,0,1))*INDEX('How This Works &amp; Sources'!$B$155:$J$162,0,1+2)))))),IF($AN52="NY",IF($AU52="Married",IF($AZ52&gt;=2155350,$AZ52*IF($AZ52&gt;25000000,0.117,IF($AZ52&gt;5000000,0.111,0.1045)),SUMPRODUCT(($AZ52&gt;INDEX('How This Works &amp; Sources'!$B$184:$J$198,0,1))*($AZ52-INDEX('How This Works &amp; Sources'!$B$184:$J$198,0,1))*INDEX('How This Works &amp; Sources'!$B$184:$J$198,0,1+2))),IF($AZ52&gt;=1077550,$AZ52*IF($AZ52&gt;25000000,0.117,IF($AZ52&gt;5000000,0.111,0.1045)),SUMPRODUCT(($AZ52&gt;INDEX('How This Works &amp; Sources'!$B$167:$J$179,0,7))*($AZ52-INDEX('How This Works &amp; Sources'!$B$167:$J$179,0,7))*INDEX('How This Works &amp; Sources'!$B$167:$J$179,0,7+2)))),"")))))))</f>
      </c>
      <c r="BX52" s="7">
        <f>IF($B52="","",IF($AN52="AL",IF(OR($AU52="Married",$AU52="Head of household"),SUMPRODUCT(($AZ52&gt;INDEX('How This Works &amp; Sources'!$B$82:$J$86,0,4))*($AZ52-INDEX('How This Works &amp; Sources'!$B$82:$J$86,0,4))*INDEX('How This Works &amp; Sources'!$B$82:$J$86,0,4+2)),SUMPRODUCT(($AZ52&gt;INDEX('How This Works &amp; Sources'!$B$82:$J$86,0,1))*($AZ52-INDEX('How This Works &amp; Sources'!$B$82:$J$86,0,1))*INDEX('How This Works &amp; Sources'!$B$82:$J$86,0,1+2))),IF($AN52="KS",IF($AU52="Married",SUMPRODUCT(($AZ52&gt;INDEX('How This Works &amp; Sources'!$B$103:$J$109,0,4))*($AZ52-INDEX('How This Works &amp; Sources'!$B$103:$J$109,0,4))*INDEX('How This Works &amp; Sources'!$B$103:$J$109,0,4+2)),SUMPRODUCT(($AZ52&gt;INDEX('How This Works &amp; Sources'!$B$103:$J$109,0,1))*($AZ52-INDEX('How This Works &amp; Sources'!$B$103:$J$109,0,1))*INDEX('How This Works &amp; Sources'!$B$103:$J$109,0,1+2))),IF($AN52="MN",IF($AU52="Married",SUMPRODUCT(($AZ52&gt;INDEX('How This Works &amp; Sources'!$B$114:$J$120,0,7))*($AZ52-INDEX('How This Works &amp; Sources'!$B$114:$J$120,0,7))*INDEX('How This Works &amp; Sources'!$B$114:$J$120,0,7+2)),SUMPRODUCT(($AZ52&gt;INDEX('How This Works &amp; Sources'!$B$114:$J$120,0,4))*($AZ52-INDEX('How This Works &amp; Sources'!$B$114:$J$120,0,4))*INDEX('How This Works &amp; Sources'!$B$114:$J$120,0,4+2))),IF($AN52="MO",SUMPRODUCT(($AZ52&gt;INDEX('How This Works &amp; Sources'!$B$125:$J$132,0,1))*($AZ52-INDEX('How This Works &amp; Sources'!$B$125:$J$132,0,1))*INDEX('How This Works &amp; Sources'!$B$125:$J$132,0,1+2)),IF($AN52="NE",MAX(IF($AU52="Married",SUMPRODUCT(($AZ52&gt;INDEX('How This Works &amp; Sources'!$B$144:$J$150,0,7))*($AZ52-INDEX('How This Works &amp; Sources'!$B$144:$J$150,0,7))*INDEX('How This Works &amp; Sources'!$B$144:$J$150,0,7+2)),SUMPRODUCT(($AZ52&gt;INDEX('How This Works &amp; Sources'!$B$144:$J$150,0,4))*($AZ52-INDEX('How This Works &amp; Sources'!$B$144:$J$150,0,4))*INDEX('How This Works &amp; Sources'!$B$144:$J$150,0,4+2))),0.015*$AZ52),IF($AN52="OH",IF($B52&gt;=DATE(2026,8,1),SUMPRODUCT(($AZ52&gt;INDEX('How This Works &amp; Sources'!$B$203:$J$206,0,1))*($AZ52-INDEX('How This Works &amp; Sources'!$B$203:$J$206,0,1))*INDEX('How This Works &amp; Sources'!$B$203:$J$206,0,1+2)),SUMPRODUCT(($AZ52&gt;INDEX('How This Works &amp; Sources'!$B$184:$J$198,0,7))*($AZ52-INDEX('How This Works &amp; Sources'!$B$184:$J$198,0,7))*INDEX('How This Works &amp; Sources'!$B$184:$J$198,0,7+2))),IF($AN52="OK",IF($AU52="Married",SUMPRODUCT(($AZ52&gt;INDEX('How This Works &amp; Sources'!$B$203:$J$206,0,7))*($AZ52-INDEX('How This Works &amp; Sources'!$B$203:$J$206,0,7))*INDEX('How This Works &amp; Sources'!$B$203:$J$206,0,7+2)),SUMPRODUCT(($AZ52&gt;INDEX('How This Works &amp; Sources'!$B$203:$J$206,0,4))*($AZ52-INDEX('How This Works &amp; Sources'!$B$203:$J$206,0,4))*INDEX('How This Works &amp; Sources'!$B$203:$J$206,0,4+2))),IF($AN52="VT",IF($AU52="Married",SUMPRODUCT(($AZ52&gt;INDEX('How This Works &amp; Sources'!$B$228:$J$232,0,1))*($AZ52-INDEX('How This Works &amp; Sources'!$B$228:$J$232,0,1))*INDEX('How This Works &amp; Sources'!$B$228:$J$232,0,1+2)),SUMPRODUCT(($AZ52&gt;INDEX('How This Works &amp; Sources'!$B$219:$J$223,0,7))*($AZ52-INDEX('How This Works &amp; Sources'!$B$219:$J$223,0,7))*INDEX('How This Works &amp; Sources'!$B$219:$J$223,0,7+2))),IF($AN52="WV",IF($AU52="Married",SUMPRODUCT(($AZ52&gt;INDEX('How This Works &amp; Sources'!$B$237:$J$241,0,7))*($AZ52-INDEX('How This Works &amp; Sources'!$B$237:$J$241,0,7))*INDEX('How This Works &amp; Sources'!$B$237:$J$241,0,7+2)),SUMPRODUCT(($AZ52&gt;INDEX('How This Works &amp; Sources'!$B$228:$J$232,0,7))*($AZ52-INDEX('How This Works &amp; Sources'!$B$228:$J$232,0,7))*INDEX('How This Works &amp; Sources'!$B$228:$J$232,0,7+2))),""))))))))))</f>
      </c>
      <c r="BY52" s="7">
        <f>IF($B52="","",IF($AN52="DE",SUMPRODUCT(($AZ52&gt;INDEX('How This Works &amp; Sources'!$B$91:$J$98,0,1))*($AZ52-INDEX('How This Works &amp; Sources'!$B$91:$J$98,0,1))*INDEX('How This Works &amp; Sources'!$B$91:$J$98,0,1+2)),IF($AN52="HI",IF($AU52="Married",SUMPRODUCT(($AZ52&gt;INDEX('How This Works &amp; Sources'!$B$91:$J$98,0,7))*($AZ52-INDEX('How This Works &amp; Sources'!$B$91:$J$98,0,7))*INDEX('How This Works &amp; Sources'!$B$91:$J$98,0,7+2)),SUMPRODUCT(($AZ52&gt;INDEX('How This Works &amp; Sources'!$B$91:$J$98,0,4))*($AZ52-INDEX('How This Works &amp; Sources'!$B$91:$J$98,0,4))*INDEX('How This Works &amp; Sources'!$B$91:$J$98,0,4+2))),IF($AN52="RI",SUMPRODUCT(($AZ52&gt;INDEX('How This Works &amp; Sources'!$B$211:$J$214,0,7))*($AZ52-INDEX('How This Works &amp; Sources'!$B$211:$J$214,0,7))*INDEX('How This Works &amp; Sources'!$B$211:$J$214,0,7+2)),IF($AN52="SC",SUMPRODUCT(($AZ52&gt;INDEX('How This Works &amp; Sources'!$B$219:$J$223,0,1))*($AZ52-INDEX('How This Works &amp; Sources'!$B$219:$J$223,0,1))*INDEX('How This Works &amp; Sources'!$B$219:$J$223,0,1+2)),IF($AN52="VA",SUMPRODUCT(($AZ52&gt;INDEX('How This Works &amp; Sources'!$B$219:$J$223,0,4))*($AZ52-INDEX('How This Works &amp; Sources'!$B$219:$J$223,0,4))*INDEX('How This Works &amp; Sources'!$B$219:$J$223,0,4+2)),IF($AN52="WI",SUMPRODUCT(($AZ52&gt;INDEX('How This Works &amp; Sources'!$B$228:$J$232,0,4))*($AZ52-INDEX('How This Works &amp; Sources'!$B$228:$J$232,0,4))*INDEX('How This Works &amp; Sources'!$B$228:$J$232,0,4+2)),"")))))))</f>
      </c>
      <c r="BZ52" s="24">
        <f>IF($B52="","",IF($AN52="KS",IF($AU52="Married",SUMPRODUCT(($AZ52&gt;=INDEX('How This Works &amp; Sources'!$B$103:$J$109,0,4))*INDEX('How This Works &amp; Sources'!$B$103:$J$109,0,4+2)),SUMPRODUCT(($AZ52&gt;=INDEX('How This Works &amp; Sources'!$B$103:$J$109,0,1))*INDEX('How This Works &amp; Sources'!$B$103:$J$109,0,1+2))),IF($AN52="MT",IF($AU52="Head of household",SUMPRODUCT(($AZ52&gt;=INDEX('How This Works &amp; Sources'!$B$137:$J$139,0,1))*INDEX('How This Works &amp; Sources'!$B$137:$J$139,0,1+2)),IF($AU52="Married",SUMPRODUCT(($AZ52&gt;=INDEX('How This Works &amp; Sources'!$B$125:$J$132,0,7))*INDEX('How This Works &amp; Sources'!$B$125:$J$132,0,7+2)),SUMPRODUCT(($AZ52&gt;=INDEX('How This Works &amp; Sources'!$B$125:$J$132,0,4))*INDEX('How This Works &amp; Sources'!$B$125:$J$132,0,4+2)))),IF($AN52="OR",IF(OR($AU52="Married",AND($AU52="Single",$AS52&gt;=3)),SUMPRODUCT((MAX(0,$AY52-MIN(($P52-'How This Works &amp; Sources'!$C$10*$D52)*'Second Earner'!$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Sources'!$B$211:$J$214,0,4))*INDEX('How This Works &amp; Sources'!$B$211:$J$214,0,4+2)),SUMPRODUCT((MAX(0,$AY52-MIN(($P52-'How This Works &amp; Sources'!$C$10*$D52)*'Second Earner'!$C$8,IF(OR($AU52="Married",AND($AU52="Single",$AS52&gt;=3)),IF($AY52&lt;250000,8750,IF($AY52&lt;260000,7000,IF($AY52&lt;270000,5250,IF($AY52&lt;280000,3500,IF($AY52&lt;290000,1750,0))))),IF($AY52&lt;125000,8750,IF($AY52&lt;130000,7000,IF($AY52&lt;135000,5250,IF($AY52&lt;140000,3500,IF($AY52&lt;145000,1750,0)))))))-IF(OR($AU52="Married",AND($AU52="Single",$AS52&gt;=3)),5820,2910))&gt;=INDEX('How This Works &amp; Sources'!$B$211:$J$214,0,1))*INDEX('How This Works &amp; Sources'!$B$211:$J$214,0,1+2)))*IF(($P52-'How This Works &amp; Sources'!$C$10*$D52)*'Second Earner'!$C$8&gt;=IF(OR($AU52="Married",AND($AU52="Single",$AS52&gt;=3)),IF($AY52&lt;250000,8750,IF($AY52&lt;260000,7000,IF($AY52&lt;270000,5250,IF($AY52&lt;280000,3500,IF($AY52&lt;290000,1750,0))))),IF($AY52&lt;125000,8750,IF($AY52&lt;130000,7000,IF($AY52&lt;135000,5250,IF($AY52&lt;140000,3500,IF($AY52&lt;145000,1750,0)))))),1,1-IF('Second Earner'!$C$13,SUMPRODUCT(($AH52&gt;=INDEX('How This Works &amp; Sources'!$B$29:$J$36,0,IF('Second Earner'!$C$12="MFJ",1,IF('Second Earner'!$C$12="HoH",7,4))))*INDEX('How This Works &amp; Sources'!$B$29:$J$36,0,IF('Second Earner'!$C$12="MFJ",1,IF('Second Earner'!$C$12="HoH",7,4))+2)),SUMPRODUCT(($AH52&gt;=INDEX('How This Works &amp; Sources'!$B$19:$J$26,0,IF('Second Earner'!$C$12="MFJ",1,IF('Second Earner'!$C$12="HoH",7,4))))*INDEX('How This Works &amp; Sources'!$B$19:$J$26,0,IF('Second Earner'!$C$12="MFJ",1,IF('Second Earner'!$C$12="HoH",7,4))+2)))),""))))</f>
      </c>
      <c r="CA52" s="24">
        <f>IF($B52="","",IF($AN52="CA",SUMPRODUCT(($AJ52&gt;=INDEX('How This Works &amp; Sources'!$B$39:$J$48,0,IF($AU52="Married",4,IF($AU52="Head of household",7,1))))*INDEX('How This Works &amp; Sources'!$B$39:$J$48,0,IF($AU52="Married",4,IF($AU52="Head of household",7,1))+2)),IF($AN52="AL",IF(OR($AU52="Married",$AU52="Head of household"),SUMPRODUCT(($AZ52&gt;=INDEX('How This Works &amp; Sources'!$B$82:$J$86,0,4))*INDEX('How This Works &amp; Sources'!$B$82:$J$86,0,4+2)),SUMPRODUCT(($AZ52&gt;=INDEX('How This Works &amp; Sources'!$B$82:$J$86,0,1))*INDEX('How This Works &amp; Sources'!$B$82:$J$86,0,1+2)))*(1-IF('Second Earner'!$C$13,SUMPRODUCT(($AH52&gt;=INDEX('How This Works &amp; Sources'!$B$29:$J$36,0,IF('Second Earner'!$C$12="MFJ",1,IF('Second Earner'!$C$12="HoH",7,4))))*INDEX('How This Works &amp; Sources'!$B$29:$J$36,0,IF('Second Earner'!$C$12="MFJ",1,IF('Second Earner'!$C$12="HoH",7,4))+2)),SUMPRODUCT(($AH52&gt;=INDEX('How This Works &amp; Sources'!$B$19:$J$26,0,IF('Second Earner'!$C$12="MFJ",1,IF('Second Earner'!$C$12="HoH",7,4))))*INDEX('How This Works &amp; Sources'!$B$19:$J$26,0,IF('Second Earner'!$C$12="MFJ",1,IF('Second Earner'!$C$12="HoH",7,4))+2)))),IF($AN52="ND",IF($AU52="Head of household",SUMPRODUCT(($AZ52&gt;=INDEX('How This Works &amp; Sources'!$B$144:$J$150,0,1))*INDEX('How This Works &amp; Sources'!$B$144:$J$150,0,1+2)),IF($AU52="Married",SUMPRODUCT(($AZ52&gt;=INDEX('How This Works &amp; Sources'!$B$137:$J$139,0,7))*INDEX('How This Works &amp; Sources'!$B$137:$J$139,0,7+2)),SUMPRODUCT(($AZ52&gt;=INDEX('How This Works &amp; Sources'!$B$137:$J$139,0,4))*INDEX('How This Works &amp; Sources'!$B$137:$J$139,0,4+2)))),IF($AN52="NJ",IF('Second Earner'!$C$77="B",SUMPRODUCT(($AZ52&gt;=INDEX('How This Works &amp; Sources'!$B$155:$J$162,0,4))*INDEX('How This Works &amp; Sources'!$B$155:$J$162,0,4+2)),IF('Second Earner'!$C$77="C",SUMPRODUCT(($AZ52&gt;=INDEX('How This Works &amp; Sources'!$B$155:$J$162,0,7))*INDEX('How This Works &amp; Sources'!$B$155:$J$162,0,7+2)),IF('Second Earner'!$C$77="D",SUMPRODUCT(($AZ52&gt;=INDEX('How This Works &amp; Sources'!$B$167:$J$179,0,1))*INDEX('How This Works &amp; Sources'!$B$167:$J$179,0,1+2)),IF('Second Earner'!$C$77="E",SUMPRODUCT(($AZ52&gt;=INDEX('How This Works &amp; Sources'!$B$167:$J$179,0,4))*INDEX('How This Works &amp; Sources'!$B$167:$J$179,0,4+2)),SUMPRODUCT(($AZ52&gt;=INDEX('How This Works &amp; Sources'!$B$155:$J$162,0,1))*INDEX('How This Works &amp; Sources'!$B$155:$J$162,0,1+2)))))),IF($AN52="NY",IF($AU52="Married",IF($AZ52&gt;=2155350,IF($AZ52&gt;25000000,0.117,IF($AZ52&gt;5000000,0.111,0.1045)),SUMPRODUCT(($AZ52&gt;=INDEX('How This Works &amp; Sources'!$B$184:$J$198,0,1))*INDEX('How This Works &amp; Sources'!$B$184:$J$198,0,1+2))),IF($AZ52&gt;=1077550,IF($AZ52&gt;25000000,0.117,IF($AZ52&gt;5000000,0.111,0.1045)),SUMPRODUCT(($AZ52&gt;=INDEX('How This Works &amp; Sources'!$B$167:$J$179,0,7))*INDEX('How This Works &amp; Sources'!$B$167:$J$179,0,7+2)))),IF($AN52="LA",0.0309,"")))))))</f>
      </c>
      <c r="CB52" s="24">
        <f>IF($B52="","",IF($AN52="HI",IF($AU52="Married",SUMPRODUCT(($AZ52&gt;=INDEX('How This Works &amp; Sources'!$B$91:$J$98,0,7))*INDEX('How This Works &amp; Sources'!$B$91:$J$98,0,7+2)),SUMPRODUCT(($AZ52&gt;=INDEX('How This Works &amp; Sources'!$B$91:$J$98,0,4))*INDEX('How This Works &amp; Sources'!$B$91:$J$98,0,4+2))),IF($AN52="MD",IF(OR($AU52="Married",$AU52="Head of household"),SUMPRODUCT(($AZ52&gt;=INDEX('How This Works &amp; Sources'!$B$114:$J$120,0,1))*INDEX('How This Works &amp; Sources'!$B$114:$J$120,0,1+2)),SUMPRODUCT(($AZ52&gt;=INDEX('How This Works &amp; Sources'!$B$103:$J$109,0,7))*INDEX('How This Works &amp; Sources'!$B$103:$J$109,0,7+2)))+'Second Earner'!$C$74,IF($AN52="MN",IF($AU52="Married",SUMPRODUCT(($AZ52&gt;=INDEX('How This Works &amp; Sources'!$B$114:$J$120,0,7))*INDEX('How This Works &amp; Sources'!$B$114:$J$120,0,7+2)),SUMPRODUCT(($AZ52&gt;=INDEX('How This Works &amp; Sources'!$B$114:$J$120,0,4))*INDEX('How This Works &amp; Sources'!$B$114:$J$120,0,4+2))),IF($AN52="MO",SUMPRODUCT(($AZ52&gt;=INDEX('How This Works &amp; Sources'!$B$125:$J$132,0,1))*INDEX('How This Works &amp; Sources'!$B$125:$J$132,0,1+2)),IF($AN52="NE",MAX(IF($AU52="Married",SUMPRODUCT(($AZ52&gt;=INDEX('How This Works &amp; Sources'!$B$144:$J$150,0,7))*INDEX('How This Works &amp; Sources'!$B$144:$J$150,0,7+2)),SUMPRODUCT(($AZ52&gt;=INDEX('How This Works &amp; Sources'!$B$144:$J$150,0,4))*INDEX('How This Works &amp; Sources'!$B$144:$J$150,0,4+2))),0.015),IF($AN52="OH",IF($B52&gt;=DATE(2026,8,1),SUMPRODUCT(($AZ52&gt;=INDEX('How This Works &amp; Sources'!$B$203:$J$206,0,1))*INDEX('How This Works &amp; Sources'!$B$203:$J$206,0,1+2)),SUMPRODUCT(($AZ52&gt;=INDEX('How This Works &amp; Sources'!$B$184:$J$198,0,7))*INDEX('How This Works &amp; Sources'!$B$184:$J$198,0,7+2))),IF($AN52="OK",IF($AU52="Married",SUMPRODUCT(($AZ52&gt;=INDEX('How This Works &amp; Sources'!$B$203:$J$206,0,7))*INDEX('How This Works &amp; Sources'!$B$203:$J$206,0,7+2)),SUMPRODUCT(($AZ52&gt;=INDEX('How This Works &amp; Sources'!$B$203:$J$206,0,4))*INDEX('How This Works &amp; Sources'!$B$203:$J$206,0,4+2))),IF($AN52="RI",SUMPRODUCT(($AZ52&gt;=INDEX('How This Works &amp; Sources'!$B$211:$J$214,0,7))*INDEX('How This Works &amp; Sources'!$B$211:$J$214,0,7+2)),IF($AN52="VT",IF($AU52="Married",SUMPRODUCT(($AZ52&gt;=INDEX('How This Works &amp; Sources'!$B$228:$J$232,0,1))*INDEX('How This Works &amp; Sources'!$B$228:$J$232,0,1+2)),SUMPRODUCT(($AZ52&gt;=INDEX('How This Works &amp; Sources'!$B$219:$J$223,0,7))*INDEX('How This Works &amp; Sources'!$B$219:$J$223,0,7+2))),IF($AN52="WV",IF($AU52="Married",SUMPRODUCT(($AZ52&gt;=INDEX('How This Works &amp; Sources'!$B$237:$J$241,0,7))*INDEX('How This Works &amp; Sources'!$B$237:$J$241,0,7+2)),SUMPRODUCT(($AZ52&gt;=INDEX('How This Works &amp; Sources'!$B$228:$J$232,0,7))*INDEX('How This Works &amp; Sources'!$B$228:$J$232,0,7+2))),IF($AN52="AZ",'Second Earner'!$C$82,IF($AN52="ID",IF($AY52&gt;IF($AU52="Married",32000,16094),0.053,0),"")))))))))))))</f>
      </c>
      <c r="CC52" s="24">
        <f>IF($B52="","",IF($AN52="AR",SUMPRODUCT(($AZ52&gt;=INDEX('How This Works &amp; Sources'!$B$82:$J$86,0,7))*INDEX('How This Works &amp; Sources'!$B$82:$J$86,0,7+2)),IF($AN52="DE",SUMPRODUCT(($AZ52&gt;=INDEX('How This Works &amp; Sources'!$B$91:$J$98,0,1))*INDEX('How This Works &amp; Sources'!$B$91:$J$98,0,1+2)),IF($AN52="SC",SUMPRODUCT(($AZ52&gt;=INDEX('How This Works &amp; Sources'!$B$219:$J$223,0,1))*INDEX('How This Works &amp; Sources'!$B$219:$J$223,0,1+2)),IF($AN52="VA",SUMPRODUCT(($AZ52&gt;=INDEX('How This Works &amp; Sources'!$B$219:$J$223,0,4))*INDEX('How This Works &amp; Sources'!$B$219:$J$223,0,4+2)),IF($AN52="WI",SUMPRODUCT(($AZ52&gt;=INDEX('How This Works &amp; Sources'!$B$228:$J$232,0,4))*INDEX('How This Works &amp; Sources'!$B$228:$J$232,0,4+2)),IF($AN52="CO",IF($AY52&gt;IF($AU52="Married",10000,5000),0.044,0),IF($AN52="IA",IF($AY52&gt;IF($AU52="Head of household",19500,IF($AU52="Married",26000,13000)),0.038,0),IF($AN52="IL",IF($AY52&gt;(2925*$AS52+1000*$AT52),0.0495,0),IF($AN52="IN",(0.0295+'Second Earner'!$C$76),IF($AN52="KY",IF($AI52&gt;3360,0.035,0),IF($AN52="MA",IF(MAX(0,$AY52-MIN(($BD51+$Q52+$R52+$S52),2000)-IF($AS52=0,0,IF($AS52=1,4400,1000*$AS52+3400)))&gt;=1107750,0.09,0.05),IF($AN52="MI",IF($AY52&gt;5900*$AS52,0.0425,0),IF($AN52="MS",IF($AI52-IF($AU52="Head of household",3400,IF($AU52="Married",4600,2300))-'Second Earner'!$C$85&gt;10000,0.04,0),IF($AN52="PA",0.0307,"")))))))))))))))</f>
      </c>
      <c r="CD52" s="21">
        <f>IF(YEAR(IF('Second Earner'!$C$7="Weekly",'Second Earner'!$C$9+7*(($BE51+1)-1),IF('Second Earner'!$C$7="Biweekly",'Second Earner'!$C$9+14*(($BE51+1)-1),IF('Second Earner'!$C$7="Semimonthly",DATE(YEAR('Second Earner'!$C$9),MONTH('Second Earner'!$C$9)+INT((($BE51+1)-1)/2),MIN(DAY('Second Earner'!$C$9),DAY(EOMONTH(DATE(YEAR('Second Earner'!$C$9),MONTH('Second Earner'!$C$9)+INT((($BE51+1)-1)/2),1),0))))+IF(MOD(($BE51+1)-1,2)=1,15,0),EDATE('Second Earner'!$C$9,($BE51+1)-1)))))&lt;&gt;'Second Earner'!$C$10,"",IF('Second Earner'!$C$7="Weekly",'Second Earner'!$C$9+7*(($BE51+1)-1),IF('Second Earner'!$C$7="Biweekly",'Second Earner'!$C$9+14*(($BE51+1)-1),IF('Second Earner'!$C$7="Semimonthly",DATE(YEAR('Second Earner'!$C$9),MONTH('Second Earner'!$C$9)+INT((($BE51+1)-1)/2),MIN(DAY('Second Earner'!$C$9),DAY(EOMONTH(DATE(YEAR('Second Earner'!$C$9),MONTH('Second Earner'!$C$9)+INT((($BE51+1)-1)/2),1),0))))+IF(MOD(($BE51+1)-1,2)=1,15,0),EDATE('Second Earner'!$C$9,($BE51+1)-1)))))</f>
      </c>
      <c r="CE52" s="21">
        <f>IF(MIN(IF(AND('Second Earner'!$C$58&gt;MAX($B$6:$B51),'Second Earner'!$C$58&gt;=DATE('Second Earner'!$C$10,1,1),'Second Earner'!$C$58&lt;=DATE('Second Earner'!$C$10,12,31)),'Second Earner'!$C$58,999999),IF(AND('Second Earner'!$C$59&gt;MAX($B$6:$B51),'Second Earner'!$C$59&gt;=DATE('Second Earner'!$C$10,1,1),'Second Earner'!$C$59&lt;=DATE('Second Earner'!$C$10,12,31)),'Second Earner'!$C$59,999999),IF(AND('Second Earner'!$C$60&gt;MAX($B$6:$B51),'Second Earner'!$C$60&gt;=DATE('Second Earner'!$C$10,1,1),'Second Earner'!$C$60&lt;=DATE('Second Earner'!$C$10,12,31)),'Second Earner'!$C$60,999999),IF(AND('Second Earner'!$C$61&gt;MAX($B$6:$B51),'Second Earner'!$C$61&gt;=DATE('Second Earner'!$C$10,1,1),'Second Earner'!$C$61&lt;=DATE('Second Earner'!$C$10,12,31)),'Second Earner'!$C$61,999999),IF(AND('Second Earner'!$C$62&gt;MAX($B$6:$B51),'Second Earner'!$C$62&gt;=DATE('Second Earner'!$C$10,1,1),'Second Earner'!$C$62&lt;=DATE('Second Earner'!$C$10,12,31)),'Second Earner'!$C$62,999999),IF(AND('Second Earner'!$C$63&gt;MAX($B$6:$B51),'Second Earner'!$C$63&gt;=DATE('Second Earner'!$C$10,1,1),'Second Earner'!$C$63&lt;=DATE('Second Earner'!$C$10,12,31)),'Second Earner'!$C$63,999999),IF(AND('Second Earner'!$C$64&gt;MAX($B$6:$B51),'Second Earner'!$C$64&gt;=DATE('Second Earner'!$C$10,1,1),'Second Earner'!$C$64&lt;=DATE('Second Earner'!$C$10,12,31)),'Second Earner'!$C$64,999999),IF(AND('Second Earner'!$C$65&gt;MAX($B$6:$B51),'Second Earner'!$C$65&gt;=DATE('Second Earner'!$C$10,1,1),'Second Earner'!$C$65&lt;=DATE('Second Earner'!$C$10,12,31)),'Second Earner'!$C$65,999999),IF(AND('Second Earner'!$C$66&gt;MAX($B$6:$B51),'Second Earner'!$C$66&gt;=DATE('Second Earner'!$C$10,1,1),'Second Earner'!$C$66&lt;=DATE('Second Earner'!$C$10,12,31)),'Second Earner'!$C$66,999999),IF(AND('Second Earner'!$C$67&gt;MAX($B$6:$B51),'Second Earner'!$C$67&gt;=DATE('Second Earner'!$C$10,1,1),'Second Earner'!$C$67&lt;=DATE('Second Earner'!$C$10,12,31)),'Second Earner'!$C$67,999999))=999999,"",MIN(IF(AND('Second Earner'!$C$58&gt;MAX($B$6:$B51),'Second Earner'!$C$58&gt;=DATE('Second Earner'!$C$10,1,1),'Second Earner'!$C$58&lt;=DATE('Second Earner'!$C$10,12,31)),'Second Earner'!$C$58,999999),IF(AND('Second Earner'!$C$59&gt;MAX($B$6:$B51),'Second Earner'!$C$59&gt;=DATE('Second Earner'!$C$10,1,1),'Second Earner'!$C$59&lt;=DATE('Second Earner'!$C$10,12,31)),'Second Earner'!$C$59,999999),IF(AND('Second Earner'!$C$60&gt;MAX($B$6:$B51),'Second Earner'!$C$60&gt;=DATE('Second Earner'!$C$10,1,1),'Second Earner'!$C$60&lt;=DATE('Second Earner'!$C$10,12,31)),'Second Earner'!$C$60,999999),IF(AND('Second Earner'!$C$61&gt;MAX($B$6:$B51),'Second Earner'!$C$61&gt;=DATE('Second Earner'!$C$10,1,1),'Second Earner'!$C$61&lt;=DATE('Second Earner'!$C$10,12,31)),'Second Earner'!$C$61,999999),IF(AND('Second Earner'!$C$62&gt;MAX($B$6:$B51),'Second Earner'!$C$62&gt;=DATE('Second Earner'!$C$10,1,1),'Second Earner'!$C$62&lt;=DATE('Second Earner'!$C$10,12,31)),'Second Earner'!$C$62,999999),IF(AND('Second Earner'!$C$63&gt;MAX($B$6:$B51),'Second Earner'!$C$63&gt;=DATE('Second Earner'!$C$10,1,1),'Second Earner'!$C$63&lt;=DATE('Second Earner'!$C$10,12,31)),'Second Earner'!$C$63,999999),IF(AND('Second Earner'!$C$64&gt;MAX($B$6:$B51),'Second Earner'!$C$64&gt;=DATE('Second Earner'!$C$10,1,1),'Second Earner'!$C$64&lt;=DATE('Second Earner'!$C$10,12,31)),'Second Earner'!$C$64,999999),IF(AND('Second Earner'!$C$65&gt;MAX($B$6:$B51),'Second Earner'!$C$65&gt;=DATE('Second Earner'!$C$10,1,1),'Second Earner'!$C$65&lt;=DATE('Second Earner'!$C$10,12,31)),'Second Earner'!$C$65,999999),IF(AND('Second Earner'!$C$66&gt;MAX($B$6:$B51),'Second Earner'!$C$66&gt;=DATE('Second Earner'!$C$10,1,1),'Second Earner'!$C$66&lt;=DATE('Second Earner'!$C$10,12,31)),'Second Earner'!$C$66,999999),IF(AND('Second Earner'!$C$67&gt;MAX($B$6:$B51),'Second Earner'!$C$67&gt;=DATE('Second Earner'!$C$10,1,1),'Second Earner'!$C$67&lt;=DATE('Second Earner'!$C$10,12,31)),'Second Earner'!$C$67,999999)))</f>
      </c>
      <c r="CF52">
        <f>IF($B52="","",IF($D52=0,$Y52,""))</f>
      </c>
    </row>
    <row r="53">
      <c r="A53" t="n">
        <v>48</v>
      </c>
      <c r="B53" s="21">
        <f>IF(AND($CD53="",$CE53=""),"",IF($CE53="",$CD53,IF($CD53="",$CE53,MIN($CD53,$CE53))))</f>
      </c>
      <c r="C53" s="7">
        <f>IF($B53="","",IF($BF53=0,0,IF('Second Earner'!$C$4="Annual salary",ROUND($AK53/IF(AND('Second Earner'!$C$88="Actual paydays",MONTH('Second Earner'!$C$9)=1),MAX(1,MAX($BE$6:$BE$68)),'Second Earner'!$C$8),2),$AK53)))</f>
      </c>
      <c r="D53" s="7">
        <f>IF($B53="","",SUMIF('Second Earner'!$C$58:$C$67,$B53,'Second Earner'!$D$58:$D$67))</f>
      </c>
      <c r="E53" s="7">
        <f>IF($B53="","",ROUND(MAX(0,MIN(IF($AL53="Percent",$AM53*($C53+$D53),$AM53),MAX(0,'Second Earner'!$C$34-$AC52))),2))</f>
      </c>
      <c r="F53" s="7">
        <f>IF($B53="","",ROUND(MAX(0,MIN(IF('Second Earner'!$C$32="Percent",'Second Earner'!$D$32*($C53+$D53),'Second Earner'!$D$32),MAX(0,'Second Earner'!$C$34-$AC52-$E53))),2))</f>
      </c>
      <c r="G53" s="7">
        <f>IF($B53="","",IF($BF53=0,0,ROUND(MAX(0,MIN($BL53,'Second Earner'!$C$37-'Second Earner'!$C$54-$BI52)),2)))</f>
      </c>
      <c r="H53" s="7">
        <f>IF($B53="","",IF(OR($BF53=0,$BQ53=1),0,ROUND(MAX(0,MIN(IF($BS53=1,ROUND(MAX(0,MIN($BJ53,'How This Works &amp; Sources'!$C$13)-$BG52)/MAX(1,MAX($BE$6:$BE$68)-($BE52)),2),ROUND(MIN($BJ53,'How This Works &amp; Sources'!$C$13)/'Second Earner'!$C$8,2)),MIN($BJ53,'How This Works &amp; Sources'!$C$13)-$BG52)),2)))</f>
      </c>
      <c r="I53" s="7">
        <f>IF($B53="","",IF(OR($BF53=0,$BR53=1),0,ROUND(MAX(0,MIN(IF($BT53=1,ROUND(MAX(0,MIN($BK53,IF('Second Earner'!$C$12="MFJ",'How This Works &amp; Sources'!$C$14,'How This Works &amp; Sources'!$C$15))-$BH52)/MAX(1,MAX($BE$6:$BE$68)-($BE52)),2),ROUND(MIN($BK53,IF('Second Earner'!$C$12="MFJ",'How This Works &amp; Sources'!$C$14,'How This Works &amp; Sources'!$C$15))/'Second Earner'!$C$8,2)),MIN($BK53,IF('Second Earner'!$C$12="MFJ",'How This Works &amp; Sources'!$C$14,'How This Works &amp; Sources'!$C$15))-$BH52)),2)))</f>
      </c>
      <c r="J53" s="7">
        <f>IF($B53="","",IF($BF53=0,0,$BM53))</f>
      </c>
      <c r="K53" s="7">
        <f>IF($B53="","",IF($BF53=0,0,$BN53+$BO53))</f>
      </c>
      <c r="L53" s="7">
        <f>IF($B53="","",IF($BF53=0,0,'Second Earner'!$D$46))</f>
      </c>
      <c r="M53" s="7">
        <f>IF($B53="","",$C53+$D53+$L53-$E53-$G53-$H53-$I53-$J53-$K53)</f>
      </c>
      <c r="N53" s="7">
        <f>IF($B53="","",$C53+$D53+$L53-$G53-$H53-$I53-$J53-$K53)</f>
      </c>
      <c r="O53" s="7">
        <f>IF($B53="","",$C53+$D53+$L53-$E53-$H53-$I53-$J53-$K53-IF(OR($AN53="CA",$AN53="NJ"),0,$G53))</f>
      </c>
      <c r="P53" s="7">
        <f>IF($B53="","",IF('Second Earner'!$C$18,0,ROUND(MAX(0,IF('Second Earner'!$C$13,SUMPRODUCT(($AH53&gt;INDEX('How This Works &amp; Sources'!$B$29:$J$36,0,IF('Second Earner'!$C$12="MFJ",1,IF('Second Earner'!$C$12="HoH",7,4))))*($AH53-INDEX('How This Works &amp; Sources'!$B$29:$J$36,0,IF('Second Earner'!$C$12="MFJ",1,IF('Second Earner'!$C$12="HoH",7,4))))*INDEX('How This Works &amp; Sources'!$B$29:$J$36,0,IF('Second Earner'!$C$12="MFJ",1,IF('Second Earner'!$C$12="HoH",7,4))+2)),SUMPRODUCT(($AH53&gt;INDEX('How This Works &amp; Sources'!$B$19:$J$26,0,IF('Second Earner'!$C$12="MFJ",1,IF('Second Earner'!$C$12="HoH",7,4))))*($AH53-INDEX('How This Works &amp; Sources'!$B$19:$J$26,0,IF('Second Earner'!$C$12="MFJ",1,IF('Second Earner'!$C$12="HoH",7,4))))*INDEX('How This Works &amp; Sources'!$B$19:$J$26,0,IF('Second Earner'!$C$12="MFJ",1,IF('Second Earner'!$C$12="HoH",7,4))+2)))/'Second Earner'!$C$8-$AO53/'Second Earner'!$C$8)+$AR53+IF('Second Earner'!$C$89="Aggregate",MAX(0,IF('Second Earner'!$C$13,SUMPRODUCT((($AH53+$D53)&gt;INDEX('How This Works &amp; Sources'!$B$29:$J$36,0,IF('Second Earner'!$C$12="MFJ",1,IF('Second Earner'!$C$12="HoH",7,4))))*(($AH53+$D53)-INDEX('How This Works &amp; Sources'!$B$29:$J$36,0,IF('Second Earner'!$C$12="MFJ",1,IF('Second Earner'!$C$12="HoH",7,4))))*INDEX('How This Works &amp; Sources'!$B$29:$J$36,0,IF('Second Earner'!$C$12="MFJ",1,IF('Second Earner'!$C$12="HoH",7,4))+2)),SUMPRODUCT((($AH53+$D53)&gt;INDEX('How This Works &amp; Sources'!$B$19:$J$26,0,IF('Second Earner'!$C$12="MFJ",1,IF('Second Earner'!$C$12="HoH",7,4))))*(($AH53+$D53)-INDEX('How This Works &amp; Sources'!$B$19:$J$26,0,IF('Second Earner'!$C$12="MFJ",1,IF('Second Earner'!$C$12="HoH",7,4))))*INDEX('How This Works &amp; Sources'!$B$19:$J$26,0,IF('Second Earner'!$C$12="MFJ",1,IF('Second Earner'!$C$12="HoH",7,4))+2)))-IF('Second Earner'!$C$13,SUMPRODUCT(($AH53&gt;INDEX('How This Works &amp; Sources'!$B$29:$J$36,0,IF('Second Earner'!$C$12="MFJ",1,IF('Second Earner'!$C$12="HoH",7,4))))*($AH53-INDEX('How This Works &amp; Sources'!$B$29:$J$36,0,IF('Second Earner'!$C$12="MFJ",1,IF('Second Earner'!$C$12="HoH",7,4))))*INDEX('How This Works &amp; Sources'!$B$29:$J$36,0,IF('Second Earner'!$C$12="MFJ",1,IF('Second Earner'!$C$12="HoH",7,4))+2)),SUMPRODUCT(($AH53&gt;INDEX('How This Works &amp; Sources'!$B$19:$J$26,0,IF('Second Earner'!$C$12="MFJ",1,IF('Second Earner'!$C$12="HoH",7,4))))*($AH53-INDEX('How This Works &amp; Sources'!$B$19:$J$26,0,IF('Second Earner'!$C$12="MFJ",1,IF('Second Earner'!$C$12="HoH",7,4))))*INDEX('How This Works &amp; Sources'!$B$19:$J$26,0,IF('Second Earner'!$C$12="MFJ",1,IF('Second Earner'!$C$12="HoH",7,4))+2)))),'How This Works &amp; Sources'!$C$10*$D53),2)))</f>
      </c>
      <c r="Q53" s="7">
        <f>IF($B53="","",ROUND('How This Works &amp; Sources'!$C$4*MIN($N53,MAX(0,'How This Works &amp; Sources'!$C$3-($AX53+$AB52-$AW53))),2))</f>
      </c>
      <c r="R53" s="7">
        <f>IF($B53="","",ROUND('How This Works &amp; Sources'!$C$5*$N53,2))</f>
      </c>
      <c r="S53" s="7">
        <f>IF($B53="","",ROUND('How This Works &amp; Sources'!$C$6*MAX(0,MIN($N53,$AG52+$N53-'How This Works &amp; Sources'!$C$7)),2))</f>
      </c>
      <c r="T53" s="7">
        <f>IF($B53="","",IF('Second Earner'!$C$26,0,IF($AN53="CA",ROUND(IF($AI53&lt;=IF(($AS53+$AT53)&gt;=2,VLOOKUP($AN53,StateTables!$A$6:$AB$56,10,FALSE),VLOOKUP($AN53,StateTables!$A$6:$AB$56,9,FALSE)),0,MAX(0,SUMPRODUCT(($AJ53&gt;INDEX('How This Works &amp; Sources'!$B$39:$J$48,0,IF($AU53="Married",4,IF($AU53="Head of household",7,1))))*($AJ53-INDEX('How This Works &amp; Sources'!$B$39:$J$48,0,IF($AU53="Married",4,IF($AU53="Head of household",7,1))))*INDEX('How This Works &amp; Sources'!$B$39:$J$48,0,IF($AU53="Married",4,IF($AU53="Head of household",7,1))+2))-VLOOKUP($AN53,StateTables!$A$6:$AB$56,11,FALSE)*$AS53)/'Second Earner'!$C$8)+'Second Earner'!$C$25+VLOOKUP($AN53,StateTables!$A$6:$AB$56,13,FALSE)*$D53,2),IF(VLOOKUP($AN53,StateTables!$A$6:$AB$56,4,FALSE)="None",0,IF(ISNUMBER(SEARCH("MANUAL",VLOOKUP($AN53,StateTables!$A$6:$AB$56,5,FALSE))),'Second Earner'!$C$28,ROUND(MAX(0,$BA53+$BB53)/'Second Earner'!$C$8+'Second Earner'!$C$25+$BC53,2))))))</f>
      </c>
      <c r="U53" s="7">
        <f>IF($B53="","",IF(VLOOKUP($AN53,StateTables!$A$6:$AB$56,24,FALSE)="flatq",IF(OR(MONTH($B53)=1,MONTH($B53)=4,MONTH($B53)=7,MONTH($B53)=10),VLOOKUP($AN53,StateTables!$A$6:$AB$56,25,FALSE),0),IF(VLOOKUP($AN53,StateTables!$A$6:$AB$56,24,FALSE)="dbl",MIN(ROUND(0.005*$N53,2),ROUND(0.6*52/'Second Earner'!$C$8,2)),IF(OR(VLOOKUP($AN53,StateTables!$A$6:$AB$56,15,FALSE)="",VLOOKUP($AN53,StateTables!$A$6:$AB$56,15,FALSE)=0),0,ROUND(VLOOKUP($AN53,StateTables!$A$6:$AB$56,15,FALSE)*IF(OR(VLOOKUP($AN53,StateTables!$A$6:$AB$56,16,FALSE)="",VLOOKUP($AN53,StateTables!$A$6:$AB$56,16,FALSE)=0),$N53,MIN($N53,MAX(0,VLOOKUP($AN53,StateTables!$A$6:$AB$56,16,FALSE)-($AX53+$AB52-$AW53)))),2))))+IF(VLOOKUP($AN53,StateTables!$A$6:$AB$56,27,FALSE)="flatq",IF(OR(MONTH($B53)=1,MONTH($B53)=4,MONTH($B53)=7,MONTH($B53)=10),VLOOKUP($AN53,StateTables!$A$6:$AB$56,28,FALSE),0),IF(VLOOKUP($AN53,StateTables!$A$6:$AB$56,27,FALSE)="dbl",MIN(ROUND(0.005*$N53,2),ROUND(0.6*52/'Second Earner'!$C$8,2)),IF(OR(VLOOKUP($AN53,StateTables!$A$6:$AB$56,18,FALSE)="",VLOOKUP($AN53,StateTables!$A$6:$AB$56,18,FALSE)=0),0,ROUND(VLOOKUP($AN53,StateTables!$A$6:$AB$56,18,FALSE)*IF(OR(VLOOKUP($AN53,StateTables!$A$6:$AB$56,19,FALSE)="",VLOOKUP($AN53,StateTables!$A$6:$AB$56,19,FALSE)=0),$N53,MIN($N53,MAX(0,VLOOKUP($AN53,StateTables!$A$6:$AB$56,19,FALSE)-($AX53+$AB52-$AW53)))),2)))))</f>
      </c>
      <c r="V53" s="7">
        <f>IF($B53="","",IF($AN53="NY",IF('Second Earner'!$C$78,ROUND(SUMPRODUCT((MAX(0,($O53-$D53)*'Second Earner'!$C$8-(IF($AU53="Married",5500,5000)+1000*$AS53))&gt;INDEX('How This Works &amp; Sources'!$B$184:$J$198,0,4))*(MAX(0,($O53-$D53)*'Second Earner'!$C$8-(IF($AU53="Married",5500,5000)+1000*$AS53))-INDEX('How This Works &amp; Sources'!$B$184:$J$198,0,4))*INDEX('How This Works &amp; Sources'!$B$184:$J$198,0,4+2))/'Second Earner'!$C$8+0.0425*$D53,2),0)+IF('Second Earner'!$C$79="Resident",ROUND(0.1675*$T53,2),IF('Second Earner'!$C$79="Nonresident",ROUND(0.005*MAX(0,($O53-$D53)-(IF($AU53="Married",7950,7400)+1000*$AS53)/'Second Earner'!$C$8),2),0)),IF($AN53="PA",IF('Second Earner'!$C$80="None",'Second Earner'!$C$27+ROUND('Second Earner'!$C$81*($C53+$D53),2),ROUND(IF('Second Earner'!$C$80="Resident",IF($B53&lt;DATE(2026,7,1),0.0374,0.03735),IF($B53&lt;DATE(2026,7,1),0.0343,0.03425))*($C53+$D53),2)),IF($BF53=0,ROUND('Second Earner'!$C$81*($C53+$D53),2),'Second Earner'!$C$27+ROUND('Second Earner'!$C$81*($C53+$D53),2)))))</f>
      </c>
      <c r="W53" s="7">
        <f>IF($B53="","",IF($BF53=0,0,$BP53))</f>
      </c>
      <c r="X53" s="7">
        <f>IF($B53="","",SUM($E53:$K53)+$P53+$Q53+$R53+$S53+$T53+$U53+$V53+$W53)</f>
      </c>
      <c r="Y53" s="22">
        <f>IF($B53="","",$C53+$D53-$X53)</f>
      </c>
      <c r="Z53" s="7">
        <f>IF($B53="","",$Z52+$C53+$D53)</f>
      </c>
      <c r="AA53" s="7">
        <f>IF($B53="","",$AA52+$Y53)</f>
      </c>
      <c r="AB53" s="7">
        <f>IF($B53="","",$AB52+MIN($N53,MAX(0,'How This Works &amp; Sources'!$C$3-($AX53+$AB52-$AW53))))</f>
      </c>
      <c r="AC53" s="7">
        <f>IF($B53="","",$AC52+$E53+$F53)</f>
      </c>
      <c r="AD53" s="3">
        <f>IF($B53="","",IF(AND($AB52&lt;'How This Works &amp; Sources'!$C$3,$AB53&gt;='How This Works &amp; Sources'!$C$3),"★ Social Security maxed on this check — from the next check your net rises by about $"&amp;TEXT(ROUND('How This Works &amp; Sources'!$C$4*$N53,2),"#,##0.00")&amp;". ","")&amp;IF(AND($AC52&lt;'Second Earner'!$C$34,$AC53&gt;='Second Earner'!$C$34),"★ 401(k) reaches the $"&amp;TEXT('Second Earner'!$C$34,"#,##0")&amp;" cap on this check — deferrals stop and net pay rises. ","")&amp;IF(AND($AG52&lt;'How This Works &amp; Sources'!$C$7,$AG53&gt;='How This Works &amp; Sources'!$C$7),"★ Wages pass $200,000 — the 0.9% Additional Medicare Tax starts here. ","")&amp;IF(AND($BJ53&gt;0,$H53&gt;0,$BG52&lt;MIN($BJ53,'How This Works &amp; Sources'!$C$13),$BG52+$H53&gt;=MIN($BJ53,'How This Works &amp; Sources'!$C$13)),"★ Health FSA election is now fully deferred for the year. ",""))</f>
      </c>
      <c r="AE53" s="41" t="n"/>
      <c r="AF53" s="7">
        <f>IF(OR($B53="",$AE53=""),"",$AE53-$Y53)</f>
      </c>
      <c r="AG53" s="7">
        <f>IF($B53="","",$AG52+$N53)</f>
      </c>
      <c r="AH53" s="7">
        <f>IF($B53="","",MAX(0,($M53-$D53)*'Second Earner'!$C$8+$AP53-$AQ53-IF('Second Earner'!$C$13,0,IF('Second Earner'!$C$12="MFJ",'How This Works &amp; Sources'!$C$8,'How This Works &amp; Sources'!$C$9))))</f>
      </c>
      <c r="AI53" s="7">
        <f>IF($B53="","",$O53*'Second Earner'!$C$8)</f>
      </c>
      <c r="AJ53" s="7">
        <f>IF($B53="","",MAX(0,$AI53-VLOOKUP($AN53,StateTables!$A$6:$AB$56,12,FALSE)*$AT53-IF(($AS53+$AT53)&gt;=2,VLOOKUP($AN53,StateTables!$A$6:$AB$56,8,FALSE),VLOOKUP($AN53,StateTables!$A$6:$AB$56,7,FALSE))))</f>
      </c>
      <c r="AK53" s="7">
        <f>IF($B53="","",IFERROR(LOOKUP(2,1/(('Changes — Earner 2'!$C$6:$C$17="Salary change")*('Changes — Earner 2'!$B$6:$B$17&lt;=$B53)*('Changes — Earner 2'!$B$6:$B$17&lt;&gt;"")),'Changes — Earner 2'!$D$6:$D$17),IF('Second Earner'!$C$4="Annual salary",'Second Earner'!$C$5,'Second Earner'!$C$6)))</f>
      </c>
      <c r="AL53">
        <f>IF($B53="","",IFERROR(LOOKUP(2,1/(('Changes — Earner 2'!$C$6:$C$17="401(k) change")*('Changes — Earner 2'!$B$6:$B$17&lt;=$B53)*('Changes — Earner 2'!$B$6:$B$17&lt;&gt;"")),'Changes — Earner 2'!$D$6:$D$17),'Second Earner'!$C$30))</f>
      </c>
      <c r="AM53" s="7">
        <f>IF($B53="","",IFERROR(LOOKUP(2,1/(('Changes — Earner 2'!$C$6:$C$17="401(k) change")*('Changes — Earner 2'!$B$6:$B$17&lt;=$B53)*('Changes — Earner 2'!$B$6:$B$17&lt;&gt;"")),'Changes — Earner 2'!$E$6:$E$17),'Second Earner'!$D$31))</f>
      </c>
      <c r="AN53">
        <f>IF($B53="","",IFERROR(LOOKUP(2,1/(('Changes — Earner 2'!$C$6:$C$17="State move")*('Changes — Earner 2'!$B$6:$B$17&lt;=$B53)*('Changes — Earner 2'!$B$6:$B$17&lt;&gt;"")),'Changes — Earner 2'!$D$6:$D$17),'Second Earner'!$C$21))</f>
      </c>
      <c r="AO53" s="7">
        <f>IF($B53="","",IFERROR(LOOKUP(2,1/(('Changes — Earner 2'!$C$6:$C$17="W-4 change")*('Changes — Earner 2'!$B$6:$B$17&lt;=$B53)*('Changes — Earner 2'!$B$6:$B$17&lt;&gt;"")),'Changes — Earner 2'!$D$6:$D$17),'Second Earner'!$C$14))</f>
      </c>
      <c r="AP53" s="7">
        <f>IF($B53="","",IFERROR(LOOKUP(2,1/(('Changes — Earner 2'!$C$6:$C$17="W-4 change")*('Changes — Earner 2'!$B$6:$B$17&lt;=$B53)*('Changes — Earner 2'!$B$6:$B$17&lt;&gt;"")),'Changes — Earner 2'!$E$6:$E$17),'Second Earner'!$C$15))</f>
      </c>
      <c r="AQ53" s="7">
        <f>IF($B53="","",IFERROR(LOOKUP(2,1/(('Changes — Earner 2'!$C$6:$C$17="W-4 change")*('Changes — Earner 2'!$B$6:$B$17&lt;=$B53)*('Changes — Earner 2'!$B$6:$B$17&lt;&gt;"")),'Changes — Earner 2'!$F$6:$F$17),'Second Earner'!$C$16))</f>
      </c>
      <c r="AR53" s="7">
        <f>IF($B53="","",IFERROR(LOOKUP(2,1/(('Changes — Earner 2'!$C$6:$C$17="W-4 change")*('Changes — Earner 2'!$B$6:$B$17&lt;=$B53)*('Changes — Earner 2'!$B$6:$B$17&lt;&gt;"")),'Changes — Earner 2'!$G$6:$G$17),'Second Earner'!$C$17))</f>
      </c>
      <c r="AS53" s="6">
        <f>IF($B53="","",IFERROR(LOOKUP(2,1/((('Changes — Earner 2'!$C$6:$C$17="State move")+('Changes — Earner 2'!$C$6:$C$17="State cert change"))*('Changes — Earner 2'!$B$6:$B$17&lt;=$B53)*('Changes — Earner 2'!$B$6:$B$17&lt;&gt;"")),'Changes — Earner 2'!$F$6:$F$17),'Second Earner'!$C$23))</f>
      </c>
      <c r="AT53" s="6">
        <f>IF($B53="","",IFERROR(LOOKUP(2,1/((('Changes — Earner 2'!$C$6:$C$17="State move")+('Changes — Earner 2'!$C$6:$C$17="State cert change"))*('Changes — Earner 2'!$B$6:$B$17&lt;=$B53)*('Changes — Earner 2'!$B$6:$B$17&lt;&gt;"")),'Changes — Earner 2'!$G$6:$G$17),'Second Earner'!$C$24))</f>
      </c>
      <c r="AU53">
        <f>IF($B53="","",IFERROR(LOOKUP(2,1/(('Changes — Earner 2'!$C$6:$C$17="State move")*('Changes — Earner 2'!$B$6:$B$17&lt;=$B53)*('Changes — Earner 2'!$B$6:$B$17&lt;&gt;"")),'Changes — Earner 2'!$E$6:$E$17),'Second Earner'!$C$22))</f>
      </c>
      <c r="AV53" s="6">
        <f>IF($B53="","",1+COUNTIFS('Changes — Earner 2'!$C$6:$C$17,"Employer change",'Changes — Earner 2'!$B$6:$B$17,"&lt;="&amp;$B53,'Changes — Earner 2'!$B$6:$B$17,"&lt;&gt;"))</f>
      </c>
      <c r="AW53" s="7">
        <f>IF($B53="","",IF($AV53=1,'Second Earner'!$C$49,IF(IFERROR(MATCH(IFERROR(LOOKUP(2,1/(('Changes — Earner 2'!$C$6:$C$17="Employer change")*('Changes — Earner 2'!$B$6:$B$17&lt;=$B53)*('Changes — Earner 2'!$B$6:$B$17&lt;&gt;"")),'Changes — Earner 2'!$B$6:$B$17),""),$B$6:$B$68,1),1)&lt;=1,'Second Earner'!$C$49,INDEX($AB$6:$AB$68,MATCH(IFERROR(LOOKUP(2,1/(('Changes — Earner 2'!$C$6:$C$17="Employer change")*('Changes — Earner 2'!$B$6:$B$17&lt;=$B53)*('Changes — Earner 2'!$B$6:$B$17&lt;&gt;"")),'Changes — Earner 2'!$B$6:$B$17),""),$B$6:$B$68,1)-1))))</f>
      </c>
      <c r="AX53" s="7">
        <f>IF($B53="","",IF($AV53=1,'Second Earner'!$C$49,IFERROR(LOOKUP(2,1/(('Changes — Earner 2'!$C$6:$C$17="Employer change")*('Changes — Earner 2'!$B$6:$B$17&lt;=$B53)*('Changes — Earner 2'!$B$6:$B$17&lt;&gt;"")),'Changes — Earner 2'!$D$6:$D$17),0)))</f>
      </c>
      <c r="AY53" s="7">
        <f>IF($B53="","",($O53-$D53)*'Second Earner'!$C$8)</f>
      </c>
      <c r="AZ53" s="7">
        <f>IF($B53="","",IF($AN53="AL",MAX(0,$AY53-IF($AU53="Married",IF($AY53&lt;=25999,8500,MAX(5000,8500-175*CEILING(($AY53-25999)/500,1))),IF($AU53="Head of household",IF($AY53&lt;=25999,5200,MAX(2500,5200-135*CEILING(($AY53-25999)/500,1))),IF($AY53&lt;=25999,3000,MAX(2500,3000-25*CEILING(($AY53-25999)/500,1)))))-($P53-'How This Works &amp; Sources'!$C$10*$D53)*'Second Earner'!$C$8-IF(OR($AU53="Married",$AU53="Head of household"),3000,1500)-$AT53*IF($AY53&lt;=50000,1000,IF($AY53&lt;=100000,500,300))),IF($AN53="AR",IF(MAX(0,$AY53-2470)&lt;97701,INT(MAX(0,$AY53-2470)/100)*100+50,MAX(0,$AY53-2470)),IF($AN53="DE",MAX(0,$AI53-3250),IF($AN53="HI",MAX(0,$AI53-1144*$AS53-4350),IF($AN53="KS",MAX(0,$AI53-(9160*IF($AU53="Married",2,1)+2320*$AT53+IF($AU53="Head of household",2320,0))),IF($AN53="MD",MAX(0,$AI53-3400-3200*$AS53),IF($AN53="MN",MAX(0,$AY53-5300*$AS53),IF($AN53="MO",MAX(0,$AI53-IF($AU53="Head of household",24150,IF($AU53="Married",IF('Second Earner'!$C$83,16100,32200),16100))),IF($AN53="MT",$AY53,IF($AN53="ND",($C53+$L53)*'Second Earner'!$C$8,IF($AN53="NE",MAX(0,$AY53-2440*$AS53),IF($AN53="NJ",MAX(0,$AY53-1000*$AS53),IF($AN53="NY",MAX(0,$AY53-(IF($AU53="Married",7950,7400)+1000*$AS53)),IF($AN53="OH",MAX(0,$AY53-650*$AS53),IF($AN53="OK",MAX(0,$AY53-1000*$AS53),IF($AN53="RI",MAX(0,$AI53-1000*$AS53),IF($AN53="SC",MAX(0,$AI53-5000*$AS53-IF($AS53=0,0,MIN(0.1*$AI53,7500))),IF($AN53="VA",MAX(0,$AI53-IF($AU53="Married",17500,8750)-930*$AS53-800*$AT53),IF($AN53="VT",MAX(0,$AI53-5400*$AS53),IF($AN53="WI",MAX(0,$AI53-MAX(0,IF($AU53="Married",9461-0.2*MAX(0,$AI53-25727),6702-0.12*MAX(0,$AI53-17780)))-400*$AS53),IF($AN53="WV",MAX(0,$AI53-2000*$AS53),$AI53))))))))))))))))))))))</f>
      </c>
      <c r="BA53" s="7">
        <f>IF($B53="","",IF($BW53&lt;&gt;"",$BW53,IF($BX53&lt;&gt;"",$BX53,IF($BY53&lt;&gt;"",$BY53,0))))</f>
      </c>
      <c r="BB53" s="7">
        <f>IF($B53="","",IF($AN53="AR",-29*$AS53,IF($AN53="DE",-110*$AS53,IF($AN53="MD",$AZ53*'Second Earner'!$C$74,IF($AN53="AZ",'Second Earner'!$C$82*($M53-$D53)*'Second Earner'!$C$8,IF($AN53="CO",0.044*MAX(0,$AY53-IF($AU53="Married",10000,5000)),IF($AN53="IA",MAX(0,0.038*MAX(0,$AY53-IF($AU53="Head of household",19500,IF($AU53="Married",26000,13000)))-40*$AS53),IF($AN53="ID",0.053*MAX(0,$AY53-IF($AU53="Married",32000,16094)),IF($AN53="IL",0.0495*MAX(0,$AY53-(2925*$AS53+1000*$AT53)),IF($AN53="IN",(0.0295+'Second Earner'!$C$76)*MAX(0,$AY53-(1000*$AS53+1500*$AT53+3000*'Second Earner'!$C$86)),IF($AN53="KY",0.035*MAX(0,$AI53-3360),IF($AN53="LA",IF('Second Earner'!$C$84="0",0.0309*$AI53,0.0309*MAX(0,$AI53-IF('Second Earner'!$C$84="2",25750,12875))),IF($AN53="MA",0.05*MIN(MAX(0,$AY53-MIN(($BD52+$Q53+$R53+$S53),2000)-IF($AS53=0,0,IF($AS53=1,4400,1000*$AS53+3400))),1107750)+0.09*MAX(0,MAX(0,$AY53-MIN(($BD52+$Q53+$R53+$S53),2000)-IF($AS53=0,0,IF($AS53=1,4400,1000*$AS53+3400)))-1107750)-IF($AU53="Head of household",120,0)-110*'Second Earner'!$C$75,IF($AN53="MI",0.0425*MAX(0,$AY53-5900*$AS53),IF($AN53="MS",0.04*MAX(0,$AI53-IF($AU53="Head of household",3400,IF($AU53="Married",4600,2300))-'Second Earner'!$C$85-10000),IF($AN53="OR",IF(OR($AU53="Married",AND($AU53="Single",$AS53&gt;=3)),SUMPRODUCT((MAX(0,$AY53-MIN(($P53-'How This Works &amp; Sources'!$C$10*$D53)*'Second Earner'!$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Sources'!$B$211:$J$214,0,4))*(MAX(0,$AY53-MIN(($P53-'How This Works &amp; Sources'!$C$10*$D53)*'Second Earner'!$C$8,IF(OR($AU53="Married",AND($AU53="Single",$AS53&gt;=3)),IF($AY53&lt;250000,8750,IF($AY53&lt;260000,7000,IF($AY53&lt;270000,5250,IF($AY53&lt;280000,3500,IF($AY53&lt;290000,1750,0))))),IF($AY53&lt;125000,8750,IF($AY53&lt;130000,7000,IF($AY53&lt;135000,5250,IF($AY53&lt;140000,3500,IF($AY53&lt;145000,1750,0)))))))-IF(OR($AU53="Married",AND($AU53="Single",$AS53&gt;=3)),5820,2910))-INDEX('How This Works &amp; Sources'!$B$211:$J$214,0,4))*INDEX('How This Works &amp; Sources'!$B$211:$J$214,0,4+2)),SUMPRODUCT((MAX(0,$AY53-MIN(($P53-'How This Works &amp; Sources'!$C$10*$D53)*'Second Earner'!$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Sources'!$B$211:$J$214,0,1))*(MAX(0,$AY53-MIN(($P53-'How This Works &amp; Sources'!$C$10*$D53)*'Second Earner'!$C$8,IF(OR($AU53="Married",AND($AU53="Single",$AS53&gt;=3)),IF($AY53&lt;250000,8750,IF($AY53&lt;260000,7000,IF($AY53&lt;270000,5250,IF($AY53&lt;280000,3500,IF($AY53&lt;290000,1750,0))))),IF($AY53&lt;125000,8750,IF($AY53&lt;130000,7000,IF($AY53&lt;135000,5250,IF($AY53&lt;140000,3500,IF($AY53&lt;145000,1750,0)))))))-IF(OR($AU53="Married",AND($AU53="Single",$AS53&gt;=3)),5820,2910))-INDEX('How This Works &amp; Sources'!$B$211:$J$214,0,1))*INDEX('How This Works &amp; Sources'!$B$211:$J$214,0,1+2)))+263-263*IF(IF($AU53="Married",$AY53&gt;200000,$AY53&gt;100000),0,$AS53),IF($AN53="PA",0.0307*(($O53+$E53+$G53)*'Second Earner'!$C$8),IF($AN53="NY",IF($AU53="Married",IF($AZ53&gt;=2155350,0,IF($AZ53&gt;=1077550,0.48,IF($AZ53&gt;=373200,1.21,IF($AZ53&gt;=323200,0.21,IF($AZ53&gt;=211550,-0.19,IF($AZ53&gt;=157650,-2.8,IF($AZ53&gt;=107650,-0.8,IF($AZ53&gt;=96800,0.05,IF($AZ53&gt;=80650,-0.1,IF($AZ53&gt;=13900,0.4,IF($AZ53&gt;=11700,-0.3,IF($AZ53&gt;=8500,0.5,0)))))))))))),IF($AZ53&gt;=1077550,0,IF($AZ53&gt;=265400,4.29,IF($AZ53&gt;=215400,2.29,IF($AZ53&gt;=157650,2.29,IF($AZ53&gt;=107650,0.29,IF($AZ53&gt;=96800,0.05,IF($AZ53&gt;=80650,-0.1,IF($AZ53&gt;=13900,0.4,IF($AZ53&gt;=11700,-0.3,IF($AZ53&gt;=8500,0.5,0))))))))))),0))))))))))))))))))</f>
      </c>
      <c r="BC53" s="7">
        <f>IF($B53="","",IF($AN53="AL",0.05*$D53,IF($AN53="AR",0.039*$D53,IF($AN53="ID",0.053*$D53,IF($AN53="IN",(0.0295+'Second Earner'!$C$76)*$D53,IF($AN53="KS",0.05*$D53,IF($AN53="MA",0.09*MIN($D53,MAX(0,MAX(0,$AY53-MIN(($BD52+$Q53+$R53+$S53),2000)-IF($AS53=0,0,IF($AS53=1,4400,1000*$AS53+3400)))+$D53-1107750))+0.05*($D53-MIN($D53,MAX(0,MAX(0,$AY53-MIN(($BD52+$Q53+$R53+$S53),2000)-IF($AS53=0,0,IF($AS53=1,4400,1000*$AS53+3400)))+$D53-1107750))),IF($AN53="MD",(0.065+'Second Earner'!$C$74)*$D53,IF($AN53="MI",0.0425*$D53,IF($AN53="MN",0.0625*$D53,IF($AN53="MO",0.047*$D53,IF($AN53="MT",0.05*$D53,IF($AN53="ND",0.015*$D53,IF($AN53="NE",0.035*$D53,IF($AN53="NJ",IF('Second Earner'!$C$77="B",SUMPRODUCT(($D53*'Second Earner'!$C$8&gt;INDEX('How This Works &amp; Sources'!$B$155:$J$162,0,4))*($D53*'Second Earner'!$C$8-INDEX('How This Works &amp; Sources'!$B$155:$J$162,0,4))*INDEX('How This Works &amp; Sources'!$B$155:$J$162,0,4+2)),IF('Second Earner'!$C$77="C",SUMPRODUCT(($D53*'Second Earner'!$C$8&gt;INDEX('How This Works &amp; Sources'!$B$155:$J$162,0,7))*($D53*'Second Earner'!$C$8-INDEX('How This Works &amp; Sources'!$B$155:$J$162,0,7))*INDEX('How This Works &amp; Sources'!$B$155:$J$162,0,7+2)),IF('Second Earner'!$C$77="D",SUMPRODUCT(($D53*'Second Earner'!$C$8&gt;INDEX('How This Works &amp; Sources'!$B$167:$J$179,0,1))*($D53*'Second Earner'!$C$8-INDEX('How This Works &amp; Sources'!$B$167:$J$179,0,1))*INDEX('How This Works &amp; Sources'!$B$167:$J$179,0,1+2)),IF('Second Earner'!$C$77="E",SUMPRODUCT(($D53*'Second Earner'!$C$8&gt;INDEX('How This Works &amp; Sources'!$B$167:$J$179,0,4))*($D53*'Second Earner'!$C$8-INDEX('How This Works &amp; Sources'!$B$167:$J$179,0,4))*INDEX('How This Works &amp; Sources'!$B$167:$J$179,0,4+2)),SUMPRODUCT(($D53*'Second Earner'!$C$8&gt;INDEX('How This Works &amp; Sources'!$B$155:$J$162,0,1))*($D53*'Second Earner'!$C$8-INDEX('How This Works &amp; Sources'!$B$155:$J$162,0,1))*INDEX('How This Works &amp; Sources'!$B$155:$J$162,0,1+2))))))/'Second Earner'!$C$8,IF($AN53="NY",0.117*$D53,IF($AN53="OH",0.0275*$D53,IF($AN53="OK",0.045*$D53,IF($AN53="OR",0.08*$D53,IF($AN53="WI",IF($AY53&lt;12760,0.0354,IF($AY53&lt;25520,0.0465,IF($AY53&lt;280950,0.053,0.0765)))*$D53,0))))))))))))))))))))</f>
      </c>
      <c r="BD53" s="7">
        <f>IF($B53="","",$BD52+$Q53+$R53+$S53)</f>
      </c>
      <c r="BE53" s="6">
        <f>IF($B53="",$BE52,$BE52+$BF53)</f>
      </c>
      <c r="BF53" s="6">
        <f>IF($B53="","",IF(AND(IF(YEAR(IF('Second Earner'!$C$7="Weekly",'Second Earner'!$C$9+7*(($BE52+1)-1),IF('Second Earner'!$C$7="Biweekly",'Second Earner'!$C$9+14*(($BE52+1)-1),IF('Second Earner'!$C$7="Semimonthly",DATE(YEAR('Second Earner'!$C$9),MONTH('Second Earner'!$C$9)+INT((($BE52+1)-1)/2),MIN(DAY('Second Earner'!$C$9),DAY(EOMONTH(DATE(YEAR('Second Earner'!$C$9),MONTH('Second Earner'!$C$9)+INT((($BE52+1)-1)/2),1),0))))+IF(MOD(($BE52+1)-1,2)=1,15,0),EDATE('Second Earner'!$C$9,($BE52+1)-1)))))&lt;&gt;'Second Earner'!$C$10,"",IF('Second Earner'!$C$7="Weekly",'Second Earner'!$C$9+7*(($BE52+1)-1),IF('Second Earner'!$C$7="Biweekly",'Second Earner'!$C$9+14*(($BE52+1)-1),IF('Second Earner'!$C$7="Semimonthly",DATE(YEAR('Second Earner'!$C$9),MONTH('Second Earner'!$C$9)+INT((($BE52+1)-1)/2),MIN(DAY('Second Earner'!$C$9),DAY(EOMONTH(DATE(YEAR('Second Earner'!$C$9),MONTH('Second Earner'!$C$9)+INT((($BE52+1)-1)/2),1),0))))+IF(MOD(($BE52+1)-1,2)=1,15,0),EDATE('Second Earner'!$C$9,($BE52+1)-1)))))&lt;&gt;"",$B53=IF(YEAR(IF('Second Earner'!$C$7="Weekly",'Second Earner'!$C$9+7*(($BE52+1)-1),IF('Second Earner'!$C$7="Biweekly",'Second Earner'!$C$9+14*(($BE52+1)-1),IF('Second Earner'!$C$7="Semimonthly",DATE(YEAR('Second Earner'!$C$9),MONTH('Second Earner'!$C$9)+INT((($BE52+1)-1)/2),MIN(DAY('Second Earner'!$C$9),DAY(EOMONTH(DATE(YEAR('Second Earner'!$C$9),MONTH('Second Earner'!$C$9)+INT((($BE52+1)-1)/2),1),0))))+IF(MOD(($BE52+1)-1,2)=1,15,0),EDATE('Second Earner'!$C$9,($BE52+1)-1)))))&lt;&gt;'Second Earner'!$C$10,"",IF('Second Earner'!$C$7="Weekly",'Second Earner'!$C$9+7*(($BE52+1)-1),IF('Second Earner'!$C$7="Biweekly",'Second Earner'!$C$9+14*(($BE52+1)-1),IF('Second Earner'!$C$7="Semimonthly",DATE(YEAR('Second Earner'!$C$9),MONTH('Second Earner'!$C$9)+INT((($BE52+1)-1)/2),MIN(DAY('Second Earner'!$C$9),DAY(EOMONTH(DATE(YEAR('Second Earner'!$C$9),MONTH('Second Earner'!$C$9)+INT((($BE52+1)-1)/2),1),0))))+IF(MOD(($BE52+1)-1,2)=1,15,0),EDATE('Second Earner'!$C$9,($BE52+1)-1)))))),1,0))</f>
      </c>
      <c r="BG53" s="7">
        <f>IF($B53="","",$BG52+$H53)</f>
      </c>
      <c r="BH53" s="7">
        <f>IF($B53="","",$BH52+$I53)</f>
      </c>
      <c r="BI53" s="7">
        <f>IF($B53="","",$BI52+$G53)</f>
      </c>
      <c r="BJ53" s="7">
        <f>IF($B53="","",IFERROR(LOOKUP(2,1/(((('Changes — Earner 2'!$C$6:$C$17="Deduction start"))*('Changes — Earner 2'!$D$6:$D$17="Health FSA"))*('Changes — Earner 2'!$B$6:$B$17&lt;=$B53)*('Changes — Earner 2'!$B$6:$B$17&lt;&gt;"")),'Changes — Earner 2'!$E$6:$E$17),'Second Earner'!$D$38))</f>
      </c>
      <c r="BK53" s="7">
        <f>IF($B53="","",IFERROR(LOOKUP(2,1/(((('Changes — Earner 2'!$C$6:$C$17="Deduction start"))*('Changes — Earner 2'!$D$6:$D$17="Dependent-care FSA"))*('Changes — Earner 2'!$B$6:$B$17&lt;=$B53)*('Changes — Earner 2'!$B$6:$B$17&lt;&gt;"")),'Changes — Earner 2'!$E$6:$E$17),'Second Earner'!$D$39))</f>
      </c>
      <c r="BL53" s="7">
        <f>IF($B53="","",IFERROR(LOOKUP(2,1/(((('Changes — Earner 2'!$C$6:$C$17="Deduction start")+('Changes — Earner 2'!$C$6:$C$17="Deduction stop"))*('Changes — Earner 2'!$D$6:$D$17="HSA"))*('Changes — Earner 2'!$B$6:$B$17&lt;=$B53)*('Changes — Earner 2'!$B$6:$B$17&lt;&gt;"")),'Changes — Earner 2'!$I$6:$I$17),'Second Earner'!$D$35))</f>
      </c>
      <c r="BM53" s="7">
        <f>IF($B53="","",IFERROR(LOOKUP(2,1/(((('Changes — Earner 2'!$C$6:$C$17="Deduction start")+('Changes — Earner 2'!$C$6:$C$17="Deduction stop"))*('Changes — Earner 2'!$D$6:$D$17="Premiums"))*('Changes — Earner 2'!$B$6:$B$17&lt;=$B53)*('Changes — Earner 2'!$B$6:$B$17&lt;&gt;"")),'Changes — Earner 2'!$I$6:$I$17),'Second Earner'!$D$40+'Second Earner'!$D$41+'Second Earner'!$D$42))</f>
      </c>
      <c r="BN53" s="7">
        <f>IF($B53="","",IFERROR(LOOKUP(2,1/(((('Changes — Earner 2'!$C$6:$C$17="Deduction start")+('Changes — Earner 2'!$C$6:$C$17="Deduction stop"))*('Changes — Earner 2'!$D$6:$D$17="Commuter"))*('Changes — Earner 2'!$B$6:$B$17&lt;=$B53)*('Changes — Earner 2'!$B$6:$B$17&lt;&gt;"")),'Changes — Earner 2'!$I$6:$I$17),'Second Earner'!$D$43))</f>
      </c>
      <c r="BO53" s="7">
        <f>IF($B53="","",IFERROR(LOOKUP(2,1/(((('Changes — Earner 2'!$C$6:$C$17="Deduction start")+('Changes — Earner 2'!$C$6:$C$17="Deduction stop"))*('Changes — Earner 2'!$D$6:$D$17="Other pre-tax"))*('Changes — Earner 2'!$B$6:$B$17&lt;=$B53)*('Changes — Earner 2'!$B$6:$B$17&lt;&gt;"")),'Changes — Earner 2'!$I$6:$I$17),'Second Earner'!$D$44))</f>
      </c>
      <c r="BP53" s="7">
        <f>IF($B53="","",IFERROR(LOOKUP(2,1/(((('Changes — Earner 2'!$C$6:$C$17="Deduction start")+('Changes — Earner 2'!$C$6:$C$17="Deduction stop"))*('Changes — Earner 2'!$D$6:$D$17="Other post-tax"))*('Changes — Earner 2'!$B$6:$B$17&lt;=$B53)*('Changes — Earner 2'!$B$6:$B$17&lt;&gt;"")),'Changes — Earner 2'!$I$6:$I$17),'Second Earner'!$D$45))</f>
      </c>
      <c r="BQ53" s="6">
        <f>IF($B53="","",IFERROR(LOOKUP(2,1/(((('Changes — Earner 2'!$C$6:$C$17="Deduction start")+('Changes — Earner 2'!$C$6:$C$17="Deduction stop"))*('Changes — Earner 2'!$D$6:$D$17="Health FSA"))*('Changes — Earner 2'!$B$6:$B$17&lt;=$B53)*('Changes — Earner 2'!$B$6:$B$17&lt;&gt;"")),'Changes — Earner 2'!$J$6:$J$17),0))</f>
      </c>
      <c r="BR53" s="6">
        <f>IF($B53="","",IFERROR(LOOKUP(2,1/(((('Changes — Earner 2'!$C$6:$C$17="Deduction start")+('Changes — Earner 2'!$C$6:$C$17="Deduction stop"))*('Changes — Earner 2'!$D$6:$D$17="Dependent-care FSA"))*('Changes — Earner 2'!$B$6:$B$17&lt;=$B53)*('Changes — Earner 2'!$B$6:$B$17&lt;&gt;"")),'Changes — Earner 2'!$J$6:$J$17),0))</f>
      </c>
      <c r="BS53" s="6">
        <f>IF($B53="","",IF(SUMPRODUCT(('Changes — Earner 2'!$C$6:$C$17="Deduction start")*('Changes — Earner 2'!$B$6:$B$17&lt;=$B53)*('Changes — Earner 2'!$B$6:$B$17&lt;&gt;"")*('Changes — Earner 2'!$D$6:$D$17="Health FSA"))&gt;0,1,0))</f>
      </c>
      <c r="BT53" s="6">
        <f>IF($B53="","",IF(SUMPRODUCT(('Changes — Earner 2'!$C$6:$C$17="Deduction start")*('Changes — Earner 2'!$B$6:$B$17&lt;=$B53)*('Changes — Earner 2'!$B$6:$B$17&lt;&gt;"")*('Changes — Earner 2'!$D$6:$D$17="Dependent-care FSA"))&gt;0,1,0))</f>
      </c>
      <c r="BU53" s="24">
        <f>IF($B53="","",IF('Second Earner'!$C$13,SUMPRODUCT(($AH53&gt;=INDEX('How This Works &amp; Sources'!$B$29:$J$36,0,IF('Second Earner'!$C$12="MFJ",1,IF('Second Earner'!$C$12="HoH",7,4))))*INDEX('How This Works &amp; Sources'!$B$29:$J$36,0,IF('Second Earner'!$C$12="MFJ",1,IF('Second Earner'!$C$12="HoH",7,4))+2)),SUMPRODUCT(($AH53&gt;=INDEX('How This Works &amp; Sources'!$B$19:$J$26,0,IF('Second Earner'!$C$12="MFJ",1,IF('Second Earner'!$C$12="HoH",7,4))))*INDEX('How This Works &amp; Sources'!$B$19:$J$26,0,IF('Second Earner'!$C$12="MFJ",1,IF('Second Earner'!$C$12="HoH",7,4))+2))))</f>
      </c>
      <c r="BV53" s="24">
        <f>IF($B53="","",IF($BZ53&lt;&gt;"",$BZ53,IF($CA53&lt;&gt;"",$CA53,IF($CB53&lt;&gt;"",$CB53,IF($CC53&lt;&gt;"",$CC53,0)))))</f>
      </c>
      <c r="BW53" s="7">
        <f>IF($B53="","",IF($AN53="AR",SUMPRODUCT(($AZ53&gt;INDEX('How This Works &amp; Sources'!$B$82:$J$86,0,7))*($AZ53-INDEX('How This Works &amp; Sources'!$B$82:$J$86,0,7))*INDEX('How This Works &amp; Sources'!$B$82:$J$86,0,7+2)),IF($AN53="MD",IF(OR($AU53="Married",$AU53="Head of household"),SUMPRODUCT(($AZ53&gt;INDEX('How This Works &amp; Sources'!$B$114:$J$120,0,1))*($AZ53-INDEX('How This Works &amp; Sources'!$B$114:$J$120,0,1))*INDEX('How This Works &amp; Sources'!$B$114:$J$120,0,1+2)),SUMPRODUCT(($AZ53&gt;INDEX('How This Works &amp; Sources'!$B$103:$J$109,0,7))*($AZ53-INDEX('How This Works &amp; Sources'!$B$103:$J$109,0,7))*INDEX('How This Works &amp; Sources'!$B$103:$J$109,0,7+2))),IF($AN53="MT",IF($AU53="Head of household",SUMPRODUCT(($AZ53&gt;INDEX('How This Works &amp; Sources'!$B$137:$J$139,0,1))*($AZ53-INDEX('How This Works &amp; Sources'!$B$137:$J$139,0,1))*INDEX('How This Works &amp; Sources'!$B$137:$J$139,0,1+2)),IF($AU53="Married",SUMPRODUCT(($AZ53&gt;INDEX('How This Works &amp; Sources'!$B$125:$J$132,0,7))*($AZ53-INDEX('How This Works &amp; Sources'!$B$125:$J$132,0,7))*INDEX('How This Works &amp; Sources'!$B$125:$J$132,0,7+2)),SUMPRODUCT(($AZ53&gt;INDEX('How This Works &amp; Sources'!$B$125:$J$132,0,4))*($AZ53-INDEX('How This Works &amp; Sources'!$B$125:$J$132,0,4))*INDEX('How This Works &amp; Sources'!$B$125:$J$132,0,4+2)))),IF($AN53="ND",IF($AU53="Head of household",SUMPRODUCT(($AZ53&gt;INDEX('How This Works &amp; Sources'!$B$144:$J$150,0,1))*($AZ53-INDEX('How This Works &amp; Sources'!$B$144:$J$150,0,1))*INDEX('How This Works &amp; Sources'!$B$144:$J$150,0,1+2)),IF($AU53="Married",SUMPRODUCT(($AZ53&gt;INDEX('How This Works &amp; Sources'!$B$137:$J$139,0,7))*($AZ53-INDEX('How This Works &amp; Sources'!$B$137:$J$139,0,7))*INDEX('How This Works &amp; Sources'!$B$137:$J$139,0,7+2)),SUMPRODUCT(($AZ53&gt;INDEX('How This Works &amp; Sources'!$B$137:$J$139,0,4))*($AZ53-INDEX('How This Works &amp; Sources'!$B$137:$J$139,0,4))*INDEX('How This Works &amp; Sources'!$B$137:$J$139,0,4+2)))),IF($AN53="NJ",IF('Second Earner'!$C$77="B",SUMPRODUCT(($AZ53&gt;INDEX('How This Works &amp; Sources'!$B$155:$J$162,0,4))*($AZ53-INDEX('How This Works &amp; Sources'!$B$155:$J$162,0,4))*INDEX('How This Works &amp; Sources'!$B$155:$J$162,0,4+2)),IF('Second Earner'!$C$77="C",SUMPRODUCT(($AZ53&gt;INDEX('How This Works &amp; Sources'!$B$155:$J$162,0,7))*($AZ53-INDEX('How This Works &amp; Sources'!$B$155:$J$162,0,7))*INDEX('How This Works &amp; Sources'!$B$155:$J$162,0,7+2)),IF('Second Earner'!$C$77="D",SUMPRODUCT(($AZ53&gt;INDEX('How This Works &amp; Sources'!$B$167:$J$179,0,1))*($AZ53-INDEX('How This Works &amp; Sources'!$B$167:$J$179,0,1))*INDEX('How This Works &amp; Sources'!$B$167:$J$179,0,1+2)),IF('Second Earner'!$C$77="E",SUMPRODUCT(($AZ53&gt;INDEX('How This Works &amp; Sources'!$B$167:$J$179,0,4))*($AZ53-INDEX('How This Works &amp; Sources'!$B$167:$J$179,0,4))*INDEX('How This Works &amp; Sources'!$B$167:$J$179,0,4+2)),SUMPRODUCT(($AZ53&gt;INDEX('How This Works &amp; Sources'!$B$155:$J$162,0,1))*($AZ53-INDEX('How This Works &amp; Sources'!$B$155:$J$162,0,1))*INDEX('How This Works &amp; Sources'!$B$155:$J$162,0,1+2)))))),IF($AN53="NY",IF($AU53="Married",IF($AZ53&gt;=2155350,$AZ53*IF($AZ53&gt;25000000,0.117,IF($AZ53&gt;5000000,0.111,0.1045)),SUMPRODUCT(($AZ53&gt;INDEX('How This Works &amp; Sources'!$B$184:$J$198,0,1))*($AZ53-INDEX('How This Works &amp; Sources'!$B$184:$J$198,0,1))*INDEX('How This Works &amp; Sources'!$B$184:$J$198,0,1+2))),IF($AZ53&gt;=1077550,$AZ53*IF($AZ53&gt;25000000,0.117,IF($AZ53&gt;5000000,0.111,0.1045)),SUMPRODUCT(($AZ53&gt;INDEX('How This Works &amp; Sources'!$B$167:$J$179,0,7))*($AZ53-INDEX('How This Works &amp; Sources'!$B$167:$J$179,0,7))*INDEX('How This Works &amp; Sources'!$B$167:$J$179,0,7+2)))),"")))))))</f>
      </c>
      <c r="BX53" s="7">
        <f>IF($B53="","",IF($AN53="AL",IF(OR($AU53="Married",$AU53="Head of household"),SUMPRODUCT(($AZ53&gt;INDEX('How This Works &amp; Sources'!$B$82:$J$86,0,4))*($AZ53-INDEX('How This Works &amp; Sources'!$B$82:$J$86,0,4))*INDEX('How This Works &amp; Sources'!$B$82:$J$86,0,4+2)),SUMPRODUCT(($AZ53&gt;INDEX('How This Works &amp; Sources'!$B$82:$J$86,0,1))*($AZ53-INDEX('How This Works &amp; Sources'!$B$82:$J$86,0,1))*INDEX('How This Works &amp; Sources'!$B$82:$J$86,0,1+2))),IF($AN53="KS",IF($AU53="Married",SUMPRODUCT(($AZ53&gt;INDEX('How This Works &amp; Sources'!$B$103:$J$109,0,4))*($AZ53-INDEX('How This Works &amp; Sources'!$B$103:$J$109,0,4))*INDEX('How This Works &amp; Sources'!$B$103:$J$109,0,4+2)),SUMPRODUCT(($AZ53&gt;INDEX('How This Works &amp; Sources'!$B$103:$J$109,0,1))*($AZ53-INDEX('How This Works &amp; Sources'!$B$103:$J$109,0,1))*INDEX('How This Works &amp; Sources'!$B$103:$J$109,0,1+2))),IF($AN53="MN",IF($AU53="Married",SUMPRODUCT(($AZ53&gt;INDEX('How This Works &amp; Sources'!$B$114:$J$120,0,7))*($AZ53-INDEX('How This Works &amp; Sources'!$B$114:$J$120,0,7))*INDEX('How This Works &amp; Sources'!$B$114:$J$120,0,7+2)),SUMPRODUCT(($AZ53&gt;INDEX('How This Works &amp; Sources'!$B$114:$J$120,0,4))*($AZ53-INDEX('How This Works &amp; Sources'!$B$114:$J$120,0,4))*INDEX('How This Works &amp; Sources'!$B$114:$J$120,0,4+2))),IF($AN53="MO",SUMPRODUCT(($AZ53&gt;INDEX('How This Works &amp; Sources'!$B$125:$J$132,0,1))*($AZ53-INDEX('How This Works &amp; Sources'!$B$125:$J$132,0,1))*INDEX('How This Works &amp; Sources'!$B$125:$J$132,0,1+2)),IF($AN53="NE",MAX(IF($AU53="Married",SUMPRODUCT(($AZ53&gt;INDEX('How This Works &amp; Sources'!$B$144:$J$150,0,7))*($AZ53-INDEX('How This Works &amp; Sources'!$B$144:$J$150,0,7))*INDEX('How This Works &amp; Sources'!$B$144:$J$150,0,7+2)),SUMPRODUCT(($AZ53&gt;INDEX('How This Works &amp; Sources'!$B$144:$J$150,0,4))*($AZ53-INDEX('How This Works &amp; Sources'!$B$144:$J$150,0,4))*INDEX('How This Works &amp; Sources'!$B$144:$J$150,0,4+2))),0.015*$AZ53),IF($AN53="OH",IF($B53&gt;=DATE(2026,8,1),SUMPRODUCT(($AZ53&gt;INDEX('How This Works &amp; Sources'!$B$203:$J$206,0,1))*($AZ53-INDEX('How This Works &amp; Sources'!$B$203:$J$206,0,1))*INDEX('How This Works &amp; Sources'!$B$203:$J$206,0,1+2)),SUMPRODUCT(($AZ53&gt;INDEX('How This Works &amp; Sources'!$B$184:$J$198,0,7))*($AZ53-INDEX('How This Works &amp; Sources'!$B$184:$J$198,0,7))*INDEX('How This Works &amp; Sources'!$B$184:$J$198,0,7+2))),IF($AN53="OK",IF($AU53="Married",SUMPRODUCT(($AZ53&gt;INDEX('How This Works &amp; Sources'!$B$203:$J$206,0,7))*($AZ53-INDEX('How This Works &amp; Sources'!$B$203:$J$206,0,7))*INDEX('How This Works &amp; Sources'!$B$203:$J$206,0,7+2)),SUMPRODUCT(($AZ53&gt;INDEX('How This Works &amp; Sources'!$B$203:$J$206,0,4))*($AZ53-INDEX('How This Works &amp; Sources'!$B$203:$J$206,0,4))*INDEX('How This Works &amp; Sources'!$B$203:$J$206,0,4+2))),IF($AN53="VT",IF($AU53="Married",SUMPRODUCT(($AZ53&gt;INDEX('How This Works &amp; Sources'!$B$228:$J$232,0,1))*($AZ53-INDEX('How This Works &amp; Sources'!$B$228:$J$232,0,1))*INDEX('How This Works &amp; Sources'!$B$228:$J$232,0,1+2)),SUMPRODUCT(($AZ53&gt;INDEX('How This Works &amp; Sources'!$B$219:$J$223,0,7))*($AZ53-INDEX('How This Works &amp; Sources'!$B$219:$J$223,0,7))*INDEX('How This Works &amp; Sources'!$B$219:$J$223,0,7+2))),IF($AN53="WV",IF($AU53="Married",SUMPRODUCT(($AZ53&gt;INDEX('How This Works &amp; Sources'!$B$237:$J$241,0,7))*($AZ53-INDEX('How This Works &amp; Sources'!$B$237:$J$241,0,7))*INDEX('How This Works &amp; Sources'!$B$237:$J$241,0,7+2)),SUMPRODUCT(($AZ53&gt;INDEX('How This Works &amp; Sources'!$B$228:$J$232,0,7))*($AZ53-INDEX('How This Works &amp; Sources'!$B$228:$J$232,0,7))*INDEX('How This Works &amp; Sources'!$B$228:$J$232,0,7+2))),""))))))))))</f>
      </c>
      <c r="BY53" s="7">
        <f>IF($B53="","",IF($AN53="DE",SUMPRODUCT(($AZ53&gt;INDEX('How This Works &amp; Sources'!$B$91:$J$98,0,1))*($AZ53-INDEX('How This Works &amp; Sources'!$B$91:$J$98,0,1))*INDEX('How This Works &amp; Sources'!$B$91:$J$98,0,1+2)),IF($AN53="HI",IF($AU53="Married",SUMPRODUCT(($AZ53&gt;INDEX('How This Works &amp; Sources'!$B$91:$J$98,0,7))*($AZ53-INDEX('How This Works &amp; Sources'!$B$91:$J$98,0,7))*INDEX('How This Works &amp; Sources'!$B$91:$J$98,0,7+2)),SUMPRODUCT(($AZ53&gt;INDEX('How This Works &amp; Sources'!$B$91:$J$98,0,4))*($AZ53-INDEX('How This Works &amp; Sources'!$B$91:$J$98,0,4))*INDEX('How This Works &amp; Sources'!$B$91:$J$98,0,4+2))),IF($AN53="RI",SUMPRODUCT(($AZ53&gt;INDEX('How This Works &amp; Sources'!$B$211:$J$214,0,7))*($AZ53-INDEX('How This Works &amp; Sources'!$B$211:$J$214,0,7))*INDEX('How This Works &amp; Sources'!$B$211:$J$214,0,7+2)),IF($AN53="SC",SUMPRODUCT(($AZ53&gt;INDEX('How This Works &amp; Sources'!$B$219:$J$223,0,1))*($AZ53-INDEX('How This Works &amp; Sources'!$B$219:$J$223,0,1))*INDEX('How This Works &amp; Sources'!$B$219:$J$223,0,1+2)),IF($AN53="VA",SUMPRODUCT(($AZ53&gt;INDEX('How This Works &amp; Sources'!$B$219:$J$223,0,4))*($AZ53-INDEX('How This Works &amp; Sources'!$B$219:$J$223,0,4))*INDEX('How This Works &amp; Sources'!$B$219:$J$223,0,4+2)),IF($AN53="WI",SUMPRODUCT(($AZ53&gt;INDEX('How This Works &amp; Sources'!$B$228:$J$232,0,4))*($AZ53-INDEX('How This Works &amp; Sources'!$B$228:$J$232,0,4))*INDEX('How This Works &amp; Sources'!$B$228:$J$232,0,4+2)),"")))))))</f>
      </c>
      <c r="BZ53" s="24">
        <f>IF($B53="","",IF($AN53="KS",IF($AU53="Married",SUMPRODUCT(($AZ53&gt;=INDEX('How This Works &amp; Sources'!$B$103:$J$109,0,4))*INDEX('How This Works &amp; Sources'!$B$103:$J$109,0,4+2)),SUMPRODUCT(($AZ53&gt;=INDEX('How This Works &amp; Sources'!$B$103:$J$109,0,1))*INDEX('How This Works &amp; Sources'!$B$103:$J$109,0,1+2))),IF($AN53="MT",IF($AU53="Head of household",SUMPRODUCT(($AZ53&gt;=INDEX('How This Works &amp; Sources'!$B$137:$J$139,0,1))*INDEX('How This Works &amp; Sources'!$B$137:$J$139,0,1+2)),IF($AU53="Married",SUMPRODUCT(($AZ53&gt;=INDEX('How This Works &amp; Sources'!$B$125:$J$132,0,7))*INDEX('How This Works &amp; Sources'!$B$125:$J$132,0,7+2)),SUMPRODUCT(($AZ53&gt;=INDEX('How This Works &amp; Sources'!$B$125:$J$132,0,4))*INDEX('How This Works &amp; Sources'!$B$125:$J$132,0,4+2)))),IF($AN53="OR",IF(OR($AU53="Married",AND($AU53="Single",$AS53&gt;=3)),SUMPRODUCT((MAX(0,$AY53-MIN(($P53-'How This Works &amp; Sources'!$C$10*$D53)*'Second Earner'!$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Sources'!$B$211:$J$214,0,4))*INDEX('How This Works &amp; Sources'!$B$211:$J$214,0,4+2)),SUMPRODUCT((MAX(0,$AY53-MIN(($P53-'How This Works &amp; Sources'!$C$10*$D53)*'Second Earner'!$C$8,IF(OR($AU53="Married",AND($AU53="Single",$AS53&gt;=3)),IF($AY53&lt;250000,8750,IF($AY53&lt;260000,7000,IF($AY53&lt;270000,5250,IF($AY53&lt;280000,3500,IF($AY53&lt;290000,1750,0))))),IF($AY53&lt;125000,8750,IF($AY53&lt;130000,7000,IF($AY53&lt;135000,5250,IF($AY53&lt;140000,3500,IF($AY53&lt;145000,1750,0)))))))-IF(OR($AU53="Married",AND($AU53="Single",$AS53&gt;=3)),5820,2910))&gt;=INDEX('How This Works &amp; Sources'!$B$211:$J$214,0,1))*INDEX('How This Works &amp; Sources'!$B$211:$J$214,0,1+2)))*IF(($P53-'How This Works &amp; Sources'!$C$10*$D53)*'Second Earner'!$C$8&gt;=IF(OR($AU53="Married",AND($AU53="Single",$AS53&gt;=3)),IF($AY53&lt;250000,8750,IF($AY53&lt;260000,7000,IF($AY53&lt;270000,5250,IF($AY53&lt;280000,3500,IF($AY53&lt;290000,1750,0))))),IF($AY53&lt;125000,8750,IF($AY53&lt;130000,7000,IF($AY53&lt;135000,5250,IF($AY53&lt;140000,3500,IF($AY53&lt;145000,1750,0)))))),1,1-IF('Second Earner'!$C$13,SUMPRODUCT(($AH53&gt;=INDEX('How This Works &amp; Sources'!$B$29:$J$36,0,IF('Second Earner'!$C$12="MFJ",1,IF('Second Earner'!$C$12="HoH",7,4))))*INDEX('How This Works &amp; Sources'!$B$29:$J$36,0,IF('Second Earner'!$C$12="MFJ",1,IF('Second Earner'!$C$12="HoH",7,4))+2)),SUMPRODUCT(($AH53&gt;=INDEX('How This Works &amp; Sources'!$B$19:$J$26,0,IF('Second Earner'!$C$12="MFJ",1,IF('Second Earner'!$C$12="HoH",7,4))))*INDEX('How This Works &amp; Sources'!$B$19:$J$26,0,IF('Second Earner'!$C$12="MFJ",1,IF('Second Earner'!$C$12="HoH",7,4))+2)))),""))))</f>
      </c>
      <c r="CA53" s="24">
        <f>IF($B53="","",IF($AN53="CA",SUMPRODUCT(($AJ53&gt;=INDEX('How This Works &amp; Sources'!$B$39:$J$48,0,IF($AU53="Married",4,IF($AU53="Head of household",7,1))))*INDEX('How This Works &amp; Sources'!$B$39:$J$48,0,IF($AU53="Married",4,IF($AU53="Head of household",7,1))+2)),IF($AN53="AL",IF(OR($AU53="Married",$AU53="Head of household"),SUMPRODUCT(($AZ53&gt;=INDEX('How This Works &amp; Sources'!$B$82:$J$86,0,4))*INDEX('How This Works &amp; Sources'!$B$82:$J$86,0,4+2)),SUMPRODUCT(($AZ53&gt;=INDEX('How This Works &amp; Sources'!$B$82:$J$86,0,1))*INDEX('How This Works &amp; Sources'!$B$82:$J$86,0,1+2)))*(1-IF('Second Earner'!$C$13,SUMPRODUCT(($AH53&gt;=INDEX('How This Works &amp; Sources'!$B$29:$J$36,0,IF('Second Earner'!$C$12="MFJ",1,IF('Second Earner'!$C$12="HoH",7,4))))*INDEX('How This Works &amp; Sources'!$B$29:$J$36,0,IF('Second Earner'!$C$12="MFJ",1,IF('Second Earner'!$C$12="HoH",7,4))+2)),SUMPRODUCT(($AH53&gt;=INDEX('How This Works &amp; Sources'!$B$19:$J$26,0,IF('Second Earner'!$C$12="MFJ",1,IF('Second Earner'!$C$12="HoH",7,4))))*INDEX('How This Works &amp; Sources'!$B$19:$J$26,0,IF('Second Earner'!$C$12="MFJ",1,IF('Second Earner'!$C$12="HoH",7,4))+2)))),IF($AN53="ND",IF($AU53="Head of household",SUMPRODUCT(($AZ53&gt;=INDEX('How This Works &amp; Sources'!$B$144:$J$150,0,1))*INDEX('How This Works &amp; Sources'!$B$144:$J$150,0,1+2)),IF($AU53="Married",SUMPRODUCT(($AZ53&gt;=INDEX('How This Works &amp; Sources'!$B$137:$J$139,0,7))*INDEX('How This Works &amp; Sources'!$B$137:$J$139,0,7+2)),SUMPRODUCT(($AZ53&gt;=INDEX('How This Works &amp; Sources'!$B$137:$J$139,0,4))*INDEX('How This Works &amp; Sources'!$B$137:$J$139,0,4+2)))),IF($AN53="NJ",IF('Second Earner'!$C$77="B",SUMPRODUCT(($AZ53&gt;=INDEX('How This Works &amp; Sources'!$B$155:$J$162,0,4))*INDEX('How This Works &amp; Sources'!$B$155:$J$162,0,4+2)),IF('Second Earner'!$C$77="C",SUMPRODUCT(($AZ53&gt;=INDEX('How This Works &amp; Sources'!$B$155:$J$162,0,7))*INDEX('How This Works &amp; Sources'!$B$155:$J$162,0,7+2)),IF('Second Earner'!$C$77="D",SUMPRODUCT(($AZ53&gt;=INDEX('How This Works &amp; Sources'!$B$167:$J$179,0,1))*INDEX('How This Works &amp; Sources'!$B$167:$J$179,0,1+2)),IF('Second Earner'!$C$77="E",SUMPRODUCT(($AZ53&gt;=INDEX('How This Works &amp; Sources'!$B$167:$J$179,0,4))*INDEX('How This Works &amp; Sources'!$B$167:$J$179,0,4+2)),SUMPRODUCT(($AZ53&gt;=INDEX('How This Works &amp; Sources'!$B$155:$J$162,0,1))*INDEX('How This Works &amp; Sources'!$B$155:$J$162,0,1+2)))))),IF($AN53="NY",IF($AU53="Married",IF($AZ53&gt;=2155350,IF($AZ53&gt;25000000,0.117,IF($AZ53&gt;5000000,0.111,0.1045)),SUMPRODUCT(($AZ53&gt;=INDEX('How This Works &amp; Sources'!$B$184:$J$198,0,1))*INDEX('How This Works &amp; Sources'!$B$184:$J$198,0,1+2))),IF($AZ53&gt;=1077550,IF($AZ53&gt;25000000,0.117,IF($AZ53&gt;5000000,0.111,0.1045)),SUMPRODUCT(($AZ53&gt;=INDEX('How This Works &amp; Sources'!$B$167:$J$179,0,7))*INDEX('How This Works &amp; Sources'!$B$167:$J$179,0,7+2)))),IF($AN53="LA",0.0309,"")))))))</f>
      </c>
      <c r="CB53" s="24">
        <f>IF($B53="","",IF($AN53="HI",IF($AU53="Married",SUMPRODUCT(($AZ53&gt;=INDEX('How This Works &amp; Sources'!$B$91:$J$98,0,7))*INDEX('How This Works &amp; Sources'!$B$91:$J$98,0,7+2)),SUMPRODUCT(($AZ53&gt;=INDEX('How This Works &amp; Sources'!$B$91:$J$98,0,4))*INDEX('How This Works &amp; Sources'!$B$91:$J$98,0,4+2))),IF($AN53="MD",IF(OR($AU53="Married",$AU53="Head of household"),SUMPRODUCT(($AZ53&gt;=INDEX('How This Works &amp; Sources'!$B$114:$J$120,0,1))*INDEX('How This Works &amp; Sources'!$B$114:$J$120,0,1+2)),SUMPRODUCT(($AZ53&gt;=INDEX('How This Works &amp; Sources'!$B$103:$J$109,0,7))*INDEX('How This Works &amp; Sources'!$B$103:$J$109,0,7+2)))+'Second Earner'!$C$74,IF($AN53="MN",IF($AU53="Married",SUMPRODUCT(($AZ53&gt;=INDEX('How This Works &amp; Sources'!$B$114:$J$120,0,7))*INDEX('How This Works &amp; Sources'!$B$114:$J$120,0,7+2)),SUMPRODUCT(($AZ53&gt;=INDEX('How This Works &amp; Sources'!$B$114:$J$120,0,4))*INDEX('How This Works &amp; Sources'!$B$114:$J$120,0,4+2))),IF($AN53="MO",SUMPRODUCT(($AZ53&gt;=INDEX('How This Works &amp; Sources'!$B$125:$J$132,0,1))*INDEX('How This Works &amp; Sources'!$B$125:$J$132,0,1+2)),IF($AN53="NE",MAX(IF($AU53="Married",SUMPRODUCT(($AZ53&gt;=INDEX('How This Works &amp; Sources'!$B$144:$J$150,0,7))*INDEX('How This Works &amp; Sources'!$B$144:$J$150,0,7+2)),SUMPRODUCT(($AZ53&gt;=INDEX('How This Works &amp; Sources'!$B$144:$J$150,0,4))*INDEX('How This Works &amp; Sources'!$B$144:$J$150,0,4+2))),0.015),IF($AN53="OH",IF($B53&gt;=DATE(2026,8,1),SUMPRODUCT(($AZ53&gt;=INDEX('How This Works &amp; Sources'!$B$203:$J$206,0,1))*INDEX('How This Works &amp; Sources'!$B$203:$J$206,0,1+2)),SUMPRODUCT(($AZ53&gt;=INDEX('How This Works &amp; Sources'!$B$184:$J$198,0,7))*INDEX('How This Works &amp; Sources'!$B$184:$J$198,0,7+2))),IF($AN53="OK",IF($AU53="Married",SUMPRODUCT(($AZ53&gt;=INDEX('How This Works &amp; Sources'!$B$203:$J$206,0,7))*INDEX('How This Works &amp; Sources'!$B$203:$J$206,0,7+2)),SUMPRODUCT(($AZ53&gt;=INDEX('How This Works &amp; Sources'!$B$203:$J$206,0,4))*INDEX('How This Works &amp; Sources'!$B$203:$J$206,0,4+2))),IF($AN53="RI",SUMPRODUCT(($AZ53&gt;=INDEX('How This Works &amp; Sources'!$B$211:$J$214,0,7))*INDEX('How This Works &amp; Sources'!$B$211:$J$214,0,7+2)),IF($AN53="VT",IF($AU53="Married",SUMPRODUCT(($AZ53&gt;=INDEX('How This Works &amp; Sources'!$B$228:$J$232,0,1))*INDEX('How This Works &amp; Sources'!$B$228:$J$232,0,1+2)),SUMPRODUCT(($AZ53&gt;=INDEX('How This Works &amp; Sources'!$B$219:$J$223,0,7))*INDEX('How This Works &amp; Sources'!$B$219:$J$223,0,7+2))),IF($AN53="WV",IF($AU53="Married",SUMPRODUCT(($AZ53&gt;=INDEX('How This Works &amp; Sources'!$B$237:$J$241,0,7))*INDEX('How This Works &amp; Sources'!$B$237:$J$241,0,7+2)),SUMPRODUCT(($AZ53&gt;=INDEX('How This Works &amp; Sources'!$B$228:$J$232,0,7))*INDEX('How This Works &amp; Sources'!$B$228:$J$232,0,7+2))),IF($AN53="AZ",'Second Earner'!$C$82,IF($AN53="ID",IF($AY53&gt;IF($AU53="Married",32000,16094),0.053,0),"")))))))))))))</f>
      </c>
      <c r="CC53" s="24">
        <f>IF($B53="","",IF($AN53="AR",SUMPRODUCT(($AZ53&gt;=INDEX('How This Works &amp; Sources'!$B$82:$J$86,0,7))*INDEX('How This Works &amp; Sources'!$B$82:$J$86,0,7+2)),IF($AN53="DE",SUMPRODUCT(($AZ53&gt;=INDEX('How This Works &amp; Sources'!$B$91:$J$98,0,1))*INDEX('How This Works &amp; Sources'!$B$91:$J$98,0,1+2)),IF($AN53="SC",SUMPRODUCT(($AZ53&gt;=INDEX('How This Works &amp; Sources'!$B$219:$J$223,0,1))*INDEX('How This Works &amp; Sources'!$B$219:$J$223,0,1+2)),IF($AN53="VA",SUMPRODUCT(($AZ53&gt;=INDEX('How This Works &amp; Sources'!$B$219:$J$223,0,4))*INDEX('How This Works &amp; Sources'!$B$219:$J$223,0,4+2)),IF($AN53="WI",SUMPRODUCT(($AZ53&gt;=INDEX('How This Works &amp; Sources'!$B$228:$J$232,0,4))*INDEX('How This Works &amp; Sources'!$B$228:$J$232,0,4+2)),IF($AN53="CO",IF($AY53&gt;IF($AU53="Married",10000,5000),0.044,0),IF($AN53="IA",IF($AY53&gt;IF($AU53="Head of household",19500,IF($AU53="Married",26000,13000)),0.038,0),IF($AN53="IL",IF($AY53&gt;(2925*$AS53+1000*$AT53),0.0495,0),IF($AN53="IN",(0.0295+'Second Earner'!$C$76),IF($AN53="KY",IF($AI53&gt;3360,0.035,0),IF($AN53="MA",IF(MAX(0,$AY53-MIN(($BD52+$Q53+$R53+$S53),2000)-IF($AS53=0,0,IF($AS53=1,4400,1000*$AS53+3400)))&gt;=1107750,0.09,0.05),IF($AN53="MI",IF($AY53&gt;5900*$AS53,0.0425,0),IF($AN53="MS",IF($AI53-IF($AU53="Head of household",3400,IF($AU53="Married",4600,2300))-'Second Earner'!$C$85&gt;10000,0.04,0),IF($AN53="PA",0.0307,"")))))))))))))))</f>
      </c>
      <c r="CD53" s="21">
        <f>IF(YEAR(IF('Second Earner'!$C$7="Weekly",'Second Earner'!$C$9+7*(($BE52+1)-1),IF('Second Earner'!$C$7="Biweekly",'Second Earner'!$C$9+14*(($BE52+1)-1),IF('Second Earner'!$C$7="Semimonthly",DATE(YEAR('Second Earner'!$C$9),MONTH('Second Earner'!$C$9)+INT((($BE52+1)-1)/2),MIN(DAY('Second Earner'!$C$9),DAY(EOMONTH(DATE(YEAR('Second Earner'!$C$9),MONTH('Second Earner'!$C$9)+INT((($BE52+1)-1)/2),1),0))))+IF(MOD(($BE52+1)-1,2)=1,15,0),EDATE('Second Earner'!$C$9,($BE52+1)-1)))))&lt;&gt;'Second Earner'!$C$10,"",IF('Second Earner'!$C$7="Weekly",'Second Earner'!$C$9+7*(($BE52+1)-1),IF('Second Earner'!$C$7="Biweekly",'Second Earner'!$C$9+14*(($BE52+1)-1),IF('Second Earner'!$C$7="Semimonthly",DATE(YEAR('Second Earner'!$C$9),MONTH('Second Earner'!$C$9)+INT((($BE52+1)-1)/2),MIN(DAY('Second Earner'!$C$9),DAY(EOMONTH(DATE(YEAR('Second Earner'!$C$9),MONTH('Second Earner'!$C$9)+INT((($BE52+1)-1)/2),1),0))))+IF(MOD(($BE52+1)-1,2)=1,15,0),EDATE('Second Earner'!$C$9,($BE52+1)-1)))))</f>
      </c>
      <c r="CE53" s="21">
        <f>IF(MIN(IF(AND('Second Earner'!$C$58&gt;MAX($B$6:$B52),'Second Earner'!$C$58&gt;=DATE('Second Earner'!$C$10,1,1),'Second Earner'!$C$58&lt;=DATE('Second Earner'!$C$10,12,31)),'Second Earner'!$C$58,999999),IF(AND('Second Earner'!$C$59&gt;MAX($B$6:$B52),'Second Earner'!$C$59&gt;=DATE('Second Earner'!$C$10,1,1),'Second Earner'!$C$59&lt;=DATE('Second Earner'!$C$10,12,31)),'Second Earner'!$C$59,999999),IF(AND('Second Earner'!$C$60&gt;MAX($B$6:$B52),'Second Earner'!$C$60&gt;=DATE('Second Earner'!$C$10,1,1),'Second Earner'!$C$60&lt;=DATE('Second Earner'!$C$10,12,31)),'Second Earner'!$C$60,999999),IF(AND('Second Earner'!$C$61&gt;MAX($B$6:$B52),'Second Earner'!$C$61&gt;=DATE('Second Earner'!$C$10,1,1),'Second Earner'!$C$61&lt;=DATE('Second Earner'!$C$10,12,31)),'Second Earner'!$C$61,999999),IF(AND('Second Earner'!$C$62&gt;MAX($B$6:$B52),'Second Earner'!$C$62&gt;=DATE('Second Earner'!$C$10,1,1),'Second Earner'!$C$62&lt;=DATE('Second Earner'!$C$10,12,31)),'Second Earner'!$C$62,999999),IF(AND('Second Earner'!$C$63&gt;MAX($B$6:$B52),'Second Earner'!$C$63&gt;=DATE('Second Earner'!$C$10,1,1),'Second Earner'!$C$63&lt;=DATE('Second Earner'!$C$10,12,31)),'Second Earner'!$C$63,999999),IF(AND('Second Earner'!$C$64&gt;MAX($B$6:$B52),'Second Earner'!$C$64&gt;=DATE('Second Earner'!$C$10,1,1),'Second Earner'!$C$64&lt;=DATE('Second Earner'!$C$10,12,31)),'Second Earner'!$C$64,999999),IF(AND('Second Earner'!$C$65&gt;MAX($B$6:$B52),'Second Earner'!$C$65&gt;=DATE('Second Earner'!$C$10,1,1),'Second Earner'!$C$65&lt;=DATE('Second Earner'!$C$10,12,31)),'Second Earner'!$C$65,999999),IF(AND('Second Earner'!$C$66&gt;MAX($B$6:$B52),'Second Earner'!$C$66&gt;=DATE('Second Earner'!$C$10,1,1),'Second Earner'!$C$66&lt;=DATE('Second Earner'!$C$10,12,31)),'Second Earner'!$C$66,999999),IF(AND('Second Earner'!$C$67&gt;MAX($B$6:$B52),'Second Earner'!$C$67&gt;=DATE('Second Earner'!$C$10,1,1),'Second Earner'!$C$67&lt;=DATE('Second Earner'!$C$10,12,31)),'Second Earner'!$C$67,999999))=999999,"",MIN(IF(AND('Second Earner'!$C$58&gt;MAX($B$6:$B52),'Second Earner'!$C$58&gt;=DATE('Second Earner'!$C$10,1,1),'Second Earner'!$C$58&lt;=DATE('Second Earner'!$C$10,12,31)),'Second Earner'!$C$58,999999),IF(AND('Second Earner'!$C$59&gt;MAX($B$6:$B52),'Second Earner'!$C$59&gt;=DATE('Second Earner'!$C$10,1,1),'Second Earner'!$C$59&lt;=DATE('Second Earner'!$C$10,12,31)),'Second Earner'!$C$59,999999),IF(AND('Second Earner'!$C$60&gt;MAX($B$6:$B52),'Second Earner'!$C$60&gt;=DATE('Second Earner'!$C$10,1,1),'Second Earner'!$C$60&lt;=DATE('Second Earner'!$C$10,12,31)),'Second Earner'!$C$60,999999),IF(AND('Second Earner'!$C$61&gt;MAX($B$6:$B52),'Second Earner'!$C$61&gt;=DATE('Second Earner'!$C$10,1,1),'Second Earner'!$C$61&lt;=DATE('Second Earner'!$C$10,12,31)),'Second Earner'!$C$61,999999),IF(AND('Second Earner'!$C$62&gt;MAX($B$6:$B52),'Second Earner'!$C$62&gt;=DATE('Second Earner'!$C$10,1,1),'Second Earner'!$C$62&lt;=DATE('Second Earner'!$C$10,12,31)),'Second Earner'!$C$62,999999),IF(AND('Second Earner'!$C$63&gt;MAX($B$6:$B52),'Second Earner'!$C$63&gt;=DATE('Second Earner'!$C$10,1,1),'Second Earner'!$C$63&lt;=DATE('Second Earner'!$C$10,12,31)),'Second Earner'!$C$63,999999),IF(AND('Second Earner'!$C$64&gt;MAX($B$6:$B52),'Second Earner'!$C$64&gt;=DATE('Second Earner'!$C$10,1,1),'Second Earner'!$C$64&lt;=DATE('Second Earner'!$C$10,12,31)),'Second Earner'!$C$64,999999),IF(AND('Second Earner'!$C$65&gt;MAX($B$6:$B52),'Second Earner'!$C$65&gt;=DATE('Second Earner'!$C$10,1,1),'Second Earner'!$C$65&lt;=DATE('Second Earner'!$C$10,12,31)),'Second Earner'!$C$65,999999),IF(AND('Second Earner'!$C$66&gt;MAX($B$6:$B52),'Second Earner'!$C$66&gt;=DATE('Second Earner'!$C$10,1,1),'Second Earner'!$C$66&lt;=DATE('Second Earner'!$C$10,12,31)),'Second Earner'!$C$66,999999),IF(AND('Second Earner'!$C$67&gt;MAX($B$6:$B52),'Second Earner'!$C$67&gt;=DATE('Second Earner'!$C$10,1,1),'Second Earner'!$C$67&lt;=DATE('Second Earner'!$C$10,12,31)),'Second Earner'!$C$67,999999)))</f>
      </c>
      <c r="CF53">
        <f>IF($B53="","",IF($D53=0,$Y53,""))</f>
      </c>
    </row>
    <row r="54">
      <c r="A54" t="n">
        <v>49</v>
      </c>
      <c r="B54" s="21">
        <f>IF(AND($CD54="",$CE54=""),"",IF($CE54="",$CD54,IF($CD54="",$CE54,MIN($CD54,$CE54))))</f>
      </c>
      <c r="C54" s="7">
        <f>IF($B54="","",IF($BF54=0,0,IF('Second Earner'!$C$4="Annual salary",ROUND($AK54/IF(AND('Second Earner'!$C$88="Actual paydays",MONTH('Second Earner'!$C$9)=1),MAX(1,MAX($BE$6:$BE$68)),'Second Earner'!$C$8),2),$AK54)))</f>
      </c>
      <c r="D54" s="7">
        <f>IF($B54="","",SUMIF('Second Earner'!$C$58:$C$67,$B54,'Second Earner'!$D$58:$D$67))</f>
      </c>
      <c r="E54" s="7">
        <f>IF($B54="","",ROUND(MAX(0,MIN(IF($AL54="Percent",$AM54*($C54+$D54),$AM54),MAX(0,'Second Earner'!$C$34-$AC53))),2))</f>
      </c>
      <c r="F54" s="7">
        <f>IF($B54="","",ROUND(MAX(0,MIN(IF('Second Earner'!$C$32="Percent",'Second Earner'!$D$32*($C54+$D54),'Second Earner'!$D$32),MAX(0,'Second Earner'!$C$34-$AC53-$E54))),2))</f>
      </c>
      <c r="G54" s="7">
        <f>IF($B54="","",IF($BF54=0,0,ROUND(MAX(0,MIN($BL54,'Second Earner'!$C$37-'Second Earner'!$C$54-$BI53)),2)))</f>
      </c>
      <c r="H54" s="7">
        <f>IF($B54="","",IF(OR($BF54=0,$BQ54=1),0,ROUND(MAX(0,MIN(IF($BS54=1,ROUND(MAX(0,MIN($BJ54,'How This Works &amp; Sources'!$C$13)-$BG53)/MAX(1,MAX($BE$6:$BE$68)-($BE53)),2),ROUND(MIN($BJ54,'How This Works &amp; Sources'!$C$13)/'Second Earner'!$C$8,2)),MIN($BJ54,'How This Works &amp; Sources'!$C$13)-$BG53)),2)))</f>
      </c>
      <c r="I54" s="7">
        <f>IF($B54="","",IF(OR($BF54=0,$BR54=1),0,ROUND(MAX(0,MIN(IF($BT54=1,ROUND(MAX(0,MIN($BK54,IF('Second Earner'!$C$12="MFJ",'How This Works &amp; Sources'!$C$14,'How This Works &amp; Sources'!$C$15))-$BH53)/MAX(1,MAX($BE$6:$BE$68)-($BE53)),2),ROUND(MIN($BK54,IF('Second Earner'!$C$12="MFJ",'How This Works &amp; Sources'!$C$14,'How This Works &amp; Sources'!$C$15))/'Second Earner'!$C$8,2)),MIN($BK54,IF('Second Earner'!$C$12="MFJ",'How This Works &amp; Sources'!$C$14,'How This Works &amp; Sources'!$C$15))-$BH53)),2)))</f>
      </c>
      <c r="J54" s="7">
        <f>IF($B54="","",IF($BF54=0,0,$BM54))</f>
      </c>
      <c r="K54" s="7">
        <f>IF($B54="","",IF($BF54=0,0,$BN54+$BO54))</f>
      </c>
      <c r="L54" s="7">
        <f>IF($B54="","",IF($BF54=0,0,'Second Earner'!$D$46))</f>
      </c>
      <c r="M54" s="7">
        <f>IF($B54="","",$C54+$D54+$L54-$E54-$G54-$H54-$I54-$J54-$K54)</f>
      </c>
      <c r="N54" s="7">
        <f>IF($B54="","",$C54+$D54+$L54-$G54-$H54-$I54-$J54-$K54)</f>
      </c>
      <c r="O54" s="7">
        <f>IF($B54="","",$C54+$D54+$L54-$E54-$H54-$I54-$J54-$K54-IF(OR($AN54="CA",$AN54="NJ"),0,$G54))</f>
      </c>
      <c r="P54" s="7">
        <f>IF($B54="","",IF('Second Earner'!$C$18,0,ROUND(MAX(0,IF('Second Earner'!$C$13,SUMPRODUCT(($AH54&gt;INDEX('How This Works &amp; Sources'!$B$29:$J$36,0,IF('Second Earner'!$C$12="MFJ",1,IF('Second Earner'!$C$12="HoH",7,4))))*($AH54-INDEX('How This Works &amp; Sources'!$B$29:$J$36,0,IF('Second Earner'!$C$12="MFJ",1,IF('Second Earner'!$C$12="HoH",7,4))))*INDEX('How This Works &amp; Sources'!$B$29:$J$36,0,IF('Second Earner'!$C$12="MFJ",1,IF('Second Earner'!$C$12="HoH",7,4))+2)),SUMPRODUCT(($AH54&gt;INDEX('How This Works &amp; Sources'!$B$19:$J$26,0,IF('Second Earner'!$C$12="MFJ",1,IF('Second Earner'!$C$12="HoH",7,4))))*($AH54-INDEX('How This Works &amp; Sources'!$B$19:$J$26,0,IF('Second Earner'!$C$12="MFJ",1,IF('Second Earner'!$C$12="HoH",7,4))))*INDEX('How This Works &amp; Sources'!$B$19:$J$26,0,IF('Second Earner'!$C$12="MFJ",1,IF('Second Earner'!$C$12="HoH",7,4))+2)))/'Second Earner'!$C$8-$AO54/'Second Earner'!$C$8)+$AR54+IF('Second Earner'!$C$89="Aggregate",MAX(0,IF('Second Earner'!$C$13,SUMPRODUCT((($AH54+$D54)&gt;INDEX('How This Works &amp; Sources'!$B$29:$J$36,0,IF('Second Earner'!$C$12="MFJ",1,IF('Second Earner'!$C$12="HoH",7,4))))*(($AH54+$D54)-INDEX('How This Works &amp; Sources'!$B$29:$J$36,0,IF('Second Earner'!$C$12="MFJ",1,IF('Second Earner'!$C$12="HoH",7,4))))*INDEX('How This Works &amp; Sources'!$B$29:$J$36,0,IF('Second Earner'!$C$12="MFJ",1,IF('Second Earner'!$C$12="HoH",7,4))+2)),SUMPRODUCT((($AH54+$D54)&gt;INDEX('How This Works &amp; Sources'!$B$19:$J$26,0,IF('Second Earner'!$C$12="MFJ",1,IF('Second Earner'!$C$12="HoH",7,4))))*(($AH54+$D54)-INDEX('How This Works &amp; Sources'!$B$19:$J$26,0,IF('Second Earner'!$C$12="MFJ",1,IF('Second Earner'!$C$12="HoH",7,4))))*INDEX('How This Works &amp; Sources'!$B$19:$J$26,0,IF('Second Earner'!$C$12="MFJ",1,IF('Second Earner'!$C$12="HoH",7,4))+2)))-IF('Second Earner'!$C$13,SUMPRODUCT(($AH54&gt;INDEX('How This Works &amp; Sources'!$B$29:$J$36,0,IF('Second Earner'!$C$12="MFJ",1,IF('Second Earner'!$C$12="HoH",7,4))))*($AH54-INDEX('How This Works &amp; Sources'!$B$29:$J$36,0,IF('Second Earner'!$C$12="MFJ",1,IF('Second Earner'!$C$12="HoH",7,4))))*INDEX('How This Works &amp; Sources'!$B$29:$J$36,0,IF('Second Earner'!$C$12="MFJ",1,IF('Second Earner'!$C$12="HoH",7,4))+2)),SUMPRODUCT(($AH54&gt;INDEX('How This Works &amp; Sources'!$B$19:$J$26,0,IF('Second Earner'!$C$12="MFJ",1,IF('Second Earner'!$C$12="HoH",7,4))))*($AH54-INDEX('How This Works &amp; Sources'!$B$19:$J$26,0,IF('Second Earner'!$C$12="MFJ",1,IF('Second Earner'!$C$12="HoH",7,4))))*INDEX('How This Works &amp; Sources'!$B$19:$J$26,0,IF('Second Earner'!$C$12="MFJ",1,IF('Second Earner'!$C$12="HoH",7,4))+2)))),'How This Works &amp; Sources'!$C$10*$D54),2)))</f>
      </c>
      <c r="Q54" s="7">
        <f>IF($B54="","",ROUND('How This Works &amp; Sources'!$C$4*MIN($N54,MAX(0,'How This Works &amp; Sources'!$C$3-($AX54+$AB53-$AW54))),2))</f>
      </c>
      <c r="R54" s="7">
        <f>IF($B54="","",ROUND('How This Works &amp; Sources'!$C$5*$N54,2))</f>
      </c>
      <c r="S54" s="7">
        <f>IF($B54="","",ROUND('How This Works &amp; Sources'!$C$6*MAX(0,MIN($N54,$AG53+$N54-'How This Works &amp; Sources'!$C$7)),2))</f>
      </c>
      <c r="T54" s="7">
        <f>IF($B54="","",IF('Second Earner'!$C$26,0,IF($AN54="CA",ROUND(IF($AI54&lt;=IF(($AS54+$AT54)&gt;=2,VLOOKUP($AN54,StateTables!$A$6:$AB$56,10,FALSE),VLOOKUP($AN54,StateTables!$A$6:$AB$56,9,FALSE)),0,MAX(0,SUMPRODUCT(($AJ54&gt;INDEX('How This Works &amp; Sources'!$B$39:$J$48,0,IF($AU54="Married",4,IF($AU54="Head of household",7,1))))*($AJ54-INDEX('How This Works &amp; Sources'!$B$39:$J$48,0,IF($AU54="Married",4,IF($AU54="Head of household",7,1))))*INDEX('How This Works &amp; Sources'!$B$39:$J$48,0,IF($AU54="Married",4,IF($AU54="Head of household",7,1))+2))-VLOOKUP($AN54,StateTables!$A$6:$AB$56,11,FALSE)*$AS54)/'Second Earner'!$C$8)+'Second Earner'!$C$25+VLOOKUP($AN54,StateTables!$A$6:$AB$56,13,FALSE)*$D54,2),IF(VLOOKUP($AN54,StateTables!$A$6:$AB$56,4,FALSE)="None",0,IF(ISNUMBER(SEARCH("MANUAL",VLOOKUP($AN54,StateTables!$A$6:$AB$56,5,FALSE))),'Second Earner'!$C$28,ROUND(MAX(0,$BA54+$BB54)/'Second Earner'!$C$8+'Second Earner'!$C$25+$BC54,2))))))</f>
      </c>
      <c r="U54" s="7">
        <f>IF($B54="","",IF(VLOOKUP($AN54,StateTables!$A$6:$AB$56,24,FALSE)="flatq",IF(OR(MONTH($B54)=1,MONTH($B54)=4,MONTH($B54)=7,MONTH($B54)=10),VLOOKUP($AN54,StateTables!$A$6:$AB$56,25,FALSE),0),IF(VLOOKUP($AN54,StateTables!$A$6:$AB$56,24,FALSE)="dbl",MIN(ROUND(0.005*$N54,2),ROUND(0.6*52/'Second Earner'!$C$8,2)),IF(OR(VLOOKUP($AN54,StateTables!$A$6:$AB$56,15,FALSE)="",VLOOKUP($AN54,StateTables!$A$6:$AB$56,15,FALSE)=0),0,ROUND(VLOOKUP($AN54,StateTables!$A$6:$AB$56,15,FALSE)*IF(OR(VLOOKUP($AN54,StateTables!$A$6:$AB$56,16,FALSE)="",VLOOKUP($AN54,StateTables!$A$6:$AB$56,16,FALSE)=0),$N54,MIN($N54,MAX(0,VLOOKUP($AN54,StateTables!$A$6:$AB$56,16,FALSE)-($AX54+$AB53-$AW54)))),2))))+IF(VLOOKUP($AN54,StateTables!$A$6:$AB$56,27,FALSE)="flatq",IF(OR(MONTH($B54)=1,MONTH($B54)=4,MONTH($B54)=7,MONTH($B54)=10),VLOOKUP($AN54,StateTables!$A$6:$AB$56,28,FALSE),0),IF(VLOOKUP($AN54,StateTables!$A$6:$AB$56,27,FALSE)="dbl",MIN(ROUND(0.005*$N54,2),ROUND(0.6*52/'Second Earner'!$C$8,2)),IF(OR(VLOOKUP($AN54,StateTables!$A$6:$AB$56,18,FALSE)="",VLOOKUP($AN54,StateTables!$A$6:$AB$56,18,FALSE)=0),0,ROUND(VLOOKUP($AN54,StateTables!$A$6:$AB$56,18,FALSE)*IF(OR(VLOOKUP($AN54,StateTables!$A$6:$AB$56,19,FALSE)="",VLOOKUP($AN54,StateTables!$A$6:$AB$56,19,FALSE)=0),$N54,MIN($N54,MAX(0,VLOOKUP($AN54,StateTables!$A$6:$AB$56,19,FALSE)-($AX54+$AB53-$AW54)))),2)))))</f>
      </c>
      <c r="V54" s="7">
        <f>IF($B54="","",IF($AN54="NY",IF('Second Earner'!$C$78,ROUND(SUMPRODUCT((MAX(0,($O54-$D54)*'Second Earner'!$C$8-(IF($AU54="Married",5500,5000)+1000*$AS54))&gt;INDEX('How This Works &amp; Sources'!$B$184:$J$198,0,4))*(MAX(0,($O54-$D54)*'Second Earner'!$C$8-(IF($AU54="Married",5500,5000)+1000*$AS54))-INDEX('How This Works &amp; Sources'!$B$184:$J$198,0,4))*INDEX('How This Works &amp; Sources'!$B$184:$J$198,0,4+2))/'Second Earner'!$C$8+0.0425*$D54,2),0)+IF('Second Earner'!$C$79="Resident",ROUND(0.1675*$T54,2),IF('Second Earner'!$C$79="Nonresident",ROUND(0.005*MAX(0,($O54-$D54)-(IF($AU54="Married",7950,7400)+1000*$AS54)/'Second Earner'!$C$8),2),0)),IF($AN54="PA",IF('Second Earner'!$C$80="None",'Second Earner'!$C$27+ROUND('Second Earner'!$C$81*($C54+$D54),2),ROUND(IF('Second Earner'!$C$80="Resident",IF($B54&lt;DATE(2026,7,1),0.0374,0.03735),IF($B54&lt;DATE(2026,7,1),0.0343,0.03425))*($C54+$D54),2)),IF($BF54=0,ROUND('Second Earner'!$C$81*($C54+$D54),2),'Second Earner'!$C$27+ROUND('Second Earner'!$C$81*($C54+$D54),2)))))</f>
      </c>
      <c r="W54" s="7">
        <f>IF($B54="","",IF($BF54=0,0,$BP54))</f>
      </c>
      <c r="X54" s="7">
        <f>IF($B54="","",SUM($E54:$K54)+$P54+$Q54+$R54+$S54+$T54+$U54+$V54+$W54)</f>
      </c>
      <c r="Y54" s="22">
        <f>IF($B54="","",$C54+$D54-$X54)</f>
      </c>
      <c r="Z54" s="7">
        <f>IF($B54="","",$Z53+$C54+$D54)</f>
      </c>
      <c r="AA54" s="7">
        <f>IF($B54="","",$AA53+$Y54)</f>
      </c>
      <c r="AB54" s="7">
        <f>IF($B54="","",$AB53+MIN($N54,MAX(0,'How This Works &amp; Sources'!$C$3-($AX54+$AB53-$AW54))))</f>
      </c>
      <c r="AC54" s="7">
        <f>IF($B54="","",$AC53+$E54+$F54)</f>
      </c>
      <c r="AD54" s="3">
        <f>IF($B54="","",IF(AND($AB53&lt;'How This Works &amp; Sources'!$C$3,$AB54&gt;='How This Works &amp; Sources'!$C$3),"★ Social Security maxed on this check — from the next check your net rises by about $"&amp;TEXT(ROUND('How This Works &amp; Sources'!$C$4*$N54,2),"#,##0.00")&amp;". ","")&amp;IF(AND($AC53&lt;'Second Earner'!$C$34,$AC54&gt;='Second Earner'!$C$34),"★ 401(k) reaches the $"&amp;TEXT('Second Earner'!$C$34,"#,##0")&amp;" cap on this check — deferrals stop and net pay rises. ","")&amp;IF(AND($AG53&lt;'How This Works &amp; Sources'!$C$7,$AG54&gt;='How This Works &amp; Sources'!$C$7),"★ Wages pass $200,000 — the 0.9% Additional Medicare Tax starts here. ","")&amp;IF(AND($BJ54&gt;0,$H54&gt;0,$BG53&lt;MIN($BJ54,'How This Works &amp; Sources'!$C$13),$BG53+$H54&gt;=MIN($BJ54,'How This Works &amp; Sources'!$C$13)),"★ Health FSA election is now fully deferred for the year. ",""))</f>
      </c>
      <c r="AE54" s="41" t="n"/>
      <c r="AF54" s="7">
        <f>IF(OR($B54="",$AE54=""),"",$AE54-$Y54)</f>
      </c>
      <c r="AG54" s="7">
        <f>IF($B54="","",$AG53+$N54)</f>
      </c>
      <c r="AH54" s="7">
        <f>IF($B54="","",MAX(0,($M54-$D54)*'Second Earner'!$C$8+$AP54-$AQ54-IF('Second Earner'!$C$13,0,IF('Second Earner'!$C$12="MFJ",'How This Works &amp; Sources'!$C$8,'How This Works &amp; Sources'!$C$9))))</f>
      </c>
      <c r="AI54" s="7">
        <f>IF($B54="","",$O54*'Second Earner'!$C$8)</f>
      </c>
      <c r="AJ54" s="7">
        <f>IF($B54="","",MAX(0,$AI54-VLOOKUP($AN54,StateTables!$A$6:$AB$56,12,FALSE)*$AT54-IF(($AS54+$AT54)&gt;=2,VLOOKUP($AN54,StateTables!$A$6:$AB$56,8,FALSE),VLOOKUP($AN54,StateTables!$A$6:$AB$56,7,FALSE))))</f>
      </c>
      <c r="AK54" s="7">
        <f>IF($B54="","",IFERROR(LOOKUP(2,1/(('Changes — Earner 2'!$C$6:$C$17="Salary change")*('Changes — Earner 2'!$B$6:$B$17&lt;=$B54)*('Changes — Earner 2'!$B$6:$B$17&lt;&gt;"")),'Changes — Earner 2'!$D$6:$D$17),IF('Second Earner'!$C$4="Annual salary",'Second Earner'!$C$5,'Second Earner'!$C$6)))</f>
      </c>
      <c r="AL54">
        <f>IF($B54="","",IFERROR(LOOKUP(2,1/(('Changes — Earner 2'!$C$6:$C$17="401(k) change")*('Changes — Earner 2'!$B$6:$B$17&lt;=$B54)*('Changes — Earner 2'!$B$6:$B$17&lt;&gt;"")),'Changes — Earner 2'!$D$6:$D$17),'Second Earner'!$C$30))</f>
      </c>
      <c r="AM54" s="7">
        <f>IF($B54="","",IFERROR(LOOKUP(2,1/(('Changes — Earner 2'!$C$6:$C$17="401(k) change")*('Changes — Earner 2'!$B$6:$B$17&lt;=$B54)*('Changes — Earner 2'!$B$6:$B$17&lt;&gt;"")),'Changes — Earner 2'!$E$6:$E$17),'Second Earner'!$D$31))</f>
      </c>
      <c r="AN54">
        <f>IF($B54="","",IFERROR(LOOKUP(2,1/(('Changes — Earner 2'!$C$6:$C$17="State move")*('Changes — Earner 2'!$B$6:$B$17&lt;=$B54)*('Changes — Earner 2'!$B$6:$B$17&lt;&gt;"")),'Changes — Earner 2'!$D$6:$D$17),'Second Earner'!$C$21))</f>
      </c>
      <c r="AO54" s="7">
        <f>IF($B54="","",IFERROR(LOOKUP(2,1/(('Changes — Earner 2'!$C$6:$C$17="W-4 change")*('Changes — Earner 2'!$B$6:$B$17&lt;=$B54)*('Changes — Earner 2'!$B$6:$B$17&lt;&gt;"")),'Changes — Earner 2'!$D$6:$D$17),'Second Earner'!$C$14))</f>
      </c>
      <c r="AP54" s="7">
        <f>IF($B54="","",IFERROR(LOOKUP(2,1/(('Changes — Earner 2'!$C$6:$C$17="W-4 change")*('Changes — Earner 2'!$B$6:$B$17&lt;=$B54)*('Changes — Earner 2'!$B$6:$B$17&lt;&gt;"")),'Changes — Earner 2'!$E$6:$E$17),'Second Earner'!$C$15))</f>
      </c>
      <c r="AQ54" s="7">
        <f>IF($B54="","",IFERROR(LOOKUP(2,1/(('Changes — Earner 2'!$C$6:$C$17="W-4 change")*('Changes — Earner 2'!$B$6:$B$17&lt;=$B54)*('Changes — Earner 2'!$B$6:$B$17&lt;&gt;"")),'Changes — Earner 2'!$F$6:$F$17),'Second Earner'!$C$16))</f>
      </c>
      <c r="AR54" s="7">
        <f>IF($B54="","",IFERROR(LOOKUP(2,1/(('Changes — Earner 2'!$C$6:$C$17="W-4 change")*('Changes — Earner 2'!$B$6:$B$17&lt;=$B54)*('Changes — Earner 2'!$B$6:$B$17&lt;&gt;"")),'Changes — Earner 2'!$G$6:$G$17),'Second Earner'!$C$17))</f>
      </c>
      <c r="AS54" s="6">
        <f>IF($B54="","",IFERROR(LOOKUP(2,1/((('Changes — Earner 2'!$C$6:$C$17="State move")+('Changes — Earner 2'!$C$6:$C$17="State cert change"))*('Changes — Earner 2'!$B$6:$B$17&lt;=$B54)*('Changes — Earner 2'!$B$6:$B$17&lt;&gt;"")),'Changes — Earner 2'!$F$6:$F$17),'Second Earner'!$C$23))</f>
      </c>
      <c r="AT54" s="6">
        <f>IF($B54="","",IFERROR(LOOKUP(2,1/((('Changes — Earner 2'!$C$6:$C$17="State move")+('Changes — Earner 2'!$C$6:$C$17="State cert change"))*('Changes — Earner 2'!$B$6:$B$17&lt;=$B54)*('Changes — Earner 2'!$B$6:$B$17&lt;&gt;"")),'Changes — Earner 2'!$G$6:$G$17),'Second Earner'!$C$24))</f>
      </c>
      <c r="AU54">
        <f>IF($B54="","",IFERROR(LOOKUP(2,1/(('Changes — Earner 2'!$C$6:$C$17="State move")*('Changes — Earner 2'!$B$6:$B$17&lt;=$B54)*('Changes — Earner 2'!$B$6:$B$17&lt;&gt;"")),'Changes — Earner 2'!$E$6:$E$17),'Second Earner'!$C$22))</f>
      </c>
      <c r="AV54" s="6">
        <f>IF($B54="","",1+COUNTIFS('Changes — Earner 2'!$C$6:$C$17,"Employer change",'Changes — Earner 2'!$B$6:$B$17,"&lt;="&amp;$B54,'Changes — Earner 2'!$B$6:$B$17,"&lt;&gt;"))</f>
      </c>
      <c r="AW54" s="7">
        <f>IF($B54="","",IF($AV54=1,'Second Earner'!$C$49,IF(IFERROR(MATCH(IFERROR(LOOKUP(2,1/(('Changes — Earner 2'!$C$6:$C$17="Employer change")*('Changes — Earner 2'!$B$6:$B$17&lt;=$B54)*('Changes — Earner 2'!$B$6:$B$17&lt;&gt;"")),'Changes — Earner 2'!$B$6:$B$17),""),$B$6:$B$68,1),1)&lt;=1,'Second Earner'!$C$49,INDEX($AB$6:$AB$68,MATCH(IFERROR(LOOKUP(2,1/(('Changes — Earner 2'!$C$6:$C$17="Employer change")*('Changes — Earner 2'!$B$6:$B$17&lt;=$B54)*('Changes — Earner 2'!$B$6:$B$17&lt;&gt;"")),'Changes — Earner 2'!$B$6:$B$17),""),$B$6:$B$68,1)-1))))</f>
      </c>
      <c r="AX54" s="7">
        <f>IF($B54="","",IF($AV54=1,'Second Earner'!$C$49,IFERROR(LOOKUP(2,1/(('Changes — Earner 2'!$C$6:$C$17="Employer change")*('Changes — Earner 2'!$B$6:$B$17&lt;=$B54)*('Changes — Earner 2'!$B$6:$B$17&lt;&gt;"")),'Changes — Earner 2'!$D$6:$D$17),0)))</f>
      </c>
      <c r="AY54" s="7">
        <f>IF($B54="","",($O54-$D54)*'Second Earner'!$C$8)</f>
      </c>
      <c r="AZ54" s="7">
        <f>IF($B54="","",IF($AN54="AL",MAX(0,$AY54-IF($AU54="Married",IF($AY54&lt;=25999,8500,MAX(5000,8500-175*CEILING(($AY54-25999)/500,1))),IF($AU54="Head of household",IF($AY54&lt;=25999,5200,MAX(2500,5200-135*CEILING(($AY54-25999)/500,1))),IF($AY54&lt;=25999,3000,MAX(2500,3000-25*CEILING(($AY54-25999)/500,1)))))-($P54-'How This Works &amp; Sources'!$C$10*$D54)*'Second Earner'!$C$8-IF(OR($AU54="Married",$AU54="Head of household"),3000,1500)-$AT54*IF($AY54&lt;=50000,1000,IF($AY54&lt;=100000,500,300))),IF($AN54="AR",IF(MAX(0,$AY54-2470)&lt;97701,INT(MAX(0,$AY54-2470)/100)*100+50,MAX(0,$AY54-2470)),IF($AN54="DE",MAX(0,$AI54-3250),IF($AN54="HI",MAX(0,$AI54-1144*$AS54-4350),IF($AN54="KS",MAX(0,$AI54-(9160*IF($AU54="Married",2,1)+2320*$AT54+IF($AU54="Head of household",2320,0))),IF($AN54="MD",MAX(0,$AI54-3400-3200*$AS54),IF($AN54="MN",MAX(0,$AY54-5300*$AS54),IF($AN54="MO",MAX(0,$AI54-IF($AU54="Head of household",24150,IF($AU54="Married",IF('Second Earner'!$C$83,16100,32200),16100))),IF($AN54="MT",$AY54,IF($AN54="ND",($C54+$L54)*'Second Earner'!$C$8,IF($AN54="NE",MAX(0,$AY54-2440*$AS54),IF($AN54="NJ",MAX(0,$AY54-1000*$AS54),IF($AN54="NY",MAX(0,$AY54-(IF($AU54="Married",7950,7400)+1000*$AS54)),IF($AN54="OH",MAX(0,$AY54-650*$AS54),IF($AN54="OK",MAX(0,$AY54-1000*$AS54),IF($AN54="RI",MAX(0,$AI54-1000*$AS54),IF($AN54="SC",MAX(0,$AI54-5000*$AS54-IF($AS54=0,0,MIN(0.1*$AI54,7500))),IF($AN54="VA",MAX(0,$AI54-IF($AU54="Married",17500,8750)-930*$AS54-800*$AT54),IF($AN54="VT",MAX(0,$AI54-5400*$AS54),IF($AN54="WI",MAX(0,$AI54-MAX(0,IF($AU54="Married",9461-0.2*MAX(0,$AI54-25727),6702-0.12*MAX(0,$AI54-17780)))-400*$AS54),IF($AN54="WV",MAX(0,$AI54-2000*$AS54),$AI54))))))))))))))))))))))</f>
      </c>
      <c r="BA54" s="7">
        <f>IF($B54="","",IF($BW54&lt;&gt;"",$BW54,IF($BX54&lt;&gt;"",$BX54,IF($BY54&lt;&gt;"",$BY54,0))))</f>
      </c>
      <c r="BB54" s="7">
        <f>IF($B54="","",IF($AN54="AR",-29*$AS54,IF($AN54="DE",-110*$AS54,IF($AN54="MD",$AZ54*'Second Earner'!$C$74,IF($AN54="AZ",'Second Earner'!$C$82*($M54-$D54)*'Second Earner'!$C$8,IF($AN54="CO",0.044*MAX(0,$AY54-IF($AU54="Married",10000,5000)),IF($AN54="IA",MAX(0,0.038*MAX(0,$AY54-IF($AU54="Head of household",19500,IF($AU54="Married",26000,13000)))-40*$AS54),IF($AN54="ID",0.053*MAX(0,$AY54-IF($AU54="Married",32000,16094)),IF($AN54="IL",0.0495*MAX(0,$AY54-(2925*$AS54+1000*$AT54)),IF($AN54="IN",(0.0295+'Second Earner'!$C$76)*MAX(0,$AY54-(1000*$AS54+1500*$AT54+3000*'Second Earner'!$C$86)),IF($AN54="KY",0.035*MAX(0,$AI54-3360),IF($AN54="LA",IF('Second Earner'!$C$84="0",0.0309*$AI54,0.0309*MAX(0,$AI54-IF('Second Earner'!$C$84="2",25750,12875))),IF($AN54="MA",0.05*MIN(MAX(0,$AY54-MIN(($BD53+$Q54+$R54+$S54),2000)-IF($AS54=0,0,IF($AS54=1,4400,1000*$AS54+3400))),1107750)+0.09*MAX(0,MAX(0,$AY54-MIN(($BD53+$Q54+$R54+$S54),2000)-IF($AS54=0,0,IF($AS54=1,4400,1000*$AS54+3400)))-1107750)-IF($AU54="Head of household",120,0)-110*'Second Earner'!$C$75,IF($AN54="MI",0.0425*MAX(0,$AY54-5900*$AS54),IF($AN54="MS",0.04*MAX(0,$AI54-IF($AU54="Head of household",3400,IF($AU54="Married",4600,2300))-'Second Earner'!$C$85-10000),IF($AN54="OR",IF(OR($AU54="Married",AND($AU54="Single",$AS54&gt;=3)),SUMPRODUCT((MAX(0,$AY54-MIN(($P54-'How This Works &amp; Sources'!$C$10*$D54)*'Second Earner'!$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Sources'!$B$211:$J$214,0,4))*(MAX(0,$AY54-MIN(($P54-'How This Works &amp; Sources'!$C$10*$D54)*'Second Earner'!$C$8,IF(OR($AU54="Married",AND($AU54="Single",$AS54&gt;=3)),IF($AY54&lt;250000,8750,IF($AY54&lt;260000,7000,IF($AY54&lt;270000,5250,IF($AY54&lt;280000,3500,IF($AY54&lt;290000,1750,0))))),IF($AY54&lt;125000,8750,IF($AY54&lt;130000,7000,IF($AY54&lt;135000,5250,IF($AY54&lt;140000,3500,IF($AY54&lt;145000,1750,0)))))))-IF(OR($AU54="Married",AND($AU54="Single",$AS54&gt;=3)),5820,2910))-INDEX('How This Works &amp; Sources'!$B$211:$J$214,0,4))*INDEX('How This Works &amp; Sources'!$B$211:$J$214,0,4+2)),SUMPRODUCT((MAX(0,$AY54-MIN(($P54-'How This Works &amp; Sources'!$C$10*$D54)*'Second Earner'!$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Sources'!$B$211:$J$214,0,1))*(MAX(0,$AY54-MIN(($P54-'How This Works &amp; Sources'!$C$10*$D54)*'Second Earner'!$C$8,IF(OR($AU54="Married",AND($AU54="Single",$AS54&gt;=3)),IF($AY54&lt;250000,8750,IF($AY54&lt;260000,7000,IF($AY54&lt;270000,5250,IF($AY54&lt;280000,3500,IF($AY54&lt;290000,1750,0))))),IF($AY54&lt;125000,8750,IF($AY54&lt;130000,7000,IF($AY54&lt;135000,5250,IF($AY54&lt;140000,3500,IF($AY54&lt;145000,1750,0)))))))-IF(OR($AU54="Married",AND($AU54="Single",$AS54&gt;=3)),5820,2910))-INDEX('How This Works &amp; Sources'!$B$211:$J$214,0,1))*INDEX('How This Works &amp; Sources'!$B$211:$J$214,0,1+2)))+263-263*IF(IF($AU54="Married",$AY54&gt;200000,$AY54&gt;100000),0,$AS54),IF($AN54="PA",0.0307*(($O54+$E54+$G54)*'Second Earner'!$C$8),IF($AN54="NY",IF($AU54="Married",IF($AZ54&gt;=2155350,0,IF($AZ54&gt;=1077550,0.48,IF($AZ54&gt;=373200,1.21,IF($AZ54&gt;=323200,0.21,IF($AZ54&gt;=211550,-0.19,IF($AZ54&gt;=157650,-2.8,IF($AZ54&gt;=107650,-0.8,IF($AZ54&gt;=96800,0.05,IF($AZ54&gt;=80650,-0.1,IF($AZ54&gt;=13900,0.4,IF($AZ54&gt;=11700,-0.3,IF($AZ54&gt;=8500,0.5,0)))))))))))),IF($AZ54&gt;=1077550,0,IF($AZ54&gt;=265400,4.29,IF($AZ54&gt;=215400,2.29,IF($AZ54&gt;=157650,2.29,IF($AZ54&gt;=107650,0.29,IF($AZ54&gt;=96800,0.05,IF($AZ54&gt;=80650,-0.1,IF($AZ54&gt;=13900,0.4,IF($AZ54&gt;=11700,-0.3,IF($AZ54&gt;=8500,0.5,0))))))))))),0))))))))))))))))))</f>
      </c>
      <c r="BC54" s="7">
        <f>IF($B54="","",IF($AN54="AL",0.05*$D54,IF($AN54="AR",0.039*$D54,IF($AN54="ID",0.053*$D54,IF($AN54="IN",(0.0295+'Second Earner'!$C$76)*$D54,IF($AN54="KS",0.05*$D54,IF($AN54="MA",0.09*MIN($D54,MAX(0,MAX(0,$AY54-MIN(($BD53+$Q54+$R54+$S54),2000)-IF($AS54=0,0,IF($AS54=1,4400,1000*$AS54+3400)))+$D54-1107750))+0.05*($D54-MIN($D54,MAX(0,MAX(0,$AY54-MIN(($BD53+$Q54+$R54+$S54),2000)-IF($AS54=0,0,IF($AS54=1,4400,1000*$AS54+3400)))+$D54-1107750))),IF($AN54="MD",(0.065+'Second Earner'!$C$74)*$D54,IF($AN54="MI",0.0425*$D54,IF($AN54="MN",0.0625*$D54,IF($AN54="MO",0.047*$D54,IF($AN54="MT",0.05*$D54,IF($AN54="ND",0.015*$D54,IF($AN54="NE",0.035*$D54,IF($AN54="NJ",IF('Second Earner'!$C$77="B",SUMPRODUCT(($D54*'Second Earner'!$C$8&gt;INDEX('How This Works &amp; Sources'!$B$155:$J$162,0,4))*($D54*'Second Earner'!$C$8-INDEX('How This Works &amp; Sources'!$B$155:$J$162,0,4))*INDEX('How This Works &amp; Sources'!$B$155:$J$162,0,4+2)),IF('Second Earner'!$C$77="C",SUMPRODUCT(($D54*'Second Earner'!$C$8&gt;INDEX('How This Works &amp; Sources'!$B$155:$J$162,0,7))*($D54*'Second Earner'!$C$8-INDEX('How This Works &amp; Sources'!$B$155:$J$162,0,7))*INDEX('How This Works &amp; Sources'!$B$155:$J$162,0,7+2)),IF('Second Earner'!$C$77="D",SUMPRODUCT(($D54*'Second Earner'!$C$8&gt;INDEX('How This Works &amp; Sources'!$B$167:$J$179,0,1))*($D54*'Second Earner'!$C$8-INDEX('How This Works &amp; Sources'!$B$167:$J$179,0,1))*INDEX('How This Works &amp; Sources'!$B$167:$J$179,0,1+2)),IF('Second Earner'!$C$77="E",SUMPRODUCT(($D54*'Second Earner'!$C$8&gt;INDEX('How This Works &amp; Sources'!$B$167:$J$179,0,4))*($D54*'Second Earner'!$C$8-INDEX('How This Works &amp; Sources'!$B$167:$J$179,0,4))*INDEX('How This Works &amp; Sources'!$B$167:$J$179,0,4+2)),SUMPRODUCT(($D54*'Second Earner'!$C$8&gt;INDEX('How This Works &amp; Sources'!$B$155:$J$162,0,1))*($D54*'Second Earner'!$C$8-INDEX('How This Works &amp; Sources'!$B$155:$J$162,0,1))*INDEX('How This Works &amp; Sources'!$B$155:$J$162,0,1+2))))))/'Second Earner'!$C$8,IF($AN54="NY",0.117*$D54,IF($AN54="OH",0.0275*$D54,IF($AN54="OK",0.045*$D54,IF($AN54="OR",0.08*$D54,IF($AN54="WI",IF($AY54&lt;12760,0.0354,IF($AY54&lt;25520,0.0465,IF($AY54&lt;280950,0.053,0.0765)))*$D54,0))))))))))))))))))))</f>
      </c>
      <c r="BD54" s="7">
        <f>IF($B54="","",$BD53+$Q54+$R54+$S54)</f>
      </c>
      <c r="BE54" s="6">
        <f>IF($B54="",$BE53,$BE53+$BF54)</f>
      </c>
      <c r="BF54" s="6">
        <f>IF($B54="","",IF(AND(IF(YEAR(IF('Second Earner'!$C$7="Weekly",'Second Earner'!$C$9+7*(($BE53+1)-1),IF('Second Earner'!$C$7="Biweekly",'Second Earner'!$C$9+14*(($BE53+1)-1),IF('Second Earner'!$C$7="Semimonthly",DATE(YEAR('Second Earner'!$C$9),MONTH('Second Earner'!$C$9)+INT((($BE53+1)-1)/2),MIN(DAY('Second Earner'!$C$9),DAY(EOMONTH(DATE(YEAR('Second Earner'!$C$9),MONTH('Second Earner'!$C$9)+INT((($BE53+1)-1)/2),1),0))))+IF(MOD(($BE53+1)-1,2)=1,15,0),EDATE('Second Earner'!$C$9,($BE53+1)-1)))))&lt;&gt;'Second Earner'!$C$10,"",IF('Second Earner'!$C$7="Weekly",'Second Earner'!$C$9+7*(($BE53+1)-1),IF('Second Earner'!$C$7="Biweekly",'Second Earner'!$C$9+14*(($BE53+1)-1),IF('Second Earner'!$C$7="Semimonthly",DATE(YEAR('Second Earner'!$C$9),MONTH('Second Earner'!$C$9)+INT((($BE53+1)-1)/2),MIN(DAY('Second Earner'!$C$9),DAY(EOMONTH(DATE(YEAR('Second Earner'!$C$9),MONTH('Second Earner'!$C$9)+INT((($BE53+1)-1)/2),1),0))))+IF(MOD(($BE53+1)-1,2)=1,15,0),EDATE('Second Earner'!$C$9,($BE53+1)-1)))))&lt;&gt;"",$B54=IF(YEAR(IF('Second Earner'!$C$7="Weekly",'Second Earner'!$C$9+7*(($BE53+1)-1),IF('Second Earner'!$C$7="Biweekly",'Second Earner'!$C$9+14*(($BE53+1)-1),IF('Second Earner'!$C$7="Semimonthly",DATE(YEAR('Second Earner'!$C$9),MONTH('Second Earner'!$C$9)+INT((($BE53+1)-1)/2),MIN(DAY('Second Earner'!$C$9),DAY(EOMONTH(DATE(YEAR('Second Earner'!$C$9),MONTH('Second Earner'!$C$9)+INT((($BE53+1)-1)/2),1),0))))+IF(MOD(($BE53+1)-1,2)=1,15,0),EDATE('Second Earner'!$C$9,($BE53+1)-1)))))&lt;&gt;'Second Earner'!$C$10,"",IF('Second Earner'!$C$7="Weekly",'Second Earner'!$C$9+7*(($BE53+1)-1),IF('Second Earner'!$C$7="Biweekly",'Second Earner'!$C$9+14*(($BE53+1)-1),IF('Second Earner'!$C$7="Semimonthly",DATE(YEAR('Second Earner'!$C$9),MONTH('Second Earner'!$C$9)+INT((($BE53+1)-1)/2),MIN(DAY('Second Earner'!$C$9),DAY(EOMONTH(DATE(YEAR('Second Earner'!$C$9),MONTH('Second Earner'!$C$9)+INT((($BE53+1)-1)/2),1),0))))+IF(MOD(($BE53+1)-1,2)=1,15,0),EDATE('Second Earner'!$C$9,($BE53+1)-1)))))),1,0))</f>
      </c>
      <c r="BG54" s="7">
        <f>IF($B54="","",$BG53+$H54)</f>
      </c>
      <c r="BH54" s="7">
        <f>IF($B54="","",$BH53+$I54)</f>
      </c>
      <c r="BI54" s="7">
        <f>IF($B54="","",$BI53+$G54)</f>
      </c>
      <c r="BJ54" s="7">
        <f>IF($B54="","",IFERROR(LOOKUP(2,1/(((('Changes — Earner 2'!$C$6:$C$17="Deduction start"))*('Changes — Earner 2'!$D$6:$D$17="Health FSA"))*('Changes — Earner 2'!$B$6:$B$17&lt;=$B54)*('Changes — Earner 2'!$B$6:$B$17&lt;&gt;"")),'Changes — Earner 2'!$E$6:$E$17),'Second Earner'!$D$38))</f>
      </c>
      <c r="BK54" s="7">
        <f>IF($B54="","",IFERROR(LOOKUP(2,1/(((('Changes — Earner 2'!$C$6:$C$17="Deduction start"))*('Changes — Earner 2'!$D$6:$D$17="Dependent-care FSA"))*('Changes — Earner 2'!$B$6:$B$17&lt;=$B54)*('Changes — Earner 2'!$B$6:$B$17&lt;&gt;"")),'Changes — Earner 2'!$E$6:$E$17),'Second Earner'!$D$39))</f>
      </c>
      <c r="BL54" s="7">
        <f>IF($B54="","",IFERROR(LOOKUP(2,1/(((('Changes — Earner 2'!$C$6:$C$17="Deduction start")+('Changes — Earner 2'!$C$6:$C$17="Deduction stop"))*('Changes — Earner 2'!$D$6:$D$17="HSA"))*('Changes — Earner 2'!$B$6:$B$17&lt;=$B54)*('Changes — Earner 2'!$B$6:$B$17&lt;&gt;"")),'Changes — Earner 2'!$I$6:$I$17),'Second Earner'!$D$35))</f>
      </c>
      <c r="BM54" s="7">
        <f>IF($B54="","",IFERROR(LOOKUP(2,1/(((('Changes — Earner 2'!$C$6:$C$17="Deduction start")+('Changes — Earner 2'!$C$6:$C$17="Deduction stop"))*('Changes — Earner 2'!$D$6:$D$17="Premiums"))*('Changes — Earner 2'!$B$6:$B$17&lt;=$B54)*('Changes — Earner 2'!$B$6:$B$17&lt;&gt;"")),'Changes — Earner 2'!$I$6:$I$17),'Second Earner'!$D$40+'Second Earner'!$D$41+'Second Earner'!$D$42))</f>
      </c>
      <c r="BN54" s="7">
        <f>IF($B54="","",IFERROR(LOOKUP(2,1/(((('Changes — Earner 2'!$C$6:$C$17="Deduction start")+('Changes — Earner 2'!$C$6:$C$17="Deduction stop"))*('Changes — Earner 2'!$D$6:$D$17="Commuter"))*('Changes — Earner 2'!$B$6:$B$17&lt;=$B54)*('Changes — Earner 2'!$B$6:$B$17&lt;&gt;"")),'Changes — Earner 2'!$I$6:$I$17),'Second Earner'!$D$43))</f>
      </c>
      <c r="BO54" s="7">
        <f>IF($B54="","",IFERROR(LOOKUP(2,1/(((('Changes — Earner 2'!$C$6:$C$17="Deduction start")+('Changes — Earner 2'!$C$6:$C$17="Deduction stop"))*('Changes — Earner 2'!$D$6:$D$17="Other pre-tax"))*('Changes — Earner 2'!$B$6:$B$17&lt;=$B54)*('Changes — Earner 2'!$B$6:$B$17&lt;&gt;"")),'Changes — Earner 2'!$I$6:$I$17),'Second Earner'!$D$44))</f>
      </c>
      <c r="BP54" s="7">
        <f>IF($B54="","",IFERROR(LOOKUP(2,1/(((('Changes — Earner 2'!$C$6:$C$17="Deduction start")+('Changes — Earner 2'!$C$6:$C$17="Deduction stop"))*('Changes — Earner 2'!$D$6:$D$17="Other post-tax"))*('Changes — Earner 2'!$B$6:$B$17&lt;=$B54)*('Changes — Earner 2'!$B$6:$B$17&lt;&gt;"")),'Changes — Earner 2'!$I$6:$I$17),'Second Earner'!$D$45))</f>
      </c>
      <c r="BQ54" s="6">
        <f>IF($B54="","",IFERROR(LOOKUP(2,1/(((('Changes — Earner 2'!$C$6:$C$17="Deduction start")+('Changes — Earner 2'!$C$6:$C$17="Deduction stop"))*('Changes — Earner 2'!$D$6:$D$17="Health FSA"))*('Changes — Earner 2'!$B$6:$B$17&lt;=$B54)*('Changes — Earner 2'!$B$6:$B$17&lt;&gt;"")),'Changes — Earner 2'!$J$6:$J$17),0))</f>
      </c>
      <c r="BR54" s="6">
        <f>IF($B54="","",IFERROR(LOOKUP(2,1/(((('Changes — Earner 2'!$C$6:$C$17="Deduction start")+('Changes — Earner 2'!$C$6:$C$17="Deduction stop"))*('Changes — Earner 2'!$D$6:$D$17="Dependent-care FSA"))*('Changes — Earner 2'!$B$6:$B$17&lt;=$B54)*('Changes — Earner 2'!$B$6:$B$17&lt;&gt;"")),'Changes — Earner 2'!$J$6:$J$17),0))</f>
      </c>
      <c r="BS54" s="6">
        <f>IF($B54="","",IF(SUMPRODUCT(('Changes — Earner 2'!$C$6:$C$17="Deduction start")*('Changes — Earner 2'!$B$6:$B$17&lt;=$B54)*('Changes — Earner 2'!$B$6:$B$17&lt;&gt;"")*('Changes — Earner 2'!$D$6:$D$17="Health FSA"))&gt;0,1,0))</f>
      </c>
      <c r="BT54" s="6">
        <f>IF($B54="","",IF(SUMPRODUCT(('Changes — Earner 2'!$C$6:$C$17="Deduction start")*('Changes — Earner 2'!$B$6:$B$17&lt;=$B54)*('Changes — Earner 2'!$B$6:$B$17&lt;&gt;"")*('Changes — Earner 2'!$D$6:$D$17="Dependent-care FSA"))&gt;0,1,0))</f>
      </c>
      <c r="BU54" s="24">
        <f>IF($B54="","",IF('Second Earner'!$C$13,SUMPRODUCT(($AH54&gt;=INDEX('How This Works &amp; Sources'!$B$29:$J$36,0,IF('Second Earner'!$C$12="MFJ",1,IF('Second Earner'!$C$12="HoH",7,4))))*INDEX('How This Works &amp; Sources'!$B$29:$J$36,0,IF('Second Earner'!$C$12="MFJ",1,IF('Second Earner'!$C$12="HoH",7,4))+2)),SUMPRODUCT(($AH54&gt;=INDEX('How This Works &amp; Sources'!$B$19:$J$26,0,IF('Second Earner'!$C$12="MFJ",1,IF('Second Earner'!$C$12="HoH",7,4))))*INDEX('How This Works &amp; Sources'!$B$19:$J$26,0,IF('Second Earner'!$C$12="MFJ",1,IF('Second Earner'!$C$12="HoH",7,4))+2))))</f>
      </c>
      <c r="BV54" s="24">
        <f>IF($B54="","",IF($BZ54&lt;&gt;"",$BZ54,IF($CA54&lt;&gt;"",$CA54,IF($CB54&lt;&gt;"",$CB54,IF($CC54&lt;&gt;"",$CC54,0)))))</f>
      </c>
      <c r="BW54" s="7">
        <f>IF($B54="","",IF($AN54="AR",SUMPRODUCT(($AZ54&gt;INDEX('How This Works &amp; Sources'!$B$82:$J$86,0,7))*($AZ54-INDEX('How This Works &amp; Sources'!$B$82:$J$86,0,7))*INDEX('How This Works &amp; Sources'!$B$82:$J$86,0,7+2)),IF($AN54="MD",IF(OR($AU54="Married",$AU54="Head of household"),SUMPRODUCT(($AZ54&gt;INDEX('How This Works &amp; Sources'!$B$114:$J$120,0,1))*($AZ54-INDEX('How This Works &amp; Sources'!$B$114:$J$120,0,1))*INDEX('How This Works &amp; Sources'!$B$114:$J$120,0,1+2)),SUMPRODUCT(($AZ54&gt;INDEX('How This Works &amp; Sources'!$B$103:$J$109,0,7))*($AZ54-INDEX('How This Works &amp; Sources'!$B$103:$J$109,0,7))*INDEX('How This Works &amp; Sources'!$B$103:$J$109,0,7+2))),IF($AN54="MT",IF($AU54="Head of household",SUMPRODUCT(($AZ54&gt;INDEX('How This Works &amp; Sources'!$B$137:$J$139,0,1))*($AZ54-INDEX('How This Works &amp; Sources'!$B$137:$J$139,0,1))*INDEX('How This Works &amp; Sources'!$B$137:$J$139,0,1+2)),IF($AU54="Married",SUMPRODUCT(($AZ54&gt;INDEX('How This Works &amp; Sources'!$B$125:$J$132,0,7))*($AZ54-INDEX('How This Works &amp; Sources'!$B$125:$J$132,0,7))*INDEX('How This Works &amp; Sources'!$B$125:$J$132,0,7+2)),SUMPRODUCT(($AZ54&gt;INDEX('How This Works &amp; Sources'!$B$125:$J$132,0,4))*($AZ54-INDEX('How This Works &amp; Sources'!$B$125:$J$132,0,4))*INDEX('How This Works &amp; Sources'!$B$125:$J$132,0,4+2)))),IF($AN54="ND",IF($AU54="Head of household",SUMPRODUCT(($AZ54&gt;INDEX('How This Works &amp; Sources'!$B$144:$J$150,0,1))*($AZ54-INDEX('How This Works &amp; Sources'!$B$144:$J$150,0,1))*INDEX('How This Works &amp; Sources'!$B$144:$J$150,0,1+2)),IF($AU54="Married",SUMPRODUCT(($AZ54&gt;INDEX('How This Works &amp; Sources'!$B$137:$J$139,0,7))*($AZ54-INDEX('How This Works &amp; Sources'!$B$137:$J$139,0,7))*INDEX('How This Works &amp; Sources'!$B$137:$J$139,0,7+2)),SUMPRODUCT(($AZ54&gt;INDEX('How This Works &amp; Sources'!$B$137:$J$139,0,4))*($AZ54-INDEX('How This Works &amp; Sources'!$B$137:$J$139,0,4))*INDEX('How This Works &amp; Sources'!$B$137:$J$139,0,4+2)))),IF($AN54="NJ",IF('Second Earner'!$C$77="B",SUMPRODUCT(($AZ54&gt;INDEX('How This Works &amp; Sources'!$B$155:$J$162,0,4))*($AZ54-INDEX('How This Works &amp; Sources'!$B$155:$J$162,0,4))*INDEX('How This Works &amp; Sources'!$B$155:$J$162,0,4+2)),IF('Second Earner'!$C$77="C",SUMPRODUCT(($AZ54&gt;INDEX('How This Works &amp; Sources'!$B$155:$J$162,0,7))*($AZ54-INDEX('How This Works &amp; Sources'!$B$155:$J$162,0,7))*INDEX('How This Works &amp; Sources'!$B$155:$J$162,0,7+2)),IF('Second Earner'!$C$77="D",SUMPRODUCT(($AZ54&gt;INDEX('How This Works &amp; Sources'!$B$167:$J$179,0,1))*($AZ54-INDEX('How This Works &amp; Sources'!$B$167:$J$179,0,1))*INDEX('How This Works &amp; Sources'!$B$167:$J$179,0,1+2)),IF('Second Earner'!$C$77="E",SUMPRODUCT(($AZ54&gt;INDEX('How This Works &amp; Sources'!$B$167:$J$179,0,4))*($AZ54-INDEX('How This Works &amp; Sources'!$B$167:$J$179,0,4))*INDEX('How This Works &amp; Sources'!$B$167:$J$179,0,4+2)),SUMPRODUCT(($AZ54&gt;INDEX('How This Works &amp; Sources'!$B$155:$J$162,0,1))*($AZ54-INDEX('How This Works &amp; Sources'!$B$155:$J$162,0,1))*INDEX('How This Works &amp; Sources'!$B$155:$J$162,0,1+2)))))),IF($AN54="NY",IF($AU54="Married",IF($AZ54&gt;=2155350,$AZ54*IF($AZ54&gt;25000000,0.117,IF($AZ54&gt;5000000,0.111,0.1045)),SUMPRODUCT(($AZ54&gt;INDEX('How This Works &amp; Sources'!$B$184:$J$198,0,1))*($AZ54-INDEX('How This Works &amp; Sources'!$B$184:$J$198,0,1))*INDEX('How This Works &amp; Sources'!$B$184:$J$198,0,1+2))),IF($AZ54&gt;=1077550,$AZ54*IF($AZ54&gt;25000000,0.117,IF($AZ54&gt;5000000,0.111,0.1045)),SUMPRODUCT(($AZ54&gt;INDEX('How This Works &amp; Sources'!$B$167:$J$179,0,7))*($AZ54-INDEX('How This Works &amp; Sources'!$B$167:$J$179,0,7))*INDEX('How This Works &amp; Sources'!$B$167:$J$179,0,7+2)))),"")))))))</f>
      </c>
      <c r="BX54" s="7">
        <f>IF($B54="","",IF($AN54="AL",IF(OR($AU54="Married",$AU54="Head of household"),SUMPRODUCT(($AZ54&gt;INDEX('How This Works &amp; Sources'!$B$82:$J$86,0,4))*($AZ54-INDEX('How This Works &amp; Sources'!$B$82:$J$86,0,4))*INDEX('How This Works &amp; Sources'!$B$82:$J$86,0,4+2)),SUMPRODUCT(($AZ54&gt;INDEX('How This Works &amp; Sources'!$B$82:$J$86,0,1))*($AZ54-INDEX('How This Works &amp; Sources'!$B$82:$J$86,0,1))*INDEX('How This Works &amp; Sources'!$B$82:$J$86,0,1+2))),IF($AN54="KS",IF($AU54="Married",SUMPRODUCT(($AZ54&gt;INDEX('How This Works &amp; Sources'!$B$103:$J$109,0,4))*($AZ54-INDEX('How This Works &amp; Sources'!$B$103:$J$109,0,4))*INDEX('How This Works &amp; Sources'!$B$103:$J$109,0,4+2)),SUMPRODUCT(($AZ54&gt;INDEX('How This Works &amp; Sources'!$B$103:$J$109,0,1))*($AZ54-INDEX('How This Works &amp; Sources'!$B$103:$J$109,0,1))*INDEX('How This Works &amp; Sources'!$B$103:$J$109,0,1+2))),IF($AN54="MN",IF($AU54="Married",SUMPRODUCT(($AZ54&gt;INDEX('How This Works &amp; Sources'!$B$114:$J$120,0,7))*($AZ54-INDEX('How This Works &amp; Sources'!$B$114:$J$120,0,7))*INDEX('How This Works &amp; Sources'!$B$114:$J$120,0,7+2)),SUMPRODUCT(($AZ54&gt;INDEX('How This Works &amp; Sources'!$B$114:$J$120,0,4))*($AZ54-INDEX('How This Works &amp; Sources'!$B$114:$J$120,0,4))*INDEX('How This Works &amp; Sources'!$B$114:$J$120,0,4+2))),IF($AN54="MO",SUMPRODUCT(($AZ54&gt;INDEX('How This Works &amp; Sources'!$B$125:$J$132,0,1))*($AZ54-INDEX('How This Works &amp; Sources'!$B$125:$J$132,0,1))*INDEX('How This Works &amp; Sources'!$B$125:$J$132,0,1+2)),IF($AN54="NE",MAX(IF($AU54="Married",SUMPRODUCT(($AZ54&gt;INDEX('How This Works &amp; Sources'!$B$144:$J$150,0,7))*($AZ54-INDEX('How This Works &amp; Sources'!$B$144:$J$150,0,7))*INDEX('How This Works &amp; Sources'!$B$144:$J$150,0,7+2)),SUMPRODUCT(($AZ54&gt;INDEX('How This Works &amp; Sources'!$B$144:$J$150,0,4))*($AZ54-INDEX('How This Works &amp; Sources'!$B$144:$J$150,0,4))*INDEX('How This Works &amp; Sources'!$B$144:$J$150,0,4+2))),0.015*$AZ54),IF($AN54="OH",IF($B54&gt;=DATE(2026,8,1),SUMPRODUCT(($AZ54&gt;INDEX('How This Works &amp; Sources'!$B$203:$J$206,0,1))*($AZ54-INDEX('How This Works &amp; Sources'!$B$203:$J$206,0,1))*INDEX('How This Works &amp; Sources'!$B$203:$J$206,0,1+2)),SUMPRODUCT(($AZ54&gt;INDEX('How This Works &amp; Sources'!$B$184:$J$198,0,7))*($AZ54-INDEX('How This Works &amp; Sources'!$B$184:$J$198,0,7))*INDEX('How This Works &amp; Sources'!$B$184:$J$198,0,7+2))),IF($AN54="OK",IF($AU54="Married",SUMPRODUCT(($AZ54&gt;INDEX('How This Works &amp; Sources'!$B$203:$J$206,0,7))*($AZ54-INDEX('How This Works &amp; Sources'!$B$203:$J$206,0,7))*INDEX('How This Works &amp; Sources'!$B$203:$J$206,0,7+2)),SUMPRODUCT(($AZ54&gt;INDEX('How This Works &amp; Sources'!$B$203:$J$206,0,4))*($AZ54-INDEX('How This Works &amp; Sources'!$B$203:$J$206,0,4))*INDEX('How This Works &amp; Sources'!$B$203:$J$206,0,4+2))),IF($AN54="VT",IF($AU54="Married",SUMPRODUCT(($AZ54&gt;INDEX('How This Works &amp; Sources'!$B$228:$J$232,0,1))*($AZ54-INDEX('How This Works &amp; Sources'!$B$228:$J$232,0,1))*INDEX('How This Works &amp; Sources'!$B$228:$J$232,0,1+2)),SUMPRODUCT(($AZ54&gt;INDEX('How This Works &amp; Sources'!$B$219:$J$223,0,7))*($AZ54-INDEX('How This Works &amp; Sources'!$B$219:$J$223,0,7))*INDEX('How This Works &amp; Sources'!$B$219:$J$223,0,7+2))),IF($AN54="WV",IF($AU54="Married",SUMPRODUCT(($AZ54&gt;INDEX('How This Works &amp; Sources'!$B$237:$J$241,0,7))*($AZ54-INDEX('How This Works &amp; Sources'!$B$237:$J$241,0,7))*INDEX('How This Works &amp; Sources'!$B$237:$J$241,0,7+2)),SUMPRODUCT(($AZ54&gt;INDEX('How This Works &amp; Sources'!$B$228:$J$232,0,7))*($AZ54-INDEX('How This Works &amp; Sources'!$B$228:$J$232,0,7))*INDEX('How This Works &amp; Sources'!$B$228:$J$232,0,7+2))),""))))))))))</f>
      </c>
      <c r="BY54" s="7">
        <f>IF($B54="","",IF($AN54="DE",SUMPRODUCT(($AZ54&gt;INDEX('How This Works &amp; Sources'!$B$91:$J$98,0,1))*($AZ54-INDEX('How This Works &amp; Sources'!$B$91:$J$98,0,1))*INDEX('How This Works &amp; Sources'!$B$91:$J$98,0,1+2)),IF($AN54="HI",IF($AU54="Married",SUMPRODUCT(($AZ54&gt;INDEX('How This Works &amp; Sources'!$B$91:$J$98,0,7))*($AZ54-INDEX('How This Works &amp; Sources'!$B$91:$J$98,0,7))*INDEX('How This Works &amp; Sources'!$B$91:$J$98,0,7+2)),SUMPRODUCT(($AZ54&gt;INDEX('How This Works &amp; Sources'!$B$91:$J$98,0,4))*($AZ54-INDEX('How This Works &amp; Sources'!$B$91:$J$98,0,4))*INDEX('How This Works &amp; Sources'!$B$91:$J$98,0,4+2))),IF($AN54="RI",SUMPRODUCT(($AZ54&gt;INDEX('How This Works &amp; Sources'!$B$211:$J$214,0,7))*($AZ54-INDEX('How This Works &amp; Sources'!$B$211:$J$214,0,7))*INDEX('How This Works &amp; Sources'!$B$211:$J$214,0,7+2)),IF($AN54="SC",SUMPRODUCT(($AZ54&gt;INDEX('How This Works &amp; Sources'!$B$219:$J$223,0,1))*($AZ54-INDEX('How This Works &amp; Sources'!$B$219:$J$223,0,1))*INDEX('How This Works &amp; Sources'!$B$219:$J$223,0,1+2)),IF($AN54="VA",SUMPRODUCT(($AZ54&gt;INDEX('How This Works &amp; Sources'!$B$219:$J$223,0,4))*($AZ54-INDEX('How This Works &amp; Sources'!$B$219:$J$223,0,4))*INDEX('How This Works &amp; Sources'!$B$219:$J$223,0,4+2)),IF($AN54="WI",SUMPRODUCT(($AZ54&gt;INDEX('How This Works &amp; Sources'!$B$228:$J$232,0,4))*($AZ54-INDEX('How This Works &amp; Sources'!$B$228:$J$232,0,4))*INDEX('How This Works &amp; Sources'!$B$228:$J$232,0,4+2)),"")))))))</f>
      </c>
      <c r="BZ54" s="24">
        <f>IF($B54="","",IF($AN54="KS",IF($AU54="Married",SUMPRODUCT(($AZ54&gt;=INDEX('How This Works &amp; Sources'!$B$103:$J$109,0,4))*INDEX('How This Works &amp; Sources'!$B$103:$J$109,0,4+2)),SUMPRODUCT(($AZ54&gt;=INDEX('How This Works &amp; Sources'!$B$103:$J$109,0,1))*INDEX('How This Works &amp; Sources'!$B$103:$J$109,0,1+2))),IF($AN54="MT",IF($AU54="Head of household",SUMPRODUCT(($AZ54&gt;=INDEX('How This Works &amp; Sources'!$B$137:$J$139,0,1))*INDEX('How This Works &amp; Sources'!$B$137:$J$139,0,1+2)),IF($AU54="Married",SUMPRODUCT(($AZ54&gt;=INDEX('How This Works &amp; Sources'!$B$125:$J$132,0,7))*INDEX('How This Works &amp; Sources'!$B$125:$J$132,0,7+2)),SUMPRODUCT(($AZ54&gt;=INDEX('How This Works &amp; Sources'!$B$125:$J$132,0,4))*INDEX('How This Works &amp; Sources'!$B$125:$J$132,0,4+2)))),IF($AN54="OR",IF(OR($AU54="Married",AND($AU54="Single",$AS54&gt;=3)),SUMPRODUCT((MAX(0,$AY54-MIN(($P54-'How This Works &amp; Sources'!$C$10*$D54)*'Second Earner'!$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Sources'!$B$211:$J$214,0,4))*INDEX('How This Works &amp; Sources'!$B$211:$J$214,0,4+2)),SUMPRODUCT((MAX(0,$AY54-MIN(($P54-'How This Works &amp; Sources'!$C$10*$D54)*'Second Earner'!$C$8,IF(OR($AU54="Married",AND($AU54="Single",$AS54&gt;=3)),IF($AY54&lt;250000,8750,IF($AY54&lt;260000,7000,IF($AY54&lt;270000,5250,IF($AY54&lt;280000,3500,IF($AY54&lt;290000,1750,0))))),IF($AY54&lt;125000,8750,IF($AY54&lt;130000,7000,IF($AY54&lt;135000,5250,IF($AY54&lt;140000,3500,IF($AY54&lt;145000,1750,0)))))))-IF(OR($AU54="Married",AND($AU54="Single",$AS54&gt;=3)),5820,2910))&gt;=INDEX('How This Works &amp; Sources'!$B$211:$J$214,0,1))*INDEX('How This Works &amp; Sources'!$B$211:$J$214,0,1+2)))*IF(($P54-'How This Works &amp; Sources'!$C$10*$D54)*'Second Earner'!$C$8&gt;=IF(OR($AU54="Married",AND($AU54="Single",$AS54&gt;=3)),IF($AY54&lt;250000,8750,IF($AY54&lt;260000,7000,IF($AY54&lt;270000,5250,IF($AY54&lt;280000,3500,IF($AY54&lt;290000,1750,0))))),IF($AY54&lt;125000,8750,IF($AY54&lt;130000,7000,IF($AY54&lt;135000,5250,IF($AY54&lt;140000,3500,IF($AY54&lt;145000,1750,0)))))),1,1-IF('Second Earner'!$C$13,SUMPRODUCT(($AH54&gt;=INDEX('How This Works &amp; Sources'!$B$29:$J$36,0,IF('Second Earner'!$C$12="MFJ",1,IF('Second Earner'!$C$12="HoH",7,4))))*INDEX('How This Works &amp; Sources'!$B$29:$J$36,0,IF('Second Earner'!$C$12="MFJ",1,IF('Second Earner'!$C$12="HoH",7,4))+2)),SUMPRODUCT(($AH54&gt;=INDEX('How This Works &amp; Sources'!$B$19:$J$26,0,IF('Second Earner'!$C$12="MFJ",1,IF('Second Earner'!$C$12="HoH",7,4))))*INDEX('How This Works &amp; Sources'!$B$19:$J$26,0,IF('Second Earner'!$C$12="MFJ",1,IF('Second Earner'!$C$12="HoH",7,4))+2)))),""))))</f>
      </c>
      <c r="CA54" s="24">
        <f>IF($B54="","",IF($AN54="CA",SUMPRODUCT(($AJ54&gt;=INDEX('How This Works &amp; Sources'!$B$39:$J$48,0,IF($AU54="Married",4,IF($AU54="Head of household",7,1))))*INDEX('How This Works &amp; Sources'!$B$39:$J$48,0,IF($AU54="Married",4,IF($AU54="Head of household",7,1))+2)),IF($AN54="AL",IF(OR($AU54="Married",$AU54="Head of household"),SUMPRODUCT(($AZ54&gt;=INDEX('How This Works &amp; Sources'!$B$82:$J$86,0,4))*INDEX('How This Works &amp; Sources'!$B$82:$J$86,0,4+2)),SUMPRODUCT(($AZ54&gt;=INDEX('How This Works &amp; Sources'!$B$82:$J$86,0,1))*INDEX('How This Works &amp; Sources'!$B$82:$J$86,0,1+2)))*(1-IF('Second Earner'!$C$13,SUMPRODUCT(($AH54&gt;=INDEX('How This Works &amp; Sources'!$B$29:$J$36,0,IF('Second Earner'!$C$12="MFJ",1,IF('Second Earner'!$C$12="HoH",7,4))))*INDEX('How This Works &amp; Sources'!$B$29:$J$36,0,IF('Second Earner'!$C$12="MFJ",1,IF('Second Earner'!$C$12="HoH",7,4))+2)),SUMPRODUCT(($AH54&gt;=INDEX('How This Works &amp; Sources'!$B$19:$J$26,0,IF('Second Earner'!$C$12="MFJ",1,IF('Second Earner'!$C$12="HoH",7,4))))*INDEX('How This Works &amp; Sources'!$B$19:$J$26,0,IF('Second Earner'!$C$12="MFJ",1,IF('Second Earner'!$C$12="HoH",7,4))+2)))),IF($AN54="ND",IF($AU54="Head of household",SUMPRODUCT(($AZ54&gt;=INDEX('How This Works &amp; Sources'!$B$144:$J$150,0,1))*INDEX('How This Works &amp; Sources'!$B$144:$J$150,0,1+2)),IF($AU54="Married",SUMPRODUCT(($AZ54&gt;=INDEX('How This Works &amp; Sources'!$B$137:$J$139,0,7))*INDEX('How This Works &amp; Sources'!$B$137:$J$139,0,7+2)),SUMPRODUCT(($AZ54&gt;=INDEX('How This Works &amp; Sources'!$B$137:$J$139,0,4))*INDEX('How This Works &amp; Sources'!$B$137:$J$139,0,4+2)))),IF($AN54="NJ",IF('Second Earner'!$C$77="B",SUMPRODUCT(($AZ54&gt;=INDEX('How This Works &amp; Sources'!$B$155:$J$162,0,4))*INDEX('How This Works &amp; Sources'!$B$155:$J$162,0,4+2)),IF('Second Earner'!$C$77="C",SUMPRODUCT(($AZ54&gt;=INDEX('How This Works &amp; Sources'!$B$155:$J$162,0,7))*INDEX('How This Works &amp; Sources'!$B$155:$J$162,0,7+2)),IF('Second Earner'!$C$77="D",SUMPRODUCT(($AZ54&gt;=INDEX('How This Works &amp; Sources'!$B$167:$J$179,0,1))*INDEX('How This Works &amp; Sources'!$B$167:$J$179,0,1+2)),IF('Second Earner'!$C$77="E",SUMPRODUCT(($AZ54&gt;=INDEX('How This Works &amp; Sources'!$B$167:$J$179,0,4))*INDEX('How This Works &amp; Sources'!$B$167:$J$179,0,4+2)),SUMPRODUCT(($AZ54&gt;=INDEX('How This Works &amp; Sources'!$B$155:$J$162,0,1))*INDEX('How This Works &amp; Sources'!$B$155:$J$162,0,1+2)))))),IF($AN54="NY",IF($AU54="Married",IF($AZ54&gt;=2155350,IF($AZ54&gt;25000000,0.117,IF($AZ54&gt;5000000,0.111,0.1045)),SUMPRODUCT(($AZ54&gt;=INDEX('How This Works &amp; Sources'!$B$184:$J$198,0,1))*INDEX('How This Works &amp; Sources'!$B$184:$J$198,0,1+2))),IF($AZ54&gt;=1077550,IF($AZ54&gt;25000000,0.117,IF($AZ54&gt;5000000,0.111,0.1045)),SUMPRODUCT(($AZ54&gt;=INDEX('How This Works &amp; Sources'!$B$167:$J$179,0,7))*INDEX('How This Works &amp; Sources'!$B$167:$J$179,0,7+2)))),IF($AN54="LA",0.0309,"")))))))</f>
      </c>
      <c r="CB54" s="24">
        <f>IF($B54="","",IF($AN54="HI",IF($AU54="Married",SUMPRODUCT(($AZ54&gt;=INDEX('How This Works &amp; Sources'!$B$91:$J$98,0,7))*INDEX('How This Works &amp; Sources'!$B$91:$J$98,0,7+2)),SUMPRODUCT(($AZ54&gt;=INDEX('How This Works &amp; Sources'!$B$91:$J$98,0,4))*INDEX('How This Works &amp; Sources'!$B$91:$J$98,0,4+2))),IF($AN54="MD",IF(OR($AU54="Married",$AU54="Head of household"),SUMPRODUCT(($AZ54&gt;=INDEX('How This Works &amp; Sources'!$B$114:$J$120,0,1))*INDEX('How This Works &amp; Sources'!$B$114:$J$120,0,1+2)),SUMPRODUCT(($AZ54&gt;=INDEX('How This Works &amp; Sources'!$B$103:$J$109,0,7))*INDEX('How This Works &amp; Sources'!$B$103:$J$109,0,7+2)))+'Second Earner'!$C$74,IF($AN54="MN",IF($AU54="Married",SUMPRODUCT(($AZ54&gt;=INDEX('How This Works &amp; Sources'!$B$114:$J$120,0,7))*INDEX('How This Works &amp; Sources'!$B$114:$J$120,0,7+2)),SUMPRODUCT(($AZ54&gt;=INDEX('How This Works &amp; Sources'!$B$114:$J$120,0,4))*INDEX('How This Works &amp; Sources'!$B$114:$J$120,0,4+2))),IF($AN54="MO",SUMPRODUCT(($AZ54&gt;=INDEX('How This Works &amp; Sources'!$B$125:$J$132,0,1))*INDEX('How This Works &amp; Sources'!$B$125:$J$132,0,1+2)),IF($AN54="NE",MAX(IF($AU54="Married",SUMPRODUCT(($AZ54&gt;=INDEX('How This Works &amp; Sources'!$B$144:$J$150,0,7))*INDEX('How This Works &amp; Sources'!$B$144:$J$150,0,7+2)),SUMPRODUCT(($AZ54&gt;=INDEX('How This Works &amp; Sources'!$B$144:$J$150,0,4))*INDEX('How This Works &amp; Sources'!$B$144:$J$150,0,4+2))),0.015),IF($AN54="OH",IF($B54&gt;=DATE(2026,8,1),SUMPRODUCT(($AZ54&gt;=INDEX('How This Works &amp; Sources'!$B$203:$J$206,0,1))*INDEX('How This Works &amp; Sources'!$B$203:$J$206,0,1+2)),SUMPRODUCT(($AZ54&gt;=INDEX('How This Works &amp; Sources'!$B$184:$J$198,0,7))*INDEX('How This Works &amp; Sources'!$B$184:$J$198,0,7+2))),IF($AN54="OK",IF($AU54="Married",SUMPRODUCT(($AZ54&gt;=INDEX('How This Works &amp; Sources'!$B$203:$J$206,0,7))*INDEX('How This Works &amp; Sources'!$B$203:$J$206,0,7+2)),SUMPRODUCT(($AZ54&gt;=INDEX('How This Works &amp; Sources'!$B$203:$J$206,0,4))*INDEX('How This Works &amp; Sources'!$B$203:$J$206,0,4+2))),IF($AN54="RI",SUMPRODUCT(($AZ54&gt;=INDEX('How This Works &amp; Sources'!$B$211:$J$214,0,7))*INDEX('How This Works &amp; Sources'!$B$211:$J$214,0,7+2)),IF($AN54="VT",IF($AU54="Married",SUMPRODUCT(($AZ54&gt;=INDEX('How This Works &amp; Sources'!$B$228:$J$232,0,1))*INDEX('How This Works &amp; Sources'!$B$228:$J$232,0,1+2)),SUMPRODUCT(($AZ54&gt;=INDEX('How This Works &amp; Sources'!$B$219:$J$223,0,7))*INDEX('How This Works &amp; Sources'!$B$219:$J$223,0,7+2))),IF($AN54="WV",IF($AU54="Married",SUMPRODUCT(($AZ54&gt;=INDEX('How This Works &amp; Sources'!$B$237:$J$241,0,7))*INDEX('How This Works &amp; Sources'!$B$237:$J$241,0,7+2)),SUMPRODUCT(($AZ54&gt;=INDEX('How This Works &amp; Sources'!$B$228:$J$232,0,7))*INDEX('How This Works &amp; Sources'!$B$228:$J$232,0,7+2))),IF($AN54="AZ",'Second Earner'!$C$82,IF($AN54="ID",IF($AY54&gt;IF($AU54="Married",32000,16094),0.053,0),"")))))))))))))</f>
      </c>
      <c r="CC54" s="24">
        <f>IF($B54="","",IF($AN54="AR",SUMPRODUCT(($AZ54&gt;=INDEX('How This Works &amp; Sources'!$B$82:$J$86,0,7))*INDEX('How This Works &amp; Sources'!$B$82:$J$86,0,7+2)),IF($AN54="DE",SUMPRODUCT(($AZ54&gt;=INDEX('How This Works &amp; Sources'!$B$91:$J$98,0,1))*INDEX('How This Works &amp; Sources'!$B$91:$J$98,0,1+2)),IF($AN54="SC",SUMPRODUCT(($AZ54&gt;=INDEX('How This Works &amp; Sources'!$B$219:$J$223,0,1))*INDEX('How This Works &amp; Sources'!$B$219:$J$223,0,1+2)),IF($AN54="VA",SUMPRODUCT(($AZ54&gt;=INDEX('How This Works &amp; Sources'!$B$219:$J$223,0,4))*INDEX('How This Works &amp; Sources'!$B$219:$J$223,0,4+2)),IF($AN54="WI",SUMPRODUCT(($AZ54&gt;=INDEX('How This Works &amp; Sources'!$B$228:$J$232,0,4))*INDEX('How This Works &amp; Sources'!$B$228:$J$232,0,4+2)),IF($AN54="CO",IF($AY54&gt;IF($AU54="Married",10000,5000),0.044,0),IF($AN54="IA",IF($AY54&gt;IF($AU54="Head of household",19500,IF($AU54="Married",26000,13000)),0.038,0),IF($AN54="IL",IF($AY54&gt;(2925*$AS54+1000*$AT54),0.0495,0),IF($AN54="IN",(0.0295+'Second Earner'!$C$76),IF($AN54="KY",IF($AI54&gt;3360,0.035,0),IF($AN54="MA",IF(MAX(0,$AY54-MIN(($BD53+$Q54+$R54+$S54),2000)-IF($AS54=0,0,IF($AS54=1,4400,1000*$AS54+3400)))&gt;=1107750,0.09,0.05),IF($AN54="MI",IF($AY54&gt;5900*$AS54,0.0425,0),IF($AN54="MS",IF($AI54-IF($AU54="Head of household",3400,IF($AU54="Married",4600,2300))-'Second Earner'!$C$85&gt;10000,0.04,0),IF($AN54="PA",0.0307,"")))))))))))))))</f>
      </c>
      <c r="CD54" s="21">
        <f>IF(YEAR(IF('Second Earner'!$C$7="Weekly",'Second Earner'!$C$9+7*(($BE53+1)-1),IF('Second Earner'!$C$7="Biweekly",'Second Earner'!$C$9+14*(($BE53+1)-1),IF('Second Earner'!$C$7="Semimonthly",DATE(YEAR('Second Earner'!$C$9),MONTH('Second Earner'!$C$9)+INT((($BE53+1)-1)/2),MIN(DAY('Second Earner'!$C$9),DAY(EOMONTH(DATE(YEAR('Second Earner'!$C$9),MONTH('Second Earner'!$C$9)+INT((($BE53+1)-1)/2),1),0))))+IF(MOD(($BE53+1)-1,2)=1,15,0),EDATE('Second Earner'!$C$9,($BE53+1)-1)))))&lt;&gt;'Second Earner'!$C$10,"",IF('Second Earner'!$C$7="Weekly",'Second Earner'!$C$9+7*(($BE53+1)-1),IF('Second Earner'!$C$7="Biweekly",'Second Earner'!$C$9+14*(($BE53+1)-1),IF('Second Earner'!$C$7="Semimonthly",DATE(YEAR('Second Earner'!$C$9),MONTH('Second Earner'!$C$9)+INT((($BE53+1)-1)/2),MIN(DAY('Second Earner'!$C$9),DAY(EOMONTH(DATE(YEAR('Second Earner'!$C$9),MONTH('Second Earner'!$C$9)+INT((($BE53+1)-1)/2),1),0))))+IF(MOD(($BE53+1)-1,2)=1,15,0),EDATE('Second Earner'!$C$9,($BE53+1)-1)))))</f>
      </c>
      <c r="CE54" s="21">
        <f>IF(MIN(IF(AND('Second Earner'!$C$58&gt;MAX($B$6:$B53),'Second Earner'!$C$58&gt;=DATE('Second Earner'!$C$10,1,1),'Second Earner'!$C$58&lt;=DATE('Second Earner'!$C$10,12,31)),'Second Earner'!$C$58,999999),IF(AND('Second Earner'!$C$59&gt;MAX($B$6:$B53),'Second Earner'!$C$59&gt;=DATE('Second Earner'!$C$10,1,1),'Second Earner'!$C$59&lt;=DATE('Second Earner'!$C$10,12,31)),'Second Earner'!$C$59,999999),IF(AND('Second Earner'!$C$60&gt;MAX($B$6:$B53),'Second Earner'!$C$60&gt;=DATE('Second Earner'!$C$10,1,1),'Second Earner'!$C$60&lt;=DATE('Second Earner'!$C$10,12,31)),'Second Earner'!$C$60,999999),IF(AND('Second Earner'!$C$61&gt;MAX($B$6:$B53),'Second Earner'!$C$61&gt;=DATE('Second Earner'!$C$10,1,1),'Second Earner'!$C$61&lt;=DATE('Second Earner'!$C$10,12,31)),'Second Earner'!$C$61,999999),IF(AND('Second Earner'!$C$62&gt;MAX($B$6:$B53),'Second Earner'!$C$62&gt;=DATE('Second Earner'!$C$10,1,1),'Second Earner'!$C$62&lt;=DATE('Second Earner'!$C$10,12,31)),'Second Earner'!$C$62,999999),IF(AND('Second Earner'!$C$63&gt;MAX($B$6:$B53),'Second Earner'!$C$63&gt;=DATE('Second Earner'!$C$10,1,1),'Second Earner'!$C$63&lt;=DATE('Second Earner'!$C$10,12,31)),'Second Earner'!$C$63,999999),IF(AND('Second Earner'!$C$64&gt;MAX($B$6:$B53),'Second Earner'!$C$64&gt;=DATE('Second Earner'!$C$10,1,1),'Second Earner'!$C$64&lt;=DATE('Second Earner'!$C$10,12,31)),'Second Earner'!$C$64,999999),IF(AND('Second Earner'!$C$65&gt;MAX($B$6:$B53),'Second Earner'!$C$65&gt;=DATE('Second Earner'!$C$10,1,1),'Second Earner'!$C$65&lt;=DATE('Second Earner'!$C$10,12,31)),'Second Earner'!$C$65,999999),IF(AND('Second Earner'!$C$66&gt;MAX($B$6:$B53),'Second Earner'!$C$66&gt;=DATE('Second Earner'!$C$10,1,1),'Second Earner'!$C$66&lt;=DATE('Second Earner'!$C$10,12,31)),'Second Earner'!$C$66,999999),IF(AND('Second Earner'!$C$67&gt;MAX($B$6:$B53),'Second Earner'!$C$67&gt;=DATE('Second Earner'!$C$10,1,1),'Second Earner'!$C$67&lt;=DATE('Second Earner'!$C$10,12,31)),'Second Earner'!$C$67,999999))=999999,"",MIN(IF(AND('Second Earner'!$C$58&gt;MAX($B$6:$B53),'Second Earner'!$C$58&gt;=DATE('Second Earner'!$C$10,1,1),'Second Earner'!$C$58&lt;=DATE('Second Earner'!$C$10,12,31)),'Second Earner'!$C$58,999999),IF(AND('Second Earner'!$C$59&gt;MAX($B$6:$B53),'Second Earner'!$C$59&gt;=DATE('Second Earner'!$C$10,1,1),'Second Earner'!$C$59&lt;=DATE('Second Earner'!$C$10,12,31)),'Second Earner'!$C$59,999999),IF(AND('Second Earner'!$C$60&gt;MAX($B$6:$B53),'Second Earner'!$C$60&gt;=DATE('Second Earner'!$C$10,1,1),'Second Earner'!$C$60&lt;=DATE('Second Earner'!$C$10,12,31)),'Second Earner'!$C$60,999999),IF(AND('Second Earner'!$C$61&gt;MAX($B$6:$B53),'Second Earner'!$C$61&gt;=DATE('Second Earner'!$C$10,1,1),'Second Earner'!$C$61&lt;=DATE('Second Earner'!$C$10,12,31)),'Second Earner'!$C$61,999999),IF(AND('Second Earner'!$C$62&gt;MAX($B$6:$B53),'Second Earner'!$C$62&gt;=DATE('Second Earner'!$C$10,1,1),'Second Earner'!$C$62&lt;=DATE('Second Earner'!$C$10,12,31)),'Second Earner'!$C$62,999999),IF(AND('Second Earner'!$C$63&gt;MAX($B$6:$B53),'Second Earner'!$C$63&gt;=DATE('Second Earner'!$C$10,1,1),'Second Earner'!$C$63&lt;=DATE('Second Earner'!$C$10,12,31)),'Second Earner'!$C$63,999999),IF(AND('Second Earner'!$C$64&gt;MAX($B$6:$B53),'Second Earner'!$C$64&gt;=DATE('Second Earner'!$C$10,1,1),'Second Earner'!$C$64&lt;=DATE('Second Earner'!$C$10,12,31)),'Second Earner'!$C$64,999999),IF(AND('Second Earner'!$C$65&gt;MAX($B$6:$B53),'Second Earner'!$C$65&gt;=DATE('Second Earner'!$C$10,1,1),'Second Earner'!$C$65&lt;=DATE('Second Earner'!$C$10,12,31)),'Second Earner'!$C$65,999999),IF(AND('Second Earner'!$C$66&gt;MAX($B$6:$B53),'Second Earner'!$C$66&gt;=DATE('Second Earner'!$C$10,1,1),'Second Earner'!$C$66&lt;=DATE('Second Earner'!$C$10,12,31)),'Second Earner'!$C$66,999999),IF(AND('Second Earner'!$C$67&gt;MAX($B$6:$B53),'Second Earner'!$C$67&gt;=DATE('Second Earner'!$C$10,1,1),'Second Earner'!$C$67&lt;=DATE('Second Earner'!$C$10,12,31)),'Second Earner'!$C$67,999999)))</f>
      </c>
      <c r="CF54">
        <f>IF($B54="","",IF($D54=0,$Y54,""))</f>
      </c>
    </row>
    <row r="55">
      <c r="A55" t="n">
        <v>50</v>
      </c>
      <c r="B55" s="21">
        <f>IF(AND($CD55="",$CE55=""),"",IF($CE55="",$CD55,IF($CD55="",$CE55,MIN($CD55,$CE55))))</f>
      </c>
      <c r="C55" s="7">
        <f>IF($B55="","",IF($BF55=0,0,IF('Second Earner'!$C$4="Annual salary",ROUND($AK55/IF(AND('Second Earner'!$C$88="Actual paydays",MONTH('Second Earner'!$C$9)=1),MAX(1,MAX($BE$6:$BE$68)),'Second Earner'!$C$8),2),$AK55)))</f>
      </c>
      <c r="D55" s="7">
        <f>IF($B55="","",SUMIF('Second Earner'!$C$58:$C$67,$B55,'Second Earner'!$D$58:$D$67))</f>
      </c>
      <c r="E55" s="7">
        <f>IF($B55="","",ROUND(MAX(0,MIN(IF($AL55="Percent",$AM55*($C55+$D55),$AM55),MAX(0,'Second Earner'!$C$34-$AC54))),2))</f>
      </c>
      <c r="F55" s="7">
        <f>IF($B55="","",ROUND(MAX(0,MIN(IF('Second Earner'!$C$32="Percent",'Second Earner'!$D$32*($C55+$D55),'Second Earner'!$D$32),MAX(0,'Second Earner'!$C$34-$AC54-$E55))),2))</f>
      </c>
      <c r="G55" s="7">
        <f>IF($B55="","",IF($BF55=0,0,ROUND(MAX(0,MIN($BL55,'Second Earner'!$C$37-'Second Earner'!$C$54-$BI54)),2)))</f>
      </c>
      <c r="H55" s="7">
        <f>IF($B55="","",IF(OR($BF55=0,$BQ55=1),0,ROUND(MAX(0,MIN(IF($BS55=1,ROUND(MAX(0,MIN($BJ55,'How This Works &amp; Sources'!$C$13)-$BG54)/MAX(1,MAX($BE$6:$BE$68)-($BE54)),2),ROUND(MIN($BJ55,'How This Works &amp; Sources'!$C$13)/'Second Earner'!$C$8,2)),MIN($BJ55,'How This Works &amp; Sources'!$C$13)-$BG54)),2)))</f>
      </c>
      <c r="I55" s="7">
        <f>IF($B55="","",IF(OR($BF55=0,$BR55=1),0,ROUND(MAX(0,MIN(IF($BT55=1,ROUND(MAX(0,MIN($BK55,IF('Second Earner'!$C$12="MFJ",'How This Works &amp; Sources'!$C$14,'How This Works &amp; Sources'!$C$15))-$BH54)/MAX(1,MAX($BE$6:$BE$68)-($BE54)),2),ROUND(MIN($BK55,IF('Second Earner'!$C$12="MFJ",'How This Works &amp; Sources'!$C$14,'How This Works &amp; Sources'!$C$15))/'Second Earner'!$C$8,2)),MIN($BK55,IF('Second Earner'!$C$12="MFJ",'How This Works &amp; Sources'!$C$14,'How This Works &amp; Sources'!$C$15))-$BH54)),2)))</f>
      </c>
      <c r="J55" s="7">
        <f>IF($B55="","",IF($BF55=0,0,$BM55))</f>
      </c>
      <c r="K55" s="7">
        <f>IF($B55="","",IF($BF55=0,0,$BN55+$BO55))</f>
      </c>
      <c r="L55" s="7">
        <f>IF($B55="","",IF($BF55=0,0,'Second Earner'!$D$46))</f>
      </c>
      <c r="M55" s="7">
        <f>IF($B55="","",$C55+$D55+$L55-$E55-$G55-$H55-$I55-$J55-$K55)</f>
      </c>
      <c r="N55" s="7">
        <f>IF($B55="","",$C55+$D55+$L55-$G55-$H55-$I55-$J55-$K55)</f>
      </c>
      <c r="O55" s="7">
        <f>IF($B55="","",$C55+$D55+$L55-$E55-$H55-$I55-$J55-$K55-IF(OR($AN55="CA",$AN55="NJ"),0,$G55))</f>
      </c>
      <c r="P55" s="7">
        <f>IF($B55="","",IF('Second Earner'!$C$18,0,ROUND(MAX(0,IF('Second Earner'!$C$13,SUMPRODUCT(($AH55&gt;INDEX('How This Works &amp; Sources'!$B$29:$J$36,0,IF('Second Earner'!$C$12="MFJ",1,IF('Second Earner'!$C$12="HoH",7,4))))*($AH55-INDEX('How This Works &amp; Sources'!$B$29:$J$36,0,IF('Second Earner'!$C$12="MFJ",1,IF('Second Earner'!$C$12="HoH",7,4))))*INDEX('How This Works &amp; Sources'!$B$29:$J$36,0,IF('Second Earner'!$C$12="MFJ",1,IF('Second Earner'!$C$12="HoH",7,4))+2)),SUMPRODUCT(($AH55&gt;INDEX('How This Works &amp; Sources'!$B$19:$J$26,0,IF('Second Earner'!$C$12="MFJ",1,IF('Second Earner'!$C$12="HoH",7,4))))*($AH55-INDEX('How This Works &amp; Sources'!$B$19:$J$26,0,IF('Second Earner'!$C$12="MFJ",1,IF('Second Earner'!$C$12="HoH",7,4))))*INDEX('How This Works &amp; Sources'!$B$19:$J$26,0,IF('Second Earner'!$C$12="MFJ",1,IF('Second Earner'!$C$12="HoH",7,4))+2)))/'Second Earner'!$C$8-$AO55/'Second Earner'!$C$8)+$AR55+IF('Second Earner'!$C$89="Aggregate",MAX(0,IF('Second Earner'!$C$13,SUMPRODUCT((($AH55+$D55)&gt;INDEX('How This Works &amp; Sources'!$B$29:$J$36,0,IF('Second Earner'!$C$12="MFJ",1,IF('Second Earner'!$C$12="HoH",7,4))))*(($AH55+$D55)-INDEX('How This Works &amp; Sources'!$B$29:$J$36,0,IF('Second Earner'!$C$12="MFJ",1,IF('Second Earner'!$C$12="HoH",7,4))))*INDEX('How This Works &amp; Sources'!$B$29:$J$36,0,IF('Second Earner'!$C$12="MFJ",1,IF('Second Earner'!$C$12="HoH",7,4))+2)),SUMPRODUCT((($AH55+$D55)&gt;INDEX('How This Works &amp; Sources'!$B$19:$J$26,0,IF('Second Earner'!$C$12="MFJ",1,IF('Second Earner'!$C$12="HoH",7,4))))*(($AH55+$D55)-INDEX('How This Works &amp; Sources'!$B$19:$J$26,0,IF('Second Earner'!$C$12="MFJ",1,IF('Second Earner'!$C$12="HoH",7,4))))*INDEX('How This Works &amp; Sources'!$B$19:$J$26,0,IF('Second Earner'!$C$12="MFJ",1,IF('Second Earner'!$C$12="HoH",7,4))+2)))-IF('Second Earner'!$C$13,SUMPRODUCT(($AH55&gt;INDEX('How This Works &amp; Sources'!$B$29:$J$36,0,IF('Second Earner'!$C$12="MFJ",1,IF('Second Earner'!$C$12="HoH",7,4))))*($AH55-INDEX('How This Works &amp; Sources'!$B$29:$J$36,0,IF('Second Earner'!$C$12="MFJ",1,IF('Second Earner'!$C$12="HoH",7,4))))*INDEX('How This Works &amp; Sources'!$B$29:$J$36,0,IF('Second Earner'!$C$12="MFJ",1,IF('Second Earner'!$C$12="HoH",7,4))+2)),SUMPRODUCT(($AH55&gt;INDEX('How This Works &amp; Sources'!$B$19:$J$26,0,IF('Second Earner'!$C$12="MFJ",1,IF('Second Earner'!$C$12="HoH",7,4))))*($AH55-INDEX('How This Works &amp; Sources'!$B$19:$J$26,0,IF('Second Earner'!$C$12="MFJ",1,IF('Second Earner'!$C$12="HoH",7,4))))*INDEX('How This Works &amp; Sources'!$B$19:$J$26,0,IF('Second Earner'!$C$12="MFJ",1,IF('Second Earner'!$C$12="HoH",7,4))+2)))),'How This Works &amp; Sources'!$C$10*$D55),2)))</f>
      </c>
      <c r="Q55" s="7">
        <f>IF($B55="","",ROUND('How This Works &amp; Sources'!$C$4*MIN($N55,MAX(0,'How This Works &amp; Sources'!$C$3-($AX55+$AB54-$AW55))),2))</f>
      </c>
      <c r="R55" s="7">
        <f>IF($B55="","",ROUND('How This Works &amp; Sources'!$C$5*$N55,2))</f>
      </c>
      <c r="S55" s="7">
        <f>IF($B55="","",ROUND('How This Works &amp; Sources'!$C$6*MAX(0,MIN($N55,$AG54+$N55-'How This Works &amp; Sources'!$C$7)),2))</f>
      </c>
      <c r="T55" s="7">
        <f>IF($B55="","",IF('Second Earner'!$C$26,0,IF($AN55="CA",ROUND(IF($AI55&lt;=IF(($AS55+$AT55)&gt;=2,VLOOKUP($AN55,StateTables!$A$6:$AB$56,10,FALSE),VLOOKUP($AN55,StateTables!$A$6:$AB$56,9,FALSE)),0,MAX(0,SUMPRODUCT(($AJ55&gt;INDEX('How This Works &amp; Sources'!$B$39:$J$48,0,IF($AU55="Married",4,IF($AU55="Head of household",7,1))))*($AJ55-INDEX('How This Works &amp; Sources'!$B$39:$J$48,0,IF($AU55="Married",4,IF($AU55="Head of household",7,1))))*INDEX('How This Works &amp; Sources'!$B$39:$J$48,0,IF($AU55="Married",4,IF($AU55="Head of household",7,1))+2))-VLOOKUP($AN55,StateTables!$A$6:$AB$56,11,FALSE)*$AS55)/'Second Earner'!$C$8)+'Second Earner'!$C$25+VLOOKUP($AN55,StateTables!$A$6:$AB$56,13,FALSE)*$D55,2),IF(VLOOKUP($AN55,StateTables!$A$6:$AB$56,4,FALSE)="None",0,IF(ISNUMBER(SEARCH("MANUAL",VLOOKUP($AN55,StateTables!$A$6:$AB$56,5,FALSE))),'Second Earner'!$C$28,ROUND(MAX(0,$BA55+$BB55)/'Second Earner'!$C$8+'Second Earner'!$C$25+$BC55,2))))))</f>
      </c>
      <c r="U55" s="7">
        <f>IF($B55="","",IF(VLOOKUP($AN55,StateTables!$A$6:$AB$56,24,FALSE)="flatq",IF(OR(MONTH($B55)=1,MONTH($B55)=4,MONTH($B55)=7,MONTH($B55)=10),VLOOKUP($AN55,StateTables!$A$6:$AB$56,25,FALSE),0),IF(VLOOKUP($AN55,StateTables!$A$6:$AB$56,24,FALSE)="dbl",MIN(ROUND(0.005*$N55,2),ROUND(0.6*52/'Second Earner'!$C$8,2)),IF(OR(VLOOKUP($AN55,StateTables!$A$6:$AB$56,15,FALSE)="",VLOOKUP($AN55,StateTables!$A$6:$AB$56,15,FALSE)=0),0,ROUND(VLOOKUP($AN55,StateTables!$A$6:$AB$56,15,FALSE)*IF(OR(VLOOKUP($AN55,StateTables!$A$6:$AB$56,16,FALSE)="",VLOOKUP($AN55,StateTables!$A$6:$AB$56,16,FALSE)=0),$N55,MIN($N55,MAX(0,VLOOKUP($AN55,StateTables!$A$6:$AB$56,16,FALSE)-($AX55+$AB54-$AW55)))),2))))+IF(VLOOKUP($AN55,StateTables!$A$6:$AB$56,27,FALSE)="flatq",IF(OR(MONTH($B55)=1,MONTH($B55)=4,MONTH($B55)=7,MONTH($B55)=10),VLOOKUP($AN55,StateTables!$A$6:$AB$56,28,FALSE),0),IF(VLOOKUP($AN55,StateTables!$A$6:$AB$56,27,FALSE)="dbl",MIN(ROUND(0.005*$N55,2),ROUND(0.6*52/'Second Earner'!$C$8,2)),IF(OR(VLOOKUP($AN55,StateTables!$A$6:$AB$56,18,FALSE)="",VLOOKUP($AN55,StateTables!$A$6:$AB$56,18,FALSE)=0),0,ROUND(VLOOKUP($AN55,StateTables!$A$6:$AB$56,18,FALSE)*IF(OR(VLOOKUP($AN55,StateTables!$A$6:$AB$56,19,FALSE)="",VLOOKUP($AN55,StateTables!$A$6:$AB$56,19,FALSE)=0),$N55,MIN($N55,MAX(0,VLOOKUP($AN55,StateTables!$A$6:$AB$56,19,FALSE)-($AX55+$AB54-$AW55)))),2)))))</f>
      </c>
      <c r="V55" s="7">
        <f>IF($B55="","",IF($AN55="NY",IF('Second Earner'!$C$78,ROUND(SUMPRODUCT((MAX(0,($O55-$D55)*'Second Earner'!$C$8-(IF($AU55="Married",5500,5000)+1000*$AS55))&gt;INDEX('How This Works &amp; Sources'!$B$184:$J$198,0,4))*(MAX(0,($O55-$D55)*'Second Earner'!$C$8-(IF($AU55="Married",5500,5000)+1000*$AS55))-INDEX('How This Works &amp; Sources'!$B$184:$J$198,0,4))*INDEX('How This Works &amp; Sources'!$B$184:$J$198,0,4+2))/'Second Earner'!$C$8+0.0425*$D55,2),0)+IF('Second Earner'!$C$79="Resident",ROUND(0.1675*$T55,2),IF('Second Earner'!$C$79="Nonresident",ROUND(0.005*MAX(0,($O55-$D55)-(IF($AU55="Married",7950,7400)+1000*$AS55)/'Second Earner'!$C$8),2),0)),IF($AN55="PA",IF('Second Earner'!$C$80="None",'Second Earner'!$C$27+ROUND('Second Earner'!$C$81*($C55+$D55),2),ROUND(IF('Second Earner'!$C$80="Resident",IF($B55&lt;DATE(2026,7,1),0.0374,0.03735),IF($B55&lt;DATE(2026,7,1),0.0343,0.03425))*($C55+$D55),2)),IF($BF55=0,ROUND('Second Earner'!$C$81*($C55+$D55),2),'Second Earner'!$C$27+ROUND('Second Earner'!$C$81*($C55+$D55),2)))))</f>
      </c>
      <c r="W55" s="7">
        <f>IF($B55="","",IF($BF55=0,0,$BP55))</f>
      </c>
      <c r="X55" s="7">
        <f>IF($B55="","",SUM($E55:$K55)+$P55+$Q55+$R55+$S55+$T55+$U55+$V55+$W55)</f>
      </c>
      <c r="Y55" s="22">
        <f>IF($B55="","",$C55+$D55-$X55)</f>
      </c>
      <c r="Z55" s="7">
        <f>IF($B55="","",$Z54+$C55+$D55)</f>
      </c>
      <c r="AA55" s="7">
        <f>IF($B55="","",$AA54+$Y55)</f>
      </c>
      <c r="AB55" s="7">
        <f>IF($B55="","",$AB54+MIN($N55,MAX(0,'How This Works &amp; Sources'!$C$3-($AX55+$AB54-$AW55))))</f>
      </c>
      <c r="AC55" s="7">
        <f>IF($B55="","",$AC54+$E55+$F55)</f>
      </c>
      <c r="AD55" s="3">
        <f>IF($B55="","",IF(AND($AB54&lt;'How This Works &amp; Sources'!$C$3,$AB55&gt;='How This Works &amp; Sources'!$C$3),"★ Social Security maxed on this check — from the next check your net rises by about $"&amp;TEXT(ROUND('How This Works &amp; Sources'!$C$4*$N55,2),"#,##0.00")&amp;". ","")&amp;IF(AND($AC54&lt;'Second Earner'!$C$34,$AC55&gt;='Second Earner'!$C$34),"★ 401(k) reaches the $"&amp;TEXT('Second Earner'!$C$34,"#,##0")&amp;" cap on this check — deferrals stop and net pay rises. ","")&amp;IF(AND($AG54&lt;'How This Works &amp; Sources'!$C$7,$AG55&gt;='How This Works &amp; Sources'!$C$7),"★ Wages pass $200,000 — the 0.9% Additional Medicare Tax starts here. ","")&amp;IF(AND($BJ55&gt;0,$H55&gt;0,$BG54&lt;MIN($BJ55,'How This Works &amp; Sources'!$C$13),$BG54+$H55&gt;=MIN($BJ55,'How This Works &amp; Sources'!$C$13)),"★ Health FSA election is now fully deferred for the year. ",""))</f>
      </c>
      <c r="AE55" s="41" t="n"/>
      <c r="AF55" s="7">
        <f>IF(OR($B55="",$AE55=""),"",$AE55-$Y55)</f>
      </c>
      <c r="AG55" s="7">
        <f>IF($B55="","",$AG54+$N55)</f>
      </c>
      <c r="AH55" s="7">
        <f>IF($B55="","",MAX(0,($M55-$D55)*'Second Earner'!$C$8+$AP55-$AQ55-IF('Second Earner'!$C$13,0,IF('Second Earner'!$C$12="MFJ",'How This Works &amp; Sources'!$C$8,'How This Works &amp; Sources'!$C$9))))</f>
      </c>
      <c r="AI55" s="7">
        <f>IF($B55="","",$O55*'Second Earner'!$C$8)</f>
      </c>
      <c r="AJ55" s="7">
        <f>IF($B55="","",MAX(0,$AI55-VLOOKUP($AN55,StateTables!$A$6:$AB$56,12,FALSE)*$AT55-IF(($AS55+$AT55)&gt;=2,VLOOKUP($AN55,StateTables!$A$6:$AB$56,8,FALSE),VLOOKUP($AN55,StateTables!$A$6:$AB$56,7,FALSE))))</f>
      </c>
      <c r="AK55" s="7">
        <f>IF($B55="","",IFERROR(LOOKUP(2,1/(('Changes — Earner 2'!$C$6:$C$17="Salary change")*('Changes — Earner 2'!$B$6:$B$17&lt;=$B55)*('Changes — Earner 2'!$B$6:$B$17&lt;&gt;"")),'Changes — Earner 2'!$D$6:$D$17),IF('Second Earner'!$C$4="Annual salary",'Second Earner'!$C$5,'Second Earner'!$C$6)))</f>
      </c>
      <c r="AL55">
        <f>IF($B55="","",IFERROR(LOOKUP(2,1/(('Changes — Earner 2'!$C$6:$C$17="401(k) change")*('Changes — Earner 2'!$B$6:$B$17&lt;=$B55)*('Changes — Earner 2'!$B$6:$B$17&lt;&gt;"")),'Changes — Earner 2'!$D$6:$D$17),'Second Earner'!$C$30))</f>
      </c>
      <c r="AM55" s="7">
        <f>IF($B55="","",IFERROR(LOOKUP(2,1/(('Changes — Earner 2'!$C$6:$C$17="401(k) change")*('Changes — Earner 2'!$B$6:$B$17&lt;=$B55)*('Changes — Earner 2'!$B$6:$B$17&lt;&gt;"")),'Changes — Earner 2'!$E$6:$E$17),'Second Earner'!$D$31))</f>
      </c>
      <c r="AN55">
        <f>IF($B55="","",IFERROR(LOOKUP(2,1/(('Changes — Earner 2'!$C$6:$C$17="State move")*('Changes — Earner 2'!$B$6:$B$17&lt;=$B55)*('Changes — Earner 2'!$B$6:$B$17&lt;&gt;"")),'Changes — Earner 2'!$D$6:$D$17),'Second Earner'!$C$21))</f>
      </c>
      <c r="AO55" s="7">
        <f>IF($B55="","",IFERROR(LOOKUP(2,1/(('Changes — Earner 2'!$C$6:$C$17="W-4 change")*('Changes — Earner 2'!$B$6:$B$17&lt;=$B55)*('Changes — Earner 2'!$B$6:$B$17&lt;&gt;"")),'Changes — Earner 2'!$D$6:$D$17),'Second Earner'!$C$14))</f>
      </c>
      <c r="AP55" s="7">
        <f>IF($B55="","",IFERROR(LOOKUP(2,1/(('Changes — Earner 2'!$C$6:$C$17="W-4 change")*('Changes — Earner 2'!$B$6:$B$17&lt;=$B55)*('Changes — Earner 2'!$B$6:$B$17&lt;&gt;"")),'Changes — Earner 2'!$E$6:$E$17),'Second Earner'!$C$15))</f>
      </c>
      <c r="AQ55" s="7">
        <f>IF($B55="","",IFERROR(LOOKUP(2,1/(('Changes — Earner 2'!$C$6:$C$17="W-4 change")*('Changes — Earner 2'!$B$6:$B$17&lt;=$B55)*('Changes — Earner 2'!$B$6:$B$17&lt;&gt;"")),'Changes — Earner 2'!$F$6:$F$17),'Second Earner'!$C$16))</f>
      </c>
      <c r="AR55" s="7">
        <f>IF($B55="","",IFERROR(LOOKUP(2,1/(('Changes — Earner 2'!$C$6:$C$17="W-4 change")*('Changes — Earner 2'!$B$6:$B$17&lt;=$B55)*('Changes — Earner 2'!$B$6:$B$17&lt;&gt;"")),'Changes — Earner 2'!$G$6:$G$17),'Second Earner'!$C$17))</f>
      </c>
      <c r="AS55" s="6">
        <f>IF($B55="","",IFERROR(LOOKUP(2,1/((('Changes — Earner 2'!$C$6:$C$17="State move")+('Changes — Earner 2'!$C$6:$C$17="State cert change"))*('Changes — Earner 2'!$B$6:$B$17&lt;=$B55)*('Changes — Earner 2'!$B$6:$B$17&lt;&gt;"")),'Changes — Earner 2'!$F$6:$F$17),'Second Earner'!$C$23))</f>
      </c>
      <c r="AT55" s="6">
        <f>IF($B55="","",IFERROR(LOOKUP(2,1/((('Changes — Earner 2'!$C$6:$C$17="State move")+('Changes — Earner 2'!$C$6:$C$17="State cert change"))*('Changes — Earner 2'!$B$6:$B$17&lt;=$B55)*('Changes — Earner 2'!$B$6:$B$17&lt;&gt;"")),'Changes — Earner 2'!$G$6:$G$17),'Second Earner'!$C$24))</f>
      </c>
      <c r="AU55">
        <f>IF($B55="","",IFERROR(LOOKUP(2,1/(('Changes — Earner 2'!$C$6:$C$17="State move")*('Changes — Earner 2'!$B$6:$B$17&lt;=$B55)*('Changes — Earner 2'!$B$6:$B$17&lt;&gt;"")),'Changes — Earner 2'!$E$6:$E$17),'Second Earner'!$C$22))</f>
      </c>
      <c r="AV55" s="6">
        <f>IF($B55="","",1+COUNTIFS('Changes — Earner 2'!$C$6:$C$17,"Employer change",'Changes — Earner 2'!$B$6:$B$17,"&lt;="&amp;$B55,'Changes — Earner 2'!$B$6:$B$17,"&lt;&gt;"))</f>
      </c>
      <c r="AW55" s="7">
        <f>IF($B55="","",IF($AV55=1,'Second Earner'!$C$49,IF(IFERROR(MATCH(IFERROR(LOOKUP(2,1/(('Changes — Earner 2'!$C$6:$C$17="Employer change")*('Changes — Earner 2'!$B$6:$B$17&lt;=$B55)*('Changes — Earner 2'!$B$6:$B$17&lt;&gt;"")),'Changes — Earner 2'!$B$6:$B$17),""),$B$6:$B$68,1),1)&lt;=1,'Second Earner'!$C$49,INDEX($AB$6:$AB$68,MATCH(IFERROR(LOOKUP(2,1/(('Changes — Earner 2'!$C$6:$C$17="Employer change")*('Changes — Earner 2'!$B$6:$B$17&lt;=$B55)*('Changes — Earner 2'!$B$6:$B$17&lt;&gt;"")),'Changes — Earner 2'!$B$6:$B$17),""),$B$6:$B$68,1)-1))))</f>
      </c>
      <c r="AX55" s="7">
        <f>IF($B55="","",IF($AV55=1,'Second Earner'!$C$49,IFERROR(LOOKUP(2,1/(('Changes — Earner 2'!$C$6:$C$17="Employer change")*('Changes — Earner 2'!$B$6:$B$17&lt;=$B55)*('Changes — Earner 2'!$B$6:$B$17&lt;&gt;"")),'Changes — Earner 2'!$D$6:$D$17),0)))</f>
      </c>
      <c r="AY55" s="7">
        <f>IF($B55="","",($O55-$D55)*'Second Earner'!$C$8)</f>
      </c>
      <c r="AZ55" s="7">
        <f>IF($B55="","",IF($AN55="AL",MAX(0,$AY55-IF($AU55="Married",IF($AY55&lt;=25999,8500,MAX(5000,8500-175*CEILING(($AY55-25999)/500,1))),IF($AU55="Head of household",IF($AY55&lt;=25999,5200,MAX(2500,5200-135*CEILING(($AY55-25999)/500,1))),IF($AY55&lt;=25999,3000,MAX(2500,3000-25*CEILING(($AY55-25999)/500,1)))))-($P55-'How This Works &amp; Sources'!$C$10*$D55)*'Second Earner'!$C$8-IF(OR($AU55="Married",$AU55="Head of household"),3000,1500)-$AT55*IF($AY55&lt;=50000,1000,IF($AY55&lt;=100000,500,300))),IF($AN55="AR",IF(MAX(0,$AY55-2470)&lt;97701,INT(MAX(0,$AY55-2470)/100)*100+50,MAX(0,$AY55-2470)),IF($AN55="DE",MAX(0,$AI55-3250),IF($AN55="HI",MAX(0,$AI55-1144*$AS55-4350),IF($AN55="KS",MAX(0,$AI55-(9160*IF($AU55="Married",2,1)+2320*$AT55+IF($AU55="Head of household",2320,0))),IF($AN55="MD",MAX(0,$AI55-3400-3200*$AS55),IF($AN55="MN",MAX(0,$AY55-5300*$AS55),IF($AN55="MO",MAX(0,$AI55-IF($AU55="Head of household",24150,IF($AU55="Married",IF('Second Earner'!$C$83,16100,32200),16100))),IF($AN55="MT",$AY55,IF($AN55="ND",($C55+$L55)*'Second Earner'!$C$8,IF($AN55="NE",MAX(0,$AY55-2440*$AS55),IF($AN55="NJ",MAX(0,$AY55-1000*$AS55),IF($AN55="NY",MAX(0,$AY55-(IF($AU55="Married",7950,7400)+1000*$AS55)),IF($AN55="OH",MAX(0,$AY55-650*$AS55),IF($AN55="OK",MAX(0,$AY55-1000*$AS55),IF($AN55="RI",MAX(0,$AI55-1000*$AS55),IF($AN55="SC",MAX(0,$AI55-5000*$AS55-IF($AS55=0,0,MIN(0.1*$AI55,7500))),IF($AN55="VA",MAX(0,$AI55-IF($AU55="Married",17500,8750)-930*$AS55-800*$AT55),IF($AN55="VT",MAX(0,$AI55-5400*$AS55),IF($AN55="WI",MAX(0,$AI55-MAX(0,IF($AU55="Married",9461-0.2*MAX(0,$AI55-25727),6702-0.12*MAX(0,$AI55-17780)))-400*$AS55),IF($AN55="WV",MAX(0,$AI55-2000*$AS55),$AI55))))))))))))))))))))))</f>
      </c>
      <c r="BA55" s="7">
        <f>IF($B55="","",IF($BW55&lt;&gt;"",$BW55,IF($BX55&lt;&gt;"",$BX55,IF($BY55&lt;&gt;"",$BY55,0))))</f>
      </c>
      <c r="BB55" s="7">
        <f>IF($B55="","",IF($AN55="AR",-29*$AS55,IF($AN55="DE",-110*$AS55,IF($AN55="MD",$AZ55*'Second Earner'!$C$74,IF($AN55="AZ",'Second Earner'!$C$82*($M55-$D55)*'Second Earner'!$C$8,IF($AN55="CO",0.044*MAX(0,$AY55-IF($AU55="Married",10000,5000)),IF($AN55="IA",MAX(0,0.038*MAX(0,$AY55-IF($AU55="Head of household",19500,IF($AU55="Married",26000,13000)))-40*$AS55),IF($AN55="ID",0.053*MAX(0,$AY55-IF($AU55="Married",32000,16094)),IF($AN55="IL",0.0495*MAX(0,$AY55-(2925*$AS55+1000*$AT55)),IF($AN55="IN",(0.0295+'Second Earner'!$C$76)*MAX(0,$AY55-(1000*$AS55+1500*$AT55+3000*'Second Earner'!$C$86)),IF($AN55="KY",0.035*MAX(0,$AI55-3360),IF($AN55="LA",IF('Second Earner'!$C$84="0",0.0309*$AI55,0.0309*MAX(0,$AI55-IF('Second Earner'!$C$84="2",25750,12875))),IF($AN55="MA",0.05*MIN(MAX(0,$AY55-MIN(($BD54+$Q55+$R55+$S55),2000)-IF($AS55=0,0,IF($AS55=1,4400,1000*$AS55+3400))),1107750)+0.09*MAX(0,MAX(0,$AY55-MIN(($BD54+$Q55+$R55+$S55),2000)-IF($AS55=0,0,IF($AS55=1,4400,1000*$AS55+3400)))-1107750)-IF($AU55="Head of household",120,0)-110*'Second Earner'!$C$75,IF($AN55="MI",0.0425*MAX(0,$AY55-5900*$AS55),IF($AN55="MS",0.04*MAX(0,$AI55-IF($AU55="Head of household",3400,IF($AU55="Married",4600,2300))-'Second Earner'!$C$85-10000),IF($AN55="OR",IF(OR($AU55="Married",AND($AU55="Single",$AS55&gt;=3)),SUMPRODUCT((MAX(0,$AY55-MIN(($P55-'How This Works &amp; Sources'!$C$10*$D55)*'Second Earner'!$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Sources'!$B$211:$J$214,0,4))*(MAX(0,$AY55-MIN(($P55-'How This Works &amp; Sources'!$C$10*$D55)*'Second Earner'!$C$8,IF(OR($AU55="Married",AND($AU55="Single",$AS55&gt;=3)),IF($AY55&lt;250000,8750,IF($AY55&lt;260000,7000,IF($AY55&lt;270000,5250,IF($AY55&lt;280000,3500,IF($AY55&lt;290000,1750,0))))),IF($AY55&lt;125000,8750,IF($AY55&lt;130000,7000,IF($AY55&lt;135000,5250,IF($AY55&lt;140000,3500,IF($AY55&lt;145000,1750,0)))))))-IF(OR($AU55="Married",AND($AU55="Single",$AS55&gt;=3)),5820,2910))-INDEX('How This Works &amp; Sources'!$B$211:$J$214,0,4))*INDEX('How This Works &amp; Sources'!$B$211:$J$214,0,4+2)),SUMPRODUCT((MAX(0,$AY55-MIN(($P55-'How This Works &amp; Sources'!$C$10*$D55)*'Second Earner'!$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Sources'!$B$211:$J$214,0,1))*(MAX(0,$AY55-MIN(($P55-'How This Works &amp; Sources'!$C$10*$D55)*'Second Earner'!$C$8,IF(OR($AU55="Married",AND($AU55="Single",$AS55&gt;=3)),IF($AY55&lt;250000,8750,IF($AY55&lt;260000,7000,IF($AY55&lt;270000,5250,IF($AY55&lt;280000,3500,IF($AY55&lt;290000,1750,0))))),IF($AY55&lt;125000,8750,IF($AY55&lt;130000,7000,IF($AY55&lt;135000,5250,IF($AY55&lt;140000,3500,IF($AY55&lt;145000,1750,0)))))))-IF(OR($AU55="Married",AND($AU55="Single",$AS55&gt;=3)),5820,2910))-INDEX('How This Works &amp; Sources'!$B$211:$J$214,0,1))*INDEX('How This Works &amp; Sources'!$B$211:$J$214,0,1+2)))+263-263*IF(IF($AU55="Married",$AY55&gt;200000,$AY55&gt;100000),0,$AS55),IF($AN55="PA",0.0307*(($O55+$E55+$G55)*'Second Earner'!$C$8),IF($AN55="NY",IF($AU55="Married",IF($AZ55&gt;=2155350,0,IF($AZ55&gt;=1077550,0.48,IF($AZ55&gt;=373200,1.21,IF($AZ55&gt;=323200,0.21,IF($AZ55&gt;=211550,-0.19,IF($AZ55&gt;=157650,-2.8,IF($AZ55&gt;=107650,-0.8,IF($AZ55&gt;=96800,0.05,IF($AZ55&gt;=80650,-0.1,IF($AZ55&gt;=13900,0.4,IF($AZ55&gt;=11700,-0.3,IF($AZ55&gt;=8500,0.5,0)))))))))))),IF($AZ55&gt;=1077550,0,IF($AZ55&gt;=265400,4.29,IF($AZ55&gt;=215400,2.29,IF($AZ55&gt;=157650,2.29,IF($AZ55&gt;=107650,0.29,IF($AZ55&gt;=96800,0.05,IF($AZ55&gt;=80650,-0.1,IF($AZ55&gt;=13900,0.4,IF($AZ55&gt;=11700,-0.3,IF($AZ55&gt;=8500,0.5,0))))))))))),0))))))))))))))))))</f>
      </c>
      <c r="BC55" s="7">
        <f>IF($B55="","",IF($AN55="AL",0.05*$D55,IF($AN55="AR",0.039*$D55,IF($AN55="ID",0.053*$D55,IF($AN55="IN",(0.0295+'Second Earner'!$C$76)*$D55,IF($AN55="KS",0.05*$D55,IF($AN55="MA",0.09*MIN($D55,MAX(0,MAX(0,$AY55-MIN(($BD54+$Q55+$R55+$S55),2000)-IF($AS55=0,0,IF($AS55=1,4400,1000*$AS55+3400)))+$D55-1107750))+0.05*($D55-MIN($D55,MAX(0,MAX(0,$AY55-MIN(($BD54+$Q55+$R55+$S55),2000)-IF($AS55=0,0,IF($AS55=1,4400,1000*$AS55+3400)))+$D55-1107750))),IF($AN55="MD",(0.065+'Second Earner'!$C$74)*$D55,IF($AN55="MI",0.0425*$D55,IF($AN55="MN",0.0625*$D55,IF($AN55="MO",0.047*$D55,IF($AN55="MT",0.05*$D55,IF($AN55="ND",0.015*$D55,IF($AN55="NE",0.035*$D55,IF($AN55="NJ",IF('Second Earner'!$C$77="B",SUMPRODUCT(($D55*'Second Earner'!$C$8&gt;INDEX('How This Works &amp; Sources'!$B$155:$J$162,0,4))*($D55*'Second Earner'!$C$8-INDEX('How This Works &amp; Sources'!$B$155:$J$162,0,4))*INDEX('How This Works &amp; Sources'!$B$155:$J$162,0,4+2)),IF('Second Earner'!$C$77="C",SUMPRODUCT(($D55*'Second Earner'!$C$8&gt;INDEX('How This Works &amp; Sources'!$B$155:$J$162,0,7))*($D55*'Second Earner'!$C$8-INDEX('How This Works &amp; Sources'!$B$155:$J$162,0,7))*INDEX('How This Works &amp; Sources'!$B$155:$J$162,0,7+2)),IF('Second Earner'!$C$77="D",SUMPRODUCT(($D55*'Second Earner'!$C$8&gt;INDEX('How This Works &amp; Sources'!$B$167:$J$179,0,1))*($D55*'Second Earner'!$C$8-INDEX('How This Works &amp; Sources'!$B$167:$J$179,0,1))*INDEX('How This Works &amp; Sources'!$B$167:$J$179,0,1+2)),IF('Second Earner'!$C$77="E",SUMPRODUCT(($D55*'Second Earner'!$C$8&gt;INDEX('How This Works &amp; Sources'!$B$167:$J$179,0,4))*($D55*'Second Earner'!$C$8-INDEX('How This Works &amp; Sources'!$B$167:$J$179,0,4))*INDEX('How This Works &amp; Sources'!$B$167:$J$179,0,4+2)),SUMPRODUCT(($D55*'Second Earner'!$C$8&gt;INDEX('How This Works &amp; Sources'!$B$155:$J$162,0,1))*($D55*'Second Earner'!$C$8-INDEX('How This Works &amp; Sources'!$B$155:$J$162,0,1))*INDEX('How This Works &amp; Sources'!$B$155:$J$162,0,1+2))))))/'Second Earner'!$C$8,IF($AN55="NY",0.117*$D55,IF($AN55="OH",0.0275*$D55,IF($AN55="OK",0.045*$D55,IF($AN55="OR",0.08*$D55,IF($AN55="WI",IF($AY55&lt;12760,0.0354,IF($AY55&lt;25520,0.0465,IF($AY55&lt;280950,0.053,0.0765)))*$D55,0))))))))))))))))))))</f>
      </c>
      <c r="BD55" s="7">
        <f>IF($B55="","",$BD54+$Q55+$R55+$S55)</f>
      </c>
      <c r="BE55" s="6">
        <f>IF($B55="",$BE54,$BE54+$BF55)</f>
      </c>
      <c r="BF55" s="6">
        <f>IF($B55="","",IF(AND(IF(YEAR(IF('Second Earner'!$C$7="Weekly",'Second Earner'!$C$9+7*(($BE54+1)-1),IF('Second Earner'!$C$7="Biweekly",'Second Earner'!$C$9+14*(($BE54+1)-1),IF('Second Earner'!$C$7="Semimonthly",DATE(YEAR('Second Earner'!$C$9),MONTH('Second Earner'!$C$9)+INT((($BE54+1)-1)/2),MIN(DAY('Second Earner'!$C$9),DAY(EOMONTH(DATE(YEAR('Second Earner'!$C$9),MONTH('Second Earner'!$C$9)+INT((($BE54+1)-1)/2),1),0))))+IF(MOD(($BE54+1)-1,2)=1,15,0),EDATE('Second Earner'!$C$9,($BE54+1)-1)))))&lt;&gt;'Second Earner'!$C$10,"",IF('Second Earner'!$C$7="Weekly",'Second Earner'!$C$9+7*(($BE54+1)-1),IF('Second Earner'!$C$7="Biweekly",'Second Earner'!$C$9+14*(($BE54+1)-1),IF('Second Earner'!$C$7="Semimonthly",DATE(YEAR('Second Earner'!$C$9),MONTH('Second Earner'!$C$9)+INT((($BE54+1)-1)/2),MIN(DAY('Second Earner'!$C$9),DAY(EOMONTH(DATE(YEAR('Second Earner'!$C$9),MONTH('Second Earner'!$C$9)+INT((($BE54+1)-1)/2),1),0))))+IF(MOD(($BE54+1)-1,2)=1,15,0),EDATE('Second Earner'!$C$9,($BE54+1)-1)))))&lt;&gt;"",$B55=IF(YEAR(IF('Second Earner'!$C$7="Weekly",'Second Earner'!$C$9+7*(($BE54+1)-1),IF('Second Earner'!$C$7="Biweekly",'Second Earner'!$C$9+14*(($BE54+1)-1),IF('Second Earner'!$C$7="Semimonthly",DATE(YEAR('Second Earner'!$C$9),MONTH('Second Earner'!$C$9)+INT((($BE54+1)-1)/2),MIN(DAY('Second Earner'!$C$9),DAY(EOMONTH(DATE(YEAR('Second Earner'!$C$9),MONTH('Second Earner'!$C$9)+INT((($BE54+1)-1)/2),1),0))))+IF(MOD(($BE54+1)-1,2)=1,15,0),EDATE('Second Earner'!$C$9,($BE54+1)-1)))))&lt;&gt;'Second Earner'!$C$10,"",IF('Second Earner'!$C$7="Weekly",'Second Earner'!$C$9+7*(($BE54+1)-1),IF('Second Earner'!$C$7="Biweekly",'Second Earner'!$C$9+14*(($BE54+1)-1),IF('Second Earner'!$C$7="Semimonthly",DATE(YEAR('Second Earner'!$C$9),MONTH('Second Earner'!$C$9)+INT((($BE54+1)-1)/2),MIN(DAY('Second Earner'!$C$9),DAY(EOMONTH(DATE(YEAR('Second Earner'!$C$9),MONTH('Second Earner'!$C$9)+INT((($BE54+1)-1)/2),1),0))))+IF(MOD(($BE54+1)-1,2)=1,15,0),EDATE('Second Earner'!$C$9,($BE54+1)-1)))))),1,0))</f>
      </c>
      <c r="BG55" s="7">
        <f>IF($B55="","",$BG54+$H55)</f>
      </c>
      <c r="BH55" s="7">
        <f>IF($B55="","",$BH54+$I55)</f>
      </c>
      <c r="BI55" s="7">
        <f>IF($B55="","",$BI54+$G55)</f>
      </c>
      <c r="BJ55" s="7">
        <f>IF($B55="","",IFERROR(LOOKUP(2,1/(((('Changes — Earner 2'!$C$6:$C$17="Deduction start"))*('Changes — Earner 2'!$D$6:$D$17="Health FSA"))*('Changes — Earner 2'!$B$6:$B$17&lt;=$B55)*('Changes — Earner 2'!$B$6:$B$17&lt;&gt;"")),'Changes — Earner 2'!$E$6:$E$17),'Second Earner'!$D$38))</f>
      </c>
      <c r="BK55" s="7">
        <f>IF($B55="","",IFERROR(LOOKUP(2,1/(((('Changes — Earner 2'!$C$6:$C$17="Deduction start"))*('Changes — Earner 2'!$D$6:$D$17="Dependent-care FSA"))*('Changes — Earner 2'!$B$6:$B$17&lt;=$B55)*('Changes — Earner 2'!$B$6:$B$17&lt;&gt;"")),'Changes — Earner 2'!$E$6:$E$17),'Second Earner'!$D$39))</f>
      </c>
      <c r="BL55" s="7">
        <f>IF($B55="","",IFERROR(LOOKUP(2,1/(((('Changes — Earner 2'!$C$6:$C$17="Deduction start")+('Changes — Earner 2'!$C$6:$C$17="Deduction stop"))*('Changes — Earner 2'!$D$6:$D$17="HSA"))*('Changes — Earner 2'!$B$6:$B$17&lt;=$B55)*('Changes — Earner 2'!$B$6:$B$17&lt;&gt;"")),'Changes — Earner 2'!$I$6:$I$17),'Second Earner'!$D$35))</f>
      </c>
      <c r="BM55" s="7">
        <f>IF($B55="","",IFERROR(LOOKUP(2,1/(((('Changes — Earner 2'!$C$6:$C$17="Deduction start")+('Changes — Earner 2'!$C$6:$C$17="Deduction stop"))*('Changes — Earner 2'!$D$6:$D$17="Premiums"))*('Changes — Earner 2'!$B$6:$B$17&lt;=$B55)*('Changes — Earner 2'!$B$6:$B$17&lt;&gt;"")),'Changes — Earner 2'!$I$6:$I$17),'Second Earner'!$D$40+'Second Earner'!$D$41+'Second Earner'!$D$42))</f>
      </c>
      <c r="BN55" s="7">
        <f>IF($B55="","",IFERROR(LOOKUP(2,1/(((('Changes — Earner 2'!$C$6:$C$17="Deduction start")+('Changes — Earner 2'!$C$6:$C$17="Deduction stop"))*('Changes — Earner 2'!$D$6:$D$17="Commuter"))*('Changes — Earner 2'!$B$6:$B$17&lt;=$B55)*('Changes — Earner 2'!$B$6:$B$17&lt;&gt;"")),'Changes — Earner 2'!$I$6:$I$17),'Second Earner'!$D$43))</f>
      </c>
      <c r="BO55" s="7">
        <f>IF($B55="","",IFERROR(LOOKUP(2,1/(((('Changes — Earner 2'!$C$6:$C$17="Deduction start")+('Changes — Earner 2'!$C$6:$C$17="Deduction stop"))*('Changes — Earner 2'!$D$6:$D$17="Other pre-tax"))*('Changes — Earner 2'!$B$6:$B$17&lt;=$B55)*('Changes — Earner 2'!$B$6:$B$17&lt;&gt;"")),'Changes — Earner 2'!$I$6:$I$17),'Second Earner'!$D$44))</f>
      </c>
      <c r="BP55" s="7">
        <f>IF($B55="","",IFERROR(LOOKUP(2,1/(((('Changes — Earner 2'!$C$6:$C$17="Deduction start")+('Changes — Earner 2'!$C$6:$C$17="Deduction stop"))*('Changes — Earner 2'!$D$6:$D$17="Other post-tax"))*('Changes — Earner 2'!$B$6:$B$17&lt;=$B55)*('Changes — Earner 2'!$B$6:$B$17&lt;&gt;"")),'Changes — Earner 2'!$I$6:$I$17),'Second Earner'!$D$45))</f>
      </c>
      <c r="BQ55" s="6">
        <f>IF($B55="","",IFERROR(LOOKUP(2,1/(((('Changes — Earner 2'!$C$6:$C$17="Deduction start")+('Changes — Earner 2'!$C$6:$C$17="Deduction stop"))*('Changes — Earner 2'!$D$6:$D$17="Health FSA"))*('Changes — Earner 2'!$B$6:$B$17&lt;=$B55)*('Changes — Earner 2'!$B$6:$B$17&lt;&gt;"")),'Changes — Earner 2'!$J$6:$J$17),0))</f>
      </c>
      <c r="BR55" s="6">
        <f>IF($B55="","",IFERROR(LOOKUP(2,1/(((('Changes — Earner 2'!$C$6:$C$17="Deduction start")+('Changes — Earner 2'!$C$6:$C$17="Deduction stop"))*('Changes — Earner 2'!$D$6:$D$17="Dependent-care FSA"))*('Changes — Earner 2'!$B$6:$B$17&lt;=$B55)*('Changes — Earner 2'!$B$6:$B$17&lt;&gt;"")),'Changes — Earner 2'!$J$6:$J$17),0))</f>
      </c>
      <c r="BS55" s="6">
        <f>IF($B55="","",IF(SUMPRODUCT(('Changes — Earner 2'!$C$6:$C$17="Deduction start")*('Changes — Earner 2'!$B$6:$B$17&lt;=$B55)*('Changes — Earner 2'!$B$6:$B$17&lt;&gt;"")*('Changes — Earner 2'!$D$6:$D$17="Health FSA"))&gt;0,1,0))</f>
      </c>
      <c r="BT55" s="6">
        <f>IF($B55="","",IF(SUMPRODUCT(('Changes — Earner 2'!$C$6:$C$17="Deduction start")*('Changes — Earner 2'!$B$6:$B$17&lt;=$B55)*('Changes — Earner 2'!$B$6:$B$17&lt;&gt;"")*('Changes — Earner 2'!$D$6:$D$17="Dependent-care FSA"))&gt;0,1,0))</f>
      </c>
      <c r="BU55" s="24">
        <f>IF($B55="","",IF('Second Earner'!$C$13,SUMPRODUCT(($AH55&gt;=INDEX('How This Works &amp; Sources'!$B$29:$J$36,0,IF('Second Earner'!$C$12="MFJ",1,IF('Second Earner'!$C$12="HoH",7,4))))*INDEX('How This Works &amp; Sources'!$B$29:$J$36,0,IF('Second Earner'!$C$12="MFJ",1,IF('Second Earner'!$C$12="HoH",7,4))+2)),SUMPRODUCT(($AH55&gt;=INDEX('How This Works &amp; Sources'!$B$19:$J$26,0,IF('Second Earner'!$C$12="MFJ",1,IF('Second Earner'!$C$12="HoH",7,4))))*INDEX('How This Works &amp; Sources'!$B$19:$J$26,0,IF('Second Earner'!$C$12="MFJ",1,IF('Second Earner'!$C$12="HoH",7,4))+2))))</f>
      </c>
      <c r="BV55" s="24">
        <f>IF($B55="","",IF($BZ55&lt;&gt;"",$BZ55,IF($CA55&lt;&gt;"",$CA55,IF($CB55&lt;&gt;"",$CB55,IF($CC55&lt;&gt;"",$CC55,0)))))</f>
      </c>
      <c r="BW55" s="7">
        <f>IF($B55="","",IF($AN55="AR",SUMPRODUCT(($AZ55&gt;INDEX('How This Works &amp; Sources'!$B$82:$J$86,0,7))*($AZ55-INDEX('How This Works &amp; Sources'!$B$82:$J$86,0,7))*INDEX('How This Works &amp; Sources'!$B$82:$J$86,0,7+2)),IF($AN55="MD",IF(OR($AU55="Married",$AU55="Head of household"),SUMPRODUCT(($AZ55&gt;INDEX('How This Works &amp; Sources'!$B$114:$J$120,0,1))*($AZ55-INDEX('How This Works &amp; Sources'!$B$114:$J$120,0,1))*INDEX('How This Works &amp; Sources'!$B$114:$J$120,0,1+2)),SUMPRODUCT(($AZ55&gt;INDEX('How This Works &amp; Sources'!$B$103:$J$109,0,7))*($AZ55-INDEX('How This Works &amp; Sources'!$B$103:$J$109,0,7))*INDEX('How This Works &amp; Sources'!$B$103:$J$109,0,7+2))),IF($AN55="MT",IF($AU55="Head of household",SUMPRODUCT(($AZ55&gt;INDEX('How This Works &amp; Sources'!$B$137:$J$139,0,1))*($AZ55-INDEX('How This Works &amp; Sources'!$B$137:$J$139,0,1))*INDEX('How This Works &amp; Sources'!$B$137:$J$139,0,1+2)),IF($AU55="Married",SUMPRODUCT(($AZ55&gt;INDEX('How This Works &amp; Sources'!$B$125:$J$132,0,7))*($AZ55-INDEX('How This Works &amp; Sources'!$B$125:$J$132,0,7))*INDEX('How This Works &amp; Sources'!$B$125:$J$132,0,7+2)),SUMPRODUCT(($AZ55&gt;INDEX('How This Works &amp; Sources'!$B$125:$J$132,0,4))*($AZ55-INDEX('How This Works &amp; Sources'!$B$125:$J$132,0,4))*INDEX('How This Works &amp; Sources'!$B$125:$J$132,0,4+2)))),IF($AN55="ND",IF($AU55="Head of household",SUMPRODUCT(($AZ55&gt;INDEX('How This Works &amp; Sources'!$B$144:$J$150,0,1))*($AZ55-INDEX('How This Works &amp; Sources'!$B$144:$J$150,0,1))*INDEX('How This Works &amp; Sources'!$B$144:$J$150,0,1+2)),IF($AU55="Married",SUMPRODUCT(($AZ55&gt;INDEX('How This Works &amp; Sources'!$B$137:$J$139,0,7))*($AZ55-INDEX('How This Works &amp; Sources'!$B$137:$J$139,0,7))*INDEX('How This Works &amp; Sources'!$B$137:$J$139,0,7+2)),SUMPRODUCT(($AZ55&gt;INDEX('How This Works &amp; Sources'!$B$137:$J$139,0,4))*($AZ55-INDEX('How This Works &amp; Sources'!$B$137:$J$139,0,4))*INDEX('How This Works &amp; Sources'!$B$137:$J$139,0,4+2)))),IF($AN55="NJ",IF('Second Earner'!$C$77="B",SUMPRODUCT(($AZ55&gt;INDEX('How This Works &amp; Sources'!$B$155:$J$162,0,4))*($AZ55-INDEX('How This Works &amp; Sources'!$B$155:$J$162,0,4))*INDEX('How This Works &amp; Sources'!$B$155:$J$162,0,4+2)),IF('Second Earner'!$C$77="C",SUMPRODUCT(($AZ55&gt;INDEX('How This Works &amp; Sources'!$B$155:$J$162,0,7))*($AZ55-INDEX('How This Works &amp; Sources'!$B$155:$J$162,0,7))*INDEX('How This Works &amp; Sources'!$B$155:$J$162,0,7+2)),IF('Second Earner'!$C$77="D",SUMPRODUCT(($AZ55&gt;INDEX('How This Works &amp; Sources'!$B$167:$J$179,0,1))*($AZ55-INDEX('How This Works &amp; Sources'!$B$167:$J$179,0,1))*INDEX('How This Works &amp; Sources'!$B$167:$J$179,0,1+2)),IF('Second Earner'!$C$77="E",SUMPRODUCT(($AZ55&gt;INDEX('How This Works &amp; Sources'!$B$167:$J$179,0,4))*($AZ55-INDEX('How This Works &amp; Sources'!$B$167:$J$179,0,4))*INDEX('How This Works &amp; Sources'!$B$167:$J$179,0,4+2)),SUMPRODUCT(($AZ55&gt;INDEX('How This Works &amp; Sources'!$B$155:$J$162,0,1))*($AZ55-INDEX('How This Works &amp; Sources'!$B$155:$J$162,0,1))*INDEX('How This Works &amp; Sources'!$B$155:$J$162,0,1+2)))))),IF($AN55="NY",IF($AU55="Married",IF($AZ55&gt;=2155350,$AZ55*IF($AZ55&gt;25000000,0.117,IF($AZ55&gt;5000000,0.111,0.1045)),SUMPRODUCT(($AZ55&gt;INDEX('How This Works &amp; Sources'!$B$184:$J$198,0,1))*($AZ55-INDEX('How This Works &amp; Sources'!$B$184:$J$198,0,1))*INDEX('How This Works &amp; Sources'!$B$184:$J$198,0,1+2))),IF($AZ55&gt;=1077550,$AZ55*IF($AZ55&gt;25000000,0.117,IF($AZ55&gt;5000000,0.111,0.1045)),SUMPRODUCT(($AZ55&gt;INDEX('How This Works &amp; Sources'!$B$167:$J$179,0,7))*($AZ55-INDEX('How This Works &amp; Sources'!$B$167:$J$179,0,7))*INDEX('How This Works &amp; Sources'!$B$167:$J$179,0,7+2)))),"")))))))</f>
      </c>
      <c r="BX55" s="7">
        <f>IF($B55="","",IF($AN55="AL",IF(OR($AU55="Married",$AU55="Head of household"),SUMPRODUCT(($AZ55&gt;INDEX('How This Works &amp; Sources'!$B$82:$J$86,0,4))*($AZ55-INDEX('How This Works &amp; Sources'!$B$82:$J$86,0,4))*INDEX('How This Works &amp; Sources'!$B$82:$J$86,0,4+2)),SUMPRODUCT(($AZ55&gt;INDEX('How This Works &amp; Sources'!$B$82:$J$86,0,1))*($AZ55-INDEX('How This Works &amp; Sources'!$B$82:$J$86,0,1))*INDEX('How This Works &amp; Sources'!$B$82:$J$86,0,1+2))),IF($AN55="KS",IF($AU55="Married",SUMPRODUCT(($AZ55&gt;INDEX('How This Works &amp; Sources'!$B$103:$J$109,0,4))*($AZ55-INDEX('How This Works &amp; Sources'!$B$103:$J$109,0,4))*INDEX('How This Works &amp; Sources'!$B$103:$J$109,0,4+2)),SUMPRODUCT(($AZ55&gt;INDEX('How This Works &amp; Sources'!$B$103:$J$109,0,1))*($AZ55-INDEX('How This Works &amp; Sources'!$B$103:$J$109,0,1))*INDEX('How This Works &amp; Sources'!$B$103:$J$109,0,1+2))),IF($AN55="MN",IF($AU55="Married",SUMPRODUCT(($AZ55&gt;INDEX('How This Works &amp; Sources'!$B$114:$J$120,0,7))*($AZ55-INDEX('How This Works &amp; Sources'!$B$114:$J$120,0,7))*INDEX('How This Works &amp; Sources'!$B$114:$J$120,0,7+2)),SUMPRODUCT(($AZ55&gt;INDEX('How This Works &amp; Sources'!$B$114:$J$120,0,4))*($AZ55-INDEX('How This Works &amp; Sources'!$B$114:$J$120,0,4))*INDEX('How This Works &amp; Sources'!$B$114:$J$120,0,4+2))),IF($AN55="MO",SUMPRODUCT(($AZ55&gt;INDEX('How This Works &amp; Sources'!$B$125:$J$132,0,1))*($AZ55-INDEX('How This Works &amp; Sources'!$B$125:$J$132,0,1))*INDEX('How This Works &amp; Sources'!$B$125:$J$132,0,1+2)),IF($AN55="NE",MAX(IF($AU55="Married",SUMPRODUCT(($AZ55&gt;INDEX('How This Works &amp; Sources'!$B$144:$J$150,0,7))*($AZ55-INDEX('How This Works &amp; Sources'!$B$144:$J$150,0,7))*INDEX('How This Works &amp; Sources'!$B$144:$J$150,0,7+2)),SUMPRODUCT(($AZ55&gt;INDEX('How This Works &amp; Sources'!$B$144:$J$150,0,4))*($AZ55-INDEX('How This Works &amp; Sources'!$B$144:$J$150,0,4))*INDEX('How This Works &amp; Sources'!$B$144:$J$150,0,4+2))),0.015*$AZ55),IF($AN55="OH",IF($B55&gt;=DATE(2026,8,1),SUMPRODUCT(($AZ55&gt;INDEX('How This Works &amp; Sources'!$B$203:$J$206,0,1))*($AZ55-INDEX('How This Works &amp; Sources'!$B$203:$J$206,0,1))*INDEX('How This Works &amp; Sources'!$B$203:$J$206,0,1+2)),SUMPRODUCT(($AZ55&gt;INDEX('How This Works &amp; Sources'!$B$184:$J$198,0,7))*($AZ55-INDEX('How This Works &amp; Sources'!$B$184:$J$198,0,7))*INDEX('How This Works &amp; Sources'!$B$184:$J$198,0,7+2))),IF($AN55="OK",IF($AU55="Married",SUMPRODUCT(($AZ55&gt;INDEX('How This Works &amp; Sources'!$B$203:$J$206,0,7))*($AZ55-INDEX('How This Works &amp; Sources'!$B$203:$J$206,0,7))*INDEX('How This Works &amp; Sources'!$B$203:$J$206,0,7+2)),SUMPRODUCT(($AZ55&gt;INDEX('How This Works &amp; Sources'!$B$203:$J$206,0,4))*($AZ55-INDEX('How This Works &amp; Sources'!$B$203:$J$206,0,4))*INDEX('How This Works &amp; Sources'!$B$203:$J$206,0,4+2))),IF($AN55="VT",IF($AU55="Married",SUMPRODUCT(($AZ55&gt;INDEX('How This Works &amp; Sources'!$B$228:$J$232,0,1))*($AZ55-INDEX('How This Works &amp; Sources'!$B$228:$J$232,0,1))*INDEX('How This Works &amp; Sources'!$B$228:$J$232,0,1+2)),SUMPRODUCT(($AZ55&gt;INDEX('How This Works &amp; Sources'!$B$219:$J$223,0,7))*($AZ55-INDEX('How This Works &amp; Sources'!$B$219:$J$223,0,7))*INDEX('How This Works &amp; Sources'!$B$219:$J$223,0,7+2))),IF($AN55="WV",IF($AU55="Married",SUMPRODUCT(($AZ55&gt;INDEX('How This Works &amp; Sources'!$B$237:$J$241,0,7))*($AZ55-INDEX('How This Works &amp; Sources'!$B$237:$J$241,0,7))*INDEX('How This Works &amp; Sources'!$B$237:$J$241,0,7+2)),SUMPRODUCT(($AZ55&gt;INDEX('How This Works &amp; Sources'!$B$228:$J$232,0,7))*($AZ55-INDEX('How This Works &amp; Sources'!$B$228:$J$232,0,7))*INDEX('How This Works &amp; Sources'!$B$228:$J$232,0,7+2))),""))))))))))</f>
      </c>
      <c r="BY55" s="7">
        <f>IF($B55="","",IF($AN55="DE",SUMPRODUCT(($AZ55&gt;INDEX('How This Works &amp; Sources'!$B$91:$J$98,0,1))*($AZ55-INDEX('How This Works &amp; Sources'!$B$91:$J$98,0,1))*INDEX('How This Works &amp; Sources'!$B$91:$J$98,0,1+2)),IF($AN55="HI",IF($AU55="Married",SUMPRODUCT(($AZ55&gt;INDEX('How This Works &amp; Sources'!$B$91:$J$98,0,7))*($AZ55-INDEX('How This Works &amp; Sources'!$B$91:$J$98,0,7))*INDEX('How This Works &amp; Sources'!$B$91:$J$98,0,7+2)),SUMPRODUCT(($AZ55&gt;INDEX('How This Works &amp; Sources'!$B$91:$J$98,0,4))*($AZ55-INDEX('How This Works &amp; Sources'!$B$91:$J$98,0,4))*INDEX('How This Works &amp; Sources'!$B$91:$J$98,0,4+2))),IF($AN55="RI",SUMPRODUCT(($AZ55&gt;INDEX('How This Works &amp; Sources'!$B$211:$J$214,0,7))*($AZ55-INDEX('How This Works &amp; Sources'!$B$211:$J$214,0,7))*INDEX('How This Works &amp; Sources'!$B$211:$J$214,0,7+2)),IF($AN55="SC",SUMPRODUCT(($AZ55&gt;INDEX('How This Works &amp; Sources'!$B$219:$J$223,0,1))*($AZ55-INDEX('How This Works &amp; Sources'!$B$219:$J$223,0,1))*INDEX('How This Works &amp; Sources'!$B$219:$J$223,0,1+2)),IF($AN55="VA",SUMPRODUCT(($AZ55&gt;INDEX('How This Works &amp; Sources'!$B$219:$J$223,0,4))*($AZ55-INDEX('How This Works &amp; Sources'!$B$219:$J$223,0,4))*INDEX('How This Works &amp; Sources'!$B$219:$J$223,0,4+2)),IF($AN55="WI",SUMPRODUCT(($AZ55&gt;INDEX('How This Works &amp; Sources'!$B$228:$J$232,0,4))*($AZ55-INDEX('How This Works &amp; Sources'!$B$228:$J$232,0,4))*INDEX('How This Works &amp; Sources'!$B$228:$J$232,0,4+2)),"")))))))</f>
      </c>
      <c r="BZ55" s="24">
        <f>IF($B55="","",IF($AN55="KS",IF($AU55="Married",SUMPRODUCT(($AZ55&gt;=INDEX('How This Works &amp; Sources'!$B$103:$J$109,0,4))*INDEX('How This Works &amp; Sources'!$B$103:$J$109,0,4+2)),SUMPRODUCT(($AZ55&gt;=INDEX('How This Works &amp; Sources'!$B$103:$J$109,0,1))*INDEX('How This Works &amp; Sources'!$B$103:$J$109,0,1+2))),IF($AN55="MT",IF($AU55="Head of household",SUMPRODUCT(($AZ55&gt;=INDEX('How This Works &amp; Sources'!$B$137:$J$139,0,1))*INDEX('How This Works &amp; Sources'!$B$137:$J$139,0,1+2)),IF($AU55="Married",SUMPRODUCT(($AZ55&gt;=INDEX('How This Works &amp; Sources'!$B$125:$J$132,0,7))*INDEX('How This Works &amp; Sources'!$B$125:$J$132,0,7+2)),SUMPRODUCT(($AZ55&gt;=INDEX('How This Works &amp; Sources'!$B$125:$J$132,0,4))*INDEX('How This Works &amp; Sources'!$B$125:$J$132,0,4+2)))),IF($AN55="OR",IF(OR($AU55="Married",AND($AU55="Single",$AS55&gt;=3)),SUMPRODUCT((MAX(0,$AY55-MIN(($P55-'How This Works &amp; Sources'!$C$10*$D55)*'Second Earner'!$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Sources'!$B$211:$J$214,0,4))*INDEX('How This Works &amp; Sources'!$B$211:$J$214,0,4+2)),SUMPRODUCT((MAX(0,$AY55-MIN(($P55-'How This Works &amp; Sources'!$C$10*$D55)*'Second Earner'!$C$8,IF(OR($AU55="Married",AND($AU55="Single",$AS55&gt;=3)),IF($AY55&lt;250000,8750,IF($AY55&lt;260000,7000,IF($AY55&lt;270000,5250,IF($AY55&lt;280000,3500,IF($AY55&lt;290000,1750,0))))),IF($AY55&lt;125000,8750,IF($AY55&lt;130000,7000,IF($AY55&lt;135000,5250,IF($AY55&lt;140000,3500,IF($AY55&lt;145000,1750,0)))))))-IF(OR($AU55="Married",AND($AU55="Single",$AS55&gt;=3)),5820,2910))&gt;=INDEX('How This Works &amp; Sources'!$B$211:$J$214,0,1))*INDEX('How This Works &amp; Sources'!$B$211:$J$214,0,1+2)))*IF(($P55-'How This Works &amp; Sources'!$C$10*$D55)*'Second Earner'!$C$8&gt;=IF(OR($AU55="Married",AND($AU55="Single",$AS55&gt;=3)),IF($AY55&lt;250000,8750,IF($AY55&lt;260000,7000,IF($AY55&lt;270000,5250,IF($AY55&lt;280000,3500,IF($AY55&lt;290000,1750,0))))),IF($AY55&lt;125000,8750,IF($AY55&lt;130000,7000,IF($AY55&lt;135000,5250,IF($AY55&lt;140000,3500,IF($AY55&lt;145000,1750,0)))))),1,1-IF('Second Earner'!$C$13,SUMPRODUCT(($AH55&gt;=INDEX('How This Works &amp; Sources'!$B$29:$J$36,0,IF('Second Earner'!$C$12="MFJ",1,IF('Second Earner'!$C$12="HoH",7,4))))*INDEX('How This Works &amp; Sources'!$B$29:$J$36,0,IF('Second Earner'!$C$12="MFJ",1,IF('Second Earner'!$C$12="HoH",7,4))+2)),SUMPRODUCT(($AH55&gt;=INDEX('How This Works &amp; Sources'!$B$19:$J$26,0,IF('Second Earner'!$C$12="MFJ",1,IF('Second Earner'!$C$12="HoH",7,4))))*INDEX('How This Works &amp; Sources'!$B$19:$J$26,0,IF('Second Earner'!$C$12="MFJ",1,IF('Second Earner'!$C$12="HoH",7,4))+2)))),""))))</f>
      </c>
      <c r="CA55" s="24">
        <f>IF($B55="","",IF($AN55="CA",SUMPRODUCT(($AJ55&gt;=INDEX('How This Works &amp; Sources'!$B$39:$J$48,0,IF($AU55="Married",4,IF($AU55="Head of household",7,1))))*INDEX('How This Works &amp; Sources'!$B$39:$J$48,0,IF($AU55="Married",4,IF($AU55="Head of household",7,1))+2)),IF($AN55="AL",IF(OR($AU55="Married",$AU55="Head of household"),SUMPRODUCT(($AZ55&gt;=INDEX('How This Works &amp; Sources'!$B$82:$J$86,0,4))*INDEX('How This Works &amp; Sources'!$B$82:$J$86,0,4+2)),SUMPRODUCT(($AZ55&gt;=INDEX('How This Works &amp; Sources'!$B$82:$J$86,0,1))*INDEX('How This Works &amp; Sources'!$B$82:$J$86,0,1+2)))*(1-IF('Second Earner'!$C$13,SUMPRODUCT(($AH55&gt;=INDEX('How This Works &amp; Sources'!$B$29:$J$36,0,IF('Second Earner'!$C$12="MFJ",1,IF('Second Earner'!$C$12="HoH",7,4))))*INDEX('How This Works &amp; Sources'!$B$29:$J$36,0,IF('Second Earner'!$C$12="MFJ",1,IF('Second Earner'!$C$12="HoH",7,4))+2)),SUMPRODUCT(($AH55&gt;=INDEX('How This Works &amp; Sources'!$B$19:$J$26,0,IF('Second Earner'!$C$12="MFJ",1,IF('Second Earner'!$C$12="HoH",7,4))))*INDEX('How This Works &amp; Sources'!$B$19:$J$26,0,IF('Second Earner'!$C$12="MFJ",1,IF('Second Earner'!$C$12="HoH",7,4))+2)))),IF($AN55="ND",IF($AU55="Head of household",SUMPRODUCT(($AZ55&gt;=INDEX('How This Works &amp; Sources'!$B$144:$J$150,0,1))*INDEX('How This Works &amp; Sources'!$B$144:$J$150,0,1+2)),IF($AU55="Married",SUMPRODUCT(($AZ55&gt;=INDEX('How This Works &amp; Sources'!$B$137:$J$139,0,7))*INDEX('How This Works &amp; Sources'!$B$137:$J$139,0,7+2)),SUMPRODUCT(($AZ55&gt;=INDEX('How This Works &amp; Sources'!$B$137:$J$139,0,4))*INDEX('How This Works &amp; Sources'!$B$137:$J$139,0,4+2)))),IF($AN55="NJ",IF('Second Earner'!$C$77="B",SUMPRODUCT(($AZ55&gt;=INDEX('How This Works &amp; Sources'!$B$155:$J$162,0,4))*INDEX('How This Works &amp; Sources'!$B$155:$J$162,0,4+2)),IF('Second Earner'!$C$77="C",SUMPRODUCT(($AZ55&gt;=INDEX('How This Works &amp; Sources'!$B$155:$J$162,0,7))*INDEX('How This Works &amp; Sources'!$B$155:$J$162,0,7+2)),IF('Second Earner'!$C$77="D",SUMPRODUCT(($AZ55&gt;=INDEX('How This Works &amp; Sources'!$B$167:$J$179,0,1))*INDEX('How This Works &amp; Sources'!$B$167:$J$179,0,1+2)),IF('Second Earner'!$C$77="E",SUMPRODUCT(($AZ55&gt;=INDEX('How This Works &amp; Sources'!$B$167:$J$179,0,4))*INDEX('How This Works &amp; Sources'!$B$167:$J$179,0,4+2)),SUMPRODUCT(($AZ55&gt;=INDEX('How This Works &amp; Sources'!$B$155:$J$162,0,1))*INDEX('How This Works &amp; Sources'!$B$155:$J$162,0,1+2)))))),IF($AN55="NY",IF($AU55="Married",IF($AZ55&gt;=2155350,IF($AZ55&gt;25000000,0.117,IF($AZ55&gt;5000000,0.111,0.1045)),SUMPRODUCT(($AZ55&gt;=INDEX('How This Works &amp; Sources'!$B$184:$J$198,0,1))*INDEX('How This Works &amp; Sources'!$B$184:$J$198,0,1+2))),IF($AZ55&gt;=1077550,IF($AZ55&gt;25000000,0.117,IF($AZ55&gt;5000000,0.111,0.1045)),SUMPRODUCT(($AZ55&gt;=INDEX('How This Works &amp; Sources'!$B$167:$J$179,0,7))*INDEX('How This Works &amp; Sources'!$B$167:$J$179,0,7+2)))),IF($AN55="LA",0.0309,"")))))))</f>
      </c>
      <c r="CB55" s="24">
        <f>IF($B55="","",IF($AN55="HI",IF($AU55="Married",SUMPRODUCT(($AZ55&gt;=INDEX('How This Works &amp; Sources'!$B$91:$J$98,0,7))*INDEX('How This Works &amp; Sources'!$B$91:$J$98,0,7+2)),SUMPRODUCT(($AZ55&gt;=INDEX('How This Works &amp; Sources'!$B$91:$J$98,0,4))*INDEX('How This Works &amp; Sources'!$B$91:$J$98,0,4+2))),IF($AN55="MD",IF(OR($AU55="Married",$AU55="Head of household"),SUMPRODUCT(($AZ55&gt;=INDEX('How This Works &amp; Sources'!$B$114:$J$120,0,1))*INDEX('How This Works &amp; Sources'!$B$114:$J$120,0,1+2)),SUMPRODUCT(($AZ55&gt;=INDEX('How This Works &amp; Sources'!$B$103:$J$109,0,7))*INDEX('How This Works &amp; Sources'!$B$103:$J$109,0,7+2)))+'Second Earner'!$C$74,IF($AN55="MN",IF($AU55="Married",SUMPRODUCT(($AZ55&gt;=INDEX('How This Works &amp; Sources'!$B$114:$J$120,0,7))*INDEX('How This Works &amp; Sources'!$B$114:$J$120,0,7+2)),SUMPRODUCT(($AZ55&gt;=INDEX('How This Works &amp; Sources'!$B$114:$J$120,0,4))*INDEX('How This Works &amp; Sources'!$B$114:$J$120,0,4+2))),IF($AN55="MO",SUMPRODUCT(($AZ55&gt;=INDEX('How This Works &amp; Sources'!$B$125:$J$132,0,1))*INDEX('How This Works &amp; Sources'!$B$125:$J$132,0,1+2)),IF($AN55="NE",MAX(IF($AU55="Married",SUMPRODUCT(($AZ55&gt;=INDEX('How This Works &amp; Sources'!$B$144:$J$150,0,7))*INDEX('How This Works &amp; Sources'!$B$144:$J$150,0,7+2)),SUMPRODUCT(($AZ55&gt;=INDEX('How This Works &amp; Sources'!$B$144:$J$150,0,4))*INDEX('How This Works &amp; Sources'!$B$144:$J$150,0,4+2))),0.015),IF($AN55="OH",IF($B55&gt;=DATE(2026,8,1),SUMPRODUCT(($AZ55&gt;=INDEX('How This Works &amp; Sources'!$B$203:$J$206,0,1))*INDEX('How This Works &amp; Sources'!$B$203:$J$206,0,1+2)),SUMPRODUCT(($AZ55&gt;=INDEX('How This Works &amp; Sources'!$B$184:$J$198,0,7))*INDEX('How This Works &amp; Sources'!$B$184:$J$198,0,7+2))),IF($AN55="OK",IF($AU55="Married",SUMPRODUCT(($AZ55&gt;=INDEX('How This Works &amp; Sources'!$B$203:$J$206,0,7))*INDEX('How This Works &amp; Sources'!$B$203:$J$206,0,7+2)),SUMPRODUCT(($AZ55&gt;=INDEX('How This Works &amp; Sources'!$B$203:$J$206,0,4))*INDEX('How This Works &amp; Sources'!$B$203:$J$206,0,4+2))),IF($AN55="RI",SUMPRODUCT(($AZ55&gt;=INDEX('How This Works &amp; Sources'!$B$211:$J$214,0,7))*INDEX('How This Works &amp; Sources'!$B$211:$J$214,0,7+2)),IF($AN55="VT",IF($AU55="Married",SUMPRODUCT(($AZ55&gt;=INDEX('How This Works &amp; Sources'!$B$228:$J$232,0,1))*INDEX('How This Works &amp; Sources'!$B$228:$J$232,0,1+2)),SUMPRODUCT(($AZ55&gt;=INDEX('How This Works &amp; Sources'!$B$219:$J$223,0,7))*INDEX('How This Works &amp; Sources'!$B$219:$J$223,0,7+2))),IF($AN55="WV",IF($AU55="Married",SUMPRODUCT(($AZ55&gt;=INDEX('How This Works &amp; Sources'!$B$237:$J$241,0,7))*INDEX('How This Works &amp; Sources'!$B$237:$J$241,0,7+2)),SUMPRODUCT(($AZ55&gt;=INDEX('How This Works &amp; Sources'!$B$228:$J$232,0,7))*INDEX('How This Works &amp; Sources'!$B$228:$J$232,0,7+2))),IF($AN55="AZ",'Second Earner'!$C$82,IF($AN55="ID",IF($AY55&gt;IF($AU55="Married",32000,16094),0.053,0),"")))))))))))))</f>
      </c>
      <c r="CC55" s="24">
        <f>IF($B55="","",IF($AN55="AR",SUMPRODUCT(($AZ55&gt;=INDEX('How This Works &amp; Sources'!$B$82:$J$86,0,7))*INDEX('How This Works &amp; Sources'!$B$82:$J$86,0,7+2)),IF($AN55="DE",SUMPRODUCT(($AZ55&gt;=INDEX('How This Works &amp; Sources'!$B$91:$J$98,0,1))*INDEX('How This Works &amp; Sources'!$B$91:$J$98,0,1+2)),IF($AN55="SC",SUMPRODUCT(($AZ55&gt;=INDEX('How This Works &amp; Sources'!$B$219:$J$223,0,1))*INDEX('How This Works &amp; Sources'!$B$219:$J$223,0,1+2)),IF($AN55="VA",SUMPRODUCT(($AZ55&gt;=INDEX('How This Works &amp; Sources'!$B$219:$J$223,0,4))*INDEX('How This Works &amp; Sources'!$B$219:$J$223,0,4+2)),IF($AN55="WI",SUMPRODUCT(($AZ55&gt;=INDEX('How This Works &amp; Sources'!$B$228:$J$232,0,4))*INDEX('How This Works &amp; Sources'!$B$228:$J$232,0,4+2)),IF($AN55="CO",IF($AY55&gt;IF($AU55="Married",10000,5000),0.044,0),IF($AN55="IA",IF($AY55&gt;IF($AU55="Head of household",19500,IF($AU55="Married",26000,13000)),0.038,0),IF($AN55="IL",IF($AY55&gt;(2925*$AS55+1000*$AT55),0.0495,0),IF($AN55="IN",(0.0295+'Second Earner'!$C$76),IF($AN55="KY",IF($AI55&gt;3360,0.035,0),IF($AN55="MA",IF(MAX(0,$AY55-MIN(($BD54+$Q55+$R55+$S55),2000)-IF($AS55=0,0,IF($AS55=1,4400,1000*$AS55+3400)))&gt;=1107750,0.09,0.05),IF($AN55="MI",IF($AY55&gt;5900*$AS55,0.0425,0),IF($AN55="MS",IF($AI55-IF($AU55="Head of household",3400,IF($AU55="Married",4600,2300))-'Second Earner'!$C$85&gt;10000,0.04,0),IF($AN55="PA",0.0307,"")))))))))))))))</f>
      </c>
      <c r="CD55" s="21">
        <f>IF(YEAR(IF('Second Earner'!$C$7="Weekly",'Second Earner'!$C$9+7*(($BE54+1)-1),IF('Second Earner'!$C$7="Biweekly",'Second Earner'!$C$9+14*(($BE54+1)-1),IF('Second Earner'!$C$7="Semimonthly",DATE(YEAR('Second Earner'!$C$9),MONTH('Second Earner'!$C$9)+INT((($BE54+1)-1)/2),MIN(DAY('Second Earner'!$C$9),DAY(EOMONTH(DATE(YEAR('Second Earner'!$C$9),MONTH('Second Earner'!$C$9)+INT((($BE54+1)-1)/2),1),0))))+IF(MOD(($BE54+1)-1,2)=1,15,0),EDATE('Second Earner'!$C$9,($BE54+1)-1)))))&lt;&gt;'Second Earner'!$C$10,"",IF('Second Earner'!$C$7="Weekly",'Second Earner'!$C$9+7*(($BE54+1)-1),IF('Second Earner'!$C$7="Biweekly",'Second Earner'!$C$9+14*(($BE54+1)-1),IF('Second Earner'!$C$7="Semimonthly",DATE(YEAR('Second Earner'!$C$9),MONTH('Second Earner'!$C$9)+INT((($BE54+1)-1)/2),MIN(DAY('Second Earner'!$C$9),DAY(EOMONTH(DATE(YEAR('Second Earner'!$C$9),MONTH('Second Earner'!$C$9)+INT((($BE54+1)-1)/2),1),0))))+IF(MOD(($BE54+1)-1,2)=1,15,0),EDATE('Second Earner'!$C$9,($BE54+1)-1)))))</f>
      </c>
      <c r="CE55" s="21">
        <f>IF(MIN(IF(AND('Second Earner'!$C$58&gt;MAX($B$6:$B54),'Second Earner'!$C$58&gt;=DATE('Second Earner'!$C$10,1,1),'Second Earner'!$C$58&lt;=DATE('Second Earner'!$C$10,12,31)),'Second Earner'!$C$58,999999),IF(AND('Second Earner'!$C$59&gt;MAX($B$6:$B54),'Second Earner'!$C$59&gt;=DATE('Second Earner'!$C$10,1,1),'Second Earner'!$C$59&lt;=DATE('Second Earner'!$C$10,12,31)),'Second Earner'!$C$59,999999),IF(AND('Second Earner'!$C$60&gt;MAX($B$6:$B54),'Second Earner'!$C$60&gt;=DATE('Second Earner'!$C$10,1,1),'Second Earner'!$C$60&lt;=DATE('Second Earner'!$C$10,12,31)),'Second Earner'!$C$60,999999),IF(AND('Second Earner'!$C$61&gt;MAX($B$6:$B54),'Second Earner'!$C$61&gt;=DATE('Second Earner'!$C$10,1,1),'Second Earner'!$C$61&lt;=DATE('Second Earner'!$C$10,12,31)),'Second Earner'!$C$61,999999),IF(AND('Second Earner'!$C$62&gt;MAX($B$6:$B54),'Second Earner'!$C$62&gt;=DATE('Second Earner'!$C$10,1,1),'Second Earner'!$C$62&lt;=DATE('Second Earner'!$C$10,12,31)),'Second Earner'!$C$62,999999),IF(AND('Second Earner'!$C$63&gt;MAX($B$6:$B54),'Second Earner'!$C$63&gt;=DATE('Second Earner'!$C$10,1,1),'Second Earner'!$C$63&lt;=DATE('Second Earner'!$C$10,12,31)),'Second Earner'!$C$63,999999),IF(AND('Second Earner'!$C$64&gt;MAX($B$6:$B54),'Second Earner'!$C$64&gt;=DATE('Second Earner'!$C$10,1,1),'Second Earner'!$C$64&lt;=DATE('Second Earner'!$C$10,12,31)),'Second Earner'!$C$64,999999),IF(AND('Second Earner'!$C$65&gt;MAX($B$6:$B54),'Second Earner'!$C$65&gt;=DATE('Second Earner'!$C$10,1,1),'Second Earner'!$C$65&lt;=DATE('Second Earner'!$C$10,12,31)),'Second Earner'!$C$65,999999),IF(AND('Second Earner'!$C$66&gt;MAX($B$6:$B54),'Second Earner'!$C$66&gt;=DATE('Second Earner'!$C$10,1,1),'Second Earner'!$C$66&lt;=DATE('Second Earner'!$C$10,12,31)),'Second Earner'!$C$66,999999),IF(AND('Second Earner'!$C$67&gt;MAX($B$6:$B54),'Second Earner'!$C$67&gt;=DATE('Second Earner'!$C$10,1,1),'Second Earner'!$C$67&lt;=DATE('Second Earner'!$C$10,12,31)),'Second Earner'!$C$67,999999))=999999,"",MIN(IF(AND('Second Earner'!$C$58&gt;MAX($B$6:$B54),'Second Earner'!$C$58&gt;=DATE('Second Earner'!$C$10,1,1),'Second Earner'!$C$58&lt;=DATE('Second Earner'!$C$10,12,31)),'Second Earner'!$C$58,999999),IF(AND('Second Earner'!$C$59&gt;MAX($B$6:$B54),'Second Earner'!$C$59&gt;=DATE('Second Earner'!$C$10,1,1),'Second Earner'!$C$59&lt;=DATE('Second Earner'!$C$10,12,31)),'Second Earner'!$C$59,999999),IF(AND('Second Earner'!$C$60&gt;MAX($B$6:$B54),'Second Earner'!$C$60&gt;=DATE('Second Earner'!$C$10,1,1),'Second Earner'!$C$60&lt;=DATE('Second Earner'!$C$10,12,31)),'Second Earner'!$C$60,999999),IF(AND('Second Earner'!$C$61&gt;MAX($B$6:$B54),'Second Earner'!$C$61&gt;=DATE('Second Earner'!$C$10,1,1),'Second Earner'!$C$61&lt;=DATE('Second Earner'!$C$10,12,31)),'Second Earner'!$C$61,999999),IF(AND('Second Earner'!$C$62&gt;MAX($B$6:$B54),'Second Earner'!$C$62&gt;=DATE('Second Earner'!$C$10,1,1),'Second Earner'!$C$62&lt;=DATE('Second Earner'!$C$10,12,31)),'Second Earner'!$C$62,999999),IF(AND('Second Earner'!$C$63&gt;MAX($B$6:$B54),'Second Earner'!$C$63&gt;=DATE('Second Earner'!$C$10,1,1),'Second Earner'!$C$63&lt;=DATE('Second Earner'!$C$10,12,31)),'Second Earner'!$C$63,999999),IF(AND('Second Earner'!$C$64&gt;MAX($B$6:$B54),'Second Earner'!$C$64&gt;=DATE('Second Earner'!$C$10,1,1),'Second Earner'!$C$64&lt;=DATE('Second Earner'!$C$10,12,31)),'Second Earner'!$C$64,999999),IF(AND('Second Earner'!$C$65&gt;MAX($B$6:$B54),'Second Earner'!$C$65&gt;=DATE('Second Earner'!$C$10,1,1),'Second Earner'!$C$65&lt;=DATE('Second Earner'!$C$10,12,31)),'Second Earner'!$C$65,999999),IF(AND('Second Earner'!$C$66&gt;MAX($B$6:$B54),'Second Earner'!$C$66&gt;=DATE('Second Earner'!$C$10,1,1),'Second Earner'!$C$66&lt;=DATE('Second Earner'!$C$10,12,31)),'Second Earner'!$C$66,999999),IF(AND('Second Earner'!$C$67&gt;MAX($B$6:$B54),'Second Earner'!$C$67&gt;=DATE('Second Earner'!$C$10,1,1),'Second Earner'!$C$67&lt;=DATE('Second Earner'!$C$10,12,31)),'Second Earner'!$C$67,999999)))</f>
      </c>
      <c r="CF55">
        <f>IF($B55="","",IF($D55=0,$Y55,""))</f>
      </c>
    </row>
    <row r="56">
      <c r="A56" t="n">
        <v>51</v>
      </c>
      <c r="B56" s="21">
        <f>IF(AND($CD56="",$CE56=""),"",IF($CE56="",$CD56,IF($CD56="",$CE56,MIN($CD56,$CE56))))</f>
      </c>
      <c r="C56" s="7">
        <f>IF($B56="","",IF($BF56=0,0,IF('Second Earner'!$C$4="Annual salary",ROUND($AK56/IF(AND('Second Earner'!$C$88="Actual paydays",MONTH('Second Earner'!$C$9)=1),MAX(1,MAX($BE$6:$BE$68)),'Second Earner'!$C$8),2),$AK56)))</f>
      </c>
      <c r="D56" s="7">
        <f>IF($B56="","",SUMIF('Second Earner'!$C$58:$C$67,$B56,'Second Earner'!$D$58:$D$67))</f>
      </c>
      <c r="E56" s="7">
        <f>IF($B56="","",ROUND(MAX(0,MIN(IF($AL56="Percent",$AM56*($C56+$D56),$AM56),MAX(0,'Second Earner'!$C$34-$AC55))),2))</f>
      </c>
      <c r="F56" s="7">
        <f>IF($B56="","",ROUND(MAX(0,MIN(IF('Second Earner'!$C$32="Percent",'Second Earner'!$D$32*($C56+$D56),'Second Earner'!$D$32),MAX(0,'Second Earner'!$C$34-$AC55-$E56))),2))</f>
      </c>
      <c r="G56" s="7">
        <f>IF($B56="","",IF($BF56=0,0,ROUND(MAX(0,MIN($BL56,'Second Earner'!$C$37-'Second Earner'!$C$54-$BI55)),2)))</f>
      </c>
      <c r="H56" s="7">
        <f>IF($B56="","",IF(OR($BF56=0,$BQ56=1),0,ROUND(MAX(0,MIN(IF($BS56=1,ROUND(MAX(0,MIN($BJ56,'How This Works &amp; Sources'!$C$13)-$BG55)/MAX(1,MAX($BE$6:$BE$68)-($BE55)),2),ROUND(MIN($BJ56,'How This Works &amp; Sources'!$C$13)/'Second Earner'!$C$8,2)),MIN($BJ56,'How This Works &amp; Sources'!$C$13)-$BG55)),2)))</f>
      </c>
      <c r="I56" s="7">
        <f>IF($B56="","",IF(OR($BF56=0,$BR56=1),0,ROUND(MAX(0,MIN(IF($BT56=1,ROUND(MAX(0,MIN($BK56,IF('Second Earner'!$C$12="MFJ",'How This Works &amp; Sources'!$C$14,'How This Works &amp; Sources'!$C$15))-$BH55)/MAX(1,MAX($BE$6:$BE$68)-($BE55)),2),ROUND(MIN($BK56,IF('Second Earner'!$C$12="MFJ",'How This Works &amp; Sources'!$C$14,'How This Works &amp; Sources'!$C$15))/'Second Earner'!$C$8,2)),MIN($BK56,IF('Second Earner'!$C$12="MFJ",'How This Works &amp; Sources'!$C$14,'How This Works &amp; Sources'!$C$15))-$BH55)),2)))</f>
      </c>
      <c r="J56" s="7">
        <f>IF($B56="","",IF($BF56=0,0,$BM56))</f>
      </c>
      <c r="K56" s="7">
        <f>IF($B56="","",IF($BF56=0,0,$BN56+$BO56))</f>
      </c>
      <c r="L56" s="7">
        <f>IF($B56="","",IF($BF56=0,0,'Second Earner'!$D$46))</f>
      </c>
      <c r="M56" s="7">
        <f>IF($B56="","",$C56+$D56+$L56-$E56-$G56-$H56-$I56-$J56-$K56)</f>
      </c>
      <c r="N56" s="7">
        <f>IF($B56="","",$C56+$D56+$L56-$G56-$H56-$I56-$J56-$K56)</f>
      </c>
      <c r="O56" s="7">
        <f>IF($B56="","",$C56+$D56+$L56-$E56-$H56-$I56-$J56-$K56-IF(OR($AN56="CA",$AN56="NJ"),0,$G56))</f>
      </c>
      <c r="P56" s="7">
        <f>IF($B56="","",IF('Second Earner'!$C$18,0,ROUND(MAX(0,IF('Second Earner'!$C$13,SUMPRODUCT(($AH56&gt;INDEX('How This Works &amp; Sources'!$B$29:$J$36,0,IF('Second Earner'!$C$12="MFJ",1,IF('Second Earner'!$C$12="HoH",7,4))))*($AH56-INDEX('How This Works &amp; Sources'!$B$29:$J$36,0,IF('Second Earner'!$C$12="MFJ",1,IF('Second Earner'!$C$12="HoH",7,4))))*INDEX('How This Works &amp; Sources'!$B$29:$J$36,0,IF('Second Earner'!$C$12="MFJ",1,IF('Second Earner'!$C$12="HoH",7,4))+2)),SUMPRODUCT(($AH56&gt;INDEX('How This Works &amp; Sources'!$B$19:$J$26,0,IF('Second Earner'!$C$12="MFJ",1,IF('Second Earner'!$C$12="HoH",7,4))))*($AH56-INDEX('How This Works &amp; Sources'!$B$19:$J$26,0,IF('Second Earner'!$C$12="MFJ",1,IF('Second Earner'!$C$12="HoH",7,4))))*INDEX('How This Works &amp; Sources'!$B$19:$J$26,0,IF('Second Earner'!$C$12="MFJ",1,IF('Second Earner'!$C$12="HoH",7,4))+2)))/'Second Earner'!$C$8-$AO56/'Second Earner'!$C$8)+$AR56+IF('Second Earner'!$C$89="Aggregate",MAX(0,IF('Second Earner'!$C$13,SUMPRODUCT((($AH56+$D56)&gt;INDEX('How This Works &amp; Sources'!$B$29:$J$36,0,IF('Second Earner'!$C$12="MFJ",1,IF('Second Earner'!$C$12="HoH",7,4))))*(($AH56+$D56)-INDEX('How This Works &amp; Sources'!$B$29:$J$36,0,IF('Second Earner'!$C$12="MFJ",1,IF('Second Earner'!$C$12="HoH",7,4))))*INDEX('How This Works &amp; Sources'!$B$29:$J$36,0,IF('Second Earner'!$C$12="MFJ",1,IF('Second Earner'!$C$12="HoH",7,4))+2)),SUMPRODUCT((($AH56+$D56)&gt;INDEX('How This Works &amp; Sources'!$B$19:$J$26,0,IF('Second Earner'!$C$12="MFJ",1,IF('Second Earner'!$C$12="HoH",7,4))))*(($AH56+$D56)-INDEX('How This Works &amp; Sources'!$B$19:$J$26,0,IF('Second Earner'!$C$12="MFJ",1,IF('Second Earner'!$C$12="HoH",7,4))))*INDEX('How This Works &amp; Sources'!$B$19:$J$26,0,IF('Second Earner'!$C$12="MFJ",1,IF('Second Earner'!$C$12="HoH",7,4))+2)))-IF('Second Earner'!$C$13,SUMPRODUCT(($AH56&gt;INDEX('How This Works &amp; Sources'!$B$29:$J$36,0,IF('Second Earner'!$C$12="MFJ",1,IF('Second Earner'!$C$12="HoH",7,4))))*($AH56-INDEX('How This Works &amp; Sources'!$B$29:$J$36,0,IF('Second Earner'!$C$12="MFJ",1,IF('Second Earner'!$C$12="HoH",7,4))))*INDEX('How This Works &amp; Sources'!$B$29:$J$36,0,IF('Second Earner'!$C$12="MFJ",1,IF('Second Earner'!$C$12="HoH",7,4))+2)),SUMPRODUCT(($AH56&gt;INDEX('How This Works &amp; Sources'!$B$19:$J$26,0,IF('Second Earner'!$C$12="MFJ",1,IF('Second Earner'!$C$12="HoH",7,4))))*($AH56-INDEX('How This Works &amp; Sources'!$B$19:$J$26,0,IF('Second Earner'!$C$12="MFJ",1,IF('Second Earner'!$C$12="HoH",7,4))))*INDEX('How This Works &amp; Sources'!$B$19:$J$26,0,IF('Second Earner'!$C$12="MFJ",1,IF('Second Earner'!$C$12="HoH",7,4))+2)))),'How This Works &amp; Sources'!$C$10*$D56),2)))</f>
      </c>
      <c r="Q56" s="7">
        <f>IF($B56="","",ROUND('How This Works &amp; Sources'!$C$4*MIN($N56,MAX(0,'How This Works &amp; Sources'!$C$3-($AX56+$AB55-$AW56))),2))</f>
      </c>
      <c r="R56" s="7">
        <f>IF($B56="","",ROUND('How This Works &amp; Sources'!$C$5*$N56,2))</f>
      </c>
      <c r="S56" s="7">
        <f>IF($B56="","",ROUND('How This Works &amp; Sources'!$C$6*MAX(0,MIN($N56,$AG55+$N56-'How This Works &amp; Sources'!$C$7)),2))</f>
      </c>
      <c r="T56" s="7">
        <f>IF($B56="","",IF('Second Earner'!$C$26,0,IF($AN56="CA",ROUND(IF($AI56&lt;=IF(($AS56+$AT56)&gt;=2,VLOOKUP($AN56,StateTables!$A$6:$AB$56,10,FALSE),VLOOKUP($AN56,StateTables!$A$6:$AB$56,9,FALSE)),0,MAX(0,SUMPRODUCT(($AJ56&gt;INDEX('How This Works &amp; Sources'!$B$39:$J$48,0,IF($AU56="Married",4,IF($AU56="Head of household",7,1))))*($AJ56-INDEX('How This Works &amp; Sources'!$B$39:$J$48,0,IF($AU56="Married",4,IF($AU56="Head of household",7,1))))*INDEX('How This Works &amp; Sources'!$B$39:$J$48,0,IF($AU56="Married",4,IF($AU56="Head of household",7,1))+2))-VLOOKUP($AN56,StateTables!$A$6:$AB$56,11,FALSE)*$AS56)/'Second Earner'!$C$8)+'Second Earner'!$C$25+VLOOKUP($AN56,StateTables!$A$6:$AB$56,13,FALSE)*$D56,2),IF(VLOOKUP($AN56,StateTables!$A$6:$AB$56,4,FALSE)="None",0,IF(ISNUMBER(SEARCH("MANUAL",VLOOKUP($AN56,StateTables!$A$6:$AB$56,5,FALSE))),'Second Earner'!$C$28,ROUND(MAX(0,$BA56+$BB56)/'Second Earner'!$C$8+'Second Earner'!$C$25+$BC56,2))))))</f>
      </c>
      <c r="U56" s="7">
        <f>IF($B56="","",IF(VLOOKUP($AN56,StateTables!$A$6:$AB$56,24,FALSE)="flatq",IF(OR(MONTH($B56)=1,MONTH($B56)=4,MONTH($B56)=7,MONTH($B56)=10),VLOOKUP($AN56,StateTables!$A$6:$AB$56,25,FALSE),0),IF(VLOOKUP($AN56,StateTables!$A$6:$AB$56,24,FALSE)="dbl",MIN(ROUND(0.005*$N56,2),ROUND(0.6*52/'Second Earner'!$C$8,2)),IF(OR(VLOOKUP($AN56,StateTables!$A$6:$AB$56,15,FALSE)="",VLOOKUP($AN56,StateTables!$A$6:$AB$56,15,FALSE)=0),0,ROUND(VLOOKUP($AN56,StateTables!$A$6:$AB$56,15,FALSE)*IF(OR(VLOOKUP($AN56,StateTables!$A$6:$AB$56,16,FALSE)="",VLOOKUP($AN56,StateTables!$A$6:$AB$56,16,FALSE)=0),$N56,MIN($N56,MAX(0,VLOOKUP($AN56,StateTables!$A$6:$AB$56,16,FALSE)-($AX56+$AB55-$AW56)))),2))))+IF(VLOOKUP($AN56,StateTables!$A$6:$AB$56,27,FALSE)="flatq",IF(OR(MONTH($B56)=1,MONTH($B56)=4,MONTH($B56)=7,MONTH($B56)=10),VLOOKUP($AN56,StateTables!$A$6:$AB$56,28,FALSE),0),IF(VLOOKUP($AN56,StateTables!$A$6:$AB$56,27,FALSE)="dbl",MIN(ROUND(0.005*$N56,2),ROUND(0.6*52/'Second Earner'!$C$8,2)),IF(OR(VLOOKUP($AN56,StateTables!$A$6:$AB$56,18,FALSE)="",VLOOKUP($AN56,StateTables!$A$6:$AB$56,18,FALSE)=0),0,ROUND(VLOOKUP($AN56,StateTables!$A$6:$AB$56,18,FALSE)*IF(OR(VLOOKUP($AN56,StateTables!$A$6:$AB$56,19,FALSE)="",VLOOKUP($AN56,StateTables!$A$6:$AB$56,19,FALSE)=0),$N56,MIN($N56,MAX(0,VLOOKUP($AN56,StateTables!$A$6:$AB$56,19,FALSE)-($AX56+$AB55-$AW56)))),2)))))</f>
      </c>
      <c r="V56" s="7">
        <f>IF($B56="","",IF($AN56="NY",IF('Second Earner'!$C$78,ROUND(SUMPRODUCT((MAX(0,($O56-$D56)*'Second Earner'!$C$8-(IF($AU56="Married",5500,5000)+1000*$AS56))&gt;INDEX('How This Works &amp; Sources'!$B$184:$J$198,0,4))*(MAX(0,($O56-$D56)*'Second Earner'!$C$8-(IF($AU56="Married",5500,5000)+1000*$AS56))-INDEX('How This Works &amp; Sources'!$B$184:$J$198,0,4))*INDEX('How This Works &amp; Sources'!$B$184:$J$198,0,4+2))/'Second Earner'!$C$8+0.0425*$D56,2),0)+IF('Second Earner'!$C$79="Resident",ROUND(0.1675*$T56,2),IF('Second Earner'!$C$79="Nonresident",ROUND(0.005*MAX(0,($O56-$D56)-(IF($AU56="Married",7950,7400)+1000*$AS56)/'Second Earner'!$C$8),2),0)),IF($AN56="PA",IF('Second Earner'!$C$80="None",'Second Earner'!$C$27+ROUND('Second Earner'!$C$81*($C56+$D56),2),ROUND(IF('Second Earner'!$C$80="Resident",IF($B56&lt;DATE(2026,7,1),0.0374,0.03735),IF($B56&lt;DATE(2026,7,1),0.0343,0.03425))*($C56+$D56),2)),IF($BF56=0,ROUND('Second Earner'!$C$81*($C56+$D56),2),'Second Earner'!$C$27+ROUND('Second Earner'!$C$81*($C56+$D56),2)))))</f>
      </c>
      <c r="W56" s="7">
        <f>IF($B56="","",IF($BF56=0,0,$BP56))</f>
      </c>
      <c r="X56" s="7">
        <f>IF($B56="","",SUM($E56:$K56)+$P56+$Q56+$R56+$S56+$T56+$U56+$V56+$W56)</f>
      </c>
      <c r="Y56" s="22">
        <f>IF($B56="","",$C56+$D56-$X56)</f>
      </c>
      <c r="Z56" s="7">
        <f>IF($B56="","",$Z55+$C56+$D56)</f>
      </c>
      <c r="AA56" s="7">
        <f>IF($B56="","",$AA55+$Y56)</f>
      </c>
      <c r="AB56" s="7">
        <f>IF($B56="","",$AB55+MIN($N56,MAX(0,'How This Works &amp; Sources'!$C$3-($AX56+$AB55-$AW56))))</f>
      </c>
      <c r="AC56" s="7">
        <f>IF($B56="","",$AC55+$E56+$F56)</f>
      </c>
      <c r="AD56" s="3">
        <f>IF($B56="","",IF(AND($AB55&lt;'How This Works &amp; Sources'!$C$3,$AB56&gt;='How This Works &amp; Sources'!$C$3),"★ Social Security maxed on this check — from the next check your net rises by about $"&amp;TEXT(ROUND('How This Works &amp; Sources'!$C$4*$N56,2),"#,##0.00")&amp;". ","")&amp;IF(AND($AC55&lt;'Second Earner'!$C$34,$AC56&gt;='Second Earner'!$C$34),"★ 401(k) reaches the $"&amp;TEXT('Second Earner'!$C$34,"#,##0")&amp;" cap on this check — deferrals stop and net pay rises. ","")&amp;IF(AND($AG55&lt;'How This Works &amp; Sources'!$C$7,$AG56&gt;='How This Works &amp; Sources'!$C$7),"★ Wages pass $200,000 — the 0.9% Additional Medicare Tax starts here. ","")&amp;IF(AND($BJ56&gt;0,$H56&gt;0,$BG55&lt;MIN($BJ56,'How This Works &amp; Sources'!$C$13),$BG55+$H56&gt;=MIN($BJ56,'How This Works &amp; Sources'!$C$13)),"★ Health FSA election is now fully deferred for the year. ",""))</f>
      </c>
      <c r="AE56" s="41" t="n"/>
      <c r="AF56" s="7">
        <f>IF(OR($B56="",$AE56=""),"",$AE56-$Y56)</f>
      </c>
      <c r="AG56" s="7">
        <f>IF($B56="","",$AG55+$N56)</f>
      </c>
      <c r="AH56" s="7">
        <f>IF($B56="","",MAX(0,($M56-$D56)*'Second Earner'!$C$8+$AP56-$AQ56-IF('Second Earner'!$C$13,0,IF('Second Earner'!$C$12="MFJ",'How This Works &amp; Sources'!$C$8,'How This Works &amp; Sources'!$C$9))))</f>
      </c>
      <c r="AI56" s="7">
        <f>IF($B56="","",$O56*'Second Earner'!$C$8)</f>
      </c>
      <c r="AJ56" s="7">
        <f>IF($B56="","",MAX(0,$AI56-VLOOKUP($AN56,StateTables!$A$6:$AB$56,12,FALSE)*$AT56-IF(($AS56+$AT56)&gt;=2,VLOOKUP($AN56,StateTables!$A$6:$AB$56,8,FALSE),VLOOKUP($AN56,StateTables!$A$6:$AB$56,7,FALSE))))</f>
      </c>
      <c r="AK56" s="7">
        <f>IF($B56="","",IFERROR(LOOKUP(2,1/(('Changes — Earner 2'!$C$6:$C$17="Salary change")*('Changes — Earner 2'!$B$6:$B$17&lt;=$B56)*('Changes — Earner 2'!$B$6:$B$17&lt;&gt;"")),'Changes — Earner 2'!$D$6:$D$17),IF('Second Earner'!$C$4="Annual salary",'Second Earner'!$C$5,'Second Earner'!$C$6)))</f>
      </c>
      <c r="AL56">
        <f>IF($B56="","",IFERROR(LOOKUP(2,1/(('Changes — Earner 2'!$C$6:$C$17="401(k) change")*('Changes — Earner 2'!$B$6:$B$17&lt;=$B56)*('Changes — Earner 2'!$B$6:$B$17&lt;&gt;"")),'Changes — Earner 2'!$D$6:$D$17),'Second Earner'!$C$30))</f>
      </c>
      <c r="AM56" s="7">
        <f>IF($B56="","",IFERROR(LOOKUP(2,1/(('Changes — Earner 2'!$C$6:$C$17="401(k) change")*('Changes — Earner 2'!$B$6:$B$17&lt;=$B56)*('Changes — Earner 2'!$B$6:$B$17&lt;&gt;"")),'Changes — Earner 2'!$E$6:$E$17),'Second Earner'!$D$31))</f>
      </c>
      <c r="AN56">
        <f>IF($B56="","",IFERROR(LOOKUP(2,1/(('Changes — Earner 2'!$C$6:$C$17="State move")*('Changes — Earner 2'!$B$6:$B$17&lt;=$B56)*('Changes — Earner 2'!$B$6:$B$17&lt;&gt;"")),'Changes — Earner 2'!$D$6:$D$17),'Second Earner'!$C$21))</f>
      </c>
      <c r="AO56" s="7">
        <f>IF($B56="","",IFERROR(LOOKUP(2,1/(('Changes — Earner 2'!$C$6:$C$17="W-4 change")*('Changes — Earner 2'!$B$6:$B$17&lt;=$B56)*('Changes — Earner 2'!$B$6:$B$17&lt;&gt;"")),'Changes — Earner 2'!$D$6:$D$17),'Second Earner'!$C$14))</f>
      </c>
      <c r="AP56" s="7">
        <f>IF($B56="","",IFERROR(LOOKUP(2,1/(('Changes — Earner 2'!$C$6:$C$17="W-4 change")*('Changes — Earner 2'!$B$6:$B$17&lt;=$B56)*('Changes — Earner 2'!$B$6:$B$17&lt;&gt;"")),'Changes — Earner 2'!$E$6:$E$17),'Second Earner'!$C$15))</f>
      </c>
      <c r="AQ56" s="7">
        <f>IF($B56="","",IFERROR(LOOKUP(2,1/(('Changes — Earner 2'!$C$6:$C$17="W-4 change")*('Changes — Earner 2'!$B$6:$B$17&lt;=$B56)*('Changes — Earner 2'!$B$6:$B$17&lt;&gt;"")),'Changes — Earner 2'!$F$6:$F$17),'Second Earner'!$C$16))</f>
      </c>
      <c r="AR56" s="7">
        <f>IF($B56="","",IFERROR(LOOKUP(2,1/(('Changes — Earner 2'!$C$6:$C$17="W-4 change")*('Changes — Earner 2'!$B$6:$B$17&lt;=$B56)*('Changes — Earner 2'!$B$6:$B$17&lt;&gt;"")),'Changes — Earner 2'!$G$6:$G$17),'Second Earner'!$C$17))</f>
      </c>
      <c r="AS56" s="6">
        <f>IF($B56="","",IFERROR(LOOKUP(2,1/((('Changes — Earner 2'!$C$6:$C$17="State move")+('Changes — Earner 2'!$C$6:$C$17="State cert change"))*('Changes — Earner 2'!$B$6:$B$17&lt;=$B56)*('Changes — Earner 2'!$B$6:$B$17&lt;&gt;"")),'Changes — Earner 2'!$F$6:$F$17),'Second Earner'!$C$23))</f>
      </c>
      <c r="AT56" s="6">
        <f>IF($B56="","",IFERROR(LOOKUP(2,1/((('Changes — Earner 2'!$C$6:$C$17="State move")+('Changes — Earner 2'!$C$6:$C$17="State cert change"))*('Changes — Earner 2'!$B$6:$B$17&lt;=$B56)*('Changes — Earner 2'!$B$6:$B$17&lt;&gt;"")),'Changes — Earner 2'!$G$6:$G$17),'Second Earner'!$C$24))</f>
      </c>
      <c r="AU56">
        <f>IF($B56="","",IFERROR(LOOKUP(2,1/(('Changes — Earner 2'!$C$6:$C$17="State move")*('Changes — Earner 2'!$B$6:$B$17&lt;=$B56)*('Changes — Earner 2'!$B$6:$B$17&lt;&gt;"")),'Changes — Earner 2'!$E$6:$E$17),'Second Earner'!$C$22))</f>
      </c>
      <c r="AV56" s="6">
        <f>IF($B56="","",1+COUNTIFS('Changes — Earner 2'!$C$6:$C$17,"Employer change",'Changes — Earner 2'!$B$6:$B$17,"&lt;="&amp;$B56,'Changes — Earner 2'!$B$6:$B$17,"&lt;&gt;"))</f>
      </c>
      <c r="AW56" s="7">
        <f>IF($B56="","",IF($AV56=1,'Second Earner'!$C$49,IF(IFERROR(MATCH(IFERROR(LOOKUP(2,1/(('Changes — Earner 2'!$C$6:$C$17="Employer change")*('Changes — Earner 2'!$B$6:$B$17&lt;=$B56)*('Changes — Earner 2'!$B$6:$B$17&lt;&gt;"")),'Changes — Earner 2'!$B$6:$B$17),""),$B$6:$B$68,1),1)&lt;=1,'Second Earner'!$C$49,INDEX($AB$6:$AB$68,MATCH(IFERROR(LOOKUP(2,1/(('Changes — Earner 2'!$C$6:$C$17="Employer change")*('Changes — Earner 2'!$B$6:$B$17&lt;=$B56)*('Changes — Earner 2'!$B$6:$B$17&lt;&gt;"")),'Changes — Earner 2'!$B$6:$B$17),""),$B$6:$B$68,1)-1))))</f>
      </c>
      <c r="AX56" s="7">
        <f>IF($B56="","",IF($AV56=1,'Second Earner'!$C$49,IFERROR(LOOKUP(2,1/(('Changes — Earner 2'!$C$6:$C$17="Employer change")*('Changes — Earner 2'!$B$6:$B$17&lt;=$B56)*('Changes — Earner 2'!$B$6:$B$17&lt;&gt;"")),'Changes — Earner 2'!$D$6:$D$17),0)))</f>
      </c>
      <c r="AY56" s="7">
        <f>IF($B56="","",($O56-$D56)*'Second Earner'!$C$8)</f>
      </c>
      <c r="AZ56" s="7">
        <f>IF($B56="","",IF($AN56="AL",MAX(0,$AY56-IF($AU56="Married",IF($AY56&lt;=25999,8500,MAX(5000,8500-175*CEILING(($AY56-25999)/500,1))),IF($AU56="Head of household",IF($AY56&lt;=25999,5200,MAX(2500,5200-135*CEILING(($AY56-25999)/500,1))),IF($AY56&lt;=25999,3000,MAX(2500,3000-25*CEILING(($AY56-25999)/500,1)))))-($P56-'How This Works &amp; Sources'!$C$10*$D56)*'Second Earner'!$C$8-IF(OR($AU56="Married",$AU56="Head of household"),3000,1500)-$AT56*IF($AY56&lt;=50000,1000,IF($AY56&lt;=100000,500,300))),IF($AN56="AR",IF(MAX(0,$AY56-2470)&lt;97701,INT(MAX(0,$AY56-2470)/100)*100+50,MAX(0,$AY56-2470)),IF($AN56="DE",MAX(0,$AI56-3250),IF($AN56="HI",MAX(0,$AI56-1144*$AS56-4350),IF($AN56="KS",MAX(0,$AI56-(9160*IF($AU56="Married",2,1)+2320*$AT56+IF($AU56="Head of household",2320,0))),IF($AN56="MD",MAX(0,$AI56-3400-3200*$AS56),IF($AN56="MN",MAX(0,$AY56-5300*$AS56),IF($AN56="MO",MAX(0,$AI56-IF($AU56="Head of household",24150,IF($AU56="Married",IF('Second Earner'!$C$83,16100,32200),16100))),IF($AN56="MT",$AY56,IF($AN56="ND",($C56+$L56)*'Second Earner'!$C$8,IF($AN56="NE",MAX(0,$AY56-2440*$AS56),IF($AN56="NJ",MAX(0,$AY56-1000*$AS56),IF($AN56="NY",MAX(0,$AY56-(IF($AU56="Married",7950,7400)+1000*$AS56)),IF($AN56="OH",MAX(0,$AY56-650*$AS56),IF($AN56="OK",MAX(0,$AY56-1000*$AS56),IF($AN56="RI",MAX(0,$AI56-1000*$AS56),IF($AN56="SC",MAX(0,$AI56-5000*$AS56-IF($AS56=0,0,MIN(0.1*$AI56,7500))),IF($AN56="VA",MAX(0,$AI56-IF($AU56="Married",17500,8750)-930*$AS56-800*$AT56),IF($AN56="VT",MAX(0,$AI56-5400*$AS56),IF($AN56="WI",MAX(0,$AI56-MAX(0,IF($AU56="Married",9461-0.2*MAX(0,$AI56-25727),6702-0.12*MAX(0,$AI56-17780)))-400*$AS56),IF($AN56="WV",MAX(0,$AI56-2000*$AS56),$AI56))))))))))))))))))))))</f>
      </c>
      <c r="BA56" s="7">
        <f>IF($B56="","",IF($BW56&lt;&gt;"",$BW56,IF($BX56&lt;&gt;"",$BX56,IF($BY56&lt;&gt;"",$BY56,0))))</f>
      </c>
      <c r="BB56" s="7">
        <f>IF($B56="","",IF($AN56="AR",-29*$AS56,IF($AN56="DE",-110*$AS56,IF($AN56="MD",$AZ56*'Second Earner'!$C$74,IF($AN56="AZ",'Second Earner'!$C$82*($M56-$D56)*'Second Earner'!$C$8,IF($AN56="CO",0.044*MAX(0,$AY56-IF($AU56="Married",10000,5000)),IF($AN56="IA",MAX(0,0.038*MAX(0,$AY56-IF($AU56="Head of household",19500,IF($AU56="Married",26000,13000)))-40*$AS56),IF($AN56="ID",0.053*MAX(0,$AY56-IF($AU56="Married",32000,16094)),IF($AN56="IL",0.0495*MAX(0,$AY56-(2925*$AS56+1000*$AT56)),IF($AN56="IN",(0.0295+'Second Earner'!$C$76)*MAX(0,$AY56-(1000*$AS56+1500*$AT56+3000*'Second Earner'!$C$86)),IF($AN56="KY",0.035*MAX(0,$AI56-3360),IF($AN56="LA",IF('Second Earner'!$C$84="0",0.0309*$AI56,0.0309*MAX(0,$AI56-IF('Second Earner'!$C$84="2",25750,12875))),IF($AN56="MA",0.05*MIN(MAX(0,$AY56-MIN(($BD55+$Q56+$R56+$S56),2000)-IF($AS56=0,0,IF($AS56=1,4400,1000*$AS56+3400))),1107750)+0.09*MAX(0,MAX(0,$AY56-MIN(($BD55+$Q56+$R56+$S56),2000)-IF($AS56=0,0,IF($AS56=1,4400,1000*$AS56+3400)))-1107750)-IF($AU56="Head of household",120,0)-110*'Second Earner'!$C$75,IF($AN56="MI",0.0425*MAX(0,$AY56-5900*$AS56),IF($AN56="MS",0.04*MAX(0,$AI56-IF($AU56="Head of household",3400,IF($AU56="Married",4600,2300))-'Second Earner'!$C$85-10000),IF($AN56="OR",IF(OR($AU56="Married",AND($AU56="Single",$AS56&gt;=3)),SUMPRODUCT((MAX(0,$AY56-MIN(($P56-'How This Works &amp; Sources'!$C$10*$D56)*'Second Earner'!$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Sources'!$B$211:$J$214,0,4))*(MAX(0,$AY56-MIN(($P56-'How This Works &amp; Sources'!$C$10*$D56)*'Second Earner'!$C$8,IF(OR($AU56="Married",AND($AU56="Single",$AS56&gt;=3)),IF($AY56&lt;250000,8750,IF($AY56&lt;260000,7000,IF($AY56&lt;270000,5250,IF($AY56&lt;280000,3500,IF($AY56&lt;290000,1750,0))))),IF($AY56&lt;125000,8750,IF($AY56&lt;130000,7000,IF($AY56&lt;135000,5250,IF($AY56&lt;140000,3500,IF($AY56&lt;145000,1750,0)))))))-IF(OR($AU56="Married",AND($AU56="Single",$AS56&gt;=3)),5820,2910))-INDEX('How This Works &amp; Sources'!$B$211:$J$214,0,4))*INDEX('How This Works &amp; Sources'!$B$211:$J$214,0,4+2)),SUMPRODUCT((MAX(0,$AY56-MIN(($P56-'How This Works &amp; Sources'!$C$10*$D56)*'Second Earner'!$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Sources'!$B$211:$J$214,0,1))*(MAX(0,$AY56-MIN(($P56-'How This Works &amp; Sources'!$C$10*$D56)*'Second Earner'!$C$8,IF(OR($AU56="Married",AND($AU56="Single",$AS56&gt;=3)),IF($AY56&lt;250000,8750,IF($AY56&lt;260000,7000,IF($AY56&lt;270000,5250,IF($AY56&lt;280000,3500,IF($AY56&lt;290000,1750,0))))),IF($AY56&lt;125000,8750,IF($AY56&lt;130000,7000,IF($AY56&lt;135000,5250,IF($AY56&lt;140000,3500,IF($AY56&lt;145000,1750,0)))))))-IF(OR($AU56="Married",AND($AU56="Single",$AS56&gt;=3)),5820,2910))-INDEX('How This Works &amp; Sources'!$B$211:$J$214,0,1))*INDEX('How This Works &amp; Sources'!$B$211:$J$214,0,1+2)))+263-263*IF(IF($AU56="Married",$AY56&gt;200000,$AY56&gt;100000),0,$AS56),IF($AN56="PA",0.0307*(($O56+$E56+$G56)*'Second Earner'!$C$8),IF($AN56="NY",IF($AU56="Married",IF($AZ56&gt;=2155350,0,IF($AZ56&gt;=1077550,0.48,IF($AZ56&gt;=373200,1.21,IF($AZ56&gt;=323200,0.21,IF($AZ56&gt;=211550,-0.19,IF($AZ56&gt;=157650,-2.8,IF($AZ56&gt;=107650,-0.8,IF($AZ56&gt;=96800,0.05,IF($AZ56&gt;=80650,-0.1,IF($AZ56&gt;=13900,0.4,IF($AZ56&gt;=11700,-0.3,IF($AZ56&gt;=8500,0.5,0)))))))))))),IF($AZ56&gt;=1077550,0,IF($AZ56&gt;=265400,4.29,IF($AZ56&gt;=215400,2.29,IF($AZ56&gt;=157650,2.29,IF($AZ56&gt;=107650,0.29,IF($AZ56&gt;=96800,0.05,IF($AZ56&gt;=80650,-0.1,IF($AZ56&gt;=13900,0.4,IF($AZ56&gt;=11700,-0.3,IF($AZ56&gt;=8500,0.5,0))))))))))),0))))))))))))))))))</f>
      </c>
      <c r="BC56" s="7">
        <f>IF($B56="","",IF($AN56="AL",0.05*$D56,IF($AN56="AR",0.039*$D56,IF($AN56="ID",0.053*$D56,IF($AN56="IN",(0.0295+'Second Earner'!$C$76)*$D56,IF($AN56="KS",0.05*$D56,IF($AN56="MA",0.09*MIN($D56,MAX(0,MAX(0,$AY56-MIN(($BD55+$Q56+$R56+$S56),2000)-IF($AS56=0,0,IF($AS56=1,4400,1000*$AS56+3400)))+$D56-1107750))+0.05*($D56-MIN($D56,MAX(0,MAX(0,$AY56-MIN(($BD55+$Q56+$R56+$S56),2000)-IF($AS56=0,0,IF($AS56=1,4400,1000*$AS56+3400)))+$D56-1107750))),IF($AN56="MD",(0.065+'Second Earner'!$C$74)*$D56,IF($AN56="MI",0.0425*$D56,IF($AN56="MN",0.0625*$D56,IF($AN56="MO",0.047*$D56,IF($AN56="MT",0.05*$D56,IF($AN56="ND",0.015*$D56,IF($AN56="NE",0.035*$D56,IF($AN56="NJ",IF('Second Earner'!$C$77="B",SUMPRODUCT(($D56*'Second Earner'!$C$8&gt;INDEX('How This Works &amp; Sources'!$B$155:$J$162,0,4))*($D56*'Second Earner'!$C$8-INDEX('How This Works &amp; Sources'!$B$155:$J$162,0,4))*INDEX('How This Works &amp; Sources'!$B$155:$J$162,0,4+2)),IF('Second Earner'!$C$77="C",SUMPRODUCT(($D56*'Second Earner'!$C$8&gt;INDEX('How This Works &amp; Sources'!$B$155:$J$162,0,7))*($D56*'Second Earner'!$C$8-INDEX('How This Works &amp; Sources'!$B$155:$J$162,0,7))*INDEX('How This Works &amp; Sources'!$B$155:$J$162,0,7+2)),IF('Second Earner'!$C$77="D",SUMPRODUCT(($D56*'Second Earner'!$C$8&gt;INDEX('How This Works &amp; Sources'!$B$167:$J$179,0,1))*($D56*'Second Earner'!$C$8-INDEX('How This Works &amp; Sources'!$B$167:$J$179,0,1))*INDEX('How This Works &amp; Sources'!$B$167:$J$179,0,1+2)),IF('Second Earner'!$C$77="E",SUMPRODUCT(($D56*'Second Earner'!$C$8&gt;INDEX('How This Works &amp; Sources'!$B$167:$J$179,0,4))*($D56*'Second Earner'!$C$8-INDEX('How This Works &amp; Sources'!$B$167:$J$179,0,4))*INDEX('How This Works &amp; Sources'!$B$167:$J$179,0,4+2)),SUMPRODUCT(($D56*'Second Earner'!$C$8&gt;INDEX('How This Works &amp; Sources'!$B$155:$J$162,0,1))*($D56*'Second Earner'!$C$8-INDEX('How This Works &amp; Sources'!$B$155:$J$162,0,1))*INDEX('How This Works &amp; Sources'!$B$155:$J$162,0,1+2))))))/'Second Earner'!$C$8,IF($AN56="NY",0.117*$D56,IF($AN56="OH",0.0275*$D56,IF($AN56="OK",0.045*$D56,IF($AN56="OR",0.08*$D56,IF($AN56="WI",IF($AY56&lt;12760,0.0354,IF($AY56&lt;25520,0.0465,IF($AY56&lt;280950,0.053,0.0765)))*$D56,0))))))))))))))))))))</f>
      </c>
      <c r="BD56" s="7">
        <f>IF($B56="","",$BD55+$Q56+$R56+$S56)</f>
      </c>
      <c r="BE56" s="6">
        <f>IF($B56="",$BE55,$BE55+$BF56)</f>
      </c>
      <c r="BF56" s="6">
        <f>IF($B56="","",IF(AND(IF(YEAR(IF('Second Earner'!$C$7="Weekly",'Second Earner'!$C$9+7*(($BE55+1)-1),IF('Second Earner'!$C$7="Biweekly",'Second Earner'!$C$9+14*(($BE55+1)-1),IF('Second Earner'!$C$7="Semimonthly",DATE(YEAR('Second Earner'!$C$9),MONTH('Second Earner'!$C$9)+INT((($BE55+1)-1)/2),MIN(DAY('Second Earner'!$C$9),DAY(EOMONTH(DATE(YEAR('Second Earner'!$C$9),MONTH('Second Earner'!$C$9)+INT((($BE55+1)-1)/2),1),0))))+IF(MOD(($BE55+1)-1,2)=1,15,0),EDATE('Second Earner'!$C$9,($BE55+1)-1)))))&lt;&gt;'Second Earner'!$C$10,"",IF('Second Earner'!$C$7="Weekly",'Second Earner'!$C$9+7*(($BE55+1)-1),IF('Second Earner'!$C$7="Biweekly",'Second Earner'!$C$9+14*(($BE55+1)-1),IF('Second Earner'!$C$7="Semimonthly",DATE(YEAR('Second Earner'!$C$9),MONTH('Second Earner'!$C$9)+INT((($BE55+1)-1)/2),MIN(DAY('Second Earner'!$C$9),DAY(EOMONTH(DATE(YEAR('Second Earner'!$C$9),MONTH('Second Earner'!$C$9)+INT((($BE55+1)-1)/2),1),0))))+IF(MOD(($BE55+1)-1,2)=1,15,0),EDATE('Second Earner'!$C$9,($BE55+1)-1)))))&lt;&gt;"",$B56=IF(YEAR(IF('Second Earner'!$C$7="Weekly",'Second Earner'!$C$9+7*(($BE55+1)-1),IF('Second Earner'!$C$7="Biweekly",'Second Earner'!$C$9+14*(($BE55+1)-1),IF('Second Earner'!$C$7="Semimonthly",DATE(YEAR('Second Earner'!$C$9),MONTH('Second Earner'!$C$9)+INT((($BE55+1)-1)/2),MIN(DAY('Second Earner'!$C$9),DAY(EOMONTH(DATE(YEAR('Second Earner'!$C$9),MONTH('Second Earner'!$C$9)+INT((($BE55+1)-1)/2),1),0))))+IF(MOD(($BE55+1)-1,2)=1,15,0),EDATE('Second Earner'!$C$9,($BE55+1)-1)))))&lt;&gt;'Second Earner'!$C$10,"",IF('Second Earner'!$C$7="Weekly",'Second Earner'!$C$9+7*(($BE55+1)-1),IF('Second Earner'!$C$7="Biweekly",'Second Earner'!$C$9+14*(($BE55+1)-1),IF('Second Earner'!$C$7="Semimonthly",DATE(YEAR('Second Earner'!$C$9),MONTH('Second Earner'!$C$9)+INT((($BE55+1)-1)/2),MIN(DAY('Second Earner'!$C$9),DAY(EOMONTH(DATE(YEAR('Second Earner'!$C$9),MONTH('Second Earner'!$C$9)+INT((($BE55+1)-1)/2),1),0))))+IF(MOD(($BE55+1)-1,2)=1,15,0),EDATE('Second Earner'!$C$9,($BE55+1)-1)))))),1,0))</f>
      </c>
      <c r="BG56" s="7">
        <f>IF($B56="","",$BG55+$H56)</f>
      </c>
      <c r="BH56" s="7">
        <f>IF($B56="","",$BH55+$I56)</f>
      </c>
      <c r="BI56" s="7">
        <f>IF($B56="","",$BI55+$G56)</f>
      </c>
      <c r="BJ56" s="7">
        <f>IF($B56="","",IFERROR(LOOKUP(2,1/(((('Changes — Earner 2'!$C$6:$C$17="Deduction start"))*('Changes — Earner 2'!$D$6:$D$17="Health FSA"))*('Changes — Earner 2'!$B$6:$B$17&lt;=$B56)*('Changes — Earner 2'!$B$6:$B$17&lt;&gt;"")),'Changes — Earner 2'!$E$6:$E$17),'Second Earner'!$D$38))</f>
      </c>
      <c r="BK56" s="7">
        <f>IF($B56="","",IFERROR(LOOKUP(2,1/(((('Changes — Earner 2'!$C$6:$C$17="Deduction start"))*('Changes — Earner 2'!$D$6:$D$17="Dependent-care FSA"))*('Changes — Earner 2'!$B$6:$B$17&lt;=$B56)*('Changes — Earner 2'!$B$6:$B$17&lt;&gt;"")),'Changes — Earner 2'!$E$6:$E$17),'Second Earner'!$D$39))</f>
      </c>
      <c r="BL56" s="7">
        <f>IF($B56="","",IFERROR(LOOKUP(2,1/(((('Changes — Earner 2'!$C$6:$C$17="Deduction start")+('Changes — Earner 2'!$C$6:$C$17="Deduction stop"))*('Changes — Earner 2'!$D$6:$D$17="HSA"))*('Changes — Earner 2'!$B$6:$B$17&lt;=$B56)*('Changes — Earner 2'!$B$6:$B$17&lt;&gt;"")),'Changes — Earner 2'!$I$6:$I$17),'Second Earner'!$D$35))</f>
      </c>
      <c r="BM56" s="7">
        <f>IF($B56="","",IFERROR(LOOKUP(2,1/(((('Changes — Earner 2'!$C$6:$C$17="Deduction start")+('Changes — Earner 2'!$C$6:$C$17="Deduction stop"))*('Changes — Earner 2'!$D$6:$D$17="Premiums"))*('Changes — Earner 2'!$B$6:$B$17&lt;=$B56)*('Changes — Earner 2'!$B$6:$B$17&lt;&gt;"")),'Changes — Earner 2'!$I$6:$I$17),'Second Earner'!$D$40+'Second Earner'!$D$41+'Second Earner'!$D$42))</f>
      </c>
      <c r="BN56" s="7">
        <f>IF($B56="","",IFERROR(LOOKUP(2,1/(((('Changes — Earner 2'!$C$6:$C$17="Deduction start")+('Changes — Earner 2'!$C$6:$C$17="Deduction stop"))*('Changes — Earner 2'!$D$6:$D$17="Commuter"))*('Changes — Earner 2'!$B$6:$B$17&lt;=$B56)*('Changes — Earner 2'!$B$6:$B$17&lt;&gt;"")),'Changes — Earner 2'!$I$6:$I$17),'Second Earner'!$D$43))</f>
      </c>
      <c r="BO56" s="7">
        <f>IF($B56="","",IFERROR(LOOKUP(2,1/(((('Changes — Earner 2'!$C$6:$C$17="Deduction start")+('Changes — Earner 2'!$C$6:$C$17="Deduction stop"))*('Changes — Earner 2'!$D$6:$D$17="Other pre-tax"))*('Changes — Earner 2'!$B$6:$B$17&lt;=$B56)*('Changes — Earner 2'!$B$6:$B$17&lt;&gt;"")),'Changes — Earner 2'!$I$6:$I$17),'Second Earner'!$D$44))</f>
      </c>
      <c r="BP56" s="7">
        <f>IF($B56="","",IFERROR(LOOKUP(2,1/(((('Changes — Earner 2'!$C$6:$C$17="Deduction start")+('Changes — Earner 2'!$C$6:$C$17="Deduction stop"))*('Changes — Earner 2'!$D$6:$D$17="Other post-tax"))*('Changes — Earner 2'!$B$6:$B$17&lt;=$B56)*('Changes — Earner 2'!$B$6:$B$17&lt;&gt;"")),'Changes — Earner 2'!$I$6:$I$17),'Second Earner'!$D$45))</f>
      </c>
      <c r="BQ56" s="6">
        <f>IF($B56="","",IFERROR(LOOKUP(2,1/(((('Changes — Earner 2'!$C$6:$C$17="Deduction start")+('Changes — Earner 2'!$C$6:$C$17="Deduction stop"))*('Changes — Earner 2'!$D$6:$D$17="Health FSA"))*('Changes — Earner 2'!$B$6:$B$17&lt;=$B56)*('Changes — Earner 2'!$B$6:$B$17&lt;&gt;"")),'Changes — Earner 2'!$J$6:$J$17),0))</f>
      </c>
      <c r="BR56" s="6">
        <f>IF($B56="","",IFERROR(LOOKUP(2,1/(((('Changes — Earner 2'!$C$6:$C$17="Deduction start")+('Changes — Earner 2'!$C$6:$C$17="Deduction stop"))*('Changes — Earner 2'!$D$6:$D$17="Dependent-care FSA"))*('Changes — Earner 2'!$B$6:$B$17&lt;=$B56)*('Changes — Earner 2'!$B$6:$B$17&lt;&gt;"")),'Changes — Earner 2'!$J$6:$J$17),0))</f>
      </c>
      <c r="BS56" s="6">
        <f>IF($B56="","",IF(SUMPRODUCT(('Changes — Earner 2'!$C$6:$C$17="Deduction start")*('Changes — Earner 2'!$B$6:$B$17&lt;=$B56)*('Changes — Earner 2'!$B$6:$B$17&lt;&gt;"")*('Changes — Earner 2'!$D$6:$D$17="Health FSA"))&gt;0,1,0))</f>
      </c>
      <c r="BT56" s="6">
        <f>IF($B56="","",IF(SUMPRODUCT(('Changes — Earner 2'!$C$6:$C$17="Deduction start")*('Changes — Earner 2'!$B$6:$B$17&lt;=$B56)*('Changes — Earner 2'!$B$6:$B$17&lt;&gt;"")*('Changes — Earner 2'!$D$6:$D$17="Dependent-care FSA"))&gt;0,1,0))</f>
      </c>
      <c r="BU56" s="24">
        <f>IF($B56="","",IF('Second Earner'!$C$13,SUMPRODUCT(($AH56&gt;=INDEX('How This Works &amp; Sources'!$B$29:$J$36,0,IF('Second Earner'!$C$12="MFJ",1,IF('Second Earner'!$C$12="HoH",7,4))))*INDEX('How This Works &amp; Sources'!$B$29:$J$36,0,IF('Second Earner'!$C$12="MFJ",1,IF('Second Earner'!$C$12="HoH",7,4))+2)),SUMPRODUCT(($AH56&gt;=INDEX('How This Works &amp; Sources'!$B$19:$J$26,0,IF('Second Earner'!$C$12="MFJ",1,IF('Second Earner'!$C$12="HoH",7,4))))*INDEX('How This Works &amp; Sources'!$B$19:$J$26,0,IF('Second Earner'!$C$12="MFJ",1,IF('Second Earner'!$C$12="HoH",7,4))+2))))</f>
      </c>
      <c r="BV56" s="24">
        <f>IF($B56="","",IF($BZ56&lt;&gt;"",$BZ56,IF($CA56&lt;&gt;"",$CA56,IF($CB56&lt;&gt;"",$CB56,IF($CC56&lt;&gt;"",$CC56,0)))))</f>
      </c>
      <c r="BW56" s="7">
        <f>IF($B56="","",IF($AN56="AR",SUMPRODUCT(($AZ56&gt;INDEX('How This Works &amp; Sources'!$B$82:$J$86,0,7))*($AZ56-INDEX('How This Works &amp; Sources'!$B$82:$J$86,0,7))*INDEX('How This Works &amp; Sources'!$B$82:$J$86,0,7+2)),IF($AN56="MD",IF(OR($AU56="Married",$AU56="Head of household"),SUMPRODUCT(($AZ56&gt;INDEX('How This Works &amp; Sources'!$B$114:$J$120,0,1))*($AZ56-INDEX('How This Works &amp; Sources'!$B$114:$J$120,0,1))*INDEX('How This Works &amp; Sources'!$B$114:$J$120,0,1+2)),SUMPRODUCT(($AZ56&gt;INDEX('How This Works &amp; Sources'!$B$103:$J$109,0,7))*($AZ56-INDEX('How This Works &amp; Sources'!$B$103:$J$109,0,7))*INDEX('How This Works &amp; Sources'!$B$103:$J$109,0,7+2))),IF($AN56="MT",IF($AU56="Head of household",SUMPRODUCT(($AZ56&gt;INDEX('How This Works &amp; Sources'!$B$137:$J$139,0,1))*($AZ56-INDEX('How This Works &amp; Sources'!$B$137:$J$139,0,1))*INDEX('How This Works &amp; Sources'!$B$137:$J$139,0,1+2)),IF($AU56="Married",SUMPRODUCT(($AZ56&gt;INDEX('How This Works &amp; Sources'!$B$125:$J$132,0,7))*($AZ56-INDEX('How This Works &amp; Sources'!$B$125:$J$132,0,7))*INDEX('How This Works &amp; Sources'!$B$125:$J$132,0,7+2)),SUMPRODUCT(($AZ56&gt;INDEX('How This Works &amp; Sources'!$B$125:$J$132,0,4))*($AZ56-INDEX('How This Works &amp; Sources'!$B$125:$J$132,0,4))*INDEX('How This Works &amp; Sources'!$B$125:$J$132,0,4+2)))),IF($AN56="ND",IF($AU56="Head of household",SUMPRODUCT(($AZ56&gt;INDEX('How This Works &amp; Sources'!$B$144:$J$150,0,1))*($AZ56-INDEX('How This Works &amp; Sources'!$B$144:$J$150,0,1))*INDEX('How This Works &amp; Sources'!$B$144:$J$150,0,1+2)),IF($AU56="Married",SUMPRODUCT(($AZ56&gt;INDEX('How This Works &amp; Sources'!$B$137:$J$139,0,7))*($AZ56-INDEX('How This Works &amp; Sources'!$B$137:$J$139,0,7))*INDEX('How This Works &amp; Sources'!$B$137:$J$139,0,7+2)),SUMPRODUCT(($AZ56&gt;INDEX('How This Works &amp; Sources'!$B$137:$J$139,0,4))*($AZ56-INDEX('How This Works &amp; Sources'!$B$137:$J$139,0,4))*INDEX('How This Works &amp; Sources'!$B$137:$J$139,0,4+2)))),IF($AN56="NJ",IF('Second Earner'!$C$77="B",SUMPRODUCT(($AZ56&gt;INDEX('How This Works &amp; Sources'!$B$155:$J$162,0,4))*($AZ56-INDEX('How This Works &amp; Sources'!$B$155:$J$162,0,4))*INDEX('How This Works &amp; Sources'!$B$155:$J$162,0,4+2)),IF('Second Earner'!$C$77="C",SUMPRODUCT(($AZ56&gt;INDEX('How This Works &amp; Sources'!$B$155:$J$162,0,7))*($AZ56-INDEX('How This Works &amp; Sources'!$B$155:$J$162,0,7))*INDEX('How This Works &amp; Sources'!$B$155:$J$162,0,7+2)),IF('Second Earner'!$C$77="D",SUMPRODUCT(($AZ56&gt;INDEX('How This Works &amp; Sources'!$B$167:$J$179,0,1))*($AZ56-INDEX('How This Works &amp; Sources'!$B$167:$J$179,0,1))*INDEX('How This Works &amp; Sources'!$B$167:$J$179,0,1+2)),IF('Second Earner'!$C$77="E",SUMPRODUCT(($AZ56&gt;INDEX('How This Works &amp; Sources'!$B$167:$J$179,0,4))*($AZ56-INDEX('How This Works &amp; Sources'!$B$167:$J$179,0,4))*INDEX('How This Works &amp; Sources'!$B$167:$J$179,0,4+2)),SUMPRODUCT(($AZ56&gt;INDEX('How This Works &amp; Sources'!$B$155:$J$162,0,1))*($AZ56-INDEX('How This Works &amp; Sources'!$B$155:$J$162,0,1))*INDEX('How This Works &amp; Sources'!$B$155:$J$162,0,1+2)))))),IF($AN56="NY",IF($AU56="Married",IF($AZ56&gt;=2155350,$AZ56*IF($AZ56&gt;25000000,0.117,IF($AZ56&gt;5000000,0.111,0.1045)),SUMPRODUCT(($AZ56&gt;INDEX('How This Works &amp; Sources'!$B$184:$J$198,0,1))*($AZ56-INDEX('How This Works &amp; Sources'!$B$184:$J$198,0,1))*INDEX('How This Works &amp; Sources'!$B$184:$J$198,0,1+2))),IF($AZ56&gt;=1077550,$AZ56*IF($AZ56&gt;25000000,0.117,IF($AZ56&gt;5000000,0.111,0.1045)),SUMPRODUCT(($AZ56&gt;INDEX('How This Works &amp; Sources'!$B$167:$J$179,0,7))*($AZ56-INDEX('How This Works &amp; Sources'!$B$167:$J$179,0,7))*INDEX('How This Works &amp; Sources'!$B$167:$J$179,0,7+2)))),"")))))))</f>
      </c>
      <c r="BX56" s="7">
        <f>IF($B56="","",IF($AN56="AL",IF(OR($AU56="Married",$AU56="Head of household"),SUMPRODUCT(($AZ56&gt;INDEX('How This Works &amp; Sources'!$B$82:$J$86,0,4))*($AZ56-INDEX('How This Works &amp; Sources'!$B$82:$J$86,0,4))*INDEX('How This Works &amp; Sources'!$B$82:$J$86,0,4+2)),SUMPRODUCT(($AZ56&gt;INDEX('How This Works &amp; Sources'!$B$82:$J$86,0,1))*($AZ56-INDEX('How This Works &amp; Sources'!$B$82:$J$86,0,1))*INDEX('How This Works &amp; Sources'!$B$82:$J$86,0,1+2))),IF($AN56="KS",IF($AU56="Married",SUMPRODUCT(($AZ56&gt;INDEX('How This Works &amp; Sources'!$B$103:$J$109,0,4))*($AZ56-INDEX('How This Works &amp; Sources'!$B$103:$J$109,0,4))*INDEX('How This Works &amp; Sources'!$B$103:$J$109,0,4+2)),SUMPRODUCT(($AZ56&gt;INDEX('How This Works &amp; Sources'!$B$103:$J$109,0,1))*($AZ56-INDEX('How This Works &amp; Sources'!$B$103:$J$109,0,1))*INDEX('How This Works &amp; Sources'!$B$103:$J$109,0,1+2))),IF($AN56="MN",IF($AU56="Married",SUMPRODUCT(($AZ56&gt;INDEX('How This Works &amp; Sources'!$B$114:$J$120,0,7))*($AZ56-INDEX('How This Works &amp; Sources'!$B$114:$J$120,0,7))*INDEX('How This Works &amp; Sources'!$B$114:$J$120,0,7+2)),SUMPRODUCT(($AZ56&gt;INDEX('How This Works &amp; Sources'!$B$114:$J$120,0,4))*($AZ56-INDEX('How This Works &amp; Sources'!$B$114:$J$120,0,4))*INDEX('How This Works &amp; Sources'!$B$114:$J$120,0,4+2))),IF($AN56="MO",SUMPRODUCT(($AZ56&gt;INDEX('How This Works &amp; Sources'!$B$125:$J$132,0,1))*($AZ56-INDEX('How This Works &amp; Sources'!$B$125:$J$132,0,1))*INDEX('How This Works &amp; Sources'!$B$125:$J$132,0,1+2)),IF($AN56="NE",MAX(IF($AU56="Married",SUMPRODUCT(($AZ56&gt;INDEX('How This Works &amp; Sources'!$B$144:$J$150,0,7))*($AZ56-INDEX('How This Works &amp; Sources'!$B$144:$J$150,0,7))*INDEX('How This Works &amp; Sources'!$B$144:$J$150,0,7+2)),SUMPRODUCT(($AZ56&gt;INDEX('How This Works &amp; Sources'!$B$144:$J$150,0,4))*($AZ56-INDEX('How This Works &amp; Sources'!$B$144:$J$150,0,4))*INDEX('How This Works &amp; Sources'!$B$144:$J$150,0,4+2))),0.015*$AZ56),IF($AN56="OH",IF($B56&gt;=DATE(2026,8,1),SUMPRODUCT(($AZ56&gt;INDEX('How This Works &amp; Sources'!$B$203:$J$206,0,1))*($AZ56-INDEX('How This Works &amp; Sources'!$B$203:$J$206,0,1))*INDEX('How This Works &amp; Sources'!$B$203:$J$206,0,1+2)),SUMPRODUCT(($AZ56&gt;INDEX('How This Works &amp; Sources'!$B$184:$J$198,0,7))*($AZ56-INDEX('How This Works &amp; Sources'!$B$184:$J$198,0,7))*INDEX('How This Works &amp; Sources'!$B$184:$J$198,0,7+2))),IF($AN56="OK",IF($AU56="Married",SUMPRODUCT(($AZ56&gt;INDEX('How This Works &amp; Sources'!$B$203:$J$206,0,7))*($AZ56-INDEX('How This Works &amp; Sources'!$B$203:$J$206,0,7))*INDEX('How This Works &amp; Sources'!$B$203:$J$206,0,7+2)),SUMPRODUCT(($AZ56&gt;INDEX('How This Works &amp; Sources'!$B$203:$J$206,0,4))*($AZ56-INDEX('How This Works &amp; Sources'!$B$203:$J$206,0,4))*INDEX('How This Works &amp; Sources'!$B$203:$J$206,0,4+2))),IF($AN56="VT",IF($AU56="Married",SUMPRODUCT(($AZ56&gt;INDEX('How This Works &amp; Sources'!$B$228:$J$232,0,1))*($AZ56-INDEX('How This Works &amp; Sources'!$B$228:$J$232,0,1))*INDEX('How This Works &amp; Sources'!$B$228:$J$232,0,1+2)),SUMPRODUCT(($AZ56&gt;INDEX('How This Works &amp; Sources'!$B$219:$J$223,0,7))*($AZ56-INDEX('How This Works &amp; Sources'!$B$219:$J$223,0,7))*INDEX('How This Works &amp; Sources'!$B$219:$J$223,0,7+2))),IF($AN56="WV",IF($AU56="Married",SUMPRODUCT(($AZ56&gt;INDEX('How This Works &amp; Sources'!$B$237:$J$241,0,7))*($AZ56-INDEX('How This Works &amp; Sources'!$B$237:$J$241,0,7))*INDEX('How This Works &amp; Sources'!$B$237:$J$241,0,7+2)),SUMPRODUCT(($AZ56&gt;INDEX('How This Works &amp; Sources'!$B$228:$J$232,0,7))*($AZ56-INDEX('How This Works &amp; Sources'!$B$228:$J$232,0,7))*INDEX('How This Works &amp; Sources'!$B$228:$J$232,0,7+2))),""))))))))))</f>
      </c>
      <c r="BY56" s="7">
        <f>IF($B56="","",IF($AN56="DE",SUMPRODUCT(($AZ56&gt;INDEX('How This Works &amp; Sources'!$B$91:$J$98,0,1))*($AZ56-INDEX('How This Works &amp; Sources'!$B$91:$J$98,0,1))*INDEX('How This Works &amp; Sources'!$B$91:$J$98,0,1+2)),IF($AN56="HI",IF($AU56="Married",SUMPRODUCT(($AZ56&gt;INDEX('How This Works &amp; Sources'!$B$91:$J$98,0,7))*($AZ56-INDEX('How This Works &amp; Sources'!$B$91:$J$98,0,7))*INDEX('How This Works &amp; Sources'!$B$91:$J$98,0,7+2)),SUMPRODUCT(($AZ56&gt;INDEX('How This Works &amp; Sources'!$B$91:$J$98,0,4))*($AZ56-INDEX('How This Works &amp; Sources'!$B$91:$J$98,0,4))*INDEX('How This Works &amp; Sources'!$B$91:$J$98,0,4+2))),IF($AN56="RI",SUMPRODUCT(($AZ56&gt;INDEX('How This Works &amp; Sources'!$B$211:$J$214,0,7))*($AZ56-INDEX('How This Works &amp; Sources'!$B$211:$J$214,0,7))*INDEX('How This Works &amp; Sources'!$B$211:$J$214,0,7+2)),IF($AN56="SC",SUMPRODUCT(($AZ56&gt;INDEX('How This Works &amp; Sources'!$B$219:$J$223,0,1))*($AZ56-INDEX('How This Works &amp; Sources'!$B$219:$J$223,0,1))*INDEX('How This Works &amp; Sources'!$B$219:$J$223,0,1+2)),IF($AN56="VA",SUMPRODUCT(($AZ56&gt;INDEX('How This Works &amp; Sources'!$B$219:$J$223,0,4))*($AZ56-INDEX('How This Works &amp; Sources'!$B$219:$J$223,0,4))*INDEX('How This Works &amp; Sources'!$B$219:$J$223,0,4+2)),IF($AN56="WI",SUMPRODUCT(($AZ56&gt;INDEX('How This Works &amp; Sources'!$B$228:$J$232,0,4))*($AZ56-INDEX('How This Works &amp; Sources'!$B$228:$J$232,0,4))*INDEX('How This Works &amp; Sources'!$B$228:$J$232,0,4+2)),"")))))))</f>
      </c>
      <c r="BZ56" s="24">
        <f>IF($B56="","",IF($AN56="KS",IF($AU56="Married",SUMPRODUCT(($AZ56&gt;=INDEX('How This Works &amp; Sources'!$B$103:$J$109,0,4))*INDEX('How This Works &amp; Sources'!$B$103:$J$109,0,4+2)),SUMPRODUCT(($AZ56&gt;=INDEX('How This Works &amp; Sources'!$B$103:$J$109,0,1))*INDEX('How This Works &amp; Sources'!$B$103:$J$109,0,1+2))),IF($AN56="MT",IF($AU56="Head of household",SUMPRODUCT(($AZ56&gt;=INDEX('How This Works &amp; Sources'!$B$137:$J$139,0,1))*INDEX('How This Works &amp; Sources'!$B$137:$J$139,0,1+2)),IF($AU56="Married",SUMPRODUCT(($AZ56&gt;=INDEX('How This Works &amp; Sources'!$B$125:$J$132,0,7))*INDEX('How This Works &amp; Sources'!$B$125:$J$132,0,7+2)),SUMPRODUCT(($AZ56&gt;=INDEX('How This Works &amp; Sources'!$B$125:$J$132,0,4))*INDEX('How This Works &amp; Sources'!$B$125:$J$132,0,4+2)))),IF($AN56="OR",IF(OR($AU56="Married",AND($AU56="Single",$AS56&gt;=3)),SUMPRODUCT((MAX(0,$AY56-MIN(($P56-'How This Works &amp; Sources'!$C$10*$D56)*'Second Earner'!$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Sources'!$B$211:$J$214,0,4))*INDEX('How This Works &amp; Sources'!$B$211:$J$214,0,4+2)),SUMPRODUCT((MAX(0,$AY56-MIN(($P56-'How This Works &amp; Sources'!$C$10*$D56)*'Second Earner'!$C$8,IF(OR($AU56="Married",AND($AU56="Single",$AS56&gt;=3)),IF($AY56&lt;250000,8750,IF($AY56&lt;260000,7000,IF($AY56&lt;270000,5250,IF($AY56&lt;280000,3500,IF($AY56&lt;290000,1750,0))))),IF($AY56&lt;125000,8750,IF($AY56&lt;130000,7000,IF($AY56&lt;135000,5250,IF($AY56&lt;140000,3500,IF($AY56&lt;145000,1750,0)))))))-IF(OR($AU56="Married",AND($AU56="Single",$AS56&gt;=3)),5820,2910))&gt;=INDEX('How This Works &amp; Sources'!$B$211:$J$214,0,1))*INDEX('How This Works &amp; Sources'!$B$211:$J$214,0,1+2)))*IF(($P56-'How This Works &amp; Sources'!$C$10*$D56)*'Second Earner'!$C$8&gt;=IF(OR($AU56="Married",AND($AU56="Single",$AS56&gt;=3)),IF($AY56&lt;250000,8750,IF($AY56&lt;260000,7000,IF($AY56&lt;270000,5250,IF($AY56&lt;280000,3500,IF($AY56&lt;290000,1750,0))))),IF($AY56&lt;125000,8750,IF($AY56&lt;130000,7000,IF($AY56&lt;135000,5250,IF($AY56&lt;140000,3500,IF($AY56&lt;145000,1750,0)))))),1,1-IF('Second Earner'!$C$13,SUMPRODUCT(($AH56&gt;=INDEX('How This Works &amp; Sources'!$B$29:$J$36,0,IF('Second Earner'!$C$12="MFJ",1,IF('Second Earner'!$C$12="HoH",7,4))))*INDEX('How This Works &amp; Sources'!$B$29:$J$36,0,IF('Second Earner'!$C$12="MFJ",1,IF('Second Earner'!$C$12="HoH",7,4))+2)),SUMPRODUCT(($AH56&gt;=INDEX('How This Works &amp; Sources'!$B$19:$J$26,0,IF('Second Earner'!$C$12="MFJ",1,IF('Second Earner'!$C$12="HoH",7,4))))*INDEX('How This Works &amp; Sources'!$B$19:$J$26,0,IF('Second Earner'!$C$12="MFJ",1,IF('Second Earner'!$C$12="HoH",7,4))+2)))),""))))</f>
      </c>
      <c r="CA56" s="24">
        <f>IF($B56="","",IF($AN56="CA",SUMPRODUCT(($AJ56&gt;=INDEX('How This Works &amp; Sources'!$B$39:$J$48,0,IF($AU56="Married",4,IF($AU56="Head of household",7,1))))*INDEX('How This Works &amp; Sources'!$B$39:$J$48,0,IF($AU56="Married",4,IF($AU56="Head of household",7,1))+2)),IF($AN56="AL",IF(OR($AU56="Married",$AU56="Head of household"),SUMPRODUCT(($AZ56&gt;=INDEX('How This Works &amp; Sources'!$B$82:$J$86,0,4))*INDEX('How This Works &amp; Sources'!$B$82:$J$86,0,4+2)),SUMPRODUCT(($AZ56&gt;=INDEX('How This Works &amp; Sources'!$B$82:$J$86,0,1))*INDEX('How This Works &amp; Sources'!$B$82:$J$86,0,1+2)))*(1-IF('Second Earner'!$C$13,SUMPRODUCT(($AH56&gt;=INDEX('How This Works &amp; Sources'!$B$29:$J$36,0,IF('Second Earner'!$C$12="MFJ",1,IF('Second Earner'!$C$12="HoH",7,4))))*INDEX('How This Works &amp; Sources'!$B$29:$J$36,0,IF('Second Earner'!$C$12="MFJ",1,IF('Second Earner'!$C$12="HoH",7,4))+2)),SUMPRODUCT(($AH56&gt;=INDEX('How This Works &amp; Sources'!$B$19:$J$26,0,IF('Second Earner'!$C$12="MFJ",1,IF('Second Earner'!$C$12="HoH",7,4))))*INDEX('How This Works &amp; Sources'!$B$19:$J$26,0,IF('Second Earner'!$C$12="MFJ",1,IF('Second Earner'!$C$12="HoH",7,4))+2)))),IF($AN56="ND",IF($AU56="Head of household",SUMPRODUCT(($AZ56&gt;=INDEX('How This Works &amp; Sources'!$B$144:$J$150,0,1))*INDEX('How This Works &amp; Sources'!$B$144:$J$150,0,1+2)),IF($AU56="Married",SUMPRODUCT(($AZ56&gt;=INDEX('How This Works &amp; Sources'!$B$137:$J$139,0,7))*INDEX('How This Works &amp; Sources'!$B$137:$J$139,0,7+2)),SUMPRODUCT(($AZ56&gt;=INDEX('How This Works &amp; Sources'!$B$137:$J$139,0,4))*INDEX('How This Works &amp; Sources'!$B$137:$J$139,0,4+2)))),IF($AN56="NJ",IF('Second Earner'!$C$77="B",SUMPRODUCT(($AZ56&gt;=INDEX('How This Works &amp; Sources'!$B$155:$J$162,0,4))*INDEX('How This Works &amp; Sources'!$B$155:$J$162,0,4+2)),IF('Second Earner'!$C$77="C",SUMPRODUCT(($AZ56&gt;=INDEX('How This Works &amp; Sources'!$B$155:$J$162,0,7))*INDEX('How This Works &amp; Sources'!$B$155:$J$162,0,7+2)),IF('Second Earner'!$C$77="D",SUMPRODUCT(($AZ56&gt;=INDEX('How This Works &amp; Sources'!$B$167:$J$179,0,1))*INDEX('How This Works &amp; Sources'!$B$167:$J$179,0,1+2)),IF('Second Earner'!$C$77="E",SUMPRODUCT(($AZ56&gt;=INDEX('How This Works &amp; Sources'!$B$167:$J$179,0,4))*INDEX('How This Works &amp; Sources'!$B$167:$J$179,0,4+2)),SUMPRODUCT(($AZ56&gt;=INDEX('How This Works &amp; Sources'!$B$155:$J$162,0,1))*INDEX('How This Works &amp; Sources'!$B$155:$J$162,0,1+2)))))),IF($AN56="NY",IF($AU56="Married",IF($AZ56&gt;=2155350,IF($AZ56&gt;25000000,0.117,IF($AZ56&gt;5000000,0.111,0.1045)),SUMPRODUCT(($AZ56&gt;=INDEX('How This Works &amp; Sources'!$B$184:$J$198,0,1))*INDEX('How This Works &amp; Sources'!$B$184:$J$198,0,1+2))),IF($AZ56&gt;=1077550,IF($AZ56&gt;25000000,0.117,IF($AZ56&gt;5000000,0.111,0.1045)),SUMPRODUCT(($AZ56&gt;=INDEX('How This Works &amp; Sources'!$B$167:$J$179,0,7))*INDEX('How This Works &amp; Sources'!$B$167:$J$179,0,7+2)))),IF($AN56="LA",0.0309,"")))))))</f>
      </c>
      <c r="CB56" s="24">
        <f>IF($B56="","",IF($AN56="HI",IF($AU56="Married",SUMPRODUCT(($AZ56&gt;=INDEX('How This Works &amp; Sources'!$B$91:$J$98,0,7))*INDEX('How This Works &amp; Sources'!$B$91:$J$98,0,7+2)),SUMPRODUCT(($AZ56&gt;=INDEX('How This Works &amp; Sources'!$B$91:$J$98,0,4))*INDEX('How This Works &amp; Sources'!$B$91:$J$98,0,4+2))),IF($AN56="MD",IF(OR($AU56="Married",$AU56="Head of household"),SUMPRODUCT(($AZ56&gt;=INDEX('How This Works &amp; Sources'!$B$114:$J$120,0,1))*INDEX('How This Works &amp; Sources'!$B$114:$J$120,0,1+2)),SUMPRODUCT(($AZ56&gt;=INDEX('How This Works &amp; Sources'!$B$103:$J$109,0,7))*INDEX('How This Works &amp; Sources'!$B$103:$J$109,0,7+2)))+'Second Earner'!$C$74,IF($AN56="MN",IF($AU56="Married",SUMPRODUCT(($AZ56&gt;=INDEX('How This Works &amp; Sources'!$B$114:$J$120,0,7))*INDEX('How This Works &amp; Sources'!$B$114:$J$120,0,7+2)),SUMPRODUCT(($AZ56&gt;=INDEX('How This Works &amp; Sources'!$B$114:$J$120,0,4))*INDEX('How This Works &amp; Sources'!$B$114:$J$120,0,4+2))),IF($AN56="MO",SUMPRODUCT(($AZ56&gt;=INDEX('How This Works &amp; Sources'!$B$125:$J$132,0,1))*INDEX('How This Works &amp; Sources'!$B$125:$J$132,0,1+2)),IF($AN56="NE",MAX(IF($AU56="Married",SUMPRODUCT(($AZ56&gt;=INDEX('How This Works &amp; Sources'!$B$144:$J$150,0,7))*INDEX('How This Works &amp; Sources'!$B$144:$J$150,0,7+2)),SUMPRODUCT(($AZ56&gt;=INDEX('How This Works &amp; Sources'!$B$144:$J$150,0,4))*INDEX('How This Works &amp; Sources'!$B$144:$J$150,0,4+2))),0.015),IF($AN56="OH",IF($B56&gt;=DATE(2026,8,1),SUMPRODUCT(($AZ56&gt;=INDEX('How This Works &amp; Sources'!$B$203:$J$206,0,1))*INDEX('How This Works &amp; Sources'!$B$203:$J$206,0,1+2)),SUMPRODUCT(($AZ56&gt;=INDEX('How This Works &amp; Sources'!$B$184:$J$198,0,7))*INDEX('How This Works &amp; Sources'!$B$184:$J$198,0,7+2))),IF($AN56="OK",IF($AU56="Married",SUMPRODUCT(($AZ56&gt;=INDEX('How This Works &amp; Sources'!$B$203:$J$206,0,7))*INDEX('How This Works &amp; Sources'!$B$203:$J$206,0,7+2)),SUMPRODUCT(($AZ56&gt;=INDEX('How This Works &amp; Sources'!$B$203:$J$206,0,4))*INDEX('How This Works &amp; Sources'!$B$203:$J$206,0,4+2))),IF($AN56="RI",SUMPRODUCT(($AZ56&gt;=INDEX('How This Works &amp; Sources'!$B$211:$J$214,0,7))*INDEX('How This Works &amp; Sources'!$B$211:$J$214,0,7+2)),IF($AN56="VT",IF($AU56="Married",SUMPRODUCT(($AZ56&gt;=INDEX('How This Works &amp; Sources'!$B$228:$J$232,0,1))*INDEX('How This Works &amp; Sources'!$B$228:$J$232,0,1+2)),SUMPRODUCT(($AZ56&gt;=INDEX('How This Works &amp; Sources'!$B$219:$J$223,0,7))*INDEX('How This Works &amp; Sources'!$B$219:$J$223,0,7+2))),IF($AN56="WV",IF($AU56="Married",SUMPRODUCT(($AZ56&gt;=INDEX('How This Works &amp; Sources'!$B$237:$J$241,0,7))*INDEX('How This Works &amp; Sources'!$B$237:$J$241,0,7+2)),SUMPRODUCT(($AZ56&gt;=INDEX('How This Works &amp; Sources'!$B$228:$J$232,0,7))*INDEX('How This Works &amp; Sources'!$B$228:$J$232,0,7+2))),IF($AN56="AZ",'Second Earner'!$C$82,IF($AN56="ID",IF($AY56&gt;IF($AU56="Married",32000,16094),0.053,0),"")))))))))))))</f>
      </c>
      <c r="CC56" s="24">
        <f>IF($B56="","",IF($AN56="AR",SUMPRODUCT(($AZ56&gt;=INDEX('How This Works &amp; Sources'!$B$82:$J$86,0,7))*INDEX('How This Works &amp; Sources'!$B$82:$J$86,0,7+2)),IF($AN56="DE",SUMPRODUCT(($AZ56&gt;=INDEX('How This Works &amp; Sources'!$B$91:$J$98,0,1))*INDEX('How This Works &amp; Sources'!$B$91:$J$98,0,1+2)),IF($AN56="SC",SUMPRODUCT(($AZ56&gt;=INDEX('How This Works &amp; Sources'!$B$219:$J$223,0,1))*INDEX('How This Works &amp; Sources'!$B$219:$J$223,0,1+2)),IF($AN56="VA",SUMPRODUCT(($AZ56&gt;=INDEX('How This Works &amp; Sources'!$B$219:$J$223,0,4))*INDEX('How This Works &amp; Sources'!$B$219:$J$223,0,4+2)),IF($AN56="WI",SUMPRODUCT(($AZ56&gt;=INDEX('How This Works &amp; Sources'!$B$228:$J$232,0,4))*INDEX('How This Works &amp; Sources'!$B$228:$J$232,0,4+2)),IF($AN56="CO",IF($AY56&gt;IF($AU56="Married",10000,5000),0.044,0),IF($AN56="IA",IF($AY56&gt;IF($AU56="Head of household",19500,IF($AU56="Married",26000,13000)),0.038,0),IF($AN56="IL",IF($AY56&gt;(2925*$AS56+1000*$AT56),0.0495,0),IF($AN56="IN",(0.0295+'Second Earner'!$C$76),IF($AN56="KY",IF($AI56&gt;3360,0.035,0),IF($AN56="MA",IF(MAX(0,$AY56-MIN(($BD55+$Q56+$R56+$S56),2000)-IF($AS56=0,0,IF($AS56=1,4400,1000*$AS56+3400)))&gt;=1107750,0.09,0.05),IF($AN56="MI",IF($AY56&gt;5900*$AS56,0.0425,0),IF($AN56="MS",IF($AI56-IF($AU56="Head of household",3400,IF($AU56="Married",4600,2300))-'Second Earner'!$C$85&gt;10000,0.04,0),IF($AN56="PA",0.0307,"")))))))))))))))</f>
      </c>
      <c r="CD56" s="21">
        <f>IF(YEAR(IF('Second Earner'!$C$7="Weekly",'Second Earner'!$C$9+7*(($BE55+1)-1),IF('Second Earner'!$C$7="Biweekly",'Second Earner'!$C$9+14*(($BE55+1)-1),IF('Second Earner'!$C$7="Semimonthly",DATE(YEAR('Second Earner'!$C$9),MONTH('Second Earner'!$C$9)+INT((($BE55+1)-1)/2),MIN(DAY('Second Earner'!$C$9),DAY(EOMONTH(DATE(YEAR('Second Earner'!$C$9),MONTH('Second Earner'!$C$9)+INT((($BE55+1)-1)/2),1),0))))+IF(MOD(($BE55+1)-1,2)=1,15,0),EDATE('Second Earner'!$C$9,($BE55+1)-1)))))&lt;&gt;'Second Earner'!$C$10,"",IF('Second Earner'!$C$7="Weekly",'Second Earner'!$C$9+7*(($BE55+1)-1),IF('Second Earner'!$C$7="Biweekly",'Second Earner'!$C$9+14*(($BE55+1)-1),IF('Second Earner'!$C$7="Semimonthly",DATE(YEAR('Second Earner'!$C$9),MONTH('Second Earner'!$C$9)+INT((($BE55+1)-1)/2),MIN(DAY('Second Earner'!$C$9),DAY(EOMONTH(DATE(YEAR('Second Earner'!$C$9),MONTH('Second Earner'!$C$9)+INT((($BE55+1)-1)/2),1),0))))+IF(MOD(($BE55+1)-1,2)=1,15,0),EDATE('Second Earner'!$C$9,($BE55+1)-1)))))</f>
      </c>
      <c r="CE56" s="21">
        <f>IF(MIN(IF(AND('Second Earner'!$C$58&gt;MAX($B$6:$B55),'Second Earner'!$C$58&gt;=DATE('Second Earner'!$C$10,1,1),'Second Earner'!$C$58&lt;=DATE('Second Earner'!$C$10,12,31)),'Second Earner'!$C$58,999999),IF(AND('Second Earner'!$C$59&gt;MAX($B$6:$B55),'Second Earner'!$C$59&gt;=DATE('Second Earner'!$C$10,1,1),'Second Earner'!$C$59&lt;=DATE('Second Earner'!$C$10,12,31)),'Second Earner'!$C$59,999999),IF(AND('Second Earner'!$C$60&gt;MAX($B$6:$B55),'Second Earner'!$C$60&gt;=DATE('Second Earner'!$C$10,1,1),'Second Earner'!$C$60&lt;=DATE('Second Earner'!$C$10,12,31)),'Second Earner'!$C$60,999999),IF(AND('Second Earner'!$C$61&gt;MAX($B$6:$B55),'Second Earner'!$C$61&gt;=DATE('Second Earner'!$C$10,1,1),'Second Earner'!$C$61&lt;=DATE('Second Earner'!$C$10,12,31)),'Second Earner'!$C$61,999999),IF(AND('Second Earner'!$C$62&gt;MAX($B$6:$B55),'Second Earner'!$C$62&gt;=DATE('Second Earner'!$C$10,1,1),'Second Earner'!$C$62&lt;=DATE('Second Earner'!$C$10,12,31)),'Second Earner'!$C$62,999999),IF(AND('Second Earner'!$C$63&gt;MAX($B$6:$B55),'Second Earner'!$C$63&gt;=DATE('Second Earner'!$C$10,1,1),'Second Earner'!$C$63&lt;=DATE('Second Earner'!$C$10,12,31)),'Second Earner'!$C$63,999999),IF(AND('Second Earner'!$C$64&gt;MAX($B$6:$B55),'Second Earner'!$C$64&gt;=DATE('Second Earner'!$C$10,1,1),'Second Earner'!$C$64&lt;=DATE('Second Earner'!$C$10,12,31)),'Second Earner'!$C$64,999999),IF(AND('Second Earner'!$C$65&gt;MAX($B$6:$B55),'Second Earner'!$C$65&gt;=DATE('Second Earner'!$C$10,1,1),'Second Earner'!$C$65&lt;=DATE('Second Earner'!$C$10,12,31)),'Second Earner'!$C$65,999999),IF(AND('Second Earner'!$C$66&gt;MAX($B$6:$B55),'Second Earner'!$C$66&gt;=DATE('Second Earner'!$C$10,1,1),'Second Earner'!$C$66&lt;=DATE('Second Earner'!$C$10,12,31)),'Second Earner'!$C$66,999999),IF(AND('Second Earner'!$C$67&gt;MAX($B$6:$B55),'Second Earner'!$C$67&gt;=DATE('Second Earner'!$C$10,1,1),'Second Earner'!$C$67&lt;=DATE('Second Earner'!$C$10,12,31)),'Second Earner'!$C$67,999999))=999999,"",MIN(IF(AND('Second Earner'!$C$58&gt;MAX($B$6:$B55),'Second Earner'!$C$58&gt;=DATE('Second Earner'!$C$10,1,1),'Second Earner'!$C$58&lt;=DATE('Second Earner'!$C$10,12,31)),'Second Earner'!$C$58,999999),IF(AND('Second Earner'!$C$59&gt;MAX($B$6:$B55),'Second Earner'!$C$59&gt;=DATE('Second Earner'!$C$10,1,1),'Second Earner'!$C$59&lt;=DATE('Second Earner'!$C$10,12,31)),'Second Earner'!$C$59,999999),IF(AND('Second Earner'!$C$60&gt;MAX($B$6:$B55),'Second Earner'!$C$60&gt;=DATE('Second Earner'!$C$10,1,1),'Second Earner'!$C$60&lt;=DATE('Second Earner'!$C$10,12,31)),'Second Earner'!$C$60,999999),IF(AND('Second Earner'!$C$61&gt;MAX($B$6:$B55),'Second Earner'!$C$61&gt;=DATE('Second Earner'!$C$10,1,1),'Second Earner'!$C$61&lt;=DATE('Second Earner'!$C$10,12,31)),'Second Earner'!$C$61,999999),IF(AND('Second Earner'!$C$62&gt;MAX($B$6:$B55),'Second Earner'!$C$62&gt;=DATE('Second Earner'!$C$10,1,1),'Second Earner'!$C$62&lt;=DATE('Second Earner'!$C$10,12,31)),'Second Earner'!$C$62,999999),IF(AND('Second Earner'!$C$63&gt;MAX($B$6:$B55),'Second Earner'!$C$63&gt;=DATE('Second Earner'!$C$10,1,1),'Second Earner'!$C$63&lt;=DATE('Second Earner'!$C$10,12,31)),'Second Earner'!$C$63,999999),IF(AND('Second Earner'!$C$64&gt;MAX($B$6:$B55),'Second Earner'!$C$64&gt;=DATE('Second Earner'!$C$10,1,1),'Second Earner'!$C$64&lt;=DATE('Second Earner'!$C$10,12,31)),'Second Earner'!$C$64,999999),IF(AND('Second Earner'!$C$65&gt;MAX($B$6:$B55),'Second Earner'!$C$65&gt;=DATE('Second Earner'!$C$10,1,1),'Second Earner'!$C$65&lt;=DATE('Second Earner'!$C$10,12,31)),'Second Earner'!$C$65,999999),IF(AND('Second Earner'!$C$66&gt;MAX($B$6:$B55),'Second Earner'!$C$66&gt;=DATE('Second Earner'!$C$10,1,1),'Second Earner'!$C$66&lt;=DATE('Second Earner'!$C$10,12,31)),'Second Earner'!$C$66,999999),IF(AND('Second Earner'!$C$67&gt;MAX($B$6:$B55),'Second Earner'!$C$67&gt;=DATE('Second Earner'!$C$10,1,1),'Second Earner'!$C$67&lt;=DATE('Second Earner'!$C$10,12,31)),'Second Earner'!$C$67,999999)))</f>
      </c>
      <c r="CF56">
        <f>IF($B56="","",IF($D56=0,$Y56,""))</f>
      </c>
    </row>
    <row r="57">
      <c r="A57" t="n">
        <v>52</v>
      </c>
      <c r="B57" s="21">
        <f>IF(AND($CD57="",$CE57=""),"",IF($CE57="",$CD57,IF($CD57="",$CE57,MIN($CD57,$CE57))))</f>
      </c>
      <c r="C57" s="7">
        <f>IF($B57="","",IF($BF57=0,0,IF('Second Earner'!$C$4="Annual salary",ROUND($AK57/IF(AND('Second Earner'!$C$88="Actual paydays",MONTH('Second Earner'!$C$9)=1),MAX(1,MAX($BE$6:$BE$68)),'Second Earner'!$C$8),2),$AK57)))</f>
      </c>
      <c r="D57" s="7">
        <f>IF($B57="","",SUMIF('Second Earner'!$C$58:$C$67,$B57,'Second Earner'!$D$58:$D$67))</f>
      </c>
      <c r="E57" s="7">
        <f>IF($B57="","",ROUND(MAX(0,MIN(IF($AL57="Percent",$AM57*($C57+$D57),$AM57),MAX(0,'Second Earner'!$C$34-$AC56))),2))</f>
      </c>
      <c r="F57" s="7">
        <f>IF($B57="","",ROUND(MAX(0,MIN(IF('Second Earner'!$C$32="Percent",'Second Earner'!$D$32*($C57+$D57),'Second Earner'!$D$32),MAX(0,'Second Earner'!$C$34-$AC56-$E57))),2))</f>
      </c>
      <c r="G57" s="7">
        <f>IF($B57="","",IF($BF57=0,0,ROUND(MAX(0,MIN($BL57,'Second Earner'!$C$37-'Second Earner'!$C$54-$BI56)),2)))</f>
      </c>
      <c r="H57" s="7">
        <f>IF($B57="","",IF(OR($BF57=0,$BQ57=1),0,ROUND(MAX(0,MIN(IF($BS57=1,ROUND(MAX(0,MIN($BJ57,'How This Works &amp; Sources'!$C$13)-$BG56)/MAX(1,MAX($BE$6:$BE$68)-($BE56)),2),ROUND(MIN($BJ57,'How This Works &amp; Sources'!$C$13)/'Second Earner'!$C$8,2)),MIN($BJ57,'How This Works &amp; Sources'!$C$13)-$BG56)),2)))</f>
      </c>
      <c r="I57" s="7">
        <f>IF($B57="","",IF(OR($BF57=0,$BR57=1),0,ROUND(MAX(0,MIN(IF($BT57=1,ROUND(MAX(0,MIN($BK57,IF('Second Earner'!$C$12="MFJ",'How This Works &amp; Sources'!$C$14,'How This Works &amp; Sources'!$C$15))-$BH56)/MAX(1,MAX($BE$6:$BE$68)-($BE56)),2),ROUND(MIN($BK57,IF('Second Earner'!$C$12="MFJ",'How This Works &amp; Sources'!$C$14,'How This Works &amp; Sources'!$C$15))/'Second Earner'!$C$8,2)),MIN($BK57,IF('Second Earner'!$C$12="MFJ",'How This Works &amp; Sources'!$C$14,'How This Works &amp; Sources'!$C$15))-$BH56)),2)))</f>
      </c>
      <c r="J57" s="7">
        <f>IF($B57="","",IF($BF57=0,0,$BM57))</f>
      </c>
      <c r="K57" s="7">
        <f>IF($B57="","",IF($BF57=0,0,$BN57+$BO57))</f>
      </c>
      <c r="L57" s="7">
        <f>IF($B57="","",IF($BF57=0,0,'Second Earner'!$D$46))</f>
      </c>
      <c r="M57" s="7">
        <f>IF($B57="","",$C57+$D57+$L57-$E57-$G57-$H57-$I57-$J57-$K57)</f>
      </c>
      <c r="N57" s="7">
        <f>IF($B57="","",$C57+$D57+$L57-$G57-$H57-$I57-$J57-$K57)</f>
      </c>
      <c r="O57" s="7">
        <f>IF($B57="","",$C57+$D57+$L57-$E57-$H57-$I57-$J57-$K57-IF(OR($AN57="CA",$AN57="NJ"),0,$G57))</f>
      </c>
      <c r="P57" s="7">
        <f>IF($B57="","",IF('Second Earner'!$C$18,0,ROUND(MAX(0,IF('Second Earner'!$C$13,SUMPRODUCT(($AH57&gt;INDEX('How This Works &amp; Sources'!$B$29:$J$36,0,IF('Second Earner'!$C$12="MFJ",1,IF('Second Earner'!$C$12="HoH",7,4))))*($AH57-INDEX('How This Works &amp; Sources'!$B$29:$J$36,0,IF('Second Earner'!$C$12="MFJ",1,IF('Second Earner'!$C$12="HoH",7,4))))*INDEX('How This Works &amp; Sources'!$B$29:$J$36,0,IF('Second Earner'!$C$12="MFJ",1,IF('Second Earner'!$C$12="HoH",7,4))+2)),SUMPRODUCT(($AH57&gt;INDEX('How This Works &amp; Sources'!$B$19:$J$26,0,IF('Second Earner'!$C$12="MFJ",1,IF('Second Earner'!$C$12="HoH",7,4))))*($AH57-INDEX('How This Works &amp; Sources'!$B$19:$J$26,0,IF('Second Earner'!$C$12="MFJ",1,IF('Second Earner'!$C$12="HoH",7,4))))*INDEX('How This Works &amp; Sources'!$B$19:$J$26,0,IF('Second Earner'!$C$12="MFJ",1,IF('Second Earner'!$C$12="HoH",7,4))+2)))/'Second Earner'!$C$8-$AO57/'Second Earner'!$C$8)+$AR57+IF('Second Earner'!$C$89="Aggregate",MAX(0,IF('Second Earner'!$C$13,SUMPRODUCT((($AH57+$D57)&gt;INDEX('How This Works &amp; Sources'!$B$29:$J$36,0,IF('Second Earner'!$C$12="MFJ",1,IF('Second Earner'!$C$12="HoH",7,4))))*(($AH57+$D57)-INDEX('How This Works &amp; Sources'!$B$29:$J$36,0,IF('Second Earner'!$C$12="MFJ",1,IF('Second Earner'!$C$12="HoH",7,4))))*INDEX('How This Works &amp; Sources'!$B$29:$J$36,0,IF('Second Earner'!$C$12="MFJ",1,IF('Second Earner'!$C$12="HoH",7,4))+2)),SUMPRODUCT((($AH57+$D57)&gt;INDEX('How This Works &amp; Sources'!$B$19:$J$26,0,IF('Second Earner'!$C$12="MFJ",1,IF('Second Earner'!$C$12="HoH",7,4))))*(($AH57+$D57)-INDEX('How This Works &amp; Sources'!$B$19:$J$26,0,IF('Second Earner'!$C$12="MFJ",1,IF('Second Earner'!$C$12="HoH",7,4))))*INDEX('How This Works &amp; Sources'!$B$19:$J$26,0,IF('Second Earner'!$C$12="MFJ",1,IF('Second Earner'!$C$12="HoH",7,4))+2)))-IF('Second Earner'!$C$13,SUMPRODUCT(($AH57&gt;INDEX('How This Works &amp; Sources'!$B$29:$J$36,0,IF('Second Earner'!$C$12="MFJ",1,IF('Second Earner'!$C$12="HoH",7,4))))*($AH57-INDEX('How This Works &amp; Sources'!$B$29:$J$36,0,IF('Second Earner'!$C$12="MFJ",1,IF('Second Earner'!$C$12="HoH",7,4))))*INDEX('How This Works &amp; Sources'!$B$29:$J$36,0,IF('Second Earner'!$C$12="MFJ",1,IF('Second Earner'!$C$12="HoH",7,4))+2)),SUMPRODUCT(($AH57&gt;INDEX('How This Works &amp; Sources'!$B$19:$J$26,0,IF('Second Earner'!$C$12="MFJ",1,IF('Second Earner'!$C$12="HoH",7,4))))*($AH57-INDEX('How This Works &amp; Sources'!$B$19:$J$26,0,IF('Second Earner'!$C$12="MFJ",1,IF('Second Earner'!$C$12="HoH",7,4))))*INDEX('How This Works &amp; Sources'!$B$19:$J$26,0,IF('Second Earner'!$C$12="MFJ",1,IF('Second Earner'!$C$12="HoH",7,4))+2)))),'How This Works &amp; Sources'!$C$10*$D57),2)))</f>
      </c>
      <c r="Q57" s="7">
        <f>IF($B57="","",ROUND('How This Works &amp; Sources'!$C$4*MIN($N57,MAX(0,'How This Works &amp; Sources'!$C$3-($AX57+$AB56-$AW57))),2))</f>
      </c>
      <c r="R57" s="7">
        <f>IF($B57="","",ROUND('How This Works &amp; Sources'!$C$5*$N57,2))</f>
      </c>
      <c r="S57" s="7">
        <f>IF($B57="","",ROUND('How This Works &amp; Sources'!$C$6*MAX(0,MIN($N57,$AG56+$N57-'How This Works &amp; Sources'!$C$7)),2))</f>
      </c>
      <c r="T57" s="7">
        <f>IF($B57="","",IF('Second Earner'!$C$26,0,IF($AN57="CA",ROUND(IF($AI57&lt;=IF(($AS57+$AT57)&gt;=2,VLOOKUP($AN57,StateTables!$A$6:$AB$56,10,FALSE),VLOOKUP($AN57,StateTables!$A$6:$AB$56,9,FALSE)),0,MAX(0,SUMPRODUCT(($AJ57&gt;INDEX('How This Works &amp; Sources'!$B$39:$J$48,0,IF($AU57="Married",4,IF($AU57="Head of household",7,1))))*($AJ57-INDEX('How This Works &amp; Sources'!$B$39:$J$48,0,IF($AU57="Married",4,IF($AU57="Head of household",7,1))))*INDEX('How This Works &amp; Sources'!$B$39:$J$48,0,IF($AU57="Married",4,IF($AU57="Head of household",7,1))+2))-VLOOKUP($AN57,StateTables!$A$6:$AB$56,11,FALSE)*$AS57)/'Second Earner'!$C$8)+'Second Earner'!$C$25+VLOOKUP($AN57,StateTables!$A$6:$AB$56,13,FALSE)*$D57,2),IF(VLOOKUP($AN57,StateTables!$A$6:$AB$56,4,FALSE)="None",0,IF(ISNUMBER(SEARCH("MANUAL",VLOOKUP($AN57,StateTables!$A$6:$AB$56,5,FALSE))),'Second Earner'!$C$28,ROUND(MAX(0,$BA57+$BB57)/'Second Earner'!$C$8+'Second Earner'!$C$25+$BC57,2))))))</f>
      </c>
      <c r="U57" s="7">
        <f>IF($B57="","",IF(VLOOKUP($AN57,StateTables!$A$6:$AB$56,24,FALSE)="flatq",IF(OR(MONTH($B57)=1,MONTH($B57)=4,MONTH($B57)=7,MONTH($B57)=10),VLOOKUP($AN57,StateTables!$A$6:$AB$56,25,FALSE),0),IF(VLOOKUP($AN57,StateTables!$A$6:$AB$56,24,FALSE)="dbl",MIN(ROUND(0.005*$N57,2),ROUND(0.6*52/'Second Earner'!$C$8,2)),IF(OR(VLOOKUP($AN57,StateTables!$A$6:$AB$56,15,FALSE)="",VLOOKUP($AN57,StateTables!$A$6:$AB$56,15,FALSE)=0),0,ROUND(VLOOKUP($AN57,StateTables!$A$6:$AB$56,15,FALSE)*IF(OR(VLOOKUP($AN57,StateTables!$A$6:$AB$56,16,FALSE)="",VLOOKUP($AN57,StateTables!$A$6:$AB$56,16,FALSE)=0),$N57,MIN($N57,MAX(0,VLOOKUP($AN57,StateTables!$A$6:$AB$56,16,FALSE)-($AX57+$AB56-$AW57)))),2))))+IF(VLOOKUP($AN57,StateTables!$A$6:$AB$56,27,FALSE)="flatq",IF(OR(MONTH($B57)=1,MONTH($B57)=4,MONTH($B57)=7,MONTH($B57)=10),VLOOKUP($AN57,StateTables!$A$6:$AB$56,28,FALSE),0),IF(VLOOKUP($AN57,StateTables!$A$6:$AB$56,27,FALSE)="dbl",MIN(ROUND(0.005*$N57,2),ROUND(0.6*52/'Second Earner'!$C$8,2)),IF(OR(VLOOKUP($AN57,StateTables!$A$6:$AB$56,18,FALSE)="",VLOOKUP($AN57,StateTables!$A$6:$AB$56,18,FALSE)=0),0,ROUND(VLOOKUP($AN57,StateTables!$A$6:$AB$56,18,FALSE)*IF(OR(VLOOKUP($AN57,StateTables!$A$6:$AB$56,19,FALSE)="",VLOOKUP($AN57,StateTables!$A$6:$AB$56,19,FALSE)=0),$N57,MIN($N57,MAX(0,VLOOKUP($AN57,StateTables!$A$6:$AB$56,19,FALSE)-($AX57+$AB56-$AW57)))),2)))))</f>
      </c>
      <c r="V57" s="7">
        <f>IF($B57="","",IF($AN57="NY",IF('Second Earner'!$C$78,ROUND(SUMPRODUCT((MAX(0,($O57-$D57)*'Second Earner'!$C$8-(IF($AU57="Married",5500,5000)+1000*$AS57))&gt;INDEX('How This Works &amp; Sources'!$B$184:$J$198,0,4))*(MAX(0,($O57-$D57)*'Second Earner'!$C$8-(IF($AU57="Married",5500,5000)+1000*$AS57))-INDEX('How This Works &amp; Sources'!$B$184:$J$198,0,4))*INDEX('How This Works &amp; Sources'!$B$184:$J$198,0,4+2))/'Second Earner'!$C$8+0.0425*$D57,2),0)+IF('Second Earner'!$C$79="Resident",ROUND(0.1675*$T57,2),IF('Second Earner'!$C$79="Nonresident",ROUND(0.005*MAX(0,($O57-$D57)-(IF($AU57="Married",7950,7400)+1000*$AS57)/'Second Earner'!$C$8),2),0)),IF($AN57="PA",IF('Second Earner'!$C$80="None",'Second Earner'!$C$27+ROUND('Second Earner'!$C$81*($C57+$D57),2),ROUND(IF('Second Earner'!$C$80="Resident",IF($B57&lt;DATE(2026,7,1),0.0374,0.03735),IF($B57&lt;DATE(2026,7,1),0.0343,0.03425))*($C57+$D57),2)),IF($BF57=0,ROUND('Second Earner'!$C$81*($C57+$D57),2),'Second Earner'!$C$27+ROUND('Second Earner'!$C$81*($C57+$D57),2)))))</f>
      </c>
      <c r="W57" s="7">
        <f>IF($B57="","",IF($BF57=0,0,$BP57))</f>
      </c>
      <c r="X57" s="7">
        <f>IF($B57="","",SUM($E57:$K57)+$P57+$Q57+$R57+$S57+$T57+$U57+$V57+$W57)</f>
      </c>
      <c r="Y57" s="22">
        <f>IF($B57="","",$C57+$D57-$X57)</f>
      </c>
      <c r="Z57" s="7">
        <f>IF($B57="","",$Z56+$C57+$D57)</f>
      </c>
      <c r="AA57" s="7">
        <f>IF($B57="","",$AA56+$Y57)</f>
      </c>
      <c r="AB57" s="7">
        <f>IF($B57="","",$AB56+MIN($N57,MAX(0,'How This Works &amp; Sources'!$C$3-($AX57+$AB56-$AW57))))</f>
      </c>
      <c r="AC57" s="7">
        <f>IF($B57="","",$AC56+$E57+$F57)</f>
      </c>
      <c r="AD57" s="3">
        <f>IF($B57="","",IF(AND($AB56&lt;'How This Works &amp; Sources'!$C$3,$AB57&gt;='How This Works &amp; Sources'!$C$3),"★ Social Security maxed on this check — from the next check your net rises by about $"&amp;TEXT(ROUND('How This Works &amp; Sources'!$C$4*$N57,2),"#,##0.00")&amp;". ","")&amp;IF(AND($AC56&lt;'Second Earner'!$C$34,$AC57&gt;='Second Earner'!$C$34),"★ 401(k) reaches the $"&amp;TEXT('Second Earner'!$C$34,"#,##0")&amp;" cap on this check — deferrals stop and net pay rises. ","")&amp;IF(AND($AG56&lt;'How This Works &amp; Sources'!$C$7,$AG57&gt;='How This Works &amp; Sources'!$C$7),"★ Wages pass $200,000 — the 0.9% Additional Medicare Tax starts here. ","")&amp;IF(AND($BJ57&gt;0,$H57&gt;0,$BG56&lt;MIN($BJ57,'How This Works &amp; Sources'!$C$13),$BG56+$H57&gt;=MIN($BJ57,'How This Works &amp; Sources'!$C$13)),"★ Health FSA election is now fully deferred for the year. ",""))</f>
      </c>
      <c r="AE57" s="41" t="n"/>
      <c r="AF57" s="7">
        <f>IF(OR($B57="",$AE57=""),"",$AE57-$Y57)</f>
      </c>
      <c r="AG57" s="7">
        <f>IF($B57="","",$AG56+$N57)</f>
      </c>
      <c r="AH57" s="7">
        <f>IF($B57="","",MAX(0,($M57-$D57)*'Second Earner'!$C$8+$AP57-$AQ57-IF('Second Earner'!$C$13,0,IF('Second Earner'!$C$12="MFJ",'How This Works &amp; Sources'!$C$8,'How This Works &amp; Sources'!$C$9))))</f>
      </c>
      <c r="AI57" s="7">
        <f>IF($B57="","",$O57*'Second Earner'!$C$8)</f>
      </c>
      <c r="AJ57" s="7">
        <f>IF($B57="","",MAX(0,$AI57-VLOOKUP($AN57,StateTables!$A$6:$AB$56,12,FALSE)*$AT57-IF(($AS57+$AT57)&gt;=2,VLOOKUP($AN57,StateTables!$A$6:$AB$56,8,FALSE),VLOOKUP($AN57,StateTables!$A$6:$AB$56,7,FALSE))))</f>
      </c>
      <c r="AK57" s="7">
        <f>IF($B57="","",IFERROR(LOOKUP(2,1/(('Changes — Earner 2'!$C$6:$C$17="Salary change")*('Changes — Earner 2'!$B$6:$B$17&lt;=$B57)*('Changes — Earner 2'!$B$6:$B$17&lt;&gt;"")),'Changes — Earner 2'!$D$6:$D$17),IF('Second Earner'!$C$4="Annual salary",'Second Earner'!$C$5,'Second Earner'!$C$6)))</f>
      </c>
      <c r="AL57">
        <f>IF($B57="","",IFERROR(LOOKUP(2,1/(('Changes — Earner 2'!$C$6:$C$17="401(k) change")*('Changes — Earner 2'!$B$6:$B$17&lt;=$B57)*('Changes — Earner 2'!$B$6:$B$17&lt;&gt;"")),'Changes — Earner 2'!$D$6:$D$17),'Second Earner'!$C$30))</f>
      </c>
      <c r="AM57" s="7">
        <f>IF($B57="","",IFERROR(LOOKUP(2,1/(('Changes — Earner 2'!$C$6:$C$17="401(k) change")*('Changes — Earner 2'!$B$6:$B$17&lt;=$B57)*('Changes — Earner 2'!$B$6:$B$17&lt;&gt;"")),'Changes — Earner 2'!$E$6:$E$17),'Second Earner'!$D$31))</f>
      </c>
      <c r="AN57">
        <f>IF($B57="","",IFERROR(LOOKUP(2,1/(('Changes — Earner 2'!$C$6:$C$17="State move")*('Changes — Earner 2'!$B$6:$B$17&lt;=$B57)*('Changes — Earner 2'!$B$6:$B$17&lt;&gt;"")),'Changes — Earner 2'!$D$6:$D$17),'Second Earner'!$C$21))</f>
      </c>
      <c r="AO57" s="7">
        <f>IF($B57="","",IFERROR(LOOKUP(2,1/(('Changes — Earner 2'!$C$6:$C$17="W-4 change")*('Changes — Earner 2'!$B$6:$B$17&lt;=$B57)*('Changes — Earner 2'!$B$6:$B$17&lt;&gt;"")),'Changes — Earner 2'!$D$6:$D$17),'Second Earner'!$C$14))</f>
      </c>
      <c r="AP57" s="7">
        <f>IF($B57="","",IFERROR(LOOKUP(2,1/(('Changes — Earner 2'!$C$6:$C$17="W-4 change")*('Changes — Earner 2'!$B$6:$B$17&lt;=$B57)*('Changes — Earner 2'!$B$6:$B$17&lt;&gt;"")),'Changes — Earner 2'!$E$6:$E$17),'Second Earner'!$C$15))</f>
      </c>
      <c r="AQ57" s="7">
        <f>IF($B57="","",IFERROR(LOOKUP(2,1/(('Changes — Earner 2'!$C$6:$C$17="W-4 change")*('Changes — Earner 2'!$B$6:$B$17&lt;=$B57)*('Changes — Earner 2'!$B$6:$B$17&lt;&gt;"")),'Changes — Earner 2'!$F$6:$F$17),'Second Earner'!$C$16))</f>
      </c>
      <c r="AR57" s="7">
        <f>IF($B57="","",IFERROR(LOOKUP(2,1/(('Changes — Earner 2'!$C$6:$C$17="W-4 change")*('Changes — Earner 2'!$B$6:$B$17&lt;=$B57)*('Changes — Earner 2'!$B$6:$B$17&lt;&gt;"")),'Changes — Earner 2'!$G$6:$G$17),'Second Earner'!$C$17))</f>
      </c>
      <c r="AS57" s="6">
        <f>IF($B57="","",IFERROR(LOOKUP(2,1/((('Changes — Earner 2'!$C$6:$C$17="State move")+('Changes — Earner 2'!$C$6:$C$17="State cert change"))*('Changes — Earner 2'!$B$6:$B$17&lt;=$B57)*('Changes — Earner 2'!$B$6:$B$17&lt;&gt;"")),'Changes — Earner 2'!$F$6:$F$17),'Second Earner'!$C$23))</f>
      </c>
      <c r="AT57" s="6">
        <f>IF($B57="","",IFERROR(LOOKUP(2,1/((('Changes — Earner 2'!$C$6:$C$17="State move")+('Changes — Earner 2'!$C$6:$C$17="State cert change"))*('Changes — Earner 2'!$B$6:$B$17&lt;=$B57)*('Changes — Earner 2'!$B$6:$B$17&lt;&gt;"")),'Changes — Earner 2'!$G$6:$G$17),'Second Earner'!$C$24))</f>
      </c>
      <c r="AU57">
        <f>IF($B57="","",IFERROR(LOOKUP(2,1/(('Changes — Earner 2'!$C$6:$C$17="State move")*('Changes — Earner 2'!$B$6:$B$17&lt;=$B57)*('Changes — Earner 2'!$B$6:$B$17&lt;&gt;"")),'Changes — Earner 2'!$E$6:$E$17),'Second Earner'!$C$22))</f>
      </c>
      <c r="AV57" s="6">
        <f>IF($B57="","",1+COUNTIFS('Changes — Earner 2'!$C$6:$C$17,"Employer change",'Changes — Earner 2'!$B$6:$B$17,"&lt;="&amp;$B57,'Changes — Earner 2'!$B$6:$B$17,"&lt;&gt;"))</f>
      </c>
      <c r="AW57" s="7">
        <f>IF($B57="","",IF($AV57=1,'Second Earner'!$C$49,IF(IFERROR(MATCH(IFERROR(LOOKUP(2,1/(('Changes — Earner 2'!$C$6:$C$17="Employer change")*('Changes — Earner 2'!$B$6:$B$17&lt;=$B57)*('Changes — Earner 2'!$B$6:$B$17&lt;&gt;"")),'Changes — Earner 2'!$B$6:$B$17),""),$B$6:$B$68,1),1)&lt;=1,'Second Earner'!$C$49,INDEX($AB$6:$AB$68,MATCH(IFERROR(LOOKUP(2,1/(('Changes — Earner 2'!$C$6:$C$17="Employer change")*('Changes — Earner 2'!$B$6:$B$17&lt;=$B57)*('Changes — Earner 2'!$B$6:$B$17&lt;&gt;"")),'Changes — Earner 2'!$B$6:$B$17),""),$B$6:$B$68,1)-1))))</f>
      </c>
      <c r="AX57" s="7">
        <f>IF($B57="","",IF($AV57=1,'Second Earner'!$C$49,IFERROR(LOOKUP(2,1/(('Changes — Earner 2'!$C$6:$C$17="Employer change")*('Changes — Earner 2'!$B$6:$B$17&lt;=$B57)*('Changes — Earner 2'!$B$6:$B$17&lt;&gt;"")),'Changes — Earner 2'!$D$6:$D$17),0)))</f>
      </c>
      <c r="AY57" s="7">
        <f>IF($B57="","",($O57-$D57)*'Second Earner'!$C$8)</f>
      </c>
      <c r="AZ57" s="7">
        <f>IF($B57="","",IF($AN57="AL",MAX(0,$AY57-IF($AU57="Married",IF($AY57&lt;=25999,8500,MAX(5000,8500-175*CEILING(($AY57-25999)/500,1))),IF($AU57="Head of household",IF($AY57&lt;=25999,5200,MAX(2500,5200-135*CEILING(($AY57-25999)/500,1))),IF($AY57&lt;=25999,3000,MAX(2500,3000-25*CEILING(($AY57-25999)/500,1)))))-($P57-'How This Works &amp; Sources'!$C$10*$D57)*'Second Earner'!$C$8-IF(OR($AU57="Married",$AU57="Head of household"),3000,1500)-$AT57*IF($AY57&lt;=50000,1000,IF($AY57&lt;=100000,500,300))),IF($AN57="AR",IF(MAX(0,$AY57-2470)&lt;97701,INT(MAX(0,$AY57-2470)/100)*100+50,MAX(0,$AY57-2470)),IF($AN57="DE",MAX(0,$AI57-3250),IF($AN57="HI",MAX(0,$AI57-1144*$AS57-4350),IF($AN57="KS",MAX(0,$AI57-(9160*IF($AU57="Married",2,1)+2320*$AT57+IF($AU57="Head of household",2320,0))),IF($AN57="MD",MAX(0,$AI57-3400-3200*$AS57),IF($AN57="MN",MAX(0,$AY57-5300*$AS57),IF($AN57="MO",MAX(0,$AI57-IF($AU57="Head of household",24150,IF($AU57="Married",IF('Second Earner'!$C$83,16100,32200),16100))),IF($AN57="MT",$AY57,IF($AN57="ND",($C57+$L57)*'Second Earner'!$C$8,IF($AN57="NE",MAX(0,$AY57-2440*$AS57),IF($AN57="NJ",MAX(0,$AY57-1000*$AS57),IF($AN57="NY",MAX(0,$AY57-(IF($AU57="Married",7950,7400)+1000*$AS57)),IF($AN57="OH",MAX(0,$AY57-650*$AS57),IF($AN57="OK",MAX(0,$AY57-1000*$AS57),IF($AN57="RI",MAX(0,$AI57-1000*$AS57),IF($AN57="SC",MAX(0,$AI57-5000*$AS57-IF($AS57=0,0,MIN(0.1*$AI57,7500))),IF($AN57="VA",MAX(0,$AI57-IF($AU57="Married",17500,8750)-930*$AS57-800*$AT57),IF($AN57="VT",MAX(0,$AI57-5400*$AS57),IF($AN57="WI",MAX(0,$AI57-MAX(0,IF($AU57="Married",9461-0.2*MAX(0,$AI57-25727),6702-0.12*MAX(0,$AI57-17780)))-400*$AS57),IF($AN57="WV",MAX(0,$AI57-2000*$AS57),$AI57))))))))))))))))))))))</f>
      </c>
      <c r="BA57" s="7">
        <f>IF($B57="","",IF($BW57&lt;&gt;"",$BW57,IF($BX57&lt;&gt;"",$BX57,IF($BY57&lt;&gt;"",$BY57,0))))</f>
      </c>
      <c r="BB57" s="7">
        <f>IF($B57="","",IF($AN57="AR",-29*$AS57,IF($AN57="DE",-110*$AS57,IF($AN57="MD",$AZ57*'Second Earner'!$C$74,IF($AN57="AZ",'Second Earner'!$C$82*($M57-$D57)*'Second Earner'!$C$8,IF($AN57="CO",0.044*MAX(0,$AY57-IF($AU57="Married",10000,5000)),IF($AN57="IA",MAX(0,0.038*MAX(0,$AY57-IF($AU57="Head of household",19500,IF($AU57="Married",26000,13000)))-40*$AS57),IF($AN57="ID",0.053*MAX(0,$AY57-IF($AU57="Married",32000,16094)),IF($AN57="IL",0.0495*MAX(0,$AY57-(2925*$AS57+1000*$AT57)),IF($AN57="IN",(0.0295+'Second Earner'!$C$76)*MAX(0,$AY57-(1000*$AS57+1500*$AT57+3000*'Second Earner'!$C$86)),IF($AN57="KY",0.035*MAX(0,$AI57-3360),IF($AN57="LA",IF('Second Earner'!$C$84="0",0.0309*$AI57,0.0309*MAX(0,$AI57-IF('Second Earner'!$C$84="2",25750,12875))),IF($AN57="MA",0.05*MIN(MAX(0,$AY57-MIN(($BD56+$Q57+$R57+$S57),2000)-IF($AS57=0,0,IF($AS57=1,4400,1000*$AS57+3400))),1107750)+0.09*MAX(0,MAX(0,$AY57-MIN(($BD56+$Q57+$R57+$S57),2000)-IF($AS57=0,0,IF($AS57=1,4400,1000*$AS57+3400)))-1107750)-IF($AU57="Head of household",120,0)-110*'Second Earner'!$C$75,IF($AN57="MI",0.0425*MAX(0,$AY57-5900*$AS57),IF($AN57="MS",0.04*MAX(0,$AI57-IF($AU57="Head of household",3400,IF($AU57="Married",4600,2300))-'Second Earner'!$C$85-10000),IF($AN57="OR",IF(OR($AU57="Married",AND($AU57="Single",$AS57&gt;=3)),SUMPRODUCT((MAX(0,$AY57-MIN(($P57-'How This Works &amp; Sources'!$C$10*$D57)*'Second Earner'!$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Sources'!$B$211:$J$214,0,4))*(MAX(0,$AY57-MIN(($P57-'How This Works &amp; Sources'!$C$10*$D57)*'Second Earner'!$C$8,IF(OR($AU57="Married",AND($AU57="Single",$AS57&gt;=3)),IF($AY57&lt;250000,8750,IF($AY57&lt;260000,7000,IF($AY57&lt;270000,5250,IF($AY57&lt;280000,3500,IF($AY57&lt;290000,1750,0))))),IF($AY57&lt;125000,8750,IF($AY57&lt;130000,7000,IF($AY57&lt;135000,5250,IF($AY57&lt;140000,3500,IF($AY57&lt;145000,1750,0)))))))-IF(OR($AU57="Married",AND($AU57="Single",$AS57&gt;=3)),5820,2910))-INDEX('How This Works &amp; Sources'!$B$211:$J$214,0,4))*INDEX('How This Works &amp; Sources'!$B$211:$J$214,0,4+2)),SUMPRODUCT((MAX(0,$AY57-MIN(($P57-'How This Works &amp; Sources'!$C$10*$D57)*'Second Earner'!$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Sources'!$B$211:$J$214,0,1))*(MAX(0,$AY57-MIN(($P57-'How This Works &amp; Sources'!$C$10*$D57)*'Second Earner'!$C$8,IF(OR($AU57="Married",AND($AU57="Single",$AS57&gt;=3)),IF($AY57&lt;250000,8750,IF($AY57&lt;260000,7000,IF($AY57&lt;270000,5250,IF($AY57&lt;280000,3500,IF($AY57&lt;290000,1750,0))))),IF($AY57&lt;125000,8750,IF($AY57&lt;130000,7000,IF($AY57&lt;135000,5250,IF($AY57&lt;140000,3500,IF($AY57&lt;145000,1750,0)))))))-IF(OR($AU57="Married",AND($AU57="Single",$AS57&gt;=3)),5820,2910))-INDEX('How This Works &amp; Sources'!$B$211:$J$214,0,1))*INDEX('How This Works &amp; Sources'!$B$211:$J$214,0,1+2)))+263-263*IF(IF($AU57="Married",$AY57&gt;200000,$AY57&gt;100000),0,$AS57),IF($AN57="PA",0.0307*(($O57+$E57+$G57)*'Second Earner'!$C$8),IF($AN57="NY",IF($AU57="Married",IF($AZ57&gt;=2155350,0,IF($AZ57&gt;=1077550,0.48,IF($AZ57&gt;=373200,1.21,IF($AZ57&gt;=323200,0.21,IF($AZ57&gt;=211550,-0.19,IF($AZ57&gt;=157650,-2.8,IF($AZ57&gt;=107650,-0.8,IF($AZ57&gt;=96800,0.05,IF($AZ57&gt;=80650,-0.1,IF($AZ57&gt;=13900,0.4,IF($AZ57&gt;=11700,-0.3,IF($AZ57&gt;=8500,0.5,0)))))))))))),IF($AZ57&gt;=1077550,0,IF($AZ57&gt;=265400,4.29,IF($AZ57&gt;=215400,2.29,IF($AZ57&gt;=157650,2.29,IF($AZ57&gt;=107650,0.29,IF($AZ57&gt;=96800,0.05,IF($AZ57&gt;=80650,-0.1,IF($AZ57&gt;=13900,0.4,IF($AZ57&gt;=11700,-0.3,IF($AZ57&gt;=8500,0.5,0))))))))))),0))))))))))))))))))</f>
      </c>
      <c r="BC57" s="7">
        <f>IF($B57="","",IF($AN57="AL",0.05*$D57,IF($AN57="AR",0.039*$D57,IF($AN57="ID",0.053*$D57,IF($AN57="IN",(0.0295+'Second Earner'!$C$76)*$D57,IF($AN57="KS",0.05*$D57,IF($AN57="MA",0.09*MIN($D57,MAX(0,MAX(0,$AY57-MIN(($BD56+$Q57+$R57+$S57),2000)-IF($AS57=0,0,IF($AS57=1,4400,1000*$AS57+3400)))+$D57-1107750))+0.05*($D57-MIN($D57,MAX(0,MAX(0,$AY57-MIN(($BD56+$Q57+$R57+$S57),2000)-IF($AS57=0,0,IF($AS57=1,4400,1000*$AS57+3400)))+$D57-1107750))),IF($AN57="MD",(0.065+'Second Earner'!$C$74)*$D57,IF($AN57="MI",0.0425*$D57,IF($AN57="MN",0.0625*$D57,IF($AN57="MO",0.047*$D57,IF($AN57="MT",0.05*$D57,IF($AN57="ND",0.015*$D57,IF($AN57="NE",0.035*$D57,IF($AN57="NJ",IF('Second Earner'!$C$77="B",SUMPRODUCT(($D57*'Second Earner'!$C$8&gt;INDEX('How This Works &amp; Sources'!$B$155:$J$162,0,4))*($D57*'Second Earner'!$C$8-INDEX('How This Works &amp; Sources'!$B$155:$J$162,0,4))*INDEX('How This Works &amp; Sources'!$B$155:$J$162,0,4+2)),IF('Second Earner'!$C$77="C",SUMPRODUCT(($D57*'Second Earner'!$C$8&gt;INDEX('How This Works &amp; Sources'!$B$155:$J$162,0,7))*($D57*'Second Earner'!$C$8-INDEX('How This Works &amp; Sources'!$B$155:$J$162,0,7))*INDEX('How This Works &amp; Sources'!$B$155:$J$162,0,7+2)),IF('Second Earner'!$C$77="D",SUMPRODUCT(($D57*'Second Earner'!$C$8&gt;INDEX('How This Works &amp; Sources'!$B$167:$J$179,0,1))*($D57*'Second Earner'!$C$8-INDEX('How This Works &amp; Sources'!$B$167:$J$179,0,1))*INDEX('How This Works &amp; Sources'!$B$167:$J$179,0,1+2)),IF('Second Earner'!$C$77="E",SUMPRODUCT(($D57*'Second Earner'!$C$8&gt;INDEX('How This Works &amp; Sources'!$B$167:$J$179,0,4))*($D57*'Second Earner'!$C$8-INDEX('How This Works &amp; Sources'!$B$167:$J$179,0,4))*INDEX('How This Works &amp; Sources'!$B$167:$J$179,0,4+2)),SUMPRODUCT(($D57*'Second Earner'!$C$8&gt;INDEX('How This Works &amp; Sources'!$B$155:$J$162,0,1))*($D57*'Second Earner'!$C$8-INDEX('How This Works &amp; Sources'!$B$155:$J$162,0,1))*INDEX('How This Works &amp; Sources'!$B$155:$J$162,0,1+2))))))/'Second Earner'!$C$8,IF($AN57="NY",0.117*$D57,IF($AN57="OH",0.0275*$D57,IF($AN57="OK",0.045*$D57,IF($AN57="OR",0.08*$D57,IF($AN57="WI",IF($AY57&lt;12760,0.0354,IF($AY57&lt;25520,0.0465,IF($AY57&lt;280950,0.053,0.0765)))*$D57,0))))))))))))))))))))</f>
      </c>
      <c r="BD57" s="7">
        <f>IF($B57="","",$BD56+$Q57+$R57+$S57)</f>
      </c>
      <c r="BE57" s="6">
        <f>IF($B57="",$BE56,$BE56+$BF57)</f>
      </c>
      <c r="BF57" s="6">
        <f>IF($B57="","",IF(AND(IF(YEAR(IF('Second Earner'!$C$7="Weekly",'Second Earner'!$C$9+7*(($BE56+1)-1),IF('Second Earner'!$C$7="Biweekly",'Second Earner'!$C$9+14*(($BE56+1)-1),IF('Second Earner'!$C$7="Semimonthly",DATE(YEAR('Second Earner'!$C$9),MONTH('Second Earner'!$C$9)+INT((($BE56+1)-1)/2),MIN(DAY('Second Earner'!$C$9),DAY(EOMONTH(DATE(YEAR('Second Earner'!$C$9),MONTH('Second Earner'!$C$9)+INT((($BE56+1)-1)/2),1),0))))+IF(MOD(($BE56+1)-1,2)=1,15,0),EDATE('Second Earner'!$C$9,($BE56+1)-1)))))&lt;&gt;'Second Earner'!$C$10,"",IF('Second Earner'!$C$7="Weekly",'Second Earner'!$C$9+7*(($BE56+1)-1),IF('Second Earner'!$C$7="Biweekly",'Second Earner'!$C$9+14*(($BE56+1)-1),IF('Second Earner'!$C$7="Semimonthly",DATE(YEAR('Second Earner'!$C$9),MONTH('Second Earner'!$C$9)+INT((($BE56+1)-1)/2),MIN(DAY('Second Earner'!$C$9),DAY(EOMONTH(DATE(YEAR('Second Earner'!$C$9),MONTH('Second Earner'!$C$9)+INT((($BE56+1)-1)/2),1),0))))+IF(MOD(($BE56+1)-1,2)=1,15,0),EDATE('Second Earner'!$C$9,($BE56+1)-1)))))&lt;&gt;"",$B57=IF(YEAR(IF('Second Earner'!$C$7="Weekly",'Second Earner'!$C$9+7*(($BE56+1)-1),IF('Second Earner'!$C$7="Biweekly",'Second Earner'!$C$9+14*(($BE56+1)-1),IF('Second Earner'!$C$7="Semimonthly",DATE(YEAR('Second Earner'!$C$9),MONTH('Second Earner'!$C$9)+INT((($BE56+1)-1)/2),MIN(DAY('Second Earner'!$C$9),DAY(EOMONTH(DATE(YEAR('Second Earner'!$C$9),MONTH('Second Earner'!$C$9)+INT((($BE56+1)-1)/2),1),0))))+IF(MOD(($BE56+1)-1,2)=1,15,0),EDATE('Second Earner'!$C$9,($BE56+1)-1)))))&lt;&gt;'Second Earner'!$C$10,"",IF('Second Earner'!$C$7="Weekly",'Second Earner'!$C$9+7*(($BE56+1)-1),IF('Second Earner'!$C$7="Biweekly",'Second Earner'!$C$9+14*(($BE56+1)-1),IF('Second Earner'!$C$7="Semimonthly",DATE(YEAR('Second Earner'!$C$9),MONTH('Second Earner'!$C$9)+INT((($BE56+1)-1)/2),MIN(DAY('Second Earner'!$C$9),DAY(EOMONTH(DATE(YEAR('Second Earner'!$C$9),MONTH('Second Earner'!$C$9)+INT((($BE56+1)-1)/2),1),0))))+IF(MOD(($BE56+1)-1,2)=1,15,0),EDATE('Second Earner'!$C$9,($BE56+1)-1)))))),1,0))</f>
      </c>
      <c r="BG57" s="7">
        <f>IF($B57="","",$BG56+$H57)</f>
      </c>
      <c r="BH57" s="7">
        <f>IF($B57="","",$BH56+$I57)</f>
      </c>
      <c r="BI57" s="7">
        <f>IF($B57="","",$BI56+$G57)</f>
      </c>
      <c r="BJ57" s="7">
        <f>IF($B57="","",IFERROR(LOOKUP(2,1/(((('Changes — Earner 2'!$C$6:$C$17="Deduction start"))*('Changes — Earner 2'!$D$6:$D$17="Health FSA"))*('Changes — Earner 2'!$B$6:$B$17&lt;=$B57)*('Changes — Earner 2'!$B$6:$B$17&lt;&gt;"")),'Changes — Earner 2'!$E$6:$E$17),'Second Earner'!$D$38))</f>
      </c>
      <c r="BK57" s="7">
        <f>IF($B57="","",IFERROR(LOOKUP(2,1/(((('Changes — Earner 2'!$C$6:$C$17="Deduction start"))*('Changes — Earner 2'!$D$6:$D$17="Dependent-care FSA"))*('Changes — Earner 2'!$B$6:$B$17&lt;=$B57)*('Changes — Earner 2'!$B$6:$B$17&lt;&gt;"")),'Changes — Earner 2'!$E$6:$E$17),'Second Earner'!$D$39))</f>
      </c>
      <c r="BL57" s="7">
        <f>IF($B57="","",IFERROR(LOOKUP(2,1/(((('Changes — Earner 2'!$C$6:$C$17="Deduction start")+('Changes — Earner 2'!$C$6:$C$17="Deduction stop"))*('Changes — Earner 2'!$D$6:$D$17="HSA"))*('Changes — Earner 2'!$B$6:$B$17&lt;=$B57)*('Changes — Earner 2'!$B$6:$B$17&lt;&gt;"")),'Changes — Earner 2'!$I$6:$I$17),'Second Earner'!$D$35))</f>
      </c>
      <c r="BM57" s="7">
        <f>IF($B57="","",IFERROR(LOOKUP(2,1/(((('Changes — Earner 2'!$C$6:$C$17="Deduction start")+('Changes — Earner 2'!$C$6:$C$17="Deduction stop"))*('Changes — Earner 2'!$D$6:$D$17="Premiums"))*('Changes — Earner 2'!$B$6:$B$17&lt;=$B57)*('Changes — Earner 2'!$B$6:$B$17&lt;&gt;"")),'Changes — Earner 2'!$I$6:$I$17),'Second Earner'!$D$40+'Second Earner'!$D$41+'Second Earner'!$D$42))</f>
      </c>
      <c r="BN57" s="7">
        <f>IF($B57="","",IFERROR(LOOKUP(2,1/(((('Changes — Earner 2'!$C$6:$C$17="Deduction start")+('Changes — Earner 2'!$C$6:$C$17="Deduction stop"))*('Changes — Earner 2'!$D$6:$D$17="Commuter"))*('Changes — Earner 2'!$B$6:$B$17&lt;=$B57)*('Changes — Earner 2'!$B$6:$B$17&lt;&gt;"")),'Changes — Earner 2'!$I$6:$I$17),'Second Earner'!$D$43))</f>
      </c>
      <c r="BO57" s="7">
        <f>IF($B57="","",IFERROR(LOOKUP(2,1/(((('Changes — Earner 2'!$C$6:$C$17="Deduction start")+('Changes — Earner 2'!$C$6:$C$17="Deduction stop"))*('Changes — Earner 2'!$D$6:$D$17="Other pre-tax"))*('Changes — Earner 2'!$B$6:$B$17&lt;=$B57)*('Changes — Earner 2'!$B$6:$B$17&lt;&gt;"")),'Changes — Earner 2'!$I$6:$I$17),'Second Earner'!$D$44))</f>
      </c>
      <c r="BP57" s="7">
        <f>IF($B57="","",IFERROR(LOOKUP(2,1/(((('Changes — Earner 2'!$C$6:$C$17="Deduction start")+('Changes — Earner 2'!$C$6:$C$17="Deduction stop"))*('Changes — Earner 2'!$D$6:$D$17="Other post-tax"))*('Changes — Earner 2'!$B$6:$B$17&lt;=$B57)*('Changes — Earner 2'!$B$6:$B$17&lt;&gt;"")),'Changes — Earner 2'!$I$6:$I$17),'Second Earner'!$D$45))</f>
      </c>
      <c r="BQ57" s="6">
        <f>IF($B57="","",IFERROR(LOOKUP(2,1/(((('Changes — Earner 2'!$C$6:$C$17="Deduction start")+('Changes — Earner 2'!$C$6:$C$17="Deduction stop"))*('Changes — Earner 2'!$D$6:$D$17="Health FSA"))*('Changes — Earner 2'!$B$6:$B$17&lt;=$B57)*('Changes — Earner 2'!$B$6:$B$17&lt;&gt;"")),'Changes — Earner 2'!$J$6:$J$17),0))</f>
      </c>
      <c r="BR57" s="6">
        <f>IF($B57="","",IFERROR(LOOKUP(2,1/(((('Changes — Earner 2'!$C$6:$C$17="Deduction start")+('Changes — Earner 2'!$C$6:$C$17="Deduction stop"))*('Changes — Earner 2'!$D$6:$D$17="Dependent-care FSA"))*('Changes — Earner 2'!$B$6:$B$17&lt;=$B57)*('Changes — Earner 2'!$B$6:$B$17&lt;&gt;"")),'Changes — Earner 2'!$J$6:$J$17),0))</f>
      </c>
      <c r="BS57" s="6">
        <f>IF($B57="","",IF(SUMPRODUCT(('Changes — Earner 2'!$C$6:$C$17="Deduction start")*('Changes — Earner 2'!$B$6:$B$17&lt;=$B57)*('Changes — Earner 2'!$B$6:$B$17&lt;&gt;"")*('Changes — Earner 2'!$D$6:$D$17="Health FSA"))&gt;0,1,0))</f>
      </c>
      <c r="BT57" s="6">
        <f>IF($B57="","",IF(SUMPRODUCT(('Changes — Earner 2'!$C$6:$C$17="Deduction start")*('Changes — Earner 2'!$B$6:$B$17&lt;=$B57)*('Changes — Earner 2'!$B$6:$B$17&lt;&gt;"")*('Changes — Earner 2'!$D$6:$D$17="Dependent-care FSA"))&gt;0,1,0))</f>
      </c>
      <c r="BU57" s="24">
        <f>IF($B57="","",IF('Second Earner'!$C$13,SUMPRODUCT(($AH57&gt;=INDEX('How This Works &amp; Sources'!$B$29:$J$36,0,IF('Second Earner'!$C$12="MFJ",1,IF('Second Earner'!$C$12="HoH",7,4))))*INDEX('How This Works &amp; Sources'!$B$29:$J$36,0,IF('Second Earner'!$C$12="MFJ",1,IF('Second Earner'!$C$12="HoH",7,4))+2)),SUMPRODUCT(($AH57&gt;=INDEX('How This Works &amp; Sources'!$B$19:$J$26,0,IF('Second Earner'!$C$12="MFJ",1,IF('Second Earner'!$C$12="HoH",7,4))))*INDEX('How This Works &amp; Sources'!$B$19:$J$26,0,IF('Second Earner'!$C$12="MFJ",1,IF('Second Earner'!$C$12="HoH",7,4))+2))))</f>
      </c>
      <c r="BV57" s="24">
        <f>IF($B57="","",IF($BZ57&lt;&gt;"",$BZ57,IF($CA57&lt;&gt;"",$CA57,IF($CB57&lt;&gt;"",$CB57,IF($CC57&lt;&gt;"",$CC57,0)))))</f>
      </c>
      <c r="BW57" s="7">
        <f>IF($B57="","",IF($AN57="AR",SUMPRODUCT(($AZ57&gt;INDEX('How This Works &amp; Sources'!$B$82:$J$86,0,7))*($AZ57-INDEX('How This Works &amp; Sources'!$B$82:$J$86,0,7))*INDEX('How This Works &amp; Sources'!$B$82:$J$86,0,7+2)),IF($AN57="MD",IF(OR($AU57="Married",$AU57="Head of household"),SUMPRODUCT(($AZ57&gt;INDEX('How This Works &amp; Sources'!$B$114:$J$120,0,1))*($AZ57-INDEX('How This Works &amp; Sources'!$B$114:$J$120,0,1))*INDEX('How This Works &amp; Sources'!$B$114:$J$120,0,1+2)),SUMPRODUCT(($AZ57&gt;INDEX('How This Works &amp; Sources'!$B$103:$J$109,0,7))*($AZ57-INDEX('How This Works &amp; Sources'!$B$103:$J$109,0,7))*INDEX('How This Works &amp; Sources'!$B$103:$J$109,0,7+2))),IF($AN57="MT",IF($AU57="Head of household",SUMPRODUCT(($AZ57&gt;INDEX('How This Works &amp; Sources'!$B$137:$J$139,0,1))*($AZ57-INDEX('How This Works &amp; Sources'!$B$137:$J$139,0,1))*INDEX('How This Works &amp; Sources'!$B$137:$J$139,0,1+2)),IF($AU57="Married",SUMPRODUCT(($AZ57&gt;INDEX('How This Works &amp; Sources'!$B$125:$J$132,0,7))*($AZ57-INDEX('How This Works &amp; Sources'!$B$125:$J$132,0,7))*INDEX('How This Works &amp; Sources'!$B$125:$J$132,0,7+2)),SUMPRODUCT(($AZ57&gt;INDEX('How This Works &amp; Sources'!$B$125:$J$132,0,4))*($AZ57-INDEX('How This Works &amp; Sources'!$B$125:$J$132,0,4))*INDEX('How This Works &amp; Sources'!$B$125:$J$132,0,4+2)))),IF($AN57="ND",IF($AU57="Head of household",SUMPRODUCT(($AZ57&gt;INDEX('How This Works &amp; Sources'!$B$144:$J$150,0,1))*($AZ57-INDEX('How This Works &amp; Sources'!$B$144:$J$150,0,1))*INDEX('How This Works &amp; Sources'!$B$144:$J$150,0,1+2)),IF($AU57="Married",SUMPRODUCT(($AZ57&gt;INDEX('How This Works &amp; Sources'!$B$137:$J$139,0,7))*($AZ57-INDEX('How This Works &amp; Sources'!$B$137:$J$139,0,7))*INDEX('How This Works &amp; Sources'!$B$137:$J$139,0,7+2)),SUMPRODUCT(($AZ57&gt;INDEX('How This Works &amp; Sources'!$B$137:$J$139,0,4))*($AZ57-INDEX('How This Works &amp; Sources'!$B$137:$J$139,0,4))*INDEX('How This Works &amp; Sources'!$B$137:$J$139,0,4+2)))),IF($AN57="NJ",IF('Second Earner'!$C$77="B",SUMPRODUCT(($AZ57&gt;INDEX('How This Works &amp; Sources'!$B$155:$J$162,0,4))*($AZ57-INDEX('How This Works &amp; Sources'!$B$155:$J$162,0,4))*INDEX('How This Works &amp; Sources'!$B$155:$J$162,0,4+2)),IF('Second Earner'!$C$77="C",SUMPRODUCT(($AZ57&gt;INDEX('How This Works &amp; Sources'!$B$155:$J$162,0,7))*($AZ57-INDEX('How This Works &amp; Sources'!$B$155:$J$162,0,7))*INDEX('How This Works &amp; Sources'!$B$155:$J$162,0,7+2)),IF('Second Earner'!$C$77="D",SUMPRODUCT(($AZ57&gt;INDEX('How This Works &amp; Sources'!$B$167:$J$179,0,1))*($AZ57-INDEX('How This Works &amp; Sources'!$B$167:$J$179,0,1))*INDEX('How This Works &amp; Sources'!$B$167:$J$179,0,1+2)),IF('Second Earner'!$C$77="E",SUMPRODUCT(($AZ57&gt;INDEX('How This Works &amp; Sources'!$B$167:$J$179,0,4))*($AZ57-INDEX('How This Works &amp; Sources'!$B$167:$J$179,0,4))*INDEX('How This Works &amp; Sources'!$B$167:$J$179,0,4+2)),SUMPRODUCT(($AZ57&gt;INDEX('How This Works &amp; Sources'!$B$155:$J$162,0,1))*($AZ57-INDEX('How This Works &amp; Sources'!$B$155:$J$162,0,1))*INDEX('How This Works &amp; Sources'!$B$155:$J$162,0,1+2)))))),IF($AN57="NY",IF($AU57="Married",IF($AZ57&gt;=2155350,$AZ57*IF($AZ57&gt;25000000,0.117,IF($AZ57&gt;5000000,0.111,0.1045)),SUMPRODUCT(($AZ57&gt;INDEX('How This Works &amp; Sources'!$B$184:$J$198,0,1))*($AZ57-INDEX('How This Works &amp; Sources'!$B$184:$J$198,0,1))*INDEX('How This Works &amp; Sources'!$B$184:$J$198,0,1+2))),IF($AZ57&gt;=1077550,$AZ57*IF($AZ57&gt;25000000,0.117,IF($AZ57&gt;5000000,0.111,0.1045)),SUMPRODUCT(($AZ57&gt;INDEX('How This Works &amp; Sources'!$B$167:$J$179,0,7))*($AZ57-INDEX('How This Works &amp; Sources'!$B$167:$J$179,0,7))*INDEX('How This Works &amp; Sources'!$B$167:$J$179,0,7+2)))),"")))))))</f>
      </c>
      <c r="BX57" s="7">
        <f>IF($B57="","",IF($AN57="AL",IF(OR($AU57="Married",$AU57="Head of household"),SUMPRODUCT(($AZ57&gt;INDEX('How This Works &amp; Sources'!$B$82:$J$86,0,4))*($AZ57-INDEX('How This Works &amp; Sources'!$B$82:$J$86,0,4))*INDEX('How This Works &amp; Sources'!$B$82:$J$86,0,4+2)),SUMPRODUCT(($AZ57&gt;INDEX('How This Works &amp; Sources'!$B$82:$J$86,0,1))*($AZ57-INDEX('How This Works &amp; Sources'!$B$82:$J$86,0,1))*INDEX('How This Works &amp; Sources'!$B$82:$J$86,0,1+2))),IF($AN57="KS",IF($AU57="Married",SUMPRODUCT(($AZ57&gt;INDEX('How This Works &amp; Sources'!$B$103:$J$109,0,4))*($AZ57-INDEX('How This Works &amp; Sources'!$B$103:$J$109,0,4))*INDEX('How This Works &amp; Sources'!$B$103:$J$109,0,4+2)),SUMPRODUCT(($AZ57&gt;INDEX('How This Works &amp; Sources'!$B$103:$J$109,0,1))*($AZ57-INDEX('How This Works &amp; Sources'!$B$103:$J$109,0,1))*INDEX('How This Works &amp; Sources'!$B$103:$J$109,0,1+2))),IF($AN57="MN",IF($AU57="Married",SUMPRODUCT(($AZ57&gt;INDEX('How This Works &amp; Sources'!$B$114:$J$120,0,7))*($AZ57-INDEX('How This Works &amp; Sources'!$B$114:$J$120,0,7))*INDEX('How This Works &amp; Sources'!$B$114:$J$120,0,7+2)),SUMPRODUCT(($AZ57&gt;INDEX('How This Works &amp; Sources'!$B$114:$J$120,0,4))*($AZ57-INDEX('How This Works &amp; Sources'!$B$114:$J$120,0,4))*INDEX('How This Works &amp; Sources'!$B$114:$J$120,0,4+2))),IF($AN57="MO",SUMPRODUCT(($AZ57&gt;INDEX('How This Works &amp; Sources'!$B$125:$J$132,0,1))*($AZ57-INDEX('How This Works &amp; Sources'!$B$125:$J$132,0,1))*INDEX('How This Works &amp; Sources'!$B$125:$J$132,0,1+2)),IF($AN57="NE",MAX(IF($AU57="Married",SUMPRODUCT(($AZ57&gt;INDEX('How This Works &amp; Sources'!$B$144:$J$150,0,7))*($AZ57-INDEX('How This Works &amp; Sources'!$B$144:$J$150,0,7))*INDEX('How This Works &amp; Sources'!$B$144:$J$150,0,7+2)),SUMPRODUCT(($AZ57&gt;INDEX('How This Works &amp; Sources'!$B$144:$J$150,0,4))*($AZ57-INDEX('How This Works &amp; Sources'!$B$144:$J$150,0,4))*INDEX('How This Works &amp; Sources'!$B$144:$J$150,0,4+2))),0.015*$AZ57),IF($AN57="OH",IF($B57&gt;=DATE(2026,8,1),SUMPRODUCT(($AZ57&gt;INDEX('How This Works &amp; Sources'!$B$203:$J$206,0,1))*($AZ57-INDEX('How This Works &amp; Sources'!$B$203:$J$206,0,1))*INDEX('How This Works &amp; Sources'!$B$203:$J$206,0,1+2)),SUMPRODUCT(($AZ57&gt;INDEX('How This Works &amp; Sources'!$B$184:$J$198,0,7))*($AZ57-INDEX('How This Works &amp; Sources'!$B$184:$J$198,0,7))*INDEX('How This Works &amp; Sources'!$B$184:$J$198,0,7+2))),IF($AN57="OK",IF($AU57="Married",SUMPRODUCT(($AZ57&gt;INDEX('How This Works &amp; Sources'!$B$203:$J$206,0,7))*($AZ57-INDEX('How This Works &amp; Sources'!$B$203:$J$206,0,7))*INDEX('How This Works &amp; Sources'!$B$203:$J$206,0,7+2)),SUMPRODUCT(($AZ57&gt;INDEX('How This Works &amp; Sources'!$B$203:$J$206,0,4))*($AZ57-INDEX('How This Works &amp; Sources'!$B$203:$J$206,0,4))*INDEX('How This Works &amp; Sources'!$B$203:$J$206,0,4+2))),IF($AN57="VT",IF($AU57="Married",SUMPRODUCT(($AZ57&gt;INDEX('How This Works &amp; Sources'!$B$228:$J$232,0,1))*($AZ57-INDEX('How This Works &amp; Sources'!$B$228:$J$232,0,1))*INDEX('How This Works &amp; Sources'!$B$228:$J$232,0,1+2)),SUMPRODUCT(($AZ57&gt;INDEX('How This Works &amp; Sources'!$B$219:$J$223,0,7))*($AZ57-INDEX('How This Works &amp; Sources'!$B$219:$J$223,0,7))*INDEX('How This Works &amp; Sources'!$B$219:$J$223,0,7+2))),IF($AN57="WV",IF($AU57="Married",SUMPRODUCT(($AZ57&gt;INDEX('How This Works &amp; Sources'!$B$237:$J$241,0,7))*($AZ57-INDEX('How This Works &amp; Sources'!$B$237:$J$241,0,7))*INDEX('How This Works &amp; Sources'!$B$237:$J$241,0,7+2)),SUMPRODUCT(($AZ57&gt;INDEX('How This Works &amp; Sources'!$B$228:$J$232,0,7))*($AZ57-INDEX('How This Works &amp; Sources'!$B$228:$J$232,0,7))*INDEX('How This Works &amp; Sources'!$B$228:$J$232,0,7+2))),""))))))))))</f>
      </c>
      <c r="BY57" s="7">
        <f>IF($B57="","",IF($AN57="DE",SUMPRODUCT(($AZ57&gt;INDEX('How This Works &amp; Sources'!$B$91:$J$98,0,1))*($AZ57-INDEX('How This Works &amp; Sources'!$B$91:$J$98,0,1))*INDEX('How This Works &amp; Sources'!$B$91:$J$98,0,1+2)),IF($AN57="HI",IF($AU57="Married",SUMPRODUCT(($AZ57&gt;INDEX('How This Works &amp; Sources'!$B$91:$J$98,0,7))*($AZ57-INDEX('How This Works &amp; Sources'!$B$91:$J$98,0,7))*INDEX('How This Works &amp; Sources'!$B$91:$J$98,0,7+2)),SUMPRODUCT(($AZ57&gt;INDEX('How This Works &amp; Sources'!$B$91:$J$98,0,4))*($AZ57-INDEX('How This Works &amp; Sources'!$B$91:$J$98,0,4))*INDEX('How This Works &amp; Sources'!$B$91:$J$98,0,4+2))),IF($AN57="RI",SUMPRODUCT(($AZ57&gt;INDEX('How This Works &amp; Sources'!$B$211:$J$214,0,7))*($AZ57-INDEX('How This Works &amp; Sources'!$B$211:$J$214,0,7))*INDEX('How This Works &amp; Sources'!$B$211:$J$214,0,7+2)),IF($AN57="SC",SUMPRODUCT(($AZ57&gt;INDEX('How This Works &amp; Sources'!$B$219:$J$223,0,1))*($AZ57-INDEX('How This Works &amp; Sources'!$B$219:$J$223,0,1))*INDEX('How This Works &amp; Sources'!$B$219:$J$223,0,1+2)),IF($AN57="VA",SUMPRODUCT(($AZ57&gt;INDEX('How This Works &amp; Sources'!$B$219:$J$223,0,4))*($AZ57-INDEX('How This Works &amp; Sources'!$B$219:$J$223,0,4))*INDEX('How This Works &amp; Sources'!$B$219:$J$223,0,4+2)),IF($AN57="WI",SUMPRODUCT(($AZ57&gt;INDEX('How This Works &amp; Sources'!$B$228:$J$232,0,4))*($AZ57-INDEX('How This Works &amp; Sources'!$B$228:$J$232,0,4))*INDEX('How This Works &amp; Sources'!$B$228:$J$232,0,4+2)),"")))))))</f>
      </c>
      <c r="BZ57" s="24">
        <f>IF($B57="","",IF($AN57="KS",IF($AU57="Married",SUMPRODUCT(($AZ57&gt;=INDEX('How This Works &amp; Sources'!$B$103:$J$109,0,4))*INDEX('How This Works &amp; Sources'!$B$103:$J$109,0,4+2)),SUMPRODUCT(($AZ57&gt;=INDEX('How This Works &amp; Sources'!$B$103:$J$109,0,1))*INDEX('How This Works &amp; Sources'!$B$103:$J$109,0,1+2))),IF($AN57="MT",IF($AU57="Head of household",SUMPRODUCT(($AZ57&gt;=INDEX('How This Works &amp; Sources'!$B$137:$J$139,0,1))*INDEX('How This Works &amp; Sources'!$B$137:$J$139,0,1+2)),IF($AU57="Married",SUMPRODUCT(($AZ57&gt;=INDEX('How This Works &amp; Sources'!$B$125:$J$132,0,7))*INDEX('How This Works &amp; Sources'!$B$125:$J$132,0,7+2)),SUMPRODUCT(($AZ57&gt;=INDEX('How This Works &amp; Sources'!$B$125:$J$132,0,4))*INDEX('How This Works &amp; Sources'!$B$125:$J$132,0,4+2)))),IF($AN57="OR",IF(OR($AU57="Married",AND($AU57="Single",$AS57&gt;=3)),SUMPRODUCT((MAX(0,$AY57-MIN(($P57-'How This Works &amp; Sources'!$C$10*$D57)*'Second Earner'!$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Sources'!$B$211:$J$214,0,4))*INDEX('How This Works &amp; Sources'!$B$211:$J$214,0,4+2)),SUMPRODUCT((MAX(0,$AY57-MIN(($P57-'How This Works &amp; Sources'!$C$10*$D57)*'Second Earner'!$C$8,IF(OR($AU57="Married",AND($AU57="Single",$AS57&gt;=3)),IF($AY57&lt;250000,8750,IF($AY57&lt;260000,7000,IF($AY57&lt;270000,5250,IF($AY57&lt;280000,3500,IF($AY57&lt;290000,1750,0))))),IF($AY57&lt;125000,8750,IF($AY57&lt;130000,7000,IF($AY57&lt;135000,5250,IF($AY57&lt;140000,3500,IF($AY57&lt;145000,1750,0)))))))-IF(OR($AU57="Married",AND($AU57="Single",$AS57&gt;=3)),5820,2910))&gt;=INDEX('How This Works &amp; Sources'!$B$211:$J$214,0,1))*INDEX('How This Works &amp; Sources'!$B$211:$J$214,0,1+2)))*IF(($P57-'How This Works &amp; Sources'!$C$10*$D57)*'Second Earner'!$C$8&gt;=IF(OR($AU57="Married",AND($AU57="Single",$AS57&gt;=3)),IF($AY57&lt;250000,8750,IF($AY57&lt;260000,7000,IF($AY57&lt;270000,5250,IF($AY57&lt;280000,3500,IF($AY57&lt;290000,1750,0))))),IF($AY57&lt;125000,8750,IF($AY57&lt;130000,7000,IF($AY57&lt;135000,5250,IF($AY57&lt;140000,3500,IF($AY57&lt;145000,1750,0)))))),1,1-IF('Second Earner'!$C$13,SUMPRODUCT(($AH57&gt;=INDEX('How This Works &amp; Sources'!$B$29:$J$36,0,IF('Second Earner'!$C$12="MFJ",1,IF('Second Earner'!$C$12="HoH",7,4))))*INDEX('How This Works &amp; Sources'!$B$29:$J$36,0,IF('Second Earner'!$C$12="MFJ",1,IF('Second Earner'!$C$12="HoH",7,4))+2)),SUMPRODUCT(($AH57&gt;=INDEX('How This Works &amp; Sources'!$B$19:$J$26,0,IF('Second Earner'!$C$12="MFJ",1,IF('Second Earner'!$C$12="HoH",7,4))))*INDEX('How This Works &amp; Sources'!$B$19:$J$26,0,IF('Second Earner'!$C$12="MFJ",1,IF('Second Earner'!$C$12="HoH",7,4))+2)))),""))))</f>
      </c>
      <c r="CA57" s="24">
        <f>IF($B57="","",IF($AN57="CA",SUMPRODUCT(($AJ57&gt;=INDEX('How This Works &amp; Sources'!$B$39:$J$48,0,IF($AU57="Married",4,IF($AU57="Head of household",7,1))))*INDEX('How This Works &amp; Sources'!$B$39:$J$48,0,IF($AU57="Married",4,IF($AU57="Head of household",7,1))+2)),IF($AN57="AL",IF(OR($AU57="Married",$AU57="Head of household"),SUMPRODUCT(($AZ57&gt;=INDEX('How This Works &amp; Sources'!$B$82:$J$86,0,4))*INDEX('How This Works &amp; Sources'!$B$82:$J$86,0,4+2)),SUMPRODUCT(($AZ57&gt;=INDEX('How This Works &amp; Sources'!$B$82:$J$86,0,1))*INDEX('How This Works &amp; Sources'!$B$82:$J$86,0,1+2)))*(1-IF('Second Earner'!$C$13,SUMPRODUCT(($AH57&gt;=INDEX('How This Works &amp; Sources'!$B$29:$J$36,0,IF('Second Earner'!$C$12="MFJ",1,IF('Second Earner'!$C$12="HoH",7,4))))*INDEX('How This Works &amp; Sources'!$B$29:$J$36,0,IF('Second Earner'!$C$12="MFJ",1,IF('Second Earner'!$C$12="HoH",7,4))+2)),SUMPRODUCT(($AH57&gt;=INDEX('How This Works &amp; Sources'!$B$19:$J$26,0,IF('Second Earner'!$C$12="MFJ",1,IF('Second Earner'!$C$12="HoH",7,4))))*INDEX('How This Works &amp; Sources'!$B$19:$J$26,0,IF('Second Earner'!$C$12="MFJ",1,IF('Second Earner'!$C$12="HoH",7,4))+2)))),IF($AN57="ND",IF($AU57="Head of household",SUMPRODUCT(($AZ57&gt;=INDEX('How This Works &amp; Sources'!$B$144:$J$150,0,1))*INDEX('How This Works &amp; Sources'!$B$144:$J$150,0,1+2)),IF($AU57="Married",SUMPRODUCT(($AZ57&gt;=INDEX('How This Works &amp; Sources'!$B$137:$J$139,0,7))*INDEX('How This Works &amp; Sources'!$B$137:$J$139,0,7+2)),SUMPRODUCT(($AZ57&gt;=INDEX('How This Works &amp; Sources'!$B$137:$J$139,0,4))*INDEX('How This Works &amp; Sources'!$B$137:$J$139,0,4+2)))),IF($AN57="NJ",IF('Second Earner'!$C$77="B",SUMPRODUCT(($AZ57&gt;=INDEX('How This Works &amp; Sources'!$B$155:$J$162,0,4))*INDEX('How This Works &amp; Sources'!$B$155:$J$162,0,4+2)),IF('Second Earner'!$C$77="C",SUMPRODUCT(($AZ57&gt;=INDEX('How This Works &amp; Sources'!$B$155:$J$162,0,7))*INDEX('How This Works &amp; Sources'!$B$155:$J$162,0,7+2)),IF('Second Earner'!$C$77="D",SUMPRODUCT(($AZ57&gt;=INDEX('How This Works &amp; Sources'!$B$167:$J$179,0,1))*INDEX('How This Works &amp; Sources'!$B$167:$J$179,0,1+2)),IF('Second Earner'!$C$77="E",SUMPRODUCT(($AZ57&gt;=INDEX('How This Works &amp; Sources'!$B$167:$J$179,0,4))*INDEX('How This Works &amp; Sources'!$B$167:$J$179,0,4+2)),SUMPRODUCT(($AZ57&gt;=INDEX('How This Works &amp; Sources'!$B$155:$J$162,0,1))*INDEX('How This Works &amp; Sources'!$B$155:$J$162,0,1+2)))))),IF($AN57="NY",IF($AU57="Married",IF($AZ57&gt;=2155350,IF($AZ57&gt;25000000,0.117,IF($AZ57&gt;5000000,0.111,0.1045)),SUMPRODUCT(($AZ57&gt;=INDEX('How This Works &amp; Sources'!$B$184:$J$198,0,1))*INDEX('How This Works &amp; Sources'!$B$184:$J$198,0,1+2))),IF($AZ57&gt;=1077550,IF($AZ57&gt;25000000,0.117,IF($AZ57&gt;5000000,0.111,0.1045)),SUMPRODUCT(($AZ57&gt;=INDEX('How This Works &amp; Sources'!$B$167:$J$179,0,7))*INDEX('How This Works &amp; Sources'!$B$167:$J$179,0,7+2)))),IF($AN57="LA",0.0309,"")))))))</f>
      </c>
      <c r="CB57" s="24">
        <f>IF($B57="","",IF($AN57="HI",IF($AU57="Married",SUMPRODUCT(($AZ57&gt;=INDEX('How This Works &amp; Sources'!$B$91:$J$98,0,7))*INDEX('How This Works &amp; Sources'!$B$91:$J$98,0,7+2)),SUMPRODUCT(($AZ57&gt;=INDEX('How This Works &amp; Sources'!$B$91:$J$98,0,4))*INDEX('How This Works &amp; Sources'!$B$91:$J$98,0,4+2))),IF($AN57="MD",IF(OR($AU57="Married",$AU57="Head of household"),SUMPRODUCT(($AZ57&gt;=INDEX('How This Works &amp; Sources'!$B$114:$J$120,0,1))*INDEX('How This Works &amp; Sources'!$B$114:$J$120,0,1+2)),SUMPRODUCT(($AZ57&gt;=INDEX('How This Works &amp; Sources'!$B$103:$J$109,0,7))*INDEX('How This Works &amp; Sources'!$B$103:$J$109,0,7+2)))+'Second Earner'!$C$74,IF($AN57="MN",IF($AU57="Married",SUMPRODUCT(($AZ57&gt;=INDEX('How This Works &amp; Sources'!$B$114:$J$120,0,7))*INDEX('How This Works &amp; Sources'!$B$114:$J$120,0,7+2)),SUMPRODUCT(($AZ57&gt;=INDEX('How This Works &amp; Sources'!$B$114:$J$120,0,4))*INDEX('How This Works &amp; Sources'!$B$114:$J$120,0,4+2))),IF($AN57="MO",SUMPRODUCT(($AZ57&gt;=INDEX('How This Works &amp; Sources'!$B$125:$J$132,0,1))*INDEX('How This Works &amp; Sources'!$B$125:$J$132,0,1+2)),IF($AN57="NE",MAX(IF($AU57="Married",SUMPRODUCT(($AZ57&gt;=INDEX('How This Works &amp; Sources'!$B$144:$J$150,0,7))*INDEX('How This Works &amp; Sources'!$B$144:$J$150,0,7+2)),SUMPRODUCT(($AZ57&gt;=INDEX('How This Works &amp; Sources'!$B$144:$J$150,0,4))*INDEX('How This Works &amp; Sources'!$B$144:$J$150,0,4+2))),0.015),IF($AN57="OH",IF($B57&gt;=DATE(2026,8,1),SUMPRODUCT(($AZ57&gt;=INDEX('How This Works &amp; Sources'!$B$203:$J$206,0,1))*INDEX('How This Works &amp; Sources'!$B$203:$J$206,0,1+2)),SUMPRODUCT(($AZ57&gt;=INDEX('How This Works &amp; Sources'!$B$184:$J$198,0,7))*INDEX('How This Works &amp; Sources'!$B$184:$J$198,0,7+2))),IF($AN57="OK",IF($AU57="Married",SUMPRODUCT(($AZ57&gt;=INDEX('How This Works &amp; Sources'!$B$203:$J$206,0,7))*INDEX('How This Works &amp; Sources'!$B$203:$J$206,0,7+2)),SUMPRODUCT(($AZ57&gt;=INDEX('How This Works &amp; Sources'!$B$203:$J$206,0,4))*INDEX('How This Works &amp; Sources'!$B$203:$J$206,0,4+2))),IF($AN57="RI",SUMPRODUCT(($AZ57&gt;=INDEX('How This Works &amp; Sources'!$B$211:$J$214,0,7))*INDEX('How This Works &amp; Sources'!$B$211:$J$214,0,7+2)),IF($AN57="VT",IF($AU57="Married",SUMPRODUCT(($AZ57&gt;=INDEX('How This Works &amp; Sources'!$B$228:$J$232,0,1))*INDEX('How This Works &amp; Sources'!$B$228:$J$232,0,1+2)),SUMPRODUCT(($AZ57&gt;=INDEX('How This Works &amp; Sources'!$B$219:$J$223,0,7))*INDEX('How This Works &amp; Sources'!$B$219:$J$223,0,7+2))),IF($AN57="WV",IF($AU57="Married",SUMPRODUCT(($AZ57&gt;=INDEX('How This Works &amp; Sources'!$B$237:$J$241,0,7))*INDEX('How This Works &amp; Sources'!$B$237:$J$241,0,7+2)),SUMPRODUCT(($AZ57&gt;=INDEX('How This Works &amp; Sources'!$B$228:$J$232,0,7))*INDEX('How This Works &amp; Sources'!$B$228:$J$232,0,7+2))),IF($AN57="AZ",'Second Earner'!$C$82,IF($AN57="ID",IF($AY57&gt;IF($AU57="Married",32000,16094),0.053,0),"")))))))))))))</f>
      </c>
      <c r="CC57" s="24">
        <f>IF($B57="","",IF($AN57="AR",SUMPRODUCT(($AZ57&gt;=INDEX('How This Works &amp; Sources'!$B$82:$J$86,0,7))*INDEX('How This Works &amp; Sources'!$B$82:$J$86,0,7+2)),IF($AN57="DE",SUMPRODUCT(($AZ57&gt;=INDEX('How This Works &amp; Sources'!$B$91:$J$98,0,1))*INDEX('How This Works &amp; Sources'!$B$91:$J$98,0,1+2)),IF($AN57="SC",SUMPRODUCT(($AZ57&gt;=INDEX('How This Works &amp; Sources'!$B$219:$J$223,0,1))*INDEX('How This Works &amp; Sources'!$B$219:$J$223,0,1+2)),IF($AN57="VA",SUMPRODUCT(($AZ57&gt;=INDEX('How This Works &amp; Sources'!$B$219:$J$223,0,4))*INDEX('How This Works &amp; Sources'!$B$219:$J$223,0,4+2)),IF($AN57="WI",SUMPRODUCT(($AZ57&gt;=INDEX('How This Works &amp; Sources'!$B$228:$J$232,0,4))*INDEX('How This Works &amp; Sources'!$B$228:$J$232,0,4+2)),IF($AN57="CO",IF($AY57&gt;IF($AU57="Married",10000,5000),0.044,0),IF($AN57="IA",IF($AY57&gt;IF($AU57="Head of household",19500,IF($AU57="Married",26000,13000)),0.038,0),IF($AN57="IL",IF($AY57&gt;(2925*$AS57+1000*$AT57),0.0495,0),IF($AN57="IN",(0.0295+'Second Earner'!$C$76),IF($AN57="KY",IF($AI57&gt;3360,0.035,0),IF($AN57="MA",IF(MAX(0,$AY57-MIN(($BD56+$Q57+$R57+$S57),2000)-IF($AS57=0,0,IF($AS57=1,4400,1000*$AS57+3400)))&gt;=1107750,0.09,0.05),IF($AN57="MI",IF($AY57&gt;5900*$AS57,0.0425,0),IF($AN57="MS",IF($AI57-IF($AU57="Head of household",3400,IF($AU57="Married",4600,2300))-'Second Earner'!$C$85&gt;10000,0.04,0),IF($AN57="PA",0.0307,"")))))))))))))))</f>
      </c>
      <c r="CD57" s="21">
        <f>IF(YEAR(IF('Second Earner'!$C$7="Weekly",'Second Earner'!$C$9+7*(($BE56+1)-1),IF('Second Earner'!$C$7="Biweekly",'Second Earner'!$C$9+14*(($BE56+1)-1),IF('Second Earner'!$C$7="Semimonthly",DATE(YEAR('Second Earner'!$C$9),MONTH('Second Earner'!$C$9)+INT((($BE56+1)-1)/2),MIN(DAY('Second Earner'!$C$9),DAY(EOMONTH(DATE(YEAR('Second Earner'!$C$9),MONTH('Second Earner'!$C$9)+INT((($BE56+1)-1)/2),1),0))))+IF(MOD(($BE56+1)-1,2)=1,15,0),EDATE('Second Earner'!$C$9,($BE56+1)-1)))))&lt;&gt;'Second Earner'!$C$10,"",IF('Second Earner'!$C$7="Weekly",'Second Earner'!$C$9+7*(($BE56+1)-1),IF('Second Earner'!$C$7="Biweekly",'Second Earner'!$C$9+14*(($BE56+1)-1),IF('Second Earner'!$C$7="Semimonthly",DATE(YEAR('Second Earner'!$C$9),MONTH('Second Earner'!$C$9)+INT((($BE56+1)-1)/2),MIN(DAY('Second Earner'!$C$9),DAY(EOMONTH(DATE(YEAR('Second Earner'!$C$9),MONTH('Second Earner'!$C$9)+INT((($BE56+1)-1)/2),1),0))))+IF(MOD(($BE56+1)-1,2)=1,15,0),EDATE('Second Earner'!$C$9,($BE56+1)-1)))))</f>
      </c>
      <c r="CE57" s="21">
        <f>IF(MIN(IF(AND('Second Earner'!$C$58&gt;MAX($B$6:$B56),'Second Earner'!$C$58&gt;=DATE('Second Earner'!$C$10,1,1),'Second Earner'!$C$58&lt;=DATE('Second Earner'!$C$10,12,31)),'Second Earner'!$C$58,999999),IF(AND('Second Earner'!$C$59&gt;MAX($B$6:$B56),'Second Earner'!$C$59&gt;=DATE('Second Earner'!$C$10,1,1),'Second Earner'!$C$59&lt;=DATE('Second Earner'!$C$10,12,31)),'Second Earner'!$C$59,999999),IF(AND('Second Earner'!$C$60&gt;MAX($B$6:$B56),'Second Earner'!$C$60&gt;=DATE('Second Earner'!$C$10,1,1),'Second Earner'!$C$60&lt;=DATE('Second Earner'!$C$10,12,31)),'Second Earner'!$C$60,999999),IF(AND('Second Earner'!$C$61&gt;MAX($B$6:$B56),'Second Earner'!$C$61&gt;=DATE('Second Earner'!$C$10,1,1),'Second Earner'!$C$61&lt;=DATE('Second Earner'!$C$10,12,31)),'Second Earner'!$C$61,999999),IF(AND('Second Earner'!$C$62&gt;MAX($B$6:$B56),'Second Earner'!$C$62&gt;=DATE('Second Earner'!$C$10,1,1),'Second Earner'!$C$62&lt;=DATE('Second Earner'!$C$10,12,31)),'Second Earner'!$C$62,999999),IF(AND('Second Earner'!$C$63&gt;MAX($B$6:$B56),'Second Earner'!$C$63&gt;=DATE('Second Earner'!$C$10,1,1),'Second Earner'!$C$63&lt;=DATE('Second Earner'!$C$10,12,31)),'Second Earner'!$C$63,999999),IF(AND('Second Earner'!$C$64&gt;MAX($B$6:$B56),'Second Earner'!$C$64&gt;=DATE('Second Earner'!$C$10,1,1),'Second Earner'!$C$64&lt;=DATE('Second Earner'!$C$10,12,31)),'Second Earner'!$C$64,999999),IF(AND('Second Earner'!$C$65&gt;MAX($B$6:$B56),'Second Earner'!$C$65&gt;=DATE('Second Earner'!$C$10,1,1),'Second Earner'!$C$65&lt;=DATE('Second Earner'!$C$10,12,31)),'Second Earner'!$C$65,999999),IF(AND('Second Earner'!$C$66&gt;MAX($B$6:$B56),'Second Earner'!$C$66&gt;=DATE('Second Earner'!$C$10,1,1),'Second Earner'!$C$66&lt;=DATE('Second Earner'!$C$10,12,31)),'Second Earner'!$C$66,999999),IF(AND('Second Earner'!$C$67&gt;MAX($B$6:$B56),'Second Earner'!$C$67&gt;=DATE('Second Earner'!$C$10,1,1),'Second Earner'!$C$67&lt;=DATE('Second Earner'!$C$10,12,31)),'Second Earner'!$C$67,999999))=999999,"",MIN(IF(AND('Second Earner'!$C$58&gt;MAX($B$6:$B56),'Second Earner'!$C$58&gt;=DATE('Second Earner'!$C$10,1,1),'Second Earner'!$C$58&lt;=DATE('Second Earner'!$C$10,12,31)),'Second Earner'!$C$58,999999),IF(AND('Second Earner'!$C$59&gt;MAX($B$6:$B56),'Second Earner'!$C$59&gt;=DATE('Second Earner'!$C$10,1,1),'Second Earner'!$C$59&lt;=DATE('Second Earner'!$C$10,12,31)),'Second Earner'!$C$59,999999),IF(AND('Second Earner'!$C$60&gt;MAX($B$6:$B56),'Second Earner'!$C$60&gt;=DATE('Second Earner'!$C$10,1,1),'Second Earner'!$C$60&lt;=DATE('Second Earner'!$C$10,12,31)),'Second Earner'!$C$60,999999),IF(AND('Second Earner'!$C$61&gt;MAX($B$6:$B56),'Second Earner'!$C$61&gt;=DATE('Second Earner'!$C$10,1,1),'Second Earner'!$C$61&lt;=DATE('Second Earner'!$C$10,12,31)),'Second Earner'!$C$61,999999),IF(AND('Second Earner'!$C$62&gt;MAX($B$6:$B56),'Second Earner'!$C$62&gt;=DATE('Second Earner'!$C$10,1,1),'Second Earner'!$C$62&lt;=DATE('Second Earner'!$C$10,12,31)),'Second Earner'!$C$62,999999),IF(AND('Second Earner'!$C$63&gt;MAX($B$6:$B56),'Second Earner'!$C$63&gt;=DATE('Second Earner'!$C$10,1,1),'Second Earner'!$C$63&lt;=DATE('Second Earner'!$C$10,12,31)),'Second Earner'!$C$63,999999),IF(AND('Second Earner'!$C$64&gt;MAX($B$6:$B56),'Second Earner'!$C$64&gt;=DATE('Second Earner'!$C$10,1,1),'Second Earner'!$C$64&lt;=DATE('Second Earner'!$C$10,12,31)),'Second Earner'!$C$64,999999),IF(AND('Second Earner'!$C$65&gt;MAX($B$6:$B56),'Second Earner'!$C$65&gt;=DATE('Second Earner'!$C$10,1,1),'Second Earner'!$C$65&lt;=DATE('Second Earner'!$C$10,12,31)),'Second Earner'!$C$65,999999),IF(AND('Second Earner'!$C$66&gt;MAX($B$6:$B56),'Second Earner'!$C$66&gt;=DATE('Second Earner'!$C$10,1,1),'Second Earner'!$C$66&lt;=DATE('Second Earner'!$C$10,12,31)),'Second Earner'!$C$66,999999),IF(AND('Second Earner'!$C$67&gt;MAX($B$6:$B56),'Second Earner'!$C$67&gt;=DATE('Second Earner'!$C$10,1,1),'Second Earner'!$C$67&lt;=DATE('Second Earner'!$C$10,12,31)),'Second Earner'!$C$67,999999)))</f>
      </c>
      <c r="CF57">
        <f>IF($B57="","",IF($D57=0,$Y57,""))</f>
      </c>
    </row>
    <row r="58">
      <c r="A58" t="n">
        <v>53</v>
      </c>
      <c r="B58" s="21">
        <f>IF(AND($CD58="",$CE58=""),"",IF($CE58="",$CD58,IF($CD58="",$CE58,MIN($CD58,$CE58))))</f>
      </c>
      <c r="C58" s="7">
        <f>IF($B58="","",IF($BF58=0,0,IF('Second Earner'!$C$4="Annual salary",ROUND($AK58/IF(AND('Second Earner'!$C$88="Actual paydays",MONTH('Second Earner'!$C$9)=1),MAX(1,MAX($BE$6:$BE$68)),'Second Earner'!$C$8),2),$AK58)))</f>
      </c>
      <c r="D58" s="7">
        <f>IF($B58="","",SUMIF('Second Earner'!$C$58:$C$67,$B58,'Second Earner'!$D$58:$D$67))</f>
      </c>
      <c r="E58" s="7">
        <f>IF($B58="","",ROUND(MAX(0,MIN(IF($AL58="Percent",$AM58*($C58+$D58),$AM58),MAX(0,'Second Earner'!$C$34-$AC57))),2))</f>
      </c>
      <c r="F58" s="7">
        <f>IF($B58="","",ROUND(MAX(0,MIN(IF('Second Earner'!$C$32="Percent",'Second Earner'!$D$32*($C58+$D58),'Second Earner'!$D$32),MAX(0,'Second Earner'!$C$34-$AC57-$E58))),2))</f>
      </c>
      <c r="G58" s="7">
        <f>IF($B58="","",IF($BF58=0,0,ROUND(MAX(0,MIN($BL58,'Second Earner'!$C$37-'Second Earner'!$C$54-$BI57)),2)))</f>
      </c>
      <c r="H58" s="7">
        <f>IF($B58="","",IF(OR($BF58=0,$BQ58=1),0,ROUND(MAX(0,MIN(IF($BS58=1,ROUND(MAX(0,MIN($BJ58,'How This Works &amp; Sources'!$C$13)-$BG57)/MAX(1,MAX($BE$6:$BE$68)-($BE57)),2),ROUND(MIN($BJ58,'How This Works &amp; Sources'!$C$13)/'Second Earner'!$C$8,2)),MIN($BJ58,'How This Works &amp; Sources'!$C$13)-$BG57)),2)))</f>
      </c>
      <c r="I58" s="7">
        <f>IF($B58="","",IF(OR($BF58=0,$BR58=1),0,ROUND(MAX(0,MIN(IF($BT58=1,ROUND(MAX(0,MIN($BK58,IF('Second Earner'!$C$12="MFJ",'How This Works &amp; Sources'!$C$14,'How This Works &amp; Sources'!$C$15))-$BH57)/MAX(1,MAX($BE$6:$BE$68)-($BE57)),2),ROUND(MIN($BK58,IF('Second Earner'!$C$12="MFJ",'How This Works &amp; Sources'!$C$14,'How This Works &amp; Sources'!$C$15))/'Second Earner'!$C$8,2)),MIN($BK58,IF('Second Earner'!$C$12="MFJ",'How This Works &amp; Sources'!$C$14,'How This Works &amp; Sources'!$C$15))-$BH57)),2)))</f>
      </c>
      <c r="J58" s="7">
        <f>IF($B58="","",IF($BF58=0,0,$BM58))</f>
      </c>
      <c r="K58" s="7">
        <f>IF($B58="","",IF($BF58=0,0,$BN58+$BO58))</f>
      </c>
      <c r="L58" s="7">
        <f>IF($B58="","",IF($BF58=0,0,'Second Earner'!$D$46))</f>
      </c>
      <c r="M58" s="7">
        <f>IF($B58="","",$C58+$D58+$L58-$E58-$G58-$H58-$I58-$J58-$K58)</f>
      </c>
      <c r="N58" s="7">
        <f>IF($B58="","",$C58+$D58+$L58-$G58-$H58-$I58-$J58-$K58)</f>
      </c>
      <c r="O58" s="7">
        <f>IF($B58="","",$C58+$D58+$L58-$E58-$H58-$I58-$J58-$K58-IF(OR($AN58="CA",$AN58="NJ"),0,$G58))</f>
      </c>
      <c r="P58" s="7">
        <f>IF($B58="","",IF('Second Earner'!$C$18,0,ROUND(MAX(0,IF('Second Earner'!$C$13,SUMPRODUCT(($AH58&gt;INDEX('How This Works &amp; Sources'!$B$29:$J$36,0,IF('Second Earner'!$C$12="MFJ",1,IF('Second Earner'!$C$12="HoH",7,4))))*($AH58-INDEX('How This Works &amp; Sources'!$B$29:$J$36,0,IF('Second Earner'!$C$12="MFJ",1,IF('Second Earner'!$C$12="HoH",7,4))))*INDEX('How This Works &amp; Sources'!$B$29:$J$36,0,IF('Second Earner'!$C$12="MFJ",1,IF('Second Earner'!$C$12="HoH",7,4))+2)),SUMPRODUCT(($AH58&gt;INDEX('How This Works &amp; Sources'!$B$19:$J$26,0,IF('Second Earner'!$C$12="MFJ",1,IF('Second Earner'!$C$12="HoH",7,4))))*($AH58-INDEX('How This Works &amp; Sources'!$B$19:$J$26,0,IF('Second Earner'!$C$12="MFJ",1,IF('Second Earner'!$C$12="HoH",7,4))))*INDEX('How This Works &amp; Sources'!$B$19:$J$26,0,IF('Second Earner'!$C$12="MFJ",1,IF('Second Earner'!$C$12="HoH",7,4))+2)))/'Second Earner'!$C$8-$AO58/'Second Earner'!$C$8)+$AR58+IF('Second Earner'!$C$89="Aggregate",MAX(0,IF('Second Earner'!$C$13,SUMPRODUCT((($AH58+$D58)&gt;INDEX('How This Works &amp; Sources'!$B$29:$J$36,0,IF('Second Earner'!$C$12="MFJ",1,IF('Second Earner'!$C$12="HoH",7,4))))*(($AH58+$D58)-INDEX('How This Works &amp; Sources'!$B$29:$J$36,0,IF('Second Earner'!$C$12="MFJ",1,IF('Second Earner'!$C$12="HoH",7,4))))*INDEX('How This Works &amp; Sources'!$B$29:$J$36,0,IF('Second Earner'!$C$12="MFJ",1,IF('Second Earner'!$C$12="HoH",7,4))+2)),SUMPRODUCT((($AH58+$D58)&gt;INDEX('How This Works &amp; Sources'!$B$19:$J$26,0,IF('Second Earner'!$C$12="MFJ",1,IF('Second Earner'!$C$12="HoH",7,4))))*(($AH58+$D58)-INDEX('How This Works &amp; Sources'!$B$19:$J$26,0,IF('Second Earner'!$C$12="MFJ",1,IF('Second Earner'!$C$12="HoH",7,4))))*INDEX('How This Works &amp; Sources'!$B$19:$J$26,0,IF('Second Earner'!$C$12="MFJ",1,IF('Second Earner'!$C$12="HoH",7,4))+2)))-IF('Second Earner'!$C$13,SUMPRODUCT(($AH58&gt;INDEX('How This Works &amp; Sources'!$B$29:$J$36,0,IF('Second Earner'!$C$12="MFJ",1,IF('Second Earner'!$C$12="HoH",7,4))))*($AH58-INDEX('How This Works &amp; Sources'!$B$29:$J$36,0,IF('Second Earner'!$C$12="MFJ",1,IF('Second Earner'!$C$12="HoH",7,4))))*INDEX('How This Works &amp; Sources'!$B$29:$J$36,0,IF('Second Earner'!$C$12="MFJ",1,IF('Second Earner'!$C$12="HoH",7,4))+2)),SUMPRODUCT(($AH58&gt;INDEX('How This Works &amp; Sources'!$B$19:$J$26,0,IF('Second Earner'!$C$12="MFJ",1,IF('Second Earner'!$C$12="HoH",7,4))))*($AH58-INDEX('How This Works &amp; Sources'!$B$19:$J$26,0,IF('Second Earner'!$C$12="MFJ",1,IF('Second Earner'!$C$12="HoH",7,4))))*INDEX('How This Works &amp; Sources'!$B$19:$J$26,0,IF('Second Earner'!$C$12="MFJ",1,IF('Second Earner'!$C$12="HoH",7,4))+2)))),'How This Works &amp; Sources'!$C$10*$D58),2)))</f>
      </c>
      <c r="Q58" s="7">
        <f>IF($B58="","",ROUND('How This Works &amp; Sources'!$C$4*MIN($N58,MAX(0,'How This Works &amp; Sources'!$C$3-($AX58+$AB57-$AW58))),2))</f>
      </c>
      <c r="R58" s="7">
        <f>IF($B58="","",ROUND('How This Works &amp; Sources'!$C$5*$N58,2))</f>
      </c>
      <c r="S58" s="7">
        <f>IF($B58="","",ROUND('How This Works &amp; Sources'!$C$6*MAX(0,MIN($N58,$AG57+$N58-'How This Works &amp; Sources'!$C$7)),2))</f>
      </c>
      <c r="T58" s="7">
        <f>IF($B58="","",IF('Second Earner'!$C$26,0,IF($AN58="CA",ROUND(IF($AI58&lt;=IF(($AS58+$AT58)&gt;=2,VLOOKUP($AN58,StateTables!$A$6:$AB$56,10,FALSE),VLOOKUP($AN58,StateTables!$A$6:$AB$56,9,FALSE)),0,MAX(0,SUMPRODUCT(($AJ58&gt;INDEX('How This Works &amp; Sources'!$B$39:$J$48,0,IF($AU58="Married",4,IF($AU58="Head of household",7,1))))*($AJ58-INDEX('How This Works &amp; Sources'!$B$39:$J$48,0,IF($AU58="Married",4,IF($AU58="Head of household",7,1))))*INDEX('How This Works &amp; Sources'!$B$39:$J$48,0,IF($AU58="Married",4,IF($AU58="Head of household",7,1))+2))-VLOOKUP($AN58,StateTables!$A$6:$AB$56,11,FALSE)*$AS58)/'Second Earner'!$C$8)+'Second Earner'!$C$25+VLOOKUP($AN58,StateTables!$A$6:$AB$56,13,FALSE)*$D58,2),IF(VLOOKUP($AN58,StateTables!$A$6:$AB$56,4,FALSE)="None",0,IF(ISNUMBER(SEARCH("MANUAL",VLOOKUP($AN58,StateTables!$A$6:$AB$56,5,FALSE))),'Second Earner'!$C$28,ROUND(MAX(0,$BA58+$BB58)/'Second Earner'!$C$8+'Second Earner'!$C$25+$BC58,2))))))</f>
      </c>
      <c r="U58" s="7">
        <f>IF($B58="","",IF(VLOOKUP($AN58,StateTables!$A$6:$AB$56,24,FALSE)="flatq",IF(OR(MONTH($B58)=1,MONTH($B58)=4,MONTH($B58)=7,MONTH($B58)=10),VLOOKUP($AN58,StateTables!$A$6:$AB$56,25,FALSE),0),IF(VLOOKUP($AN58,StateTables!$A$6:$AB$56,24,FALSE)="dbl",MIN(ROUND(0.005*$N58,2),ROUND(0.6*52/'Second Earner'!$C$8,2)),IF(OR(VLOOKUP($AN58,StateTables!$A$6:$AB$56,15,FALSE)="",VLOOKUP($AN58,StateTables!$A$6:$AB$56,15,FALSE)=0),0,ROUND(VLOOKUP($AN58,StateTables!$A$6:$AB$56,15,FALSE)*IF(OR(VLOOKUP($AN58,StateTables!$A$6:$AB$56,16,FALSE)="",VLOOKUP($AN58,StateTables!$A$6:$AB$56,16,FALSE)=0),$N58,MIN($N58,MAX(0,VLOOKUP($AN58,StateTables!$A$6:$AB$56,16,FALSE)-($AX58+$AB57-$AW58)))),2))))+IF(VLOOKUP($AN58,StateTables!$A$6:$AB$56,27,FALSE)="flatq",IF(OR(MONTH($B58)=1,MONTH($B58)=4,MONTH($B58)=7,MONTH($B58)=10),VLOOKUP($AN58,StateTables!$A$6:$AB$56,28,FALSE),0),IF(VLOOKUP($AN58,StateTables!$A$6:$AB$56,27,FALSE)="dbl",MIN(ROUND(0.005*$N58,2),ROUND(0.6*52/'Second Earner'!$C$8,2)),IF(OR(VLOOKUP($AN58,StateTables!$A$6:$AB$56,18,FALSE)="",VLOOKUP($AN58,StateTables!$A$6:$AB$56,18,FALSE)=0),0,ROUND(VLOOKUP($AN58,StateTables!$A$6:$AB$56,18,FALSE)*IF(OR(VLOOKUP($AN58,StateTables!$A$6:$AB$56,19,FALSE)="",VLOOKUP($AN58,StateTables!$A$6:$AB$56,19,FALSE)=0),$N58,MIN($N58,MAX(0,VLOOKUP($AN58,StateTables!$A$6:$AB$56,19,FALSE)-($AX58+$AB57-$AW58)))),2)))))</f>
      </c>
      <c r="V58" s="7">
        <f>IF($B58="","",IF($AN58="NY",IF('Second Earner'!$C$78,ROUND(SUMPRODUCT((MAX(0,($O58-$D58)*'Second Earner'!$C$8-(IF($AU58="Married",5500,5000)+1000*$AS58))&gt;INDEX('How This Works &amp; Sources'!$B$184:$J$198,0,4))*(MAX(0,($O58-$D58)*'Second Earner'!$C$8-(IF($AU58="Married",5500,5000)+1000*$AS58))-INDEX('How This Works &amp; Sources'!$B$184:$J$198,0,4))*INDEX('How This Works &amp; Sources'!$B$184:$J$198,0,4+2))/'Second Earner'!$C$8+0.0425*$D58,2),0)+IF('Second Earner'!$C$79="Resident",ROUND(0.1675*$T58,2),IF('Second Earner'!$C$79="Nonresident",ROUND(0.005*MAX(0,($O58-$D58)-(IF($AU58="Married",7950,7400)+1000*$AS58)/'Second Earner'!$C$8),2),0)),IF($AN58="PA",IF('Second Earner'!$C$80="None",'Second Earner'!$C$27+ROUND('Second Earner'!$C$81*($C58+$D58),2),ROUND(IF('Second Earner'!$C$80="Resident",IF($B58&lt;DATE(2026,7,1),0.0374,0.03735),IF($B58&lt;DATE(2026,7,1),0.0343,0.03425))*($C58+$D58),2)),IF($BF58=0,ROUND('Second Earner'!$C$81*($C58+$D58),2),'Second Earner'!$C$27+ROUND('Second Earner'!$C$81*($C58+$D58),2)))))</f>
      </c>
      <c r="W58" s="7">
        <f>IF($B58="","",IF($BF58=0,0,$BP58))</f>
      </c>
      <c r="X58" s="7">
        <f>IF($B58="","",SUM($E58:$K58)+$P58+$Q58+$R58+$S58+$T58+$U58+$V58+$W58)</f>
      </c>
      <c r="Y58" s="22">
        <f>IF($B58="","",$C58+$D58-$X58)</f>
      </c>
      <c r="Z58" s="7">
        <f>IF($B58="","",$Z57+$C58+$D58)</f>
      </c>
      <c r="AA58" s="7">
        <f>IF($B58="","",$AA57+$Y58)</f>
      </c>
      <c r="AB58" s="7">
        <f>IF($B58="","",$AB57+MIN($N58,MAX(0,'How This Works &amp; Sources'!$C$3-($AX58+$AB57-$AW58))))</f>
      </c>
      <c r="AC58" s="7">
        <f>IF($B58="","",$AC57+$E58+$F58)</f>
      </c>
      <c r="AD58" s="3">
        <f>IF($B58="","",IF(AND($AB57&lt;'How This Works &amp; Sources'!$C$3,$AB58&gt;='How This Works &amp; Sources'!$C$3),"★ Social Security maxed on this check — from the next check your net rises by about $"&amp;TEXT(ROUND('How This Works &amp; Sources'!$C$4*$N58,2),"#,##0.00")&amp;". ","")&amp;IF(AND($AC57&lt;'Second Earner'!$C$34,$AC58&gt;='Second Earner'!$C$34),"★ 401(k) reaches the $"&amp;TEXT('Second Earner'!$C$34,"#,##0")&amp;" cap on this check — deferrals stop and net pay rises. ","")&amp;IF(AND($AG57&lt;'How This Works &amp; Sources'!$C$7,$AG58&gt;='How This Works &amp; Sources'!$C$7),"★ Wages pass $200,000 — the 0.9% Additional Medicare Tax starts here. ","")&amp;IF(AND($BJ58&gt;0,$H58&gt;0,$BG57&lt;MIN($BJ58,'How This Works &amp; Sources'!$C$13),$BG57+$H58&gt;=MIN($BJ58,'How This Works &amp; Sources'!$C$13)),"★ Health FSA election is now fully deferred for the year. ",""))</f>
      </c>
      <c r="AE58" s="41" t="n"/>
      <c r="AF58" s="7">
        <f>IF(OR($B58="",$AE58=""),"",$AE58-$Y58)</f>
      </c>
      <c r="AG58" s="7">
        <f>IF($B58="","",$AG57+$N58)</f>
      </c>
      <c r="AH58" s="7">
        <f>IF($B58="","",MAX(0,($M58-$D58)*'Second Earner'!$C$8+$AP58-$AQ58-IF('Second Earner'!$C$13,0,IF('Second Earner'!$C$12="MFJ",'How This Works &amp; Sources'!$C$8,'How This Works &amp; Sources'!$C$9))))</f>
      </c>
      <c r="AI58" s="7">
        <f>IF($B58="","",$O58*'Second Earner'!$C$8)</f>
      </c>
      <c r="AJ58" s="7">
        <f>IF($B58="","",MAX(0,$AI58-VLOOKUP($AN58,StateTables!$A$6:$AB$56,12,FALSE)*$AT58-IF(($AS58+$AT58)&gt;=2,VLOOKUP($AN58,StateTables!$A$6:$AB$56,8,FALSE),VLOOKUP($AN58,StateTables!$A$6:$AB$56,7,FALSE))))</f>
      </c>
      <c r="AK58" s="7">
        <f>IF($B58="","",IFERROR(LOOKUP(2,1/(('Changes — Earner 2'!$C$6:$C$17="Salary change")*('Changes — Earner 2'!$B$6:$B$17&lt;=$B58)*('Changes — Earner 2'!$B$6:$B$17&lt;&gt;"")),'Changes — Earner 2'!$D$6:$D$17),IF('Second Earner'!$C$4="Annual salary",'Second Earner'!$C$5,'Second Earner'!$C$6)))</f>
      </c>
      <c r="AL58">
        <f>IF($B58="","",IFERROR(LOOKUP(2,1/(('Changes — Earner 2'!$C$6:$C$17="401(k) change")*('Changes — Earner 2'!$B$6:$B$17&lt;=$B58)*('Changes — Earner 2'!$B$6:$B$17&lt;&gt;"")),'Changes — Earner 2'!$D$6:$D$17),'Second Earner'!$C$30))</f>
      </c>
      <c r="AM58" s="7">
        <f>IF($B58="","",IFERROR(LOOKUP(2,1/(('Changes — Earner 2'!$C$6:$C$17="401(k) change")*('Changes — Earner 2'!$B$6:$B$17&lt;=$B58)*('Changes — Earner 2'!$B$6:$B$17&lt;&gt;"")),'Changes — Earner 2'!$E$6:$E$17),'Second Earner'!$D$31))</f>
      </c>
      <c r="AN58">
        <f>IF($B58="","",IFERROR(LOOKUP(2,1/(('Changes — Earner 2'!$C$6:$C$17="State move")*('Changes — Earner 2'!$B$6:$B$17&lt;=$B58)*('Changes — Earner 2'!$B$6:$B$17&lt;&gt;"")),'Changes — Earner 2'!$D$6:$D$17),'Second Earner'!$C$21))</f>
      </c>
      <c r="AO58" s="7">
        <f>IF($B58="","",IFERROR(LOOKUP(2,1/(('Changes — Earner 2'!$C$6:$C$17="W-4 change")*('Changes — Earner 2'!$B$6:$B$17&lt;=$B58)*('Changes — Earner 2'!$B$6:$B$17&lt;&gt;"")),'Changes — Earner 2'!$D$6:$D$17),'Second Earner'!$C$14))</f>
      </c>
      <c r="AP58" s="7">
        <f>IF($B58="","",IFERROR(LOOKUP(2,1/(('Changes — Earner 2'!$C$6:$C$17="W-4 change")*('Changes — Earner 2'!$B$6:$B$17&lt;=$B58)*('Changes — Earner 2'!$B$6:$B$17&lt;&gt;"")),'Changes — Earner 2'!$E$6:$E$17),'Second Earner'!$C$15))</f>
      </c>
      <c r="AQ58" s="7">
        <f>IF($B58="","",IFERROR(LOOKUP(2,1/(('Changes — Earner 2'!$C$6:$C$17="W-4 change")*('Changes — Earner 2'!$B$6:$B$17&lt;=$B58)*('Changes — Earner 2'!$B$6:$B$17&lt;&gt;"")),'Changes — Earner 2'!$F$6:$F$17),'Second Earner'!$C$16))</f>
      </c>
      <c r="AR58" s="7">
        <f>IF($B58="","",IFERROR(LOOKUP(2,1/(('Changes — Earner 2'!$C$6:$C$17="W-4 change")*('Changes — Earner 2'!$B$6:$B$17&lt;=$B58)*('Changes — Earner 2'!$B$6:$B$17&lt;&gt;"")),'Changes — Earner 2'!$G$6:$G$17),'Second Earner'!$C$17))</f>
      </c>
      <c r="AS58" s="6">
        <f>IF($B58="","",IFERROR(LOOKUP(2,1/((('Changes — Earner 2'!$C$6:$C$17="State move")+('Changes — Earner 2'!$C$6:$C$17="State cert change"))*('Changes — Earner 2'!$B$6:$B$17&lt;=$B58)*('Changes — Earner 2'!$B$6:$B$17&lt;&gt;"")),'Changes — Earner 2'!$F$6:$F$17),'Second Earner'!$C$23))</f>
      </c>
      <c r="AT58" s="6">
        <f>IF($B58="","",IFERROR(LOOKUP(2,1/((('Changes — Earner 2'!$C$6:$C$17="State move")+('Changes — Earner 2'!$C$6:$C$17="State cert change"))*('Changes — Earner 2'!$B$6:$B$17&lt;=$B58)*('Changes — Earner 2'!$B$6:$B$17&lt;&gt;"")),'Changes — Earner 2'!$G$6:$G$17),'Second Earner'!$C$24))</f>
      </c>
      <c r="AU58">
        <f>IF($B58="","",IFERROR(LOOKUP(2,1/(('Changes — Earner 2'!$C$6:$C$17="State move")*('Changes — Earner 2'!$B$6:$B$17&lt;=$B58)*('Changes — Earner 2'!$B$6:$B$17&lt;&gt;"")),'Changes — Earner 2'!$E$6:$E$17),'Second Earner'!$C$22))</f>
      </c>
      <c r="AV58" s="6">
        <f>IF($B58="","",1+COUNTIFS('Changes — Earner 2'!$C$6:$C$17,"Employer change",'Changes — Earner 2'!$B$6:$B$17,"&lt;="&amp;$B58,'Changes — Earner 2'!$B$6:$B$17,"&lt;&gt;"))</f>
      </c>
      <c r="AW58" s="7">
        <f>IF($B58="","",IF($AV58=1,'Second Earner'!$C$49,IF(IFERROR(MATCH(IFERROR(LOOKUP(2,1/(('Changes — Earner 2'!$C$6:$C$17="Employer change")*('Changes — Earner 2'!$B$6:$B$17&lt;=$B58)*('Changes — Earner 2'!$B$6:$B$17&lt;&gt;"")),'Changes — Earner 2'!$B$6:$B$17),""),$B$6:$B$68,1),1)&lt;=1,'Second Earner'!$C$49,INDEX($AB$6:$AB$68,MATCH(IFERROR(LOOKUP(2,1/(('Changes — Earner 2'!$C$6:$C$17="Employer change")*('Changes — Earner 2'!$B$6:$B$17&lt;=$B58)*('Changes — Earner 2'!$B$6:$B$17&lt;&gt;"")),'Changes — Earner 2'!$B$6:$B$17),""),$B$6:$B$68,1)-1))))</f>
      </c>
      <c r="AX58" s="7">
        <f>IF($B58="","",IF($AV58=1,'Second Earner'!$C$49,IFERROR(LOOKUP(2,1/(('Changes — Earner 2'!$C$6:$C$17="Employer change")*('Changes — Earner 2'!$B$6:$B$17&lt;=$B58)*('Changes — Earner 2'!$B$6:$B$17&lt;&gt;"")),'Changes — Earner 2'!$D$6:$D$17),0)))</f>
      </c>
      <c r="AY58" s="7">
        <f>IF($B58="","",($O58-$D58)*'Second Earner'!$C$8)</f>
      </c>
      <c r="AZ58" s="7">
        <f>IF($B58="","",IF($AN58="AL",MAX(0,$AY58-IF($AU58="Married",IF($AY58&lt;=25999,8500,MAX(5000,8500-175*CEILING(($AY58-25999)/500,1))),IF($AU58="Head of household",IF($AY58&lt;=25999,5200,MAX(2500,5200-135*CEILING(($AY58-25999)/500,1))),IF($AY58&lt;=25999,3000,MAX(2500,3000-25*CEILING(($AY58-25999)/500,1)))))-($P58-'How This Works &amp; Sources'!$C$10*$D58)*'Second Earner'!$C$8-IF(OR($AU58="Married",$AU58="Head of household"),3000,1500)-$AT58*IF($AY58&lt;=50000,1000,IF($AY58&lt;=100000,500,300))),IF($AN58="AR",IF(MAX(0,$AY58-2470)&lt;97701,INT(MAX(0,$AY58-2470)/100)*100+50,MAX(0,$AY58-2470)),IF($AN58="DE",MAX(0,$AI58-3250),IF($AN58="HI",MAX(0,$AI58-1144*$AS58-4350),IF($AN58="KS",MAX(0,$AI58-(9160*IF($AU58="Married",2,1)+2320*$AT58+IF($AU58="Head of household",2320,0))),IF($AN58="MD",MAX(0,$AI58-3400-3200*$AS58),IF($AN58="MN",MAX(0,$AY58-5300*$AS58),IF($AN58="MO",MAX(0,$AI58-IF($AU58="Head of household",24150,IF($AU58="Married",IF('Second Earner'!$C$83,16100,32200),16100))),IF($AN58="MT",$AY58,IF($AN58="ND",($C58+$L58)*'Second Earner'!$C$8,IF($AN58="NE",MAX(0,$AY58-2440*$AS58),IF($AN58="NJ",MAX(0,$AY58-1000*$AS58),IF($AN58="NY",MAX(0,$AY58-(IF($AU58="Married",7950,7400)+1000*$AS58)),IF($AN58="OH",MAX(0,$AY58-650*$AS58),IF($AN58="OK",MAX(0,$AY58-1000*$AS58),IF($AN58="RI",MAX(0,$AI58-1000*$AS58),IF($AN58="SC",MAX(0,$AI58-5000*$AS58-IF($AS58=0,0,MIN(0.1*$AI58,7500))),IF($AN58="VA",MAX(0,$AI58-IF($AU58="Married",17500,8750)-930*$AS58-800*$AT58),IF($AN58="VT",MAX(0,$AI58-5400*$AS58),IF($AN58="WI",MAX(0,$AI58-MAX(0,IF($AU58="Married",9461-0.2*MAX(0,$AI58-25727),6702-0.12*MAX(0,$AI58-17780)))-400*$AS58),IF($AN58="WV",MAX(0,$AI58-2000*$AS58),$AI58))))))))))))))))))))))</f>
      </c>
      <c r="BA58" s="7">
        <f>IF($B58="","",IF($BW58&lt;&gt;"",$BW58,IF($BX58&lt;&gt;"",$BX58,IF($BY58&lt;&gt;"",$BY58,0))))</f>
      </c>
      <c r="BB58" s="7">
        <f>IF($B58="","",IF($AN58="AR",-29*$AS58,IF($AN58="DE",-110*$AS58,IF($AN58="MD",$AZ58*'Second Earner'!$C$74,IF($AN58="AZ",'Second Earner'!$C$82*($M58-$D58)*'Second Earner'!$C$8,IF($AN58="CO",0.044*MAX(0,$AY58-IF($AU58="Married",10000,5000)),IF($AN58="IA",MAX(0,0.038*MAX(0,$AY58-IF($AU58="Head of household",19500,IF($AU58="Married",26000,13000)))-40*$AS58),IF($AN58="ID",0.053*MAX(0,$AY58-IF($AU58="Married",32000,16094)),IF($AN58="IL",0.0495*MAX(0,$AY58-(2925*$AS58+1000*$AT58)),IF($AN58="IN",(0.0295+'Second Earner'!$C$76)*MAX(0,$AY58-(1000*$AS58+1500*$AT58+3000*'Second Earner'!$C$86)),IF($AN58="KY",0.035*MAX(0,$AI58-3360),IF($AN58="LA",IF('Second Earner'!$C$84="0",0.0309*$AI58,0.0309*MAX(0,$AI58-IF('Second Earner'!$C$84="2",25750,12875))),IF($AN58="MA",0.05*MIN(MAX(0,$AY58-MIN(($BD57+$Q58+$R58+$S58),2000)-IF($AS58=0,0,IF($AS58=1,4400,1000*$AS58+3400))),1107750)+0.09*MAX(0,MAX(0,$AY58-MIN(($BD57+$Q58+$R58+$S58),2000)-IF($AS58=0,0,IF($AS58=1,4400,1000*$AS58+3400)))-1107750)-IF($AU58="Head of household",120,0)-110*'Second Earner'!$C$75,IF($AN58="MI",0.0425*MAX(0,$AY58-5900*$AS58),IF($AN58="MS",0.04*MAX(0,$AI58-IF($AU58="Head of household",3400,IF($AU58="Married",4600,2300))-'Second Earner'!$C$85-10000),IF($AN58="OR",IF(OR($AU58="Married",AND($AU58="Single",$AS58&gt;=3)),SUMPRODUCT((MAX(0,$AY58-MIN(($P58-'How This Works &amp; Sources'!$C$10*$D58)*'Second Earner'!$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Sources'!$B$211:$J$214,0,4))*(MAX(0,$AY58-MIN(($P58-'How This Works &amp; Sources'!$C$10*$D58)*'Second Earner'!$C$8,IF(OR($AU58="Married",AND($AU58="Single",$AS58&gt;=3)),IF($AY58&lt;250000,8750,IF($AY58&lt;260000,7000,IF($AY58&lt;270000,5250,IF($AY58&lt;280000,3500,IF($AY58&lt;290000,1750,0))))),IF($AY58&lt;125000,8750,IF($AY58&lt;130000,7000,IF($AY58&lt;135000,5250,IF($AY58&lt;140000,3500,IF($AY58&lt;145000,1750,0)))))))-IF(OR($AU58="Married",AND($AU58="Single",$AS58&gt;=3)),5820,2910))-INDEX('How This Works &amp; Sources'!$B$211:$J$214,0,4))*INDEX('How This Works &amp; Sources'!$B$211:$J$214,0,4+2)),SUMPRODUCT((MAX(0,$AY58-MIN(($P58-'How This Works &amp; Sources'!$C$10*$D58)*'Second Earner'!$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Sources'!$B$211:$J$214,0,1))*(MAX(0,$AY58-MIN(($P58-'How This Works &amp; Sources'!$C$10*$D58)*'Second Earner'!$C$8,IF(OR($AU58="Married",AND($AU58="Single",$AS58&gt;=3)),IF($AY58&lt;250000,8750,IF($AY58&lt;260000,7000,IF($AY58&lt;270000,5250,IF($AY58&lt;280000,3500,IF($AY58&lt;290000,1750,0))))),IF($AY58&lt;125000,8750,IF($AY58&lt;130000,7000,IF($AY58&lt;135000,5250,IF($AY58&lt;140000,3500,IF($AY58&lt;145000,1750,0)))))))-IF(OR($AU58="Married",AND($AU58="Single",$AS58&gt;=3)),5820,2910))-INDEX('How This Works &amp; Sources'!$B$211:$J$214,0,1))*INDEX('How This Works &amp; Sources'!$B$211:$J$214,0,1+2)))+263-263*IF(IF($AU58="Married",$AY58&gt;200000,$AY58&gt;100000),0,$AS58),IF($AN58="PA",0.0307*(($O58+$E58+$G58)*'Second Earner'!$C$8),IF($AN58="NY",IF($AU58="Married",IF($AZ58&gt;=2155350,0,IF($AZ58&gt;=1077550,0.48,IF($AZ58&gt;=373200,1.21,IF($AZ58&gt;=323200,0.21,IF($AZ58&gt;=211550,-0.19,IF($AZ58&gt;=157650,-2.8,IF($AZ58&gt;=107650,-0.8,IF($AZ58&gt;=96800,0.05,IF($AZ58&gt;=80650,-0.1,IF($AZ58&gt;=13900,0.4,IF($AZ58&gt;=11700,-0.3,IF($AZ58&gt;=8500,0.5,0)))))))))))),IF($AZ58&gt;=1077550,0,IF($AZ58&gt;=265400,4.29,IF($AZ58&gt;=215400,2.29,IF($AZ58&gt;=157650,2.29,IF($AZ58&gt;=107650,0.29,IF($AZ58&gt;=96800,0.05,IF($AZ58&gt;=80650,-0.1,IF($AZ58&gt;=13900,0.4,IF($AZ58&gt;=11700,-0.3,IF($AZ58&gt;=8500,0.5,0))))))))))),0))))))))))))))))))</f>
      </c>
      <c r="BC58" s="7">
        <f>IF($B58="","",IF($AN58="AL",0.05*$D58,IF($AN58="AR",0.039*$D58,IF($AN58="ID",0.053*$D58,IF($AN58="IN",(0.0295+'Second Earner'!$C$76)*$D58,IF($AN58="KS",0.05*$D58,IF($AN58="MA",0.09*MIN($D58,MAX(0,MAX(0,$AY58-MIN(($BD57+$Q58+$R58+$S58),2000)-IF($AS58=0,0,IF($AS58=1,4400,1000*$AS58+3400)))+$D58-1107750))+0.05*($D58-MIN($D58,MAX(0,MAX(0,$AY58-MIN(($BD57+$Q58+$R58+$S58),2000)-IF($AS58=0,0,IF($AS58=1,4400,1000*$AS58+3400)))+$D58-1107750))),IF($AN58="MD",(0.065+'Second Earner'!$C$74)*$D58,IF($AN58="MI",0.0425*$D58,IF($AN58="MN",0.0625*$D58,IF($AN58="MO",0.047*$D58,IF($AN58="MT",0.05*$D58,IF($AN58="ND",0.015*$D58,IF($AN58="NE",0.035*$D58,IF($AN58="NJ",IF('Second Earner'!$C$77="B",SUMPRODUCT(($D58*'Second Earner'!$C$8&gt;INDEX('How This Works &amp; Sources'!$B$155:$J$162,0,4))*($D58*'Second Earner'!$C$8-INDEX('How This Works &amp; Sources'!$B$155:$J$162,0,4))*INDEX('How This Works &amp; Sources'!$B$155:$J$162,0,4+2)),IF('Second Earner'!$C$77="C",SUMPRODUCT(($D58*'Second Earner'!$C$8&gt;INDEX('How This Works &amp; Sources'!$B$155:$J$162,0,7))*($D58*'Second Earner'!$C$8-INDEX('How This Works &amp; Sources'!$B$155:$J$162,0,7))*INDEX('How This Works &amp; Sources'!$B$155:$J$162,0,7+2)),IF('Second Earner'!$C$77="D",SUMPRODUCT(($D58*'Second Earner'!$C$8&gt;INDEX('How This Works &amp; Sources'!$B$167:$J$179,0,1))*($D58*'Second Earner'!$C$8-INDEX('How This Works &amp; Sources'!$B$167:$J$179,0,1))*INDEX('How This Works &amp; Sources'!$B$167:$J$179,0,1+2)),IF('Second Earner'!$C$77="E",SUMPRODUCT(($D58*'Second Earner'!$C$8&gt;INDEX('How This Works &amp; Sources'!$B$167:$J$179,0,4))*($D58*'Second Earner'!$C$8-INDEX('How This Works &amp; Sources'!$B$167:$J$179,0,4))*INDEX('How This Works &amp; Sources'!$B$167:$J$179,0,4+2)),SUMPRODUCT(($D58*'Second Earner'!$C$8&gt;INDEX('How This Works &amp; Sources'!$B$155:$J$162,0,1))*($D58*'Second Earner'!$C$8-INDEX('How This Works &amp; Sources'!$B$155:$J$162,0,1))*INDEX('How This Works &amp; Sources'!$B$155:$J$162,0,1+2))))))/'Second Earner'!$C$8,IF($AN58="NY",0.117*$D58,IF($AN58="OH",0.0275*$D58,IF($AN58="OK",0.045*$D58,IF($AN58="OR",0.08*$D58,IF($AN58="WI",IF($AY58&lt;12760,0.0354,IF($AY58&lt;25520,0.0465,IF($AY58&lt;280950,0.053,0.0765)))*$D58,0))))))))))))))))))))</f>
      </c>
      <c r="BD58" s="7">
        <f>IF($B58="","",$BD57+$Q58+$R58+$S58)</f>
      </c>
      <c r="BE58" s="6">
        <f>IF($B58="",$BE57,$BE57+$BF58)</f>
      </c>
      <c r="BF58" s="6">
        <f>IF($B58="","",IF(AND(IF(YEAR(IF('Second Earner'!$C$7="Weekly",'Second Earner'!$C$9+7*(($BE57+1)-1),IF('Second Earner'!$C$7="Biweekly",'Second Earner'!$C$9+14*(($BE57+1)-1),IF('Second Earner'!$C$7="Semimonthly",DATE(YEAR('Second Earner'!$C$9),MONTH('Second Earner'!$C$9)+INT((($BE57+1)-1)/2),MIN(DAY('Second Earner'!$C$9),DAY(EOMONTH(DATE(YEAR('Second Earner'!$C$9),MONTH('Second Earner'!$C$9)+INT((($BE57+1)-1)/2),1),0))))+IF(MOD(($BE57+1)-1,2)=1,15,0),EDATE('Second Earner'!$C$9,($BE57+1)-1)))))&lt;&gt;'Second Earner'!$C$10,"",IF('Second Earner'!$C$7="Weekly",'Second Earner'!$C$9+7*(($BE57+1)-1),IF('Second Earner'!$C$7="Biweekly",'Second Earner'!$C$9+14*(($BE57+1)-1),IF('Second Earner'!$C$7="Semimonthly",DATE(YEAR('Second Earner'!$C$9),MONTH('Second Earner'!$C$9)+INT((($BE57+1)-1)/2),MIN(DAY('Second Earner'!$C$9),DAY(EOMONTH(DATE(YEAR('Second Earner'!$C$9),MONTH('Second Earner'!$C$9)+INT((($BE57+1)-1)/2),1),0))))+IF(MOD(($BE57+1)-1,2)=1,15,0),EDATE('Second Earner'!$C$9,($BE57+1)-1)))))&lt;&gt;"",$B58=IF(YEAR(IF('Second Earner'!$C$7="Weekly",'Second Earner'!$C$9+7*(($BE57+1)-1),IF('Second Earner'!$C$7="Biweekly",'Second Earner'!$C$9+14*(($BE57+1)-1),IF('Second Earner'!$C$7="Semimonthly",DATE(YEAR('Second Earner'!$C$9),MONTH('Second Earner'!$C$9)+INT((($BE57+1)-1)/2),MIN(DAY('Second Earner'!$C$9),DAY(EOMONTH(DATE(YEAR('Second Earner'!$C$9),MONTH('Second Earner'!$C$9)+INT((($BE57+1)-1)/2),1),0))))+IF(MOD(($BE57+1)-1,2)=1,15,0),EDATE('Second Earner'!$C$9,($BE57+1)-1)))))&lt;&gt;'Second Earner'!$C$10,"",IF('Second Earner'!$C$7="Weekly",'Second Earner'!$C$9+7*(($BE57+1)-1),IF('Second Earner'!$C$7="Biweekly",'Second Earner'!$C$9+14*(($BE57+1)-1),IF('Second Earner'!$C$7="Semimonthly",DATE(YEAR('Second Earner'!$C$9),MONTH('Second Earner'!$C$9)+INT((($BE57+1)-1)/2),MIN(DAY('Second Earner'!$C$9),DAY(EOMONTH(DATE(YEAR('Second Earner'!$C$9),MONTH('Second Earner'!$C$9)+INT((($BE57+1)-1)/2),1),0))))+IF(MOD(($BE57+1)-1,2)=1,15,0),EDATE('Second Earner'!$C$9,($BE57+1)-1)))))),1,0))</f>
      </c>
      <c r="BG58" s="7">
        <f>IF($B58="","",$BG57+$H58)</f>
      </c>
      <c r="BH58" s="7">
        <f>IF($B58="","",$BH57+$I58)</f>
      </c>
      <c r="BI58" s="7">
        <f>IF($B58="","",$BI57+$G58)</f>
      </c>
      <c r="BJ58" s="7">
        <f>IF($B58="","",IFERROR(LOOKUP(2,1/(((('Changes — Earner 2'!$C$6:$C$17="Deduction start"))*('Changes — Earner 2'!$D$6:$D$17="Health FSA"))*('Changes — Earner 2'!$B$6:$B$17&lt;=$B58)*('Changes — Earner 2'!$B$6:$B$17&lt;&gt;"")),'Changes — Earner 2'!$E$6:$E$17),'Second Earner'!$D$38))</f>
      </c>
      <c r="BK58" s="7">
        <f>IF($B58="","",IFERROR(LOOKUP(2,1/(((('Changes — Earner 2'!$C$6:$C$17="Deduction start"))*('Changes — Earner 2'!$D$6:$D$17="Dependent-care FSA"))*('Changes — Earner 2'!$B$6:$B$17&lt;=$B58)*('Changes — Earner 2'!$B$6:$B$17&lt;&gt;"")),'Changes — Earner 2'!$E$6:$E$17),'Second Earner'!$D$39))</f>
      </c>
      <c r="BL58" s="7">
        <f>IF($B58="","",IFERROR(LOOKUP(2,1/(((('Changes — Earner 2'!$C$6:$C$17="Deduction start")+('Changes — Earner 2'!$C$6:$C$17="Deduction stop"))*('Changes — Earner 2'!$D$6:$D$17="HSA"))*('Changes — Earner 2'!$B$6:$B$17&lt;=$B58)*('Changes — Earner 2'!$B$6:$B$17&lt;&gt;"")),'Changes — Earner 2'!$I$6:$I$17),'Second Earner'!$D$35))</f>
      </c>
      <c r="BM58" s="7">
        <f>IF($B58="","",IFERROR(LOOKUP(2,1/(((('Changes — Earner 2'!$C$6:$C$17="Deduction start")+('Changes — Earner 2'!$C$6:$C$17="Deduction stop"))*('Changes — Earner 2'!$D$6:$D$17="Premiums"))*('Changes — Earner 2'!$B$6:$B$17&lt;=$B58)*('Changes — Earner 2'!$B$6:$B$17&lt;&gt;"")),'Changes — Earner 2'!$I$6:$I$17),'Second Earner'!$D$40+'Second Earner'!$D$41+'Second Earner'!$D$42))</f>
      </c>
      <c r="BN58" s="7">
        <f>IF($B58="","",IFERROR(LOOKUP(2,1/(((('Changes — Earner 2'!$C$6:$C$17="Deduction start")+('Changes — Earner 2'!$C$6:$C$17="Deduction stop"))*('Changes — Earner 2'!$D$6:$D$17="Commuter"))*('Changes — Earner 2'!$B$6:$B$17&lt;=$B58)*('Changes — Earner 2'!$B$6:$B$17&lt;&gt;"")),'Changes — Earner 2'!$I$6:$I$17),'Second Earner'!$D$43))</f>
      </c>
      <c r="BO58" s="7">
        <f>IF($B58="","",IFERROR(LOOKUP(2,1/(((('Changes — Earner 2'!$C$6:$C$17="Deduction start")+('Changes — Earner 2'!$C$6:$C$17="Deduction stop"))*('Changes — Earner 2'!$D$6:$D$17="Other pre-tax"))*('Changes — Earner 2'!$B$6:$B$17&lt;=$B58)*('Changes — Earner 2'!$B$6:$B$17&lt;&gt;"")),'Changes — Earner 2'!$I$6:$I$17),'Second Earner'!$D$44))</f>
      </c>
      <c r="BP58" s="7">
        <f>IF($B58="","",IFERROR(LOOKUP(2,1/(((('Changes — Earner 2'!$C$6:$C$17="Deduction start")+('Changes — Earner 2'!$C$6:$C$17="Deduction stop"))*('Changes — Earner 2'!$D$6:$D$17="Other post-tax"))*('Changes — Earner 2'!$B$6:$B$17&lt;=$B58)*('Changes — Earner 2'!$B$6:$B$17&lt;&gt;"")),'Changes — Earner 2'!$I$6:$I$17),'Second Earner'!$D$45))</f>
      </c>
      <c r="BQ58" s="6">
        <f>IF($B58="","",IFERROR(LOOKUP(2,1/(((('Changes — Earner 2'!$C$6:$C$17="Deduction start")+('Changes — Earner 2'!$C$6:$C$17="Deduction stop"))*('Changes — Earner 2'!$D$6:$D$17="Health FSA"))*('Changes — Earner 2'!$B$6:$B$17&lt;=$B58)*('Changes — Earner 2'!$B$6:$B$17&lt;&gt;"")),'Changes — Earner 2'!$J$6:$J$17),0))</f>
      </c>
      <c r="BR58" s="6">
        <f>IF($B58="","",IFERROR(LOOKUP(2,1/(((('Changes — Earner 2'!$C$6:$C$17="Deduction start")+('Changes — Earner 2'!$C$6:$C$17="Deduction stop"))*('Changes — Earner 2'!$D$6:$D$17="Dependent-care FSA"))*('Changes — Earner 2'!$B$6:$B$17&lt;=$B58)*('Changes — Earner 2'!$B$6:$B$17&lt;&gt;"")),'Changes — Earner 2'!$J$6:$J$17),0))</f>
      </c>
      <c r="BS58" s="6">
        <f>IF($B58="","",IF(SUMPRODUCT(('Changes — Earner 2'!$C$6:$C$17="Deduction start")*('Changes — Earner 2'!$B$6:$B$17&lt;=$B58)*('Changes — Earner 2'!$B$6:$B$17&lt;&gt;"")*('Changes — Earner 2'!$D$6:$D$17="Health FSA"))&gt;0,1,0))</f>
      </c>
      <c r="BT58" s="6">
        <f>IF($B58="","",IF(SUMPRODUCT(('Changes — Earner 2'!$C$6:$C$17="Deduction start")*('Changes — Earner 2'!$B$6:$B$17&lt;=$B58)*('Changes — Earner 2'!$B$6:$B$17&lt;&gt;"")*('Changes — Earner 2'!$D$6:$D$17="Dependent-care FSA"))&gt;0,1,0))</f>
      </c>
      <c r="BU58" s="24">
        <f>IF($B58="","",IF('Second Earner'!$C$13,SUMPRODUCT(($AH58&gt;=INDEX('How This Works &amp; Sources'!$B$29:$J$36,0,IF('Second Earner'!$C$12="MFJ",1,IF('Second Earner'!$C$12="HoH",7,4))))*INDEX('How This Works &amp; Sources'!$B$29:$J$36,0,IF('Second Earner'!$C$12="MFJ",1,IF('Second Earner'!$C$12="HoH",7,4))+2)),SUMPRODUCT(($AH58&gt;=INDEX('How This Works &amp; Sources'!$B$19:$J$26,0,IF('Second Earner'!$C$12="MFJ",1,IF('Second Earner'!$C$12="HoH",7,4))))*INDEX('How This Works &amp; Sources'!$B$19:$J$26,0,IF('Second Earner'!$C$12="MFJ",1,IF('Second Earner'!$C$12="HoH",7,4))+2))))</f>
      </c>
      <c r="BV58" s="24">
        <f>IF($B58="","",IF($BZ58&lt;&gt;"",$BZ58,IF($CA58&lt;&gt;"",$CA58,IF($CB58&lt;&gt;"",$CB58,IF($CC58&lt;&gt;"",$CC58,0)))))</f>
      </c>
      <c r="BW58" s="7">
        <f>IF($B58="","",IF($AN58="AR",SUMPRODUCT(($AZ58&gt;INDEX('How This Works &amp; Sources'!$B$82:$J$86,0,7))*($AZ58-INDEX('How This Works &amp; Sources'!$B$82:$J$86,0,7))*INDEX('How This Works &amp; Sources'!$B$82:$J$86,0,7+2)),IF($AN58="MD",IF(OR($AU58="Married",$AU58="Head of household"),SUMPRODUCT(($AZ58&gt;INDEX('How This Works &amp; Sources'!$B$114:$J$120,0,1))*($AZ58-INDEX('How This Works &amp; Sources'!$B$114:$J$120,0,1))*INDEX('How This Works &amp; Sources'!$B$114:$J$120,0,1+2)),SUMPRODUCT(($AZ58&gt;INDEX('How This Works &amp; Sources'!$B$103:$J$109,0,7))*($AZ58-INDEX('How This Works &amp; Sources'!$B$103:$J$109,0,7))*INDEX('How This Works &amp; Sources'!$B$103:$J$109,0,7+2))),IF($AN58="MT",IF($AU58="Head of household",SUMPRODUCT(($AZ58&gt;INDEX('How This Works &amp; Sources'!$B$137:$J$139,0,1))*($AZ58-INDEX('How This Works &amp; Sources'!$B$137:$J$139,0,1))*INDEX('How This Works &amp; Sources'!$B$137:$J$139,0,1+2)),IF($AU58="Married",SUMPRODUCT(($AZ58&gt;INDEX('How This Works &amp; Sources'!$B$125:$J$132,0,7))*($AZ58-INDEX('How This Works &amp; Sources'!$B$125:$J$132,0,7))*INDEX('How This Works &amp; Sources'!$B$125:$J$132,0,7+2)),SUMPRODUCT(($AZ58&gt;INDEX('How This Works &amp; Sources'!$B$125:$J$132,0,4))*($AZ58-INDEX('How This Works &amp; Sources'!$B$125:$J$132,0,4))*INDEX('How This Works &amp; Sources'!$B$125:$J$132,0,4+2)))),IF($AN58="ND",IF($AU58="Head of household",SUMPRODUCT(($AZ58&gt;INDEX('How This Works &amp; Sources'!$B$144:$J$150,0,1))*($AZ58-INDEX('How This Works &amp; Sources'!$B$144:$J$150,0,1))*INDEX('How This Works &amp; Sources'!$B$144:$J$150,0,1+2)),IF($AU58="Married",SUMPRODUCT(($AZ58&gt;INDEX('How This Works &amp; Sources'!$B$137:$J$139,0,7))*($AZ58-INDEX('How This Works &amp; Sources'!$B$137:$J$139,0,7))*INDEX('How This Works &amp; Sources'!$B$137:$J$139,0,7+2)),SUMPRODUCT(($AZ58&gt;INDEX('How This Works &amp; Sources'!$B$137:$J$139,0,4))*($AZ58-INDEX('How This Works &amp; Sources'!$B$137:$J$139,0,4))*INDEX('How This Works &amp; Sources'!$B$137:$J$139,0,4+2)))),IF($AN58="NJ",IF('Second Earner'!$C$77="B",SUMPRODUCT(($AZ58&gt;INDEX('How This Works &amp; Sources'!$B$155:$J$162,0,4))*($AZ58-INDEX('How This Works &amp; Sources'!$B$155:$J$162,0,4))*INDEX('How This Works &amp; Sources'!$B$155:$J$162,0,4+2)),IF('Second Earner'!$C$77="C",SUMPRODUCT(($AZ58&gt;INDEX('How This Works &amp; Sources'!$B$155:$J$162,0,7))*($AZ58-INDEX('How This Works &amp; Sources'!$B$155:$J$162,0,7))*INDEX('How This Works &amp; Sources'!$B$155:$J$162,0,7+2)),IF('Second Earner'!$C$77="D",SUMPRODUCT(($AZ58&gt;INDEX('How This Works &amp; Sources'!$B$167:$J$179,0,1))*($AZ58-INDEX('How This Works &amp; Sources'!$B$167:$J$179,0,1))*INDEX('How This Works &amp; Sources'!$B$167:$J$179,0,1+2)),IF('Second Earner'!$C$77="E",SUMPRODUCT(($AZ58&gt;INDEX('How This Works &amp; Sources'!$B$167:$J$179,0,4))*($AZ58-INDEX('How This Works &amp; Sources'!$B$167:$J$179,0,4))*INDEX('How This Works &amp; Sources'!$B$167:$J$179,0,4+2)),SUMPRODUCT(($AZ58&gt;INDEX('How This Works &amp; Sources'!$B$155:$J$162,0,1))*($AZ58-INDEX('How This Works &amp; Sources'!$B$155:$J$162,0,1))*INDEX('How This Works &amp; Sources'!$B$155:$J$162,0,1+2)))))),IF($AN58="NY",IF($AU58="Married",IF($AZ58&gt;=2155350,$AZ58*IF($AZ58&gt;25000000,0.117,IF($AZ58&gt;5000000,0.111,0.1045)),SUMPRODUCT(($AZ58&gt;INDEX('How This Works &amp; Sources'!$B$184:$J$198,0,1))*($AZ58-INDEX('How This Works &amp; Sources'!$B$184:$J$198,0,1))*INDEX('How This Works &amp; Sources'!$B$184:$J$198,0,1+2))),IF($AZ58&gt;=1077550,$AZ58*IF($AZ58&gt;25000000,0.117,IF($AZ58&gt;5000000,0.111,0.1045)),SUMPRODUCT(($AZ58&gt;INDEX('How This Works &amp; Sources'!$B$167:$J$179,0,7))*($AZ58-INDEX('How This Works &amp; Sources'!$B$167:$J$179,0,7))*INDEX('How This Works &amp; Sources'!$B$167:$J$179,0,7+2)))),"")))))))</f>
      </c>
      <c r="BX58" s="7">
        <f>IF($B58="","",IF($AN58="AL",IF(OR($AU58="Married",$AU58="Head of household"),SUMPRODUCT(($AZ58&gt;INDEX('How This Works &amp; Sources'!$B$82:$J$86,0,4))*($AZ58-INDEX('How This Works &amp; Sources'!$B$82:$J$86,0,4))*INDEX('How This Works &amp; Sources'!$B$82:$J$86,0,4+2)),SUMPRODUCT(($AZ58&gt;INDEX('How This Works &amp; Sources'!$B$82:$J$86,0,1))*($AZ58-INDEX('How This Works &amp; Sources'!$B$82:$J$86,0,1))*INDEX('How This Works &amp; Sources'!$B$82:$J$86,0,1+2))),IF($AN58="KS",IF($AU58="Married",SUMPRODUCT(($AZ58&gt;INDEX('How This Works &amp; Sources'!$B$103:$J$109,0,4))*($AZ58-INDEX('How This Works &amp; Sources'!$B$103:$J$109,0,4))*INDEX('How This Works &amp; Sources'!$B$103:$J$109,0,4+2)),SUMPRODUCT(($AZ58&gt;INDEX('How This Works &amp; Sources'!$B$103:$J$109,0,1))*($AZ58-INDEX('How This Works &amp; Sources'!$B$103:$J$109,0,1))*INDEX('How This Works &amp; Sources'!$B$103:$J$109,0,1+2))),IF($AN58="MN",IF($AU58="Married",SUMPRODUCT(($AZ58&gt;INDEX('How This Works &amp; Sources'!$B$114:$J$120,0,7))*($AZ58-INDEX('How This Works &amp; Sources'!$B$114:$J$120,0,7))*INDEX('How This Works &amp; Sources'!$B$114:$J$120,0,7+2)),SUMPRODUCT(($AZ58&gt;INDEX('How This Works &amp; Sources'!$B$114:$J$120,0,4))*($AZ58-INDEX('How This Works &amp; Sources'!$B$114:$J$120,0,4))*INDEX('How This Works &amp; Sources'!$B$114:$J$120,0,4+2))),IF($AN58="MO",SUMPRODUCT(($AZ58&gt;INDEX('How This Works &amp; Sources'!$B$125:$J$132,0,1))*($AZ58-INDEX('How This Works &amp; Sources'!$B$125:$J$132,0,1))*INDEX('How This Works &amp; Sources'!$B$125:$J$132,0,1+2)),IF($AN58="NE",MAX(IF($AU58="Married",SUMPRODUCT(($AZ58&gt;INDEX('How This Works &amp; Sources'!$B$144:$J$150,0,7))*($AZ58-INDEX('How This Works &amp; Sources'!$B$144:$J$150,0,7))*INDEX('How This Works &amp; Sources'!$B$144:$J$150,0,7+2)),SUMPRODUCT(($AZ58&gt;INDEX('How This Works &amp; Sources'!$B$144:$J$150,0,4))*($AZ58-INDEX('How This Works &amp; Sources'!$B$144:$J$150,0,4))*INDEX('How This Works &amp; Sources'!$B$144:$J$150,0,4+2))),0.015*$AZ58),IF($AN58="OH",IF($B58&gt;=DATE(2026,8,1),SUMPRODUCT(($AZ58&gt;INDEX('How This Works &amp; Sources'!$B$203:$J$206,0,1))*($AZ58-INDEX('How This Works &amp; Sources'!$B$203:$J$206,0,1))*INDEX('How This Works &amp; Sources'!$B$203:$J$206,0,1+2)),SUMPRODUCT(($AZ58&gt;INDEX('How This Works &amp; Sources'!$B$184:$J$198,0,7))*($AZ58-INDEX('How This Works &amp; Sources'!$B$184:$J$198,0,7))*INDEX('How This Works &amp; Sources'!$B$184:$J$198,0,7+2))),IF($AN58="OK",IF($AU58="Married",SUMPRODUCT(($AZ58&gt;INDEX('How This Works &amp; Sources'!$B$203:$J$206,0,7))*($AZ58-INDEX('How This Works &amp; Sources'!$B$203:$J$206,0,7))*INDEX('How This Works &amp; Sources'!$B$203:$J$206,0,7+2)),SUMPRODUCT(($AZ58&gt;INDEX('How This Works &amp; Sources'!$B$203:$J$206,0,4))*($AZ58-INDEX('How This Works &amp; Sources'!$B$203:$J$206,0,4))*INDEX('How This Works &amp; Sources'!$B$203:$J$206,0,4+2))),IF($AN58="VT",IF($AU58="Married",SUMPRODUCT(($AZ58&gt;INDEX('How This Works &amp; Sources'!$B$228:$J$232,0,1))*($AZ58-INDEX('How This Works &amp; Sources'!$B$228:$J$232,0,1))*INDEX('How This Works &amp; Sources'!$B$228:$J$232,0,1+2)),SUMPRODUCT(($AZ58&gt;INDEX('How This Works &amp; Sources'!$B$219:$J$223,0,7))*($AZ58-INDEX('How This Works &amp; Sources'!$B$219:$J$223,0,7))*INDEX('How This Works &amp; Sources'!$B$219:$J$223,0,7+2))),IF($AN58="WV",IF($AU58="Married",SUMPRODUCT(($AZ58&gt;INDEX('How This Works &amp; Sources'!$B$237:$J$241,0,7))*($AZ58-INDEX('How This Works &amp; Sources'!$B$237:$J$241,0,7))*INDEX('How This Works &amp; Sources'!$B$237:$J$241,0,7+2)),SUMPRODUCT(($AZ58&gt;INDEX('How This Works &amp; Sources'!$B$228:$J$232,0,7))*($AZ58-INDEX('How This Works &amp; Sources'!$B$228:$J$232,0,7))*INDEX('How This Works &amp; Sources'!$B$228:$J$232,0,7+2))),""))))))))))</f>
      </c>
      <c r="BY58" s="7">
        <f>IF($B58="","",IF($AN58="DE",SUMPRODUCT(($AZ58&gt;INDEX('How This Works &amp; Sources'!$B$91:$J$98,0,1))*($AZ58-INDEX('How This Works &amp; Sources'!$B$91:$J$98,0,1))*INDEX('How This Works &amp; Sources'!$B$91:$J$98,0,1+2)),IF($AN58="HI",IF($AU58="Married",SUMPRODUCT(($AZ58&gt;INDEX('How This Works &amp; Sources'!$B$91:$J$98,0,7))*($AZ58-INDEX('How This Works &amp; Sources'!$B$91:$J$98,0,7))*INDEX('How This Works &amp; Sources'!$B$91:$J$98,0,7+2)),SUMPRODUCT(($AZ58&gt;INDEX('How This Works &amp; Sources'!$B$91:$J$98,0,4))*($AZ58-INDEX('How This Works &amp; Sources'!$B$91:$J$98,0,4))*INDEX('How This Works &amp; Sources'!$B$91:$J$98,0,4+2))),IF($AN58="RI",SUMPRODUCT(($AZ58&gt;INDEX('How This Works &amp; Sources'!$B$211:$J$214,0,7))*($AZ58-INDEX('How This Works &amp; Sources'!$B$211:$J$214,0,7))*INDEX('How This Works &amp; Sources'!$B$211:$J$214,0,7+2)),IF($AN58="SC",SUMPRODUCT(($AZ58&gt;INDEX('How This Works &amp; Sources'!$B$219:$J$223,0,1))*($AZ58-INDEX('How This Works &amp; Sources'!$B$219:$J$223,0,1))*INDEX('How This Works &amp; Sources'!$B$219:$J$223,0,1+2)),IF($AN58="VA",SUMPRODUCT(($AZ58&gt;INDEX('How This Works &amp; Sources'!$B$219:$J$223,0,4))*($AZ58-INDEX('How This Works &amp; Sources'!$B$219:$J$223,0,4))*INDEX('How This Works &amp; Sources'!$B$219:$J$223,0,4+2)),IF($AN58="WI",SUMPRODUCT(($AZ58&gt;INDEX('How This Works &amp; Sources'!$B$228:$J$232,0,4))*($AZ58-INDEX('How This Works &amp; Sources'!$B$228:$J$232,0,4))*INDEX('How This Works &amp; Sources'!$B$228:$J$232,0,4+2)),"")))))))</f>
      </c>
      <c r="BZ58" s="24">
        <f>IF($B58="","",IF($AN58="KS",IF($AU58="Married",SUMPRODUCT(($AZ58&gt;=INDEX('How This Works &amp; Sources'!$B$103:$J$109,0,4))*INDEX('How This Works &amp; Sources'!$B$103:$J$109,0,4+2)),SUMPRODUCT(($AZ58&gt;=INDEX('How This Works &amp; Sources'!$B$103:$J$109,0,1))*INDEX('How This Works &amp; Sources'!$B$103:$J$109,0,1+2))),IF($AN58="MT",IF($AU58="Head of household",SUMPRODUCT(($AZ58&gt;=INDEX('How This Works &amp; Sources'!$B$137:$J$139,0,1))*INDEX('How This Works &amp; Sources'!$B$137:$J$139,0,1+2)),IF($AU58="Married",SUMPRODUCT(($AZ58&gt;=INDEX('How This Works &amp; Sources'!$B$125:$J$132,0,7))*INDEX('How This Works &amp; Sources'!$B$125:$J$132,0,7+2)),SUMPRODUCT(($AZ58&gt;=INDEX('How This Works &amp; Sources'!$B$125:$J$132,0,4))*INDEX('How This Works &amp; Sources'!$B$125:$J$132,0,4+2)))),IF($AN58="OR",IF(OR($AU58="Married",AND($AU58="Single",$AS58&gt;=3)),SUMPRODUCT((MAX(0,$AY58-MIN(($P58-'How This Works &amp; Sources'!$C$10*$D58)*'Second Earner'!$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Sources'!$B$211:$J$214,0,4))*INDEX('How This Works &amp; Sources'!$B$211:$J$214,0,4+2)),SUMPRODUCT((MAX(0,$AY58-MIN(($P58-'How This Works &amp; Sources'!$C$10*$D58)*'Second Earner'!$C$8,IF(OR($AU58="Married",AND($AU58="Single",$AS58&gt;=3)),IF($AY58&lt;250000,8750,IF($AY58&lt;260000,7000,IF($AY58&lt;270000,5250,IF($AY58&lt;280000,3500,IF($AY58&lt;290000,1750,0))))),IF($AY58&lt;125000,8750,IF($AY58&lt;130000,7000,IF($AY58&lt;135000,5250,IF($AY58&lt;140000,3500,IF($AY58&lt;145000,1750,0)))))))-IF(OR($AU58="Married",AND($AU58="Single",$AS58&gt;=3)),5820,2910))&gt;=INDEX('How This Works &amp; Sources'!$B$211:$J$214,0,1))*INDEX('How This Works &amp; Sources'!$B$211:$J$214,0,1+2)))*IF(($P58-'How This Works &amp; Sources'!$C$10*$D58)*'Second Earner'!$C$8&gt;=IF(OR($AU58="Married",AND($AU58="Single",$AS58&gt;=3)),IF($AY58&lt;250000,8750,IF($AY58&lt;260000,7000,IF($AY58&lt;270000,5250,IF($AY58&lt;280000,3500,IF($AY58&lt;290000,1750,0))))),IF($AY58&lt;125000,8750,IF($AY58&lt;130000,7000,IF($AY58&lt;135000,5250,IF($AY58&lt;140000,3500,IF($AY58&lt;145000,1750,0)))))),1,1-IF('Second Earner'!$C$13,SUMPRODUCT(($AH58&gt;=INDEX('How This Works &amp; Sources'!$B$29:$J$36,0,IF('Second Earner'!$C$12="MFJ",1,IF('Second Earner'!$C$12="HoH",7,4))))*INDEX('How This Works &amp; Sources'!$B$29:$J$36,0,IF('Second Earner'!$C$12="MFJ",1,IF('Second Earner'!$C$12="HoH",7,4))+2)),SUMPRODUCT(($AH58&gt;=INDEX('How This Works &amp; Sources'!$B$19:$J$26,0,IF('Second Earner'!$C$12="MFJ",1,IF('Second Earner'!$C$12="HoH",7,4))))*INDEX('How This Works &amp; Sources'!$B$19:$J$26,0,IF('Second Earner'!$C$12="MFJ",1,IF('Second Earner'!$C$12="HoH",7,4))+2)))),""))))</f>
      </c>
      <c r="CA58" s="24">
        <f>IF($B58="","",IF($AN58="CA",SUMPRODUCT(($AJ58&gt;=INDEX('How This Works &amp; Sources'!$B$39:$J$48,0,IF($AU58="Married",4,IF($AU58="Head of household",7,1))))*INDEX('How This Works &amp; Sources'!$B$39:$J$48,0,IF($AU58="Married",4,IF($AU58="Head of household",7,1))+2)),IF($AN58="AL",IF(OR($AU58="Married",$AU58="Head of household"),SUMPRODUCT(($AZ58&gt;=INDEX('How This Works &amp; Sources'!$B$82:$J$86,0,4))*INDEX('How This Works &amp; Sources'!$B$82:$J$86,0,4+2)),SUMPRODUCT(($AZ58&gt;=INDEX('How This Works &amp; Sources'!$B$82:$J$86,0,1))*INDEX('How This Works &amp; Sources'!$B$82:$J$86,0,1+2)))*(1-IF('Second Earner'!$C$13,SUMPRODUCT(($AH58&gt;=INDEX('How This Works &amp; Sources'!$B$29:$J$36,0,IF('Second Earner'!$C$12="MFJ",1,IF('Second Earner'!$C$12="HoH",7,4))))*INDEX('How This Works &amp; Sources'!$B$29:$J$36,0,IF('Second Earner'!$C$12="MFJ",1,IF('Second Earner'!$C$12="HoH",7,4))+2)),SUMPRODUCT(($AH58&gt;=INDEX('How This Works &amp; Sources'!$B$19:$J$26,0,IF('Second Earner'!$C$12="MFJ",1,IF('Second Earner'!$C$12="HoH",7,4))))*INDEX('How This Works &amp; Sources'!$B$19:$J$26,0,IF('Second Earner'!$C$12="MFJ",1,IF('Second Earner'!$C$12="HoH",7,4))+2)))),IF($AN58="ND",IF($AU58="Head of household",SUMPRODUCT(($AZ58&gt;=INDEX('How This Works &amp; Sources'!$B$144:$J$150,0,1))*INDEX('How This Works &amp; Sources'!$B$144:$J$150,0,1+2)),IF($AU58="Married",SUMPRODUCT(($AZ58&gt;=INDEX('How This Works &amp; Sources'!$B$137:$J$139,0,7))*INDEX('How This Works &amp; Sources'!$B$137:$J$139,0,7+2)),SUMPRODUCT(($AZ58&gt;=INDEX('How This Works &amp; Sources'!$B$137:$J$139,0,4))*INDEX('How This Works &amp; Sources'!$B$137:$J$139,0,4+2)))),IF($AN58="NJ",IF('Second Earner'!$C$77="B",SUMPRODUCT(($AZ58&gt;=INDEX('How This Works &amp; Sources'!$B$155:$J$162,0,4))*INDEX('How This Works &amp; Sources'!$B$155:$J$162,0,4+2)),IF('Second Earner'!$C$77="C",SUMPRODUCT(($AZ58&gt;=INDEX('How This Works &amp; Sources'!$B$155:$J$162,0,7))*INDEX('How This Works &amp; Sources'!$B$155:$J$162,0,7+2)),IF('Second Earner'!$C$77="D",SUMPRODUCT(($AZ58&gt;=INDEX('How This Works &amp; Sources'!$B$167:$J$179,0,1))*INDEX('How This Works &amp; Sources'!$B$167:$J$179,0,1+2)),IF('Second Earner'!$C$77="E",SUMPRODUCT(($AZ58&gt;=INDEX('How This Works &amp; Sources'!$B$167:$J$179,0,4))*INDEX('How This Works &amp; Sources'!$B$167:$J$179,0,4+2)),SUMPRODUCT(($AZ58&gt;=INDEX('How This Works &amp; Sources'!$B$155:$J$162,0,1))*INDEX('How This Works &amp; Sources'!$B$155:$J$162,0,1+2)))))),IF($AN58="NY",IF($AU58="Married",IF($AZ58&gt;=2155350,IF($AZ58&gt;25000000,0.117,IF($AZ58&gt;5000000,0.111,0.1045)),SUMPRODUCT(($AZ58&gt;=INDEX('How This Works &amp; Sources'!$B$184:$J$198,0,1))*INDEX('How This Works &amp; Sources'!$B$184:$J$198,0,1+2))),IF($AZ58&gt;=1077550,IF($AZ58&gt;25000000,0.117,IF($AZ58&gt;5000000,0.111,0.1045)),SUMPRODUCT(($AZ58&gt;=INDEX('How This Works &amp; Sources'!$B$167:$J$179,0,7))*INDEX('How This Works &amp; Sources'!$B$167:$J$179,0,7+2)))),IF($AN58="LA",0.0309,"")))))))</f>
      </c>
      <c r="CB58" s="24">
        <f>IF($B58="","",IF($AN58="HI",IF($AU58="Married",SUMPRODUCT(($AZ58&gt;=INDEX('How This Works &amp; Sources'!$B$91:$J$98,0,7))*INDEX('How This Works &amp; Sources'!$B$91:$J$98,0,7+2)),SUMPRODUCT(($AZ58&gt;=INDEX('How This Works &amp; Sources'!$B$91:$J$98,0,4))*INDEX('How This Works &amp; Sources'!$B$91:$J$98,0,4+2))),IF($AN58="MD",IF(OR($AU58="Married",$AU58="Head of household"),SUMPRODUCT(($AZ58&gt;=INDEX('How This Works &amp; Sources'!$B$114:$J$120,0,1))*INDEX('How This Works &amp; Sources'!$B$114:$J$120,0,1+2)),SUMPRODUCT(($AZ58&gt;=INDEX('How This Works &amp; Sources'!$B$103:$J$109,0,7))*INDEX('How This Works &amp; Sources'!$B$103:$J$109,0,7+2)))+'Second Earner'!$C$74,IF($AN58="MN",IF($AU58="Married",SUMPRODUCT(($AZ58&gt;=INDEX('How This Works &amp; Sources'!$B$114:$J$120,0,7))*INDEX('How This Works &amp; Sources'!$B$114:$J$120,0,7+2)),SUMPRODUCT(($AZ58&gt;=INDEX('How This Works &amp; Sources'!$B$114:$J$120,0,4))*INDEX('How This Works &amp; Sources'!$B$114:$J$120,0,4+2))),IF($AN58="MO",SUMPRODUCT(($AZ58&gt;=INDEX('How This Works &amp; Sources'!$B$125:$J$132,0,1))*INDEX('How This Works &amp; Sources'!$B$125:$J$132,0,1+2)),IF($AN58="NE",MAX(IF($AU58="Married",SUMPRODUCT(($AZ58&gt;=INDEX('How This Works &amp; Sources'!$B$144:$J$150,0,7))*INDEX('How This Works &amp; Sources'!$B$144:$J$150,0,7+2)),SUMPRODUCT(($AZ58&gt;=INDEX('How This Works &amp; Sources'!$B$144:$J$150,0,4))*INDEX('How This Works &amp; Sources'!$B$144:$J$150,0,4+2))),0.015),IF($AN58="OH",IF($B58&gt;=DATE(2026,8,1),SUMPRODUCT(($AZ58&gt;=INDEX('How This Works &amp; Sources'!$B$203:$J$206,0,1))*INDEX('How This Works &amp; Sources'!$B$203:$J$206,0,1+2)),SUMPRODUCT(($AZ58&gt;=INDEX('How This Works &amp; Sources'!$B$184:$J$198,0,7))*INDEX('How This Works &amp; Sources'!$B$184:$J$198,0,7+2))),IF($AN58="OK",IF($AU58="Married",SUMPRODUCT(($AZ58&gt;=INDEX('How This Works &amp; Sources'!$B$203:$J$206,0,7))*INDEX('How This Works &amp; Sources'!$B$203:$J$206,0,7+2)),SUMPRODUCT(($AZ58&gt;=INDEX('How This Works &amp; Sources'!$B$203:$J$206,0,4))*INDEX('How This Works &amp; Sources'!$B$203:$J$206,0,4+2))),IF($AN58="RI",SUMPRODUCT(($AZ58&gt;=INDEX('How This Works &amp; Sources'!$B$211:$J$214,0,7))*INDEX('How This Works &amp; Sources'!$B$211:$J$214,0,7+2)),IF($AN58="VT",IF($AU58="Married",SUMPRODUCT(($AZ58&gt;=INDEX('How This Works &amp; Sources'!$B$228:$J$232,0,1))*INDEX('How This Works &amp; Sources'!$B$228:$J$232,0,1+2)),SUMPRODUCT(($AZ58&gt;=INDEX('How This Works &amp; Sources'!$B$219:$J$223,0,7))*INDEX('How This Works &amp; Sources'!$B$219:$J$223,0,7+2))),IF($AN58="WV",IF($AU58="Married",SUMPRODUCT(($AZ58&gt;=INDEX('How This Works &amp; Sources'!$B$237:$J$241,0,7))*INDEX('How This Works &amp; Sources'!$B$237:$J$241,0,7+2)),SUMPRODUCT(($AZ58&gt;=INDEX('How This Works &amp; Sources'!$B$228:$J$232,0,7))*INDEX('How This Works &amp; Sources'!$B$228:$J$232,0,7+2))),IF($AN58="AZ",'Second Earner'!$C$82,IF($AN58="ID",IF($AY58&gt;IF($AU58="Married",32000,16094),0.053,0),"")))))))))))))</f>
      </c>
      <c r="CC58" s="24">
        <f>IF($B58="","",IF($AN58="AR",SUMPRODUCT(($AZ58&gt;=INDEX('How This Works &amp; Sources'!$B$82:$J$86,0,7))*INDEX('How This Works &amp; Sources'!$B$82:$J$86,0,7+2)),IF($AN58="DE",SUMPRODUCT(($AZ58&gt;=INDEX('How This Works &amp; Sources'!$B$91:$J$98,0,1))*INDEX('How This Works &amp; Sources'!$B$91:$J$98,0,1+2)),IF($AN58="SC",SUMPRODUCT(($AZ58&gt;=INDEX('How This Works &amp; Sources'!$B$219:$J$223,0,1))*INDEX('How This Works &amp; Sources'!$B$219:$J$223,0,1+2)),IF($AN58="VA",SUMPRODUCT(($AZ58&gt;=INDEX('How This Works &amp; Sources'!$B$219:$J$223,0,4))*INDEX('How This Works &amp; Sources'!$B$219:$J$223,0,4+2)),IF($AN58="WI",SUMPRODUCT(($AZ58&gt;=INDEX('How This Works &amp; Sources'!$B$228:$J$232,0,4))*INDEX('How This Works &amp; Sources'!$B$228:$J$232,0,4+2)),IF($AN58="CO",IF($AY58&gt;IF($AU58="Married",10000,5000),0.044,0),IF($AN58="IA",IF($AY58&gt;IF($AU58="Head of household",19500,IF($AU58="Married",26000,13000)),0.038,0),IF($AN58="IL",IF($AY58&gt;(2925*$AS58+1000*$AT58),0.0495,0),IF($AN58="IN",(0.0295+'Second Earner'!$C$76),IF($AN58="KY",IF($AI58&gt;3360,0.035,0),IF($AN58="MA",IF(MAX(0,$AY58-MIN(($BD57+$Q58+$R58+$S58),2000)-IF($AS58=0,0,IF($AS58=1,4400,1000*$AS58+3400)))&gt;=1107750,0.09,0.05),IF($AN58="MI",IF($AY58&gt;5900*$AS58,0.0425,0),IF($AN58="MS",IF($AI58-IF($AU58="Head of household",3400,IF($AU58="Married",4600,2300))-'Second Earner'!$C$85&gt;10000,0.04,0),IF($AN58="PA",0.0307,"")))))))))))))))</f>
      </c>
      <c r="CD58" s="21">
        <f>IF(YEAR(IF('Second Earner'!$C$7="Weekly",'Second Earner'!$C$9+7*(($BE57+1)-1),IF('Second Earner'!$C$7="Biweekly",'Second Earner'!$C$9+14*(($BE57+1)-1),IF('Second Earner'!$C$7="Semimonthly",DATE(YEAR('Second Earner'!$C$9),MONTH('Second Earner'!$C$9)+INT((($BE57+1)-1)/2),MIN(DAY('Second Earner'!$C$9),DAY(EOMONTH(DATE(YEAR('Second Earner'!$C$9),MONTH('Second Earner'!$C$9)+INT((($BE57+1)-1)/2),1),0))))+IF(MOD(($BE57+1)-1,2)=1,15,0),EDATE('Second Earner'!$C$9,($BE57+1)-1)))))&lt;&gt;'Second Earner'!$C$10,"",IF('Second Earner'!$C$7="Weekly",'Second Earner'!$C$9+7*(($BE57+1)-1),IF('Second Earner'!$C$7="Biweekly",'Second Earner'!$C$9+14*(($BE57+1)-1),IF('Second Earner'!$C$7="Semimonthly",DATE(YEAR('Second Earner'!$C$9),MONTH('Second Earner'!$C$9)+INT((($BE57+1)-1)/2),MIN(DAY('Second Earner'!$C$9),DAY(EOMONTH(DATE(YEAR('Second Earner'!$C$9),MONTH('Second Earner'!$C$9)+INT((($BE57+1)-1)/2),1),0))))+IF(MOD(($BE57+1)-1,2)=1,15,0),EDATE('Second Earner'!$C$9,($BE57+1)-1)))))</f>
      </c>
      <c r="CE58" s="21">
        <f>IF(MIN(IF(AND('Second Earner'!$C$58&gt;MAX($B$6:$B57),'Second Earner'!$C$58&gt;=DATE('Second Earner'!$C$10,1,1),'Second Earner'!$C$58&lt;=DATE('Second Earner'!$C$10,12,31)),'Second Earner'!$C$58,999999),IF(AND('Second Earner'!$C$59&gt;MAX($B$6:$B57),'Second Earner'!$C$59&gt;=DATE('Second Earner'!$C$10,1,1),'Second Earner'!$C$59&lt;=DATE('Second Earner'!$C$10,12,31)),'Second Earner'!$C$59,999999),IF(AND('Second Earner'!$C$60&gt;MAX($B$6:$B57),'Second Earner'!$C$60&gt;=DATE('Second Earner'!$C$10,1,1),'Second Earner'!$C$60&lt;=DATE('Second Earner'!$C$10,12,31)),'Second Earner'!$C$60,999999),IF(AND('Second Earner'!$C$61&gt;MAX($B$6:$B57),'Second Earner'!$C$61&gt;=DATE('Second Earner'!$C$10,1,1),'Second Earner'!$C$61&lt;=DATE('Second Earner'!$C$10,12,31)),'Second Earner'!$C$61,999999),IF(AND('Second Earner'!$C$62&gt;MAX($B$6:$B57),'Second Earner'!$C$62&gt;=DATE('Second Earner'!$C$10,1,1),'Second Earner'!$C$62&lt;=DATE('Second Earner'!$C$10,12,31)),'Second Earner'!$C$62,999999),IF(AND('Second Earner'!$C$63&gt;MAX($B$6:$B57),'Second Earner'!$C$63&gt;=DATE('Second Earner'!$C$10,1,1),'Second Earner'!$C$63&lt;=DATE('Second Earner'!$C$10,12,31)),'Second Earner'!$C$63,999999),IF(AND('Second Earner'!$C$64&gt;MAX($B$6:$B57),'Second Earner'!$C$64&gt;=DATE('Second Earner'!$C$10,1,1),'Second Earner'!$C$64&lt;=DATE('Second Earner'!$C$10,12,31)),'Second Earner'!$C$64,999999),IF(AND('Second Earner'!$C$65&gt;MAX($B$6:$B57),'Second Earner'!$C$65&gt;=DATE('Second Earner'!$C$10,1,1),'Second Earner'!$C$65&lt;=DATE('Second Earner'!$C$10,12,31)),'Second Earner'!$C$65,999999),IF(AND('Second Earner'!$C$66&gt;MAX($B$6:$B57),'Second Earner'!$C$66&gt;=DATE('Second Earner'!$C$10,1,1),'Second Earner'!$C$66&lt;=DATE('Second Earner'!$C$10,12,31)),'Second Earner'!$C$66,999999),IF(AND('Second Earner'!$C$67&gt;MAX($B$6:$B57),'Second Earner'!$C$67&gt;=DATE('Second Earner'!$C$10,1,1),'Second Earner'!$C$67&lt;=DATE('Second Earner'!$C$10,12,31)),'Second Earner'!$C$67,999999))=999999,"",MIN(IF(AND('Second Earner'!$C$58&gt;MAX($B$6:$B57),'Second Earner'!$C$58&gt;=DATE('Second Earner'!$C$10,1,1),'Second Earner'!$C$58&lt;=DATE('Second Earner'!$C$10,12,31)),'Second Earner'!$C$58,999999),IF(AND('Second Earner'!$C$59&gt;MAX($B$6:$B57),'Second Earner'!$C$59&gt;=DATE('Second Earner'!$C$10,1,1),'Second Earner'!$C$59&lt;=DATE('Second Earner'!$C$10,12,31)),'Second Earner'!$C$59,999999),IF(AND('Second Earner'!$C$60&gt;MAX($B$6:$B57),'Second Earner'!$C$60&gt;=DATE('Second Earner'!$C$10,1,1),'Second Earner'!$C$60&lt;=DATE('Second Earner'!$C$10,12,31)),'Second Earner'!$C$60,999999),IF(AND('Second Earner'!$C$61&gt;MAX($B$6:$B57),'Second Earner'!$C$61&gt;=DATE('Second Earner'!$C$10,1,1),'Second Earner'!$C$61&lt;=DATE('Second Earner'!$C$10,12,31)),'Second Earner'!$C$61,999999),IF(AND('Second Earner'!$C$62&gt;MAX($B$6:$B57),'Second Earner'!$C$62&gt;=DATE('Second Earner'!$C$10,1,1),'Second Earner'!$C$62&lt;=DATE('Second Earner'!$C$10,12,31)),'Second Earner'!$C$62,999999),IF(AND('Second Earner'!$C$63&gt;MAX($B$6:$B57),'Second Earner'!$C$63&gt;=DATE('Second Earner'!$C$10,1,1),'Second Earner'!$C$63&lt;=DATE('Second Earner'!$C$10,12,31)),'Second Earner'!$C$63,999999),IF(AND('Second Earner'!$C$64&gt;MAX($B$6:$B57),'Second Earner'!$C$64&gt;=DATE('Second Earner'!$C$10,1,1),'Second Earner'!$C$64&lt;=DATE('Second Earner'!$C$10,12,31)),'Second Earner'!$C$64,999999),IF(AND('Second Earner'!$C$65&gt;MAX($B$6:$B57),'Second Earner'!$C$65&gt;=DATE('Second Earner'!$C$10,1,1),'Second Earner'!$C$65&lt;=DATE('Second Earner'!$C$10,12,31)),'Second Earner'!$C$65,999999),IF(AND('Second Earner'!$C$66&gt;MAX($B$6:$B57),'Second Earner'!$C$66&gt;=DATE('Second Earner'!$C$10,1,1),'Second Earner'!$C$66&lt;=DATE('Second Earner'!$C$10,12,31)),'Second Earner'!$C$66,999999),IF(AND('Second Earner'!$C$67&gt;MAX($B$6:$B57),'Second Earner'!$C$67&gt;=DATE('Second Earner'!$C$10,1,1),'Second Earner'!$C$67&lt;=DATE('Second Earner'!$C$10,12,31)),'Second Earner'!$C$67,999999)))</f>
      </c>
      <c r="CF58">
        <f>IF($B58="","",IF($D58=0,$Y58,""))</f>
      </c>
    </row>
    <row r="59">
      <c r="A59" t="n">
        <v>54</v>
      </c>
      <c r="B59" s="21">
        <f>IF(AND($CD59="",$CE59=""),"",IF($CE59="",$CD59,IF($CD59="",$CE59,MIN($CD59,$CE59))))</f>
      </c>
      <c r="C59" s="7">
        <f>IF($B59="","",IF($BF59=0,0,IF('Second Earner'!$C$4="Annual salary",ROUND($AK59/IF(AND('Second Earner'!$C$88="Actual paydays",MONTH('Second Earner'!$C$9)=1),MAX(1,MAX($BE$6:$BE$68)),'Second Earner'!$C$8),2),$AK59)))</f>
      </c>
      <c r="D59" s="7">
        <f>IF($B59="","",SUMIF('Second Earner'!$C$58:$C$67,$B59,'Second Earner'!$D$58:$D$67))</f>
      </c>
      <c r="E59" s="7">
        <f>IF($B59="","",ROUND(MAX(0,MIN(IF($AL59="Percent",$AM59*($C59+$D59),$AM59),MAX(0,'Second Earner'!$C$34-$AC58))),2))</f>
      </c>
      <c r="F59" s="7">
        <f>IF($B59="","",ROUND(MAX(0,MIN(IF('Second Earner'!$C$32="Percent",'Second Earner'!$D$32*($C59+$D59),'Second Earner'!$D$32),MAX(0,'Second Earner'!$C$34-$AC58-$E59))),2))</f>
      </c>
      <c r="G59" s="7">
        <f>IF($B59="","",IF($BF59=0,0,ROUND(MAX(0,MIN($BL59,'Second Earner'!$C$37-'Second Earner'!$C$54-$BI58)),2)))</f>
      </c>
      <c r="H59" s="7">
        <f>IF($B59="","",IF(OR($BF59=0,$BQ59=1),0,ROUND(MAX(0,MIN(IF($BS59=1,ROUND(MAX(0,MIN($BJ59,'How This Works &amp; Sources'!$C$13)-$BG58)/MAX(1,MAX($BE$6:$BE$68)-($BE58)),2),ROUND(MIN($BJ59,'How This Works &amp; Sources'!$C$13)/'Second Earner'!$C$8,2)),MIN($BJ59,'How This Works &amp; Sources'!$C$13)-$BG58)),2)))</f>
      </c>
      <c r="I59" s="7">
        <f>IF($B59="","",IF(OR($BF59=0,$BR59=1),0,ROUND(MAX(0,MIN(IF($BT59=1,ROUND(MAX(0,MIN($BK59,IF('Second Earner'!$C$12="MFJ",'How This Works &amp; Sources'!$C$14,'How This Works &amp; Sources'!$C$15))-$BH58)/MAX(1,MAX($BE$6:$BE$68)-($BE58)),2),ROUND(MIN($BK59,IF('Second Earner'!$C$12="MFJ",'How This Works &amp; Sources'!$C$14,'How This Works &amp; Sources'!$C$15))/'Second Earner'!$C$8,2)),MIN($BK59,IF('Second Earner'!$C$12="MFJ",'How This Works &amp; Sources'!$C$14,'How This Works &amp; Sources'!$C$15))-$BH58)),2)))</f>
      </c>
      <c r="J59" s="7">
        <f>IF($B59="","",IF($BF59=0,0,$BM59))</f>
      </c>
      <c r="K59" s="7">
        <f>IF($B59="","",IF($BF59=0,0,$BN59+$BO59))</f>
      </c>
      <c r="L59" s="7">
        <f>IF($B59="","",IF($BF59=0,0,'Second Earner'!$D$46))</f>
      </c>
      <c r="M59" s="7">
        <f>IF($B59="","",$C59+$D59+$L59-$E59-$G59-$H59-$I59-$J59-$K59)</f>
      </c>
      <c r="N59" s="7">
        <f>IF($B59="","",$C59+$D59+$L59-$G59-$H59-$I59-$J59-$K59)</f>
      </c>
      <c r="O59" s="7">
        <f>IF($B59="","",$C59+$D59+$L59-$E59-$H59-$I59-$J59-$K59-IF(OR($AN59="CA",$AN59="NJ"),0,$G59))</f>
      </c>
      <c r="P59" s="7">
        <f>IF($B59="","",IF('Second Earner'!$C$18,0,ROUND(MAX(0,IF('Second Earner'!$C$13,SUMPRODUCT(($AH59&gt;INDEX('How This Works &amp; Sources'!$B$29:$J$36,0,IF('Second Earner'!$C$12="MFJ",1,IF('Second Earner'!$C$12="HoH",7,4))))*($AH59-INDEX('How This Works &amp; Sources'!$B$29:$J$36,0,IF('Second Earner'!$C$12="MFJ",1,IF('Second Earner'!$C$12="HoH",7,4))))*INDEX('How This Works &amp; Sources'!$B$29:$J$36,0,IF('Second Earner'!$C$12="MFJ",1,IF('Second Earner'!$C$12="HoH",7,4))+2)),SUMPRODUCT(($AH59&gt;INDEX('How This Works &amp; Sources'!$B$19:$J$26,0,IF('Second Earner'!$C$12="MFJ",1,IF('Second Earner'!$C$12="HoH",7,4))))*($AH59-INDEX('How This Works &amp; Sources'!$B$19:$J$26,0,IF('Second Earner'!$C$12="MFJ",1,IF('Second Earner'!$C$12="HoH",7,4))))*INDEX('How This Works &amp; Sources'!$B$19:$J$26,0,IF('Second Earner'!$C$12="MFJ",1,IF('Second Earner'!$C$12="HoH",7,4))+2)))/'Second Earner'!$C$8-$AO59/'Second Earner'!$C$8)+$AR59+IF('Second Earner'!$C$89="Aggregate",MAX(0,IF('Second Earner'!$C$13,SUMPRODUCT((($AH59+$D59)&gt;INDEX('How This Works &amp; Sources'!$B$29:$J$36,0,IF('Second Earner'!$C$12="MFJ",1,IF('Second Earner'!$C$12="HoH",7,4))))*(($AH59+$D59)-INDEX('How This Works &amp; Sources'!$B$29:$J$36,0,IF('Second Earner'!$C$12="MFJ",1,IF('Second Earner'!$C$12="HoH",7,4))))*INDEX('How This Works &amp; Sources'!$B$29:$J$36,0,IF('Second Earner'!$C$12="MFJ",1,IF('Second Earner'!$C$12="HoH",7,4))+2)),SUMPRODUCT((($AH59+$D59)&gt;INDEX('How This Works &amp; Sources'!$B$19:$J$26,0,IF('Second Earner'!$C$12="MFJ",1,IF('Second Earner'!$C$12="HoH",7,4))))*(($AH59+$D59)-INDEX('How This Works &amp; Sources'!$B$19:$J$26,0,IF('Second Earner'!$C$12="MFJ",1,IF('Second Earner'!$C$12="HoH",7,4))))*INDEX('How This Works &amp; Sources'!$B$19:$J$26,0,IF('Second Earner'!$C$12="MFJ",1,IF('Second Earner'!$C$12="HoH",7,4))+2)))-IF('Second Earner'!$C$13,SUMPRODUCT(($AH59&gt;INDEX('How This Works &amp; Sources'!$B$29:$J$36,0,IF('Second Earner'!$C$12="MFJ",1,IF('Second Earner'!$C$12="HoH",7,4))))*($AH59-INDEX('How This Works &amp; Sources'!$B$29:$J$36,0,IF('Second Earner'!$C$12="MFJ",1,IF('Second Earner'!$C$12="HoH",7,4))))*INDEX('How This Works &amp; Sources'!$B$29:$J$36,0,IF('Second Earner'!$C$12="MFJ",1,IF('Second Earner'!$C$12="HoH",7,4))+2)),SUMPRODUCT(($AH59&gt;INDEX('How This Works &amp; Sources'!$B$19:$J$26,0,IF('Second Earner'!$C$12="MFJ",1,IF('Second Earner'!$C$12="HoH",7,4))))*($AH59-INDEX('How This Works &amp; Sources'!$B$19:$J$26,0,IF('Second Earner'!$C$12="MFJ",1,IF('Second Earner'!$C$12="HoH",7,4))))*INDEX('How This Works &amp; Sources'!$B$19:$J$26,0,IF('Second Earner'!$C$12="MFJ",1,IF('Second Earner'!$C$12="HoH",7,4))+2)))),'How This Works &amp; Sources'!$C$10*$D59),2)))</f>
      </c>
      <c r="Q59" s="7">
        <f>IF($B59="","",ROUND('How This Works &amp; Sources'!$C$4*MIN($N59,MAX(0,'How This Works &amp; Sources'!$C$3-($AX59+$AB58-$AW59))),2))</f>
      </c>
      <c r="R59" s="7">
        <f>IF($B59="","",ROUND('How This Works &amp; Sources'!$C$5*$N59,2))</f>
      </c>
      <c r="S59" s="7">
        <f>IF($B59="","",ROUND('How This Works &amp; Sources'!$C$6*MAX(0,MIN($N59,$AG58+$N59-'How This Works &amp; Sources'!$C$7)),2))</f>
      </c>
      <c r="T59" s="7">
        <f>IF($B59="","",IF('Second Earner'!$C$26,0,IF($AN59="CA",ROUND(IF($AI59&lt;=IF(($AS59+$AT59)&gt;=2,VLOOKUP($AN59,StateTables!$A$6:$AB$56,10,FALSE),VLOOKUP($AN59,StateTables!$A$6:$AB$56,9,FALSE)),0,MAX(0,SUMPRODUCT(($AJ59&gt;INDEX('How This Works &amp; Sources'!$B$39:$J$48,0,IF($AU59="Married",4,IF($AU59="Head of household",7,1))))*($AJ59-INDEX('How This Works &amp; Sources'!$B$39:$J$48,0,IF($AU59="Married",4,IF($AU59="Head of household",7,1))))*INDEX('How This Works &amp; Sources'!$B$39:$J$48,0,IF($AU59="Married",4,IF($AU59="Head of household",7,1))+2))-VLOOKUP($AN59,StateTables!$A$6:$AB$56,11,FALSE)*$AS59)/'Second Earner'!$C$8)+'Second Earner'!$C$25+VLOOKUP($AN59,StateTables!$A$6:$AB$56,13,FALSE)*$D59,2),IF(VLOOKUP($AN59,StateTables!$A$6:$AB$56,4,FALSE)="None",0,IF(ISNUMBER(SEARCH("MANUAL",VLOOKUP($AN59,StateTables!$A$6:$AB$56,5,FALSE))),'Second Earner'!$C$28,ROUND(MAX(0,$BA59+$BB59)/'Second Earner'!$C$8+'Second Earner'!$C$25+$BC59,2))))))</f>
      </c>
      <c r="U59" s="7">
        <f>IF($B59="","",IF(VLOOKUP($AN59,StateTables!$A$6:$AB$56,24,FALSE)="flatq",IF(OR(MONTH($B59)=1,MONTH($B59)=4,MONTH($B59)=7,MONTH($B59)=10),VLOOKUP($AN59,StateTables!$A$6:$AB$56,25,FALSE),0),IF(VLOOKUP($AN59,StateTables!$A$6:$AB$56,24,FALSE)="dbl",MIN(ROUND(0.005*$N59,2),ROUND(0.6*52/'Second Earner'!$C$8,2)),IF(OR(VLOOKUP($AN59,StateTables!$A$6:$AB$56,15,FALSE)="",VLOOKUP($AN59,StateTables!$A$6:$AB$56,15,FALSE)=0),0,ROUND(VLOOKUP($AN59,StateTables!$A$6:$AB$56,15,FALSE)*IF(OR(VLOOKUP($AN59,StateTables!$A$6:$AB$56,16,FALSE)="",VLOOKUP($AN59,StateTables!$A$6:$AB$56,16,FALSE)=0),$N59,MIN($N59,MAX(0,VLOOKUP($AN59,StateTables!$A$6:$AB$56,16,FALSE)-($AX59+$AB58-$AW59)))),2))))+IF(VLOOKUP($AN59,StateTables!$A$6:$AB$56,27,FALSE)="flatq",IF(OR(MONTH($B59)=1,MONTH($B59)=4,MONTH($B59)=7,MONTH($B59)=10),VLOOKUP($AN59,StateTables!$A$6:$AB$56,28,FALSE),0),IF(VLOOKUP($AN59,StateTables!$A$6:$AB$56,27,FALSE)="dbl",MIN(ROUND(0.005*$N59,2),ROUND(0.6*52/'Second Earner'!$C$8,2)),IF(OR(VLOOKUP($AN59,StateTables!$A$6:$AB$56,18,FALSE)="",VLOOKUP($AN59,StateTables!$A$6:$AB$56,18,FALSE)=0),0,ROUND(VLOOKUP($AN59,StateTables!$A$6:$AB$56,18,FALSE)*IF(OR(VLOOKUP($AN59,StateTables!$A$6:$AB$56,19,FALSE)="",VLOOKUP($AN59,StateTables!$A$6:$AB$56,19,FALSE)=0),$N59,MIN($N59,MAX(0,VLOOKUP($AN59,StateTables!$A$6:$AB$56,19,FALSE)-($AX59+$AB58-$AW59)))),2)))))</f>
      </c>
      <c r="V59" s="7">
        <f>IF($B59="","",IF($AN59="NY",IF('Second Earner'!$C$78,ROUND(SUMPRODUCT((MAX(0,($O59-$D59)*'Second Earner'!$C$8-(IF($AU59="Married",5500,5000)+1000*$AS59))&gt;INDEX('How This Works &amp; Sources'!$B$184:$J$198,0,4))*(MAX(0,($O59-$D59)*'Second Earner'!$C$8-(IF($AU59="Married",5500,5000)+1000*$AS59))-INDEX('How This Works &amp; Sources'!$B$184:$J$198,0,4))*INDEX('How This Works &amp; Sources'!$B$184:$J$198,0,4+2))/'Second Earner'!$C$8+0.0425*$D59,2),0)+IF('Second Earner'!$C$79="Resident",ROUND(0.1675*$T59,2),IF('Second Earner'!$C$79="Nonresident",ROUND(0.005*MAX(0,($O59-$D59)-(IF($AU59="Married",7950,7400)+1000*$AS59)/'Second Earner'!$C$8),2),0)),IF($AN59="PA",IF('Second Earner'!$C$80="None",'Second Earner'!$C$27+ROUND('Second Earner'!$C$81*($C59+$D59),2),ROUND(IF('Second Earner'!$C$80="Resident",IF($B59&lt;DATE(2026,7,1),0.0374,0.03735),IF($B59&lt;DATE(2026,7,1),0.0343,0.03425))*($C59+$D59),2)),IF($BF59=0,ROUND('Second Earner'!$C$81*($C59+$D59),2),'Second Earner'!$C$27+ROUND('Second Earner'!$C$81*($C59+$D59),2)))))</f>
      </c>
      <c r="W59" s="7">
        <f>IF($B59="","",IF($BF59=0,0,$BP59))</f>
      </c>
      <c r="X59" s="7">
        <f>IF($B59="","",SUM($E59:$K59)+$P59+$Q59+$R59+$S59+$T59+$U59+$V59+$W59)</f>
      </c>
      <c r="Y59" s="22">
        <f>IF($B59="","",$C59+$D59-$X59)</f>
      </c>
      <c r="Z59" s="7">
        <f>IF($B59="","",$Z58+$C59+$D59)</f>
      </c>
      <c r="AA59" s="7">
        <f>IF($B59="","",$AA58+$Y59)</f>
      </c>
      <c r="AB59" s="7">
        <f>IF($B59="","",$AB58+MIN($N59,MAX(0,'How This Works &amp; Sources'!$C$3-($AX59+$AB58-$AW59))))</f>
      </c>
      <c r="AC59" s="7">
        <f>IF($B59="","",$AC58+$E59+$F59)</f>
      </c>
      <c r="AD59" s="3">
        <f>IF($B59="","",IF(AND($AB58&lt;'How This Works &amp; Sources'!$C$3,$AB59&gt;='How This Works &amp; Sources'!$C$3),"★ Social Security maxed on this check — from the next check your net rises by about $"&amp;TEXT(ROUND('How This Works &amp; Sources'!$C$4*$N59,2),"#,##0.00")&amp;". ","")&amp;IF(AND($AC58&lt;'Second Earner'!$C$34,$AC59&gt;='Second Earner'!$C$34),"★ 401(k) reaches the $"&amp;TEXT('Second Earner'!$C$34,"#,##0")&amp;" cap on this check — deferrals stop and net pay rises. ","")&amp;IF(AND($AG58&lt;'How This Works &amp; Sources'!$C$7,$AG59&gt;='How This Works &amp; Sources'!$C$7),"★ Wages pass $200,000 — the 0.9% Additional Medicare Tax starts here. ","")&amp;IF(AND($BJ59&gt;0,$H59&gt;0,$BG58&lt;MIN($BJ59,'How This Works &amp; Sources'!$C$13),$BG58+$H59&gt;=MIN($BJ59,'How This Works &amp; Sources'!$C$13)),"★ Health FSA election is now fully deferred for the year. ",""))</f>
      </c>
      <c r="AE59" s="41" t="n"/>
      <c r="AF59" s="7">
        <f>IF(OR($B59="",$AE59=""),"",$AE59-$Y59)</f>
      </c>
      <c r="AG59" s="7">
        <f>IF($B59="","",$AG58+$N59)</f>
      </c>
      <c r="AH59" s="7">
        <f>IF($B59="","",MAX(0,($M59-$D59)*'Second Earner'!$C$8+$AP59-$AQ59-IF('Second Earner'!$C$13,0,IF('Second Earner'!$C$12="MFJ",'How This Works &amp; Sources'!$C$8,'How This Works &amp; Sources'!$C$9))))</f>
      </c>
      <c r="AI59" s="7">
        <f>IF($B59="","",$O59*'Second Earner'!$C$8)</f>
      </c>
      <c r="AJ59" s="7">
        <f>IF($B59="","",MAX(0,$AI59-VLOOKUP($AN59,StateTables!$A$6:$AB$56,12,FALSE)*$AT59-IF(($AS59+$AT59)&gt;=2,VLOOKUP($AN59,StateTables!$A$6:$AB$56,8,FALSE),VLOOKUP($AN59,StateTables!$A$6:$AB$56,7,FALSE))))</f>
      </c>
      <c r="AK59" s="7">
        <f>IF($B59="","",IFERROR(LOOKUP(2,1/(('Changes — Earner 2'!$C$6:$C$17="Salary change")*('Changes — Earner 2'!$B$6:$B$17&lt;=$B59)*('Changes — Earner 2'!$B$6:$B$17&lt;&gt;"")),'Changes — Earner 2'!$D$6:$D$17),IF('Second Earner'!$C$4="Annual salary",'Second Earner'!$C$5,'Second Earner'!$C$6)))</f>
      </c>
      <c r="AL59">
        <f>IF($B59="","",IFERROR(LOOKUP(2,1/(('Changes — Earner 2'!$C$6:$C$17="401(k) change")*('Changes — Earner 2'!$B$6:$B$17&lt;=$B59)*('Changes — Earner 2'!$B$6:$B$17&lt;&gt;"")),'Changes — Earner 2'!$D$6:$D$17),'Second Earner'!$C$30))</f>
      </c>
      <c r="AM59" s="7">
        <f>IF($B59="","",IFERROR(LOOKUP(2,1/(('Changes — Earner 2'!$C$6:$C$17="401(k) change")*('Changes — Earner 2'!$B$6:$B$17&lt;=$B59)*('Changes — Earner 2'!$B$6:$B$17&lt;&gt;"")),'Changes — Earner 2'!$E$6:$E$17),'Second Earner'!$D$31))</f>
      </c>
      <c r="AN59">
        <f>IF($B59="","",IFERROR(LOOKUP(2,1/(('Changes — Earner 2'!$C$6:$C$17="State move")*('Changes — Earner 2'!$B$6:$B$17&lt;=$B59)*('Changes — Earner 2'!$B$6:$B$17&lt;&gt;"")),'Changes — Earner 2'!$D$6:$D$17),'Second Earner'!$C$21))</f>
      </c>
      <c r="AO59" s="7">
        <f>IF($B59="","",IFERROR(LOOKUP(2,1/(('Changes — Earner 2'!$C$6:$C$17="W-4 change")*('Changes — Earner 2'!$B$6:$B$17&lt;=$B59)*('Changes — Earner 2'!$B$6:$B$17&lt;&gt;"")),'Changes — Earner 2'!$D$6:$D$17),'Second Earner'!$C$14))</f>
      </c>
      <c r="AP59" s="7">
        <f>IF($B59="","",IFERROR(LOOKUP(2,1/(('Changes — Earner 2'!$C$6:$C$17="W-4 change")*('Changes — Earner 2'!$B$6:$B$17&lt;=$B59)*('Changes — Earner 2'!$B$6:$B$17&lt;&gt;"")),'Changes — Earner 2'!$E$6:$E$17),'Second Earner'!$C$15))</f>
      </c>
      <c r="AQ59" s="7">
        <f>IF($B59="","",IFERROR(LOOKUP(2,1/(('Changes — Earner 2'!$C$6:$C$17="W-4 change")*('Changes — Earner 2'!$B$6:$B$17&lt;=$B59)*('Changes — Earner 2'!$B$6:$B$17&lt;&gt;"")),'Changes — Earner 2'!$F$6:$F$17),'Second Earner'!$C$16))</f>
      </c>
      <c r="AR59" s="7">
        <f>IF($B59="","",IFERROR(LOOKUP(2,1/(('Changes — Earner 2'!$C$6:$C$17="W-4 change")*('Changes — Earner 2'!$B$6:$B$17&lt;=$B59)*('Changes — Earner 2'!$B$6:$B$17&lt;&gt;"")),'Changes — Earner 2'!$G$6:$G$17),'Second Earner'!$C$17))</f>
      </c>
      <c r="AS59" s="6">
        <f>IF($B59="","",IFERROR(LOOKUP(2,1/((('Changes — Earner 2'!$C$6:$C$17="State move")+('Changes — Earner 2'!$C$6:$C$17="State cert change"))*('Changes — Earner 2'!$B$6:$B$17&lt;=$B59)*('Changes — Earner 2'!$B$6:$B$17&lt;&gt;"")),'Changes — Earner 2'!$F$6:$F$17),'Second Earner'!$C$23))</f>
      </c>
      <c r="AT59" s="6">
        <f>IF($B59="","",IFERROR(LOOKUP(2,1/((('Changes — Earner 2'!$C$6:$C$17="State move")+('Changes — Earner 2'!$C$6:$C$17="State cert change"))*('Changes — Earner 2'!$B$6:$B$17&lt;=$B59)*('Changes — Earner 2'!$B$6:$B$17&lt;&gt;"")),'Changes — Earner 2'!$G$6:$G$17),'Second Earner'!$C$24))</f>
      </c>
      <c r="AU59">
        <f>IF($B59="","",IFERROR(LOOKUP(2,1/(('Changes — Earner 2'!$C$6:$C$17="State move")*('Changes — Earner 2'!$B$6:$B$17&lt;=$B59)*('Changes — Earner 2'!$B$6:$B$17&lt;&gt;"")),'Changes — Earner 2'!$E$6:$E$17),'Second Earner'!$C$22))</f>
      </c>
      <c r="AV59" s="6">
        <f>IF($B59="","",1+COUNTIFS('Changes — Earner 2'!$C$6:$C$17,"Employer change",'Changes — Earner 2'!$B$6:$B$17,"&lt;="&amp;$B59,'Changes — Earner 2'!$B$6:$B$17,"&lt;&gt;"))</f>
      </c>
      <c r="AW59" s="7">
        <f>IF($B59="","",IF($AV59=1,'Second Earner'!$C$49,IF(IFERROR(MATCH(IFERROR(LOOKUP(2,1/(('Changes — Earner 2'!$C$6:$C$17="Employer change")*('Changes — Earner 2'!$B$6:$B$17&lt;=$B59)*('Changes — Earner 2'!$B$6:$B$17&lt;&gt;"")),'Changes — Earner 2'!$B$6:$B$17),""),$B$6:$B$68,1),1)&lt;=1,'Second Earner'!$C$49,INDEX($AB$6:$AB$68,MATCH(IFERROR(LOOKUP(2,1/(('Changes — Earner 2'!$C$6:$C$17="Employer change")*('Changes — Earner 2'!$B$6:$B$17&lt;=$B59)*('Changes — Earner 2'!$B$6:$B$17&lt;&gt;"")),'Changes — Earner 2'!$B$6:$B$17),""),$B$6:$B$68,1)-1))))</f>
      </c>
      <c r="AX59" s="7">
        <f>IF($B59="","",IF($AV59=1,'Second Earner'!$C$49,IFERROR(LOOKUP(2,1/(('Changes — Earner 2'!$C$6:$C$17="Employer change")*('Changes — Earner 2'!$B$6:$B$17&lt;=$B59)*('Changes — Earner 2'!$B$6:$B$17&lt;&gt;"")),'Changes — Earner 2'!$D$6:$D$17),0)))</f>
      </c>
      <c r="AY59" s="7">
        <f>IF($B59="","",($O59-$D59)*'Second Earner'!$C$8)</f>
      </c>
      <c r="AZ59" s="7">
        <f>IF($B59="","",IF($AN59="AL",MAX(0,$AY59-IF($AU59="Married",IF($AY59&lt;=25999,8500,MAX(5000,8500-175*CEILING(($AY59-25999)/500,1))),IF($AU59="Head of household",IF($AY59&lt;=25999,5200,MAX(2500,5200-135*CEILING(($AY59-25999)/500,1))),IF($AY59&lt;=25999,3000,MAX(2500,3000-25*CEILING(($AY59-25999)/500,1)))))-($P59-'How This Works &amp; Sources'!$C$10*$D59)*'Second Earner'!$C$8-IF(OR($AU59="Married",$AU59="Head of household"),3000,1500)-$AT59*IF($AY59&lt;=50000,1000,IF($AY59&lt;=100000,500,300))),IF($AN59="AR",IF(MAX(0,$AY59-2470)&lt;97701,INT(MAX(0,$AY59-2470)/100)*100+50,MAX(0,$AY59-2470)),IF($AN59="DE",MAX(0,$AI59-3250),IF($AN59="HI",MAX(0,$AI59-1144*$AS59-4350),IF($AN59="KS",MAX(0,$AI59-(9160*IF($AU59="Married",2,1)+2320*$AT59+IF($AU59="Head of household",2320,0))),IF($AN59="MD",MAX(0,$AI59-3400-3200*$AS59),IF($AN59="MN",MAX(0,$AY59-5300*$AS59),IF($AN59="MO",MAX(0,$AI59-IF($AU59="Head of household",24150,IF($AU59="Married",IF('Second Earner'!$C$83,16100,32200),16100))),IF($AN59="MT",$AY59,IF($AN59="ND",($C59+$L59)*'Second Earner'!$C$8,IF($AN59="NE",MAX(0,$AY59-2440*$AS59),IF($AN59="NJ",MAX(0,$AY59-1000*$AS59),IF($AN59="NY",MAX(0,$AY59-(IF($AU59="Married",7950,7400)+1000*$AS59)),IF($AN59="OH",MAX(0,$AY59-650*$AS59),IF($AN59="OK",MAX(0,$AY59-1000*$AS59),IF($AN59="RI",MAX(0,$AI59-1000*$AS59),IF($AN59="SC",MAX(0,$AI59-5000*$AS59-IF($AS59=0,0,MIN(0.1*$AI59,7500))),IF($AN59="VA",MAX(0,$AI59-IF($AU59="Married",17500,8750)-930*$AS59-800*$AT59),IF($AN59="VT",MAX(0,$AI59-5400*$AS59),IF($AN59="WI",MAX(0,$AI59-MAX(0,IF($AU59="Married",9461-0.2*MAX(0,$AI59-25727),6702-0.12*MAX(0,$AI59-17780)))-400*$AS59),IF($AN59="WV",MAX(0,$AI59-2000*$AS59),$AI59))))))))))))))))))))))</f>
      </c>
      <c r="BA59" s="7">
        <f>IF($B59="","",IF($BW59&lt;&gt;"",$BW59,IF($BX59&lt;&gt;"",$BX59,IF($BY59&lt;&gt;"",$BY59,0))))</f>
      </c>
      <c r="BB59" s="7">
        <f>IF($B59="","",IF($AN59="AR",-29*$AS59,IF($AN59="DE",-110*$AS59,IF($AN59="MD",$AZ59*'Second Earner'!$C$74,IF($AN59="AZ",'Second Earner'!$C$82*($M59-$D59)*'Second Earner'!$C$8,IF($AN59="CO",0.044*MAX(0,$AY59-IF($AU59="Married",10000,5000)),IF($AN59="IA",MAX(0,0.038*MAX(0,$AY59-IF($AU59="Head of household",19500,IF($AU59="Married",26000,13000)))-40*$AS59),IF($AN59="ID",0.053*MAX(0,$AY59-IF($AU59="Married",32000,16094)),IF($AN59="IL",0.0495*MAX(0,$AY59-(2925*$AS59+1000*$AT59)),IF($AN59="IN",(0.0295+'Second Earner'!$C$76)*MAX(0,$AY59-(1000*$AS59+1500*$AT59+3000*'Second Earner'!$C$86)),IF($AN59="KY",0.035*MAX(0,$AI59-3360),IF($AN59="LA",IF('Second Earner'!$C$84="0",0.0309*$AI59,0.0309*MAX(0,$AI59-IF('Second Earner'!$C$84="2",25750,12875))),IF($AN59="MA",0.05*MIN(MAX(0,$AY59-MIN(($BD58+$Q59+$R59+$S59),2000)-IF($AS59=0,0,IF($AS59=1,4400,1000*$AS59+3400))),1107750)+0.09*MAX(0,MAX(0,$AY59-MIN(($BD58+$Q59+$R59+$S59),2000)-IF($AS59=0,0,IF($AS59=1,4400,1000*$AS59+3400)))-1107750)-IF($AU59="Head of household",120,0)-110*'Second Earner'!$C$75,IF($AN59="MI",0.0425*MAX(0,$AY59-5900*$AS59),IF($AN59="MS",0.04*MAX(0,$AI59-IF($AU59="Head of household",3400,IF($AU59="Married",4600,2300))-'Second Earner'!$C$85-10000),IF($AN59="OR",IF(OR($AU59="Married",AND($AU59="Single",$AS59&gt;=3)),SUMPRODUCT((MAX(0,$AY59-MIN(($P59-'How This Works &amp; Sources'!$C$10*$D59)*'Second Earner'!$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Sources'!$B$211:$J$214,0,4))*(MAX(0,$AY59-MIN(($P59-'How This Works &amp; Sources'!$C$10*$D59)*'Second Earner'!$C$8,IF(OR($AU59="Married",AND($AU59="Single",$AS59&gt;=3)),IF($AY59&lt;250000,8750,IF($AY59&lt;260000,7000,IF($AY59&lt;270000,5250,IF($AY59&lt;280000,3500,IF($AY59&lt;290000,1750,0))))),IF($AY59&lt;125000,8750,IF($AY59&lt;130000,7000,IF($AY59&lt;135000,5250,IF($AY59&lt;140000,3500,IF($AY59&lt;145000,1750,0)))))))-IF(OR($AU59="Married",AND($AU59="Single",$AS59&gt;=3)),5820,2910))-INDEX('How This Works &amp; Sources'!$B$211:$J$214,0,4))*INDEX('How This Works &amp; Sources'!$B$211:$J$214,0,4+2)),SUMPRODUCT((MAX(0,$AY59-MIN(($P59-'How This Works &amp; Sources'!$C$10*$D59)*'Second Earner'!$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Sources'!$B$211:$J$214,0,1))*(MAX(0,$AY59-MIN(($P59-'How This Works &amp; Sources'!$C$10*$D59)*'Second Earner'!$C$8,IF(OR($AU59="Married",AND($AU59="Single",$AS59&gt;=3)),IF($AY59&lt;250000,8750,IF($AY59&lt;260000,7000,IF($AY59&lt;270000,5250,IF($AY59&lt;280000,3500,IF($AY59&lt;290000,1750,0))))),IF($AY59&lt;125000,8750,IF($AY59&lt;130000,7000,IF($AY59&lt;135000,5250,IF($AY59&lt;140000,3500,IF($AY59&lt;145000,1750,0)))))))-IF(OR($AU59="Married",AND($AU59="Single",$AS59&gt;=3)),5820,2910))-INDEX('How This Works &amp; Sources'!$B$211:$J$214,0,1))*INDEX('How This Works &amp; Sources'!$B$211:$J$214,0,1+2)))+263-263*IF(IF($AU59="Married",$AY59&gt;200000,$AY59&gt;100000),0,$AS59),IF($AN59="PA",0.0307*(($O59+$E59+$G59)*'Second Earner'!$C$8),IF($AN59="NY",IF($AU59="Married",IF($AZ59&gt;=2155350,0,IF($AZ59&gt;=1077550,0.48,IF($AZ59&gt;=373200,1.21,IF($AZ59&gt;=323200,0.21,IF($AZ59&gt;=211550,-0.19,IF($AZ59&gt;=157650,-2.8,IF($AZ59&gt;=107650,-0.8,IF($AZ59&gt;=96800,0.05,IF($AZ59&gt;=80650,-0.1,IF($AZ59&gt;=13900,0.4,IF($AZ59&gt;=11700,-0.3,IF($AZ59&gt;=8500,0.5,0)))))))))))),IF($AZ59&gt;=1077550,0,IF($AZ59&gt;=265400,4.29,IF($AZ59&gt;=215400,2.29,IF($AZ59&gt;=157650,2.29,IF($AZ59&gt;=107650,0.29,IF($AZ59&gt;=96800,0.05,IF($AZ59&gt;=80650,-0.1,IF($AZ59&gt;=13900,0.4,IF($AZ59&gt;=11700,-0.3,IF($AZ59&gt;=8500,0.5,0))))))))))),0))))))))))))))))))</f>
      </c>
      <c r="BC59" s="7">
        <f>IF($B59="","",IF($AN59="AL",0.05*$D59,IF($AN59="AR",0.039*$D59,IF($AN59="ID",0.053*$D59,IF($AN59="IN",(0.0295+'Second Earner'!$C$76)*$D59,IF($AN59="KS",0.05*$D59,IF($AN59="MA",0.09*MIN($D59,MAX(0,MAX(0,$AY59-MIN(($BD58+$Q59+$R59+$S59),2000)-IF($AS59=0,0,IF($AS59=1,4400,1000*$AS59+3400)))+$D59-1107750))+0.05*($D59-MIN($D59,MAX(0,MAX(0,$AY59-MIN(($BD58+$Q59+$R59+$S59),2000)-IF($AS59=0,0,IF($AS59=1,4400,1000*$AS59+3400)))+$D59-1107750))),IF($AN59="MD",(0.065+'Second Earner'!$C$74)*$D59,IF($AN59="MI",0.0425*$D59,IF($AN59="MN",0.0625*$D59,IF($AN59="MO",0.047*$D59,IF($AN59="MT",0.05*$D59,IF($AN59="ND",0.015*$D59,IF($AN59="NE",0.035*$D59,IF($AN59="NJ",IF('Second Earner'!$C$77="B",SUMPRODUCT(($D59*'Second Earner'!$C$8&gt;INDEX('How This Works &amp; Sources'!$B$155:$J$162,0,4))*($D59*'Second Earner'!$C$8-INDEX('How This Works &amp; Sources'!$B$155:$J$162,0,4))*INDEX('How This Works &amp; Sources'!$B$155:$J$162,0,4+2)),IF('Second Earner'!$C$77="C",SUMPRODUCT(($D59*'Second Earner'!$C$8&gt;INDEX('How This Works &amp; Sources'!$B$155:$J$162,0,7))*($D59*'Second Earner'!$C$8-INDEX('How This Works &amp; Sources'!$B$155:$J$162,0,7))*INDEX('How This Works &amp; Sources'!$B$155:$J$162,0,7+2)),IF('Second Earner'!$C$77="D",SUMPRODUCT(($D59*'Second Earner'!$C$8&gt;INDEX('How This Works &amp; Sources'!$B$167:$J$179,0,1))*($D59*'Second Earner'!$C$8-INDEX('How This Works &amp; Sources'!$B$167:$J$179,0,1))*INDEX('How This Works &amp; Sources'!$B$167:$J$179,0,1+2)),IF('Second Earner'!$C$77="E",SUMPRODUCT(($D59*'Second Earner'!$C$8&gt;INDEX('How This Works &amp; Sources'!$B$167:$J$179,0,4))*($D59*'Second Earner'!$C$8-INDEX('How This Works &amp; Sources'!$B$167:$J$179,0,4))*INDEX('How This Works &amp; Sources'!$B$167:$J$179,0,4+2)),SUMPRODUCT(($D59*'Second Earner'!$C$8&gt;INDEX('How This Works &amp; Sources'!$B$155:$J$162,0,1))*($D59*'Second Earner'!$C$8-INDEX('How This Works &amp; Sources'!$B$155:$J$162,0,1))*INDEX('How This Works &amp; Sources'!$B$155:$J$162,0,1+2))))))/'Second Earner'!$C$8,IF($AN59="NY",0.117*$D59,IF($AN59="OH",0.0275*$D59,IF($AN59="OK",0.045*$D59,IF($AN59="OR",0.08*$D59,IF($AN59="WI",IF($AY59&lt;12760,0.0354,IF($AY59&lt;25520,0.0465,IF($AY59&lt;280950,0.053,0.0765)))*$D59,0))))))))))))))))))))</f>
      </c>
      <c r="BD59" s="7">
        <f>IF($B59="","",$BD58+$Q59+$R59+$S59)</f>
      </c>
      <c r="BE59" s="6">
        <f>IF($B59="",$BE58,$BE58+$BF59)</f>
      </c>
      <c r="BF59" s="6">
        <f>IF($B59="","",IF(AND(IF(YEAR(IF('Second Earner'!$C$7="Weekly",'Second Earner'!$C$9+7*(($BE58+1)-1),IF('Second Earner'!$C$7="Biweekly",'Second Earner'!$C$9+14*(($BE58+1)-1),IF('Second Earner'!$C$7="Semimonthly",DATE(YEAR('Second Earner'!$C$9),MONTH('Second Earner'!$C$9)+INT((($BE58+1)-1)/2),MIN(DAY('Second Earner'!$C$9),DAY(EOMONTH(DATE(YEAR('Second Earner'!$C$9),MONTH('Second Earner'!$C$9)+INT((($BE58+1)-1)/2),1),0))))+IF(MOD(($BE58+1)-1,2)=1,15,0),EDATE('Second Earner'!$C$9,($BE58+1)-1)))))&lt;&gt;'Second Earner'!$C$10,"",IF('Second Earner'!$C$7="Weekly",'Second Earner'!$C$9+7*(($BE58+1)-1),IF('Second Earner'!$C$7="Biweekly",'Second Earner'!$C$9+14*(($BE58+1)-1),IF('Second Earner'!$C$7="Semimonthly",DATE(YEAR('Second Earner'!$C$9),MONTH('Second Earner'!$C$9)+INT((($BE58+1)-1)/2),MIN(DAY('Second Earner'!$C$9),DAY(EOMONTH(DATE(YEAR('Second Earner'!$C$9),MONTH('Second Earner'!$C$9)+INT((($BE58+1)-1)/2),1),0))))+IF(MOD(($BE58+1)-1,2)=1,15,0),EDATE('Second Earner'!$C$9,($BE58+1)-1)))))&lt;&gt;"",$B59=IF(YEAR(IF('Second Earner'!$C$7="Weekly",'Second Earner'!$C$9+7*(($BE58+1)-1),IF('Second Earner'!$C$7="Biweekly",'Second Earner'!$C$9+14*(($BE58+1)-1),IF('Second Earner'!$C$7="Semimonthly",DATE(YEAR('Second Earner'!$C$9),MONTH('Second Earner'!$C$9)+INT((($BE58+1)-1)/2),MIN(DAY('Second Earner'!$C$9),DAY(EOMONTH(DATE(YEAR('Second Earner'!$C$9),MONTH('Second Earner'!$C$9)+INT((($BE58+1)-1)/2),1),0))))+IF(MOD(($BE58+1)-1,2)=1,15,0),EDATE('Second Earner'!$C$9,($BE58+1)-1)))))&lt;&gt;'Second Earner'!$C$10,"",IF('Second Earner'!$C$7="Weekly",'Second Earner'!$C$9+7*(($BE58+1)-1),IF('Second Earner'!$C$7="Biweekly",'Second Earner'!$C$9+14*(($BE58+1)-1),IF('Second Earner'!$C$7="Semimonthly",DATE(YEAR('Second Earner'!$C$9),MONTH('Second Earner'!$C$9)+INT((($BE58+1)-1)/2),MIN(DAY('Second Earner'!$C$9),DAY(EOMONTH(DATE(YEAR('Second Earner'!$C$9),MONTH('Second Earner'!$C$9)+INT((($BE58+1)-1)/2),1),0))))+IF(MOD(($BE58+1)-1,2)=1,15,0),EDATE('Second Earner'!$C$9,($BE58+1)-1)))))),1,0))</f>
      </c>
      <c r="BG59" s="7">
        <f>IF($B59="","",$BG58+$H59)</f>
      </c>
      <c r="BH59" s="7">
        <f>IF($B59="","",$BH58+$I59)</f>
      </c>
      <c r="BI59" s="7">
        <f>IF($B59="","",$BI58+$G59)</f>
      </c>
      <c r="BJ59" s="7">
        <f>IF($B59="","",IFERROR(LOOKUP(2,1/(((('Changes — Earner 2'!$C$6:$C$17="Deduction start"))*('Changes — Earner 2'!$D$6:$D$17="Health FSA"))*('Changes — Earner 2'!$B$6:$B$17&lt;=$B59)*('Changes — Earner 2'!$B$6:$B$17&lt;&gt;"")),'Changes — Earner 2'!$E$6:$E$17),'Second Earner'!$D$38))</f>
      </c>
      <c r="BK59" s="7">
        <f>IF($B59="","",IFERROR(LOOKUP(2,1/(((('Changes — Earner 2'!$C$6:$C$17="Deduction start"))*('Changes — Earner 2'!$D$6:$D$17="Dependent-care FSA"))*('Changes — Earner 2'!$B$6:$B$17&lt;=$B59)*('Changes — Earner 2'!$B$6:$B$17&lt;&gt;"")),'Changes — Earner 2'!$E$6:$E$17),'Second Earner'!$D$39))</f>
      </c>
      <c r="BL59" s="7">
        <f>IF($B59="","",IFERROR(LOOKUP(2,1/(((('Changes — Earner 2'!$C$6:$C$17="Deduction start")+('Changes — Earner 2'!$C$6:$C$17="Deduction stop"))*('Changes — Earner 2'!$D$6:$D$17="HSA"))*('Changes — Earner 2'!$B$6:$B$17&lt;=$B59)*('Changes — Earner 2'!$B$6:$B$17&lt;&gt;"")),'Changes — Earner 2'!$I$6:$I$17),'Second Earner'!$D$35))</f>
      </c>
      <c r="BM59" s="7">
        <f>IF($B59="","",IFERROR(LOOKUP(2,1/(((('Changes — Earner 2'!$C$6:$C$17="Deduction start")+('Changes — Earner 2'!$C$6:$C$17="Deduction stop"))*('Changes — Earner 2'!$D$6:$D$17="Premiums"))*('Changes — Earner 2'!$B$6:$B$17&lt;=$B59)*('Changes — Earner 2'!$B$6:$B$17&lt;&gt;"")),'Changes — Earner 2'!$I$6:$I$17),'Second Earner'!$D$40+'Second Earner'!$D$41+'Second Earner'!$D$42))</f>
      </c>
      <c r="BN59" s="7">
        <f>IF($B59="","",IFERROR(LOOKUP(2,1/(((('Changes — Earner 2'!$C$6:$C$17="Deduction start")+('Changes — Earner 2'!$C$6:$C$17="Deduction stop"))*('Changes — Earner 2'!$D$6:$D$17="Commuter"))*('Changes — Earner 2'!$B$6:$B$17&lt;=$B59)*('Changes — Earner 2'!$B$6:$B$17&lt;&gt;"")),'Changes — Earner 2'!$I$6:$I$17),'Second Earner'!$D$43))</f>
      </c>
      <c r="BO59" s="7">
        <f>IF($B59="","",IFERROR(LOOKUP(2,1/(((('Changes — Earner 2'!$C$6:$C$17="Deduction start")+('Changes — Earner 2'!$C$6:$C$17="Deduction stop"))*('Changes — Earner 2'!$D$6:$D$17="Other pre-tax"))*('Changes — Earner 2'!$B$6:$B$17&lt;=$B59)*('Changes — Earner 2'!$B$6:$B$17&lt;&gt;"")),'Changes — Earner 2'!$I$6:$I$17),'Second Earner'!$D$44))</f>
      </c>
      <c r="BP59" s="7">
        <f>IF($B59="","",IFERROR(LOOKUP(2,1/(((('Changes — Earner 2'!$C$6:$C$17="Deduction start")+('Changes — Earner 2'!$C$6:$C$17="Deduction stop"))*('Changes — Earner 2'!$D$6:$D$17="Other post-tax"))*('Changes — Earner 2'!$B$6:$B$17&lt;=$B59)*('Changes — Earner 2'!$B$6:$B$17&lt;&gt;"")),'Changes — Earner 2'!$I$6:$I$17),'Second Earner'!$D$45))</f>
      </c>
      <c r="BQ59" s="6">
        <f>IF($B59="","",IFERROR(LOOKUP(2,1/(((('Changes — Earner 2'!$C$6:$C$17="Deduction start")+('Changes — Earner 2'!$C$6:$C$17="Deduction stop"))*('Changes — Earner 2'!$D$6:$D$17="Health FSA"))*('Changes — Earner 2'!$B$6:$B$17&lt;=$B59)*('Changes — Earner 2'!$B$6:$B$17&lt;&gt;"")),'Changes — Earner 2'!$J$6:$J$17),0))</f>
      </c>
      <c r="BR59" s="6">
        <f>IF($B59="","",IFERROR(LOOKUP(2,1/(((('Changes — Earner 2'!$C$6:$C$17="Deduction start")+('Changes — Earner 2'!$C$6:$C$17="Deduction stop"))*('Changes — Earner 2'!$D$6:$D$17="Dependent-care FSA"))*('Changes — Earner 2'!$B$6:$B$17&lt;=$B59)*('Changes — Earner 2'!$B$6:$B$17&lt;&gt;"")),'Changes — Earner 2'!$J$6:$J$17),0))</f>
      </c>
      <c r="BS59" s="6">
        <f>IF($B59="","",IF(SUMPRODUCT(('Changes — Earner 2'!$C$6:$C$17="Deduction start")*('Changes — Earner 2'!$B$6:$B$17&lt;=$B59)*('Changes — Earner 2'!$B$6:$B$17&lt;&gt;"")*('Changes — Earner 2'!$D$6:$D$17="Health FSA"))&gt;0,1,0))</f>
      </c>
      <c r="BT59" s="6">
        <f>IF($B59="","",IF(SUMPRODUCT(('Changes — Earner 2'!$C$6:$C$17="Deduction start")*('Changes — Earner 2'!$B$6:$B$17&lt;=$B59)*('Changes — Earner 2'!$B$6:$B$17&lt;&gt;"")*('Changes — Earner 2'!$D$6:$D$17="Dependent-care FSA"))&gt;0,1,0))</f>
      </c>
      <c r="BU59" s="24">
        <f>IF($B59="","",IF('Second Earner'!$C$13,SUMPRODUCT(($AH59&gt;=INDEX('How This Works &amp; Sources'!$B$29:$J$36,0,IF('Second Earner'!$C$12="MFJ",1,IF('Second Earner'!$C$12="HoH",7,4))))*INDEX('How This Works &amp; Sources'!$B$29:$J$36,0,IF('Second Earner'!$C$12="MFJ",1,IF('Second Earner'!$C$12="HoH",7,4))+2)),SUMPRODUCT(($AH59&gt;=INDEX('How This Works &amp; Sources'!$B$19:$J$26,0,IF('Second Earner'!$C$12="MFJ",1,IF('Second Earner'!$C$12="HoH",7,4))))*INDEX('How This Works &amp; Sources'!$B$19:$J$26,0,IF('Second Earner'!$C$12="MFJ",1,IF('Second Earner'!$C$12="HoH",7,4))+2))))</f>
      </c>
      <c r="BV59" s="24">
        <f>IF($B59="","",IF($BZ59&lt;&gt;"",$BZ59,IF($CA59&lt;&gt;"",$CA59,IF($CB59&lt;&gt;"",$CB59,IF($CC59&lt;&gt;"",$CC59,0)))))</f>
      </c>
      <c r="BW59" s="7">
        <f>IF($B59="","",IF($AN59="AR",SUMPRODUCT(($AZ59&gt;INDEX('How This Works &amp; Sources'!$B$82:$J$86,0,7))*($AZ59-INDEX('How This Works &amp; Sources'!$B$82:$J$86,0,7))*INDEX('How This Works &amp; Sources'!$B$82:$J$86,0,7+2)),IF($AN59="MD",IF(OR($AU59="Married",$AU59="Head of household"),SUMPRODUCT(($AZ59&gt;INDEX('How This Works &amp; Sources'!$B$114:$J$120,0,1))*($AZ59-INDEX('How This Works &amp; Sources'!$B$114:$J$120,0,1))*INDEX('How This Works &amp; Sources'!$B$114:$J$120,0,1+2)),SUMPRODUCT(($AZ59&gt;INDEX('How This Works &amp; Sources'!$B$103:$J$109,0,7))*($AZ59-INDEX('How This Works &amp; Sources'!$B$103:$J$109,0,7))*INDEX('How This Works &amp; Sources'!$B$103:$J$109,0,7+2))),IF($AN59="MT",IF($AU59="Head of household",SUMPRODUCT(($AZ59&gt;INDEX('How This Works &amp; Sources'!$B$137:$J$139,0,1))*($AZ59-INDEX('How This Works &amp; Sources'!$B$137:$J$139,0,1))*INDEX('How This Works &amp; Sources'!$B$137:$J$139,0,1+2)),IF($AU59="Married",SUMPRODUCT(($AZ59&gt;INDEX('How This Works &amp; Sources'!$B$125:$J$132,0,7))*($AZ59-INDEX('How This Works &amp; Sources'!$B$125:$J$132,0,7))*INDEX('How This Works &amp; Sources'!$B$125:$J$132,0,7+2)),SUMPRODUCT(($AZ59&gt;INDEX('How This Works &amp; Sources'!$B$125:$J$132,0,4))*($AZ59-INDEX('How This Works &amp; Sources'!$B$125:$J$132,0,4))*INDEX('How This Works &amp; Sources'!$B$125:$J$132,0,4+2)))),IF($AN59="ND",IF($AU59="Head of household",SUMPRODUCT(($AZ59&gt;INDEX('How This Works &amp; Sources'!$B$144:$J$150,0,1))*($AZ59-INDEX('How This Works &amp; Sources'!$B$144:$J$150,0,1))*INDEX('How This Works &amp; Sources'!$B$144:$J$150,0,1+2)),IF($AU59="Married",SUMPRODUCT(($AZ59&gt;INDEX('How This Works &amp; Sources'!$B$137:$J$139,0,7))*($AZ59-INDEX('How This Works &amp; Sources'!$B$137:$J$139,0,7))*INDEX('How This Works &amp; Sources'!$B$137:$J$139,0,7+2)),SUMPRODUCT(($AZ59&gt;INDEX('How This Works &amp; Sources'!$B$137:$J$139,0,4))*($AZ59-INDEX('How This Works &amp; Sources'!$B$137:$J$139,0,4))*INDEX('How This Works &amp; Sources'!$B$137:$J$139,0,4+2)))),IF($AN59="NJ",IF('Second Earner'!$C$77="B",SUMPRODUCT(($AZ59&gt;INDEX('How This Works &amp; Sources'!$B$155:$J$162,0,4))*($AZ59-INDEX('How This Works &amp; Sources'!$B$155:$J$162,0,4))*INDEX('How This Works &amp; Sources'!$B$155:$J$162,0,4+2)),IF('Second Earner'!$C$77="C",SUMPRODUCT(($AZ59&gt;INDEX('How This Works &amp; Sources'!$B$155:$J$162,0,7))*($AZ59-INDEX('How This Works &amp; Sources'!$B$155:$J$162,0,7))*INDEX('How This Works &amp; Sources'!$B$155:$J$162,0,7+2)),IF('Second Earner'!$C$77="D",SUMPRODUCT(($AZ59&gt;INDEX('How This Works &amp; Sources'!$B$167:$J$179,0,1))*($AZ59-INDEX('How This Works &amp; Sources'!$B$167:$J$179,0,1))*INDEX('How This Works &amp; Sources'!$B$167:$J$179,0,1+2)),IF('Second Earner'!$C$77="E",SUMPRODUCT(($AZ59&gt;INDEX('How This Works &amp; Sources'!$B$167:$J$179,0,4))*($AZ59-INDEX('How This Works &amp; Sources'!$B$167:$J$179,0,4))*INDEX('How This Works &amp; Sources'!$B$167:$J$179,0,4+2)),SUMPRODUCT(($AZ59&gt;INDEX('How This Works &amp; Sources'!$B$155:$J$162,0,1))*($AZ59-INDEX('How This Works &amp; Sources'!$B$155:$J$162,0,1))*INDEX('How This Works &amp; Sources'!$B$155:$J$162,0,1+2)))))),IF($AN59="NY",IF($AU59="Married",IF($AZ59&gt;=2155350,$AZ59*IF($AZ59&gt;25000000,0.117,IF($AZ59&gt;5000000,0.111,0.1045)),SUMPRODUCT(($AZ59&gt;INDEX('How This Works &amp; Sources'!$B$184:$J$198,0,1))*($AZ59-INDEX('How This Works &amp; Sources'!$B$184:$J$198,0,1))*INDEX('How This Works &amp; Sources'!$B$184:$J$198,0,1+2))),IF($AZ59&gt;=1077550,$AZ59*IF($AZ59&gt;25000000,0.117,IF($AZ59&gt;5000000,0.111,0.1045)),SUMPRODUCT(($AZ59&gt;INDEX('How This Works &amp; Sources'!$B$167:$J$179,0,7))*($AZ59-INDEX('How This Works &amp; Sources'!$B$167:$J$179,0,7))*INDEX('How This Works &amp; Sources'!$B$167:$J$179,0,7+2)))),"")))))))</f>
      </c>
      <c r="BX59" s="7">
        <f>IF($B59="","",IF($AN59="AL",IF(OR($AU59="Married",$AU59="Head of household"),SUMPRODUCT(($AZ59&gt;INDEX('How This Works &amp; Sources'!$B$82:$J$86,0,4))*($AZ59-INDEX('How This Works &amp; Sources'!$B$82:$J$86,0,4))*INDEX('How This Works &amp; Sources'!$B$82:$J$86,0,4+2)),SUMPRODUCT(($AZ59&gt;INDEX('How This Works &amp; Sources'!$B$82:$J$86,0,1))*($AZ59-INDEX('How This Works &amp; Sources'!$B$82:$J$86,0,1))*INDEX('How This Works &amp; Sources'!$B$82:$J$86,0,1+2))),IF($AN59="KS",IF($AU59="Married",SUMPRODUCT(($AZ59&gt;INDEX('How This Works &amp; Sources'!$B$103:$J$109,0,4))*($AZ59-INDEX('How This Works &amp; Sources'!$B$103:$J$109,0,4))*INDEX('How This Works &amp; Sources'!$B$103:$J$109,0,4+2)),SUMPRODUCT(($AZ59&gt;INDEX('How This Works &amp; Sources'!$B$103:$J$109,0,1))*($AZ59-INDEX('How This Works &amp; Sources'!$B$103:$J$109,0,1))*INDEX('How This Works &amp; Sources'!$B$103:$J$109,0,1+2))),IF($AN59="MN",IF($AU59="Married",SUMPRODUCT(($AZ59&gt;INDEX('How This Works &amp; Sources'!$B$114:$J$120,0,7))*($AZ59-INDEX('How This Works &amp; Sources'!$B$114:$J$120,0,7))*INDEX('How This Works &amp; Sources'!$B$114:$J$120,0,7+2)),SUMPRODUCT(($AZ59&gt;INDEX('How This Works &amp; Sources'!$B$114:$J$120,0,4))*($AZ59-INDEX('How This Works &amp; Sources'!$B$114:$J$120,0,4))*INDEX('How This Works &amp; Sources'!$B$114:$J$120,0,4+2))),IF($AN59="MO",SUMPRODUCT(($AZ59&gt;INDEX('How This Works &amp; Sources'!$B$125:$J$132,0,1))*($AZ59-INDEX('How This Works &amp; Sources'!$B$125:$J$132,0,1))*INDEX('How This Works &amp; Sources'!$B$125:$J$132,0,1+2)),IF($AN59="NE",MAX(IF($AU59="Married",SUMPRODUCT(($AZ59&gt;INDEX('How This Works &amp; Sources'!$B$144:$J$150,0,7))*($AZ59-INDEX('How This Works &amp; Sources'!$B$144:$J$150,0,7))*INDEX('How This Works &amp; Sources'!$B$144:$J$150,0,7+2)),SUMPRODUCT(($AZ59&gt;INDEX('How This Works &amp; Sources'!$B$144:$J$150,0,4))*($AZ59-INDEX('How This Works &amp; Sources'!$B$144:$J$150,0,4))*INDEX('How This Works &amp; Sources'!$B$144:$J$150,0,4+2))),0.015*$AZ59),IF($AN59="OH",IF($B59&gt;=DATE(2026,8,1),SUMPRODUCT(($AZ59&gt;INDEX('How This Works &amp; Sources'!$B$203:$J$206,0,1))*($AZ59-INDEX('How This Works &amp; Sources'!$B$203:$J$206,0,1))*INDEX('How This Works &amp; Sources'!$B$203:$J$206,0,1+2)),SUMPRODUCT(($AZ59&gt;INDEX('How This Works &amp; Sources'!$B$184:$J$198,0,7))*($AZ59-INDEX('How This Works &amp; Sources'!$B$184:$J$198,0,7))*INDEX('How This Works &amp; Sources'!$B$184:$J$198,0,7+2))),IF($AN59="OK",IF($AU59="Married",SUMPRODUCT(($AZ59&gt;INDEX('How This Works &amp; Sources'!$B$203:$J$206,0,7))*($AZ59-INDEX('How This Works &amp; Sources'!$B$203:$J$206,0,7))*INDEX('How This Works &amp; Sources'!$B$203:$J$206,0,7+2)),SUMPRODUCT(($AZ59&gt;INDEX('How This Works &amp; Sources'!$B$203:$J$206,0,4))*($AZ59-INDEX('How This Works &amp; Sources'!$B$203:$J$206,0,4))*INDEX('How This Works &amp; Sources'!$B$203:$J$206,0,4+2))),IF($AN59="VT",IF($AU59="Married",SUMPRODUCT(($AZ59&gt;INDEX('How This Works &amp; Sources'!$B$228:$J$232,0,1))*($AZ59-INDEX('How This Works &amp; Sources'!$B$228:$J$232,0,1))*INDEX('How This Works &amp; Sources'!$B$228:$J$232,0,1+2)),SUMPRODUCT(($AZ59&gt;INDEX('How This Works &amp; Sources'!$B$219:$J$223,0,7))*($AZ59-INDEX('How This Works &amp; Sources'!$B$219:$J$223,0,7))*INDEX('How This Works &amp; Sources'!$B$219:$J$223,0,7+2))),IF($AN59="WV",IF($AU59="Married",SUMPRODUCT(($AZ59&gt;INDEX('How This Works &amp; Sources'!$B$237:$J$241,0,7))*($AZ59-INDEX('How This Works &amp; Sources'!$B$237:$J$241,0,7))*INDEX('How This Works &amp; Sources'!$B$237:$J$241,0,7+2)),SUMPRODUCT(($AZ59&gt;INDEX('How This Works &amp; Sources'!$B$228:$J$232,0,7))*($AZ59-INDEX('How This Works &amp; Sources'!$B$228:$J$232,0,7))*INDEX('How This Works &amp; Sources'!$B$228:$J$232,0,7+2))),""))))))))))</f>
      </c>
      <c r="BY59" s="7">
        <f>IF($B59="","",IF($AN59="DE",SUMPRODUCT(($AZ59&gt;INDEX('How This Works &amp; Sources'!$B$91:$J$98,0,1))*($AZ59-INDEX('How This Works &amp; Sources'!$B$91:$J$98,0,1))*INDEX('How This Works &amp; Sources'!$B$91:$J$98,0,1+2)),IF($AN59="HI",IF($AU59="Married",SUMPRODUCT(($AZ59&gt;INDEX('How This Works &amp; Sources'!$B$91:$J$98,0,7))*($AZ59-INDEX('How This Works &amp; Sources'!$B$91:$J$98,0,7))*INDEX('How This Works &amp; Sources'!$B$91:$J$98,0,7+2)),SUMPRODUCT(($AZ59&gt;INDEX('How This Works &amp; Sources'!$B$91:$J$98,0,4))*($AZ59-INDEX('How This Works &amp; Sources'!$B$91:$J$98,0,4))*INDEX('How This Works &amp; Sources'!$B$91:$J$98,0,4+2))),IF($AN59="RI",SUMPRODUCT(($AZ59&gt;INDEX('How This Works &amp; Sources'!$B$211:$J$214,0,7))*($AZ59-INDEX('How This Works &amp; Sources'!$B$211:$J$214,0,7))*INDEX('How This Works &amp; Sources'!$B$211:$J$214,0,7+2)),IF($AN59="SC",SUMPRODUCT(($AZ59&gt;INDEX('How This Works &amp; Sources'!$B$219:$J$223,0,1))*($AZ59-INDEX('How This Works &amp; Sources'!$B$219:$J$223,0,1))*INDEX('How This Works &amp; Sources'!$B$219:$J$223,0,1+2)),IF($AN59="VA",SUMPRODUCT(($AZ59&gt;INDEX('How This Works &amp; Sources'!$B$219:$J$223,0,4))*($AZ59-INDEX('How This Works &amp; Sources'!$B$219:$J$223,0,4))*INDEX('How This Works &amp; Sources'!$B$219:$J$223,0,4+2)),IF($AN59="WI",SUMPRODUCT(($AZ59&gt;INDEX('How This Works &amp; Sources'!$B$228:$J$232,0,4))*($AZ59-INDEX('How This Works &amp; Sources'!$B$228:$J$232,0,4))*INDEX('How This Works &amp; Sources'!$B$228:$J$232,0,4+2)),"")))))))</f>
      </c>
      <c r="BZ59" s="24">
        <f>IF($B59="","",IF($AN59="KS",IF($AU59="Married",SUMPRODUCT(($AZ59&gt;=INDEX('How This Works &amp; Sources'!$B$103:$J$109,0,4))*INDEX('How This Works &amp; Sources'!$B$103:$J$109,0,4+2)),SUMPRODUCT(($AZ59&gt;=INDEX('How This Works &amp; Sources'!$B$103:$J$109,0,1))*INDEX('How This Works &amp; Sources'!$B$103:$J$109,0,1+2))),IF($AN59="MT",IF($AU59="Head of household",SUMPRODUCT(($AZ59&gt;=INDEX('How This Works &amp; Sources'!$B$137:$J$139,0,1))*INDEX('How This Works &amp; Sources'!$B$137:$J$139,0,1+2)),IF($AU59="Married",SUMPRODUCT(($AZ59&gt;=INDEX('How This Works &amp; Sources'!$B$125:$J$132,0,7))*INDEX('How This Works &amp; Sources'!$B$125:$J$132,0,7+2)),SUMPRODUCT(($AZ59&gt;=INDEX('How This Works &amp; Sources'!$B$125:$J$132,0,4))*INDEX('How This Works &amp; Sources'!$B$125:$J$132,0,4+2)))),IF($AN59="OR",IF(OR($AU59="Married",AND($AU59="Single",$AS59&gt;=3)),SUMPRODUCT((MAX(0,$AY59-MIN(($P59-'How This Works &amp; Sources'!$C$10*$D59)*'Second Earner'!$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Sources'!$B$211:$J$214,0,4))*INDEX('How This Works &amp; Sources'!$B$211:$J$214,0,4+2)),SUMPRODUCT((MAX(0,$AY59-MIN(($P59-'How This Works &amp; Sources'!$C$10*$D59)*'Second Earner'!$C$8,IF(OR($AU59="Married",AND($AU59="Single",$AS59&gt;=3)),IF($AY59&lt;250000,8750,IF($AY59&lt;260000,7000,IF($AY59&lt;270000,5250,IF($AY59&lt;280000,3500,IF($AY59&lt;290000,1750,0))))),IF($AY59&lt;125000,8750,IF($AY59&lt;130000,7000,IF($AY59&lt;135000,5250,IF($AY59&lt;140000,3500,IF($AY59&lt;145000,1750,0)))))))-IF(OR($AU59="Married",AND($AU59="Single",$AS59&gt;=3)),5820,2910))&gt;=INDEX('How This Works &amp; Sources'!$B$211:$J$214,0,1))*INDEX('How This Works &amp; Sources'!$B$211:$J$214,0,1+2)))*IF(($P59-'How This Works &amp; Sources'!$C$10*$D59)*'Second Earner'!$C$8&gt;=IF(OR($AU59="Married",AND($AU59="Single",$AS59&gt;=3)),IF($AY59&lt;250000,8750,IF($AY59&lt;260000,7000,IF($AY59&lt;270000,5250,IF($AY59&lt;280000,3500,IF($AY59&lt;290000,1750,0))))),IF($AY59&lt;125000,8750,IF($AY59&lt;130000,7000,IF($AY59&lt;135000,5250,IF($AY59&lt;140000,3500,IF($AY59&lt;145000,1750,0)))))),1,1-IF('Second Earner'!$C$13,SUMPRODUCT(($AH59&gt;=INDEX('How This Works &amp; Sources'!$B$29:$J$36,0,IF('Second Earner'!$C$12="MFJ",1,IF('Second Earner'!$C$12="HoH",7,4))))*INDEX('How This Works &amp; Sources'!$B$29:$J$36,0,IF('Second Earner'!$C$12="MFJ",1,IF('Second Earner'!$C$12="HoH",7,4))+2)),SUMPRODUCT(($AH59&gt;=INDEX('How This Works &amp; Sources'!$B$19:$J$26,0,IF('Second Earner'!$C$12="MFJ",1,IF('Second Earner'!$C$12="HoH",7,4))))*INDEX('How This Works &amp; Sources'!$B$19:$J$26,0,IF('Second Earner'!$C$12="MFJ",1,IF('Second Earner'!$C$12="HoH",7,4))+2)))),""))))</f>
      </c>
      <c r="CA59" s="24">
        <f>IF($B59="","",IF($AN59="CA",SUMPRODUCT(($AJ59&gt;=INDEX('How This Works &amp; Sources'!$B$39:$J$48,0,IF($AU59="Married",4,IF($AU59="Head of household",7,1))))*INDEX('How This Works &amp; Sources'!$B$39:$J$48,0,IF($AU59="Married",4,IF($AU59="Head of household",7,1))+2)),IF($AN59="AL",IF(OR($AU59="Married",$AU59="Head of household"),SUMPRODUCT(($AZ59&gt;=INDEX('How This Works &amp; Sources'!$B$82:$J$86,0,4))*INDEX('How This Works &amp; Sources'!$B$82:$J$86,0,4+2)),SUMPRODUCT(($AZ59&gt;=INDEX('How This Works &amp; Sources'!$B$82:$J$86,0,1))*INDEX('How This Works &amp; Sources'!$B$82:$J$86,0,1+2)))*(1-IF('Second Earner'!$C$13,SUMPRODUCT(($AH59&gt;=INDEX('How This Works &amp; Sources'!$B$29:$J$36,0,IF('Second Earner'!$C$12="MFJ",1,IF('Second Earner'!$C$12="HoH",7,4))))*INDEX('How This Works &amp; Sources'!$B$29:$J$36,0,IF('Second Earner'!$C$12="MFJ",1,IF('Second Earner'!$C$12="HoH",7,4))+2)),SUMPRODUCT(($AH59&gt;=INDEX('How This Works &amp; Sources'!$B$19:$J$26,0,IF('Second Earner'!$C$12="MFJ",1,IF('Second Earner'!$C$12="HoH",7,4))))*INDEX('How This Works &amp; Sources'!$B$19:$J$26,0,IF('Second Earner'!$C$12="MFJ",1,IF('Second Earner'!$C$12="HoH",7,4))+2)))),IF($AN59="ND",IF($AU59="Head of household",SUMPRODUCT(($AZ59&gt;=INDEX('How This Works &amp; Sources'!$B$144:$J$150,0,1))*INDEX('How This Works &amp; Sources'!$B$144:$J$150,0,1+2)),IF($AU59="Married",SUMPRODUCT(($AZ59&gt;=INDEX('How This Works &amp; Sources'!$B$137:$J$139,0,7))*INDEX('How This Works &amp; Sources'!$B$137:$J$139,0,7+2)),SUMPRODUCT(($AZ59&gt;=INDEX('How This Works &amp; Sources'!$B$137:$J$139,0,4))*INDEX('How This Works &amp; Sources'!$B$137:$J$139,0,4+2)))),IF($AN59="NJ",IF('Second Earner'!$C$77="B",SUMPRODUCT(($AZ59&gt;=INDEX('How This Works &amp; Sources'!$B$155:$J$162,0,4))*INDEX('How This Works &amp; Sources'!$B$155:$J$162,0,4+2)),IF('Second Earner'!$C$77="C",SUMPRODUCT(($AZ59&gt;=INDEX('How This Works &amp; Sources'!$B$155:$J$162,0,7))*INDEX('How This Works &amp; Sources'!$B$155:$J$162,0,7+2)),IF('Second Earner'!$C$77="D",SUMPRODUCT(($AZ59&gt;=INDEX('How This Works &amp; Sources'!$B$167:$J$179,0,1))*INDEX('How This Works &amp; Sources'!$B$167:$J$179,0,1+2)),IF('Second Earner'!$C$77="E",SUMPRODUCT(($AZ59&gt;=INDEX('How This Works &amp; Sources'!$B$167:$J$179,0,4))*INDEX('How This Works &amp; Sources'!$B$167:$J$179,0,4+2)),SUMPRODUCT(($AZ59&gt;=INDEX('How This Works &amp; Sources'!$B$155:$J$162,0,1))*INDEX('How This Works &amp; Sources'!$B$155:$J$162,0,1+2)))))),IF($AN59="NY",IF($AU59="Married",IF($AZ59&gt;=2155350,IF($AZ59&gt;25000000,0.117,IF($AZ59&gt;5000000,0.111,0.1045)),SUMPRODUCT(($AZ59&gt;=INDEX('How This Works &amp; Sources'!$B$184:$J$198,0,1))*INDEX('How This Works &amp; Sources'!$B$184:$J$198,0,1+2))),IF($AZ59&gt;=1077550,IF($AZ59&gt;25000000,0.117,IF($AZ59&gt;5000000,0.111,0.1045)),SUMPRODUCT(($AZ59&gt;=INDEX('How This Works &amp; Sources'!$B$167:$J$179,0,7))*INDEX('How This Works &amp; Sources'!$B$167:$J$179,0,7+2)))),IF($AN59="LA",0.0309,"")))))))</f>
      </c>
      <c r="CB59" s="24">
        <f>IF($B59="","",IF($AN59="HI",IF($AU59="Married",SUMPRODUCT(($AZ59&gt;=INDEX('How This Works &amp; Sources'!$B$91:$J$98,0,7))*INDEX('How This Works &amp; Sources'!$B$91:$J$98,0,7+2)),SUMPRODUCT(($AZ59&gt;=INDEX('How This Works &amp; Sources'!$B$91:$J$98,0,4))*INDEX('How This Works &amp; Sources'!$B$91:$J$98,0,4+2))),IF($AN59="MD",IF(OR($AU59="Married",$AU59="Head of household"),SUMPRODUCT(($AZ59&gt;=INDEX('How This Works &amp; Sources'!$B$114:$J$120,0,1))*INDEX('How This Works &amp; Sources'!$B$114:$J$120,0,1+2)),SUMPRODUCT(($AZ59&gt;=INDEX('How This Works &amp; Sources'!$B$103:$J$109,0,7))*INDEX('How This Works &amp; Sources'!$B$103:$J$109,0,7+2)))+'Second Earner'!$C$74,IF($AN59="MN",IF($AU59="Married",SUMPRODUCT(($AZ59&gt;=INDEX('How This Works &amp; Sources'!$B$114:$J$120,0,7))*INDEX('How This Works &amp; Sources'!$B$114:$J$120,0,7+2)),SUMPRODUCT(($AZ59&gt;=INDEX('How This Works &amp; Sources'!$B$114:$J$120,0,4))*INDEX('How This Works &amp; Sources'!$B$114:$J$120,0,4+2))),IF($AN59="MO",SUMPRODUCT(($AZ59&gt;=INDEX('How This Works &amp; Sources'!$B$125:$J$132,0,1))*INDEX('How This Works &amp; Sources'!$B$125:$J$132,0,1+2)),IF($AN59="NE",MAX(IF($AU59="Married",SUMPRODUCT(($AZ59&gt;=INDEX('How This Works &amp; Sources'!$B$144:$J$150,0,7))*INDEX('How This Works &amp; Sources'!$B$144:$J$150,0,7+2)),SUMPRODUCT(($AZ59&gt;=INDEX('How This Works &amp; Sources'!$B$144:$J$150,0,4))*INDEX('How This Works &amp; Sources'!$B$144:$J$150,0,4+2))),0.015),IF($AN59="OH",IF($B59&gt;=DATE(2026,8,1),SUMPRODUCT(($AZ59&gt;=INDEX('How This Works &amp; Sources'!$B$203:$J$206,0,1))*INDEX('How This Works &amp; Sources'!$B$203:$J$206,0,1+2)),SUMPRODUCT(($AZ59&gt;=INDEX('How This Works &amp; Sources'!$B$184:$J$198,0,7))*INDEX('How This Works &amp; Sources'!$B$184:$J$198,0,7+2))),IF($AN59="OK",IF($AU59="Married",SUMPRODUCT(($AZ59&gt;=INDEX('How This Works &amp; Sources'!$B$203:$J$206,0,7))*INDEX('How This Works &amp; Sources'!$B$203:$J$206,0,7+2)),SUMPRODUCT(($AZ59&gt;=INDEX('How This Works &amp; Sources'!$B$203:$J$206,0,4))*INDEX('How This Works &amp; Sources'!$B$203:$J$206,0,4+2))),IF($AN59="RI",SUMPRODUCT(($AZ59&gt;=INDEX('How This Works &amp; Sources'!$B$211:$J$214,0,7))*INDEX('How This Works &amp; Sources'!$B$211:$J$214,0,7+2)),IF($AN59="VT",IF($AU59="Married",SUMPRODUCT(($AZ59&gt;=INDEX('How This Works &amp; Sources'!$B$228:$J$232,0,1))*INDEX('How This Works &amp; Sources'!$B$228:$J$232,0,1+2)),SUMPRODUCT(($AZ59&gt;=INDEX('How This Works &amp; Sources'!$B$219:$J$223,0,7))*INDEX('How This Works &amp; Sources'!$B$219:$J$223,0,7+2))),IF($AN59="WV",IF($AU59="Married",SUMPRODUCT(($AZ59&gt;=INDEX('How This Works &amp; Sources'!$B$237:$J$241,0,7))*INDEX('How This Works &amp; Sources'!$B$237:$J$241,0,7+2)),SUMPRODUCT(($AZ59&gt;=INDEX('How This Works &amp; Sources'!$B$228:$J$232,0,7))*INDEX('How This Works &amp; Sources'!$B$228:$J$232,0,7+2))),IF($AN59="AZ",'Second Earner'!$C$82,IF($AN59="ID",IF($AY59&gt;IF($AU59="Married",32000,16094),0.053,0),"")))))))))))))</f>
      </c>
      <c r="CC59" s="24">
        <f>IF($B59="","",IF($AN59="AR",SUMPRODUCT(($AZ59&gt;=INDEX('How This Works &amp; Sources'!$B$82:$J$86,0,7))*INDEX('How This Works &amp; Sources'!$B$82:$J$86,0,7+2)),IF($AN59="DE",SUMPRODUCT(($AZ59&gt;=INDEX('How This Works &amp; Sources'!$B$91:$J$98,0,1))*INDEX('How This Works &amp; Sources'!$B$91:$J$98,0,1+2)),IF($AN59="SC",SUMPRODUCT(($AZ59&gt;=INDEX('How This Works &amp; Sources'!$B$219:$J$223,0,1))*INDEX('How This Works &amp; Sources'!$B$219:$J$223,0,1+2)),IF($AN59="VA",SUMPRODUCT(($AZ59&gt;=INDEX('How This Works &amp; Sources'!$B$219:$J$223,0,4))*INDEX('How This Works &amp; Sources'!$B$219:$J$223,0,4+2)),IF($AN59="WI",SUMPRODUCT(($AZ59&gt;=INDEX('How This Works &amp; Sources'!$B$228:$J$232,0,4))*INDEX('How This Works &amp; Sources'!$B$228:$J$232,0,4+2)),IF($AN59="CO",IF($AY59&gt;IF($AU59="Married",10000,5000),0.044,0),IF($AN59="IA",IF($AY59&gt;IF($AU59="Head of household",19500,IF($AU59="Married",26000,13000)),0.038,0),IF($AN59="IL",IF($AY59&gt;(2925*$AS59+1000*$AT59),0.0495,0),IF($AN59="IN",(0.0295+'Second Earner'!$C$76),IF($AN59="KY",IF($AI59&gt;3360,0.035,0),IF($AN59="MA",IF(MAX(0,$AY59-MIN(($BD58+$Q59+$R59+$S59),2000)-IF($AS59=0,0,IF($AS59=1,4400,1000*$AS59+3400)))&gt;=1107750,0.09,0.05),IF($AN59="MI",IF($AY59&gt;5900*$AS59,0.0425,0),IF($AN59="MS",IF($AI59-IF($AU59="Head of household",3400,IF($AU59="Married",4600,2300))-'Second Earner'!$C$85&gt;10000,0.04,0),IF($AN59="PA",0.0307,"")))))))))))))))</f>
      </c>
      <c r="CD59" s="21">
        <f>IF(YEAR(IF('Second Earner'!$C$7="Weekly",'Second Earner'!$C$9+7*(($BE58+1)-1),IF('Second Earner'!$C$7="Biweekly",'Second Earner'!$C$9+14*(($BE58+1)-1),IF('Second Earner'!$C$7="Semimonthly",DATE(YEAR('Second Earner'!$C$9),MONTH('Second Earner'!$C$9)+INT((($BE58+1)-1)/2),MIN(DAY('Second Earner'!$C$9),DAY(EOMONTH(DATE(YEAR('Second Earner'!$C$9),MONTH('Second Earner'!$C$9)+INT((($BE58+1)-1)/2),1),0))))+IF(MOD(($BE58+1)-1,2)=1,15,0),EDATE('Second Earner'!$C$9,($BE58+1)-1)))))&lt;&gt;'Second Earner'!$C$10,"",IF('Second Earner'!$C$7="Weekly",'Second Earner'!$C$9+7*(($BE58+1)-1),IF('Second Earner'!$C$7="Biweekly",'Second Earner'!$C$9+14*(($BE58+1)-1),IF('Second Earner'!$C$7="Semimonthly",DATE(YEAR('Second Earner'!$C$9),MONTH('Second Earner'!$C$9)+INT((($BE58+1)-1)/2),MIN(DAY('Second Earner'!$C$9),DAY(EOMONTH(DATE(YEAR('Second Earner'!$C$9),MONTH('Second Earner'!$C$9)+INT((($BE58+1)-1)/2),1),0))))+IF(MOD(($BE58+1)-1,2)=1,15,0),EDATE('Second Earner'!$C$9,($BE58+1)-1)))))</f>
      </c>
      <c r="CE59" s="21">
        <f>IF(MIN(IF(AND('Second Earner'!$C$58&gt;MAX($B$6:$B58),'Second Earner'!$C$58&gt;=DATE('Second Earner'!$C$10,1,1),'Second Earner'!$C$58&lt;=DATE('Second Earner'!$C$10,12,31)),'Second Earner'!$C$58,999999),IF(AND('Second Earner'!$C$59&gt;MAX($B$6:$B58),'Second Earner'!$C$59&gt;=DATE('Second Earner'!$C$10,1,1),'Second Earner'!$C$59&lt;=DATE('Second Earner'!$C$10,12,31)),'Second Earner'!$C$59,999999),IF(AND('Second Earner'!$C$60&gt;MAX($B$6:$B58),'Second Earner'!$C$60&gt;=DATE('Second Earner'!$C$10,1,1),'Second Earner'!$C$60&lt;=DATE('Second Earner'!$C$10,12,31)),'Second Earner'!$C$60,999999),IF(AND('Second Earner'!$C$61&gt;MAX($B$6:$B58),'Second Earner'!$C$61&gt;=DATE('Second Earner'!$C$10,1,1),'Second Earner'!$C$61&lt;=DATE('Second Earner'!$C$10,12,31)),'Second Earner'!$C$61,999999),IF(AND('Second Earner'!$C$62&gt;MAX($B$6:$B58),'Second Earner'!$C$62&gt;=DATE('Second Earner'!$C$10,1,1),'Second Earner'!$C$62&lt;=DATE('Second Earner'!$C$10,12,31)),'Second Earner'!$C$62,999999),IF(AND('Second Earner'!$C$63&gt;MAX($B$6:$B58),'Second Earner'!$C$63&gt;=DATE('Second Earner'!$C$10,1,1),'Second Earner'!$C$63&lt;=DATE('Second Earner'!$C$10,12,31)),'Second Earner'!$C$63,999999),IF(AND('Second Earner'!$C$64&gt;MAX($B$6:$B58),'Second Earner'!$C$64&gt;=DATE('Second Earner'!$C$10,1,1),'Second Earner'!$C$64&lt;=DATE('Second Earner'!$C$10,12,31)),'Second Earner'!$C$64,999999),IF(AND('Second Earner'!$C$65&gt;MAX($B$6:$B58),'Second Earner'!$C$65&gt;=DATE('Second Earner'!$C$10,1,1),'Second Earner'!$C$65&lt;=DATE('Second Earner'!$C$10,12,31)),'Second Earner'!$C$65,999999),IF(AND('Second Earner'!$C$66&gt;MAX($B$6:$B58),'Second Earner'!$C$66&gt;=DATE('Second Earner'!$C$10,1,1),'Second Earner'!$C$66&lt;=DATE('Second Earner'!$C$10,12,31)),'Second Earner'!$C$66,999999),IF(AND('Second Earner'!$C$67&gt;MAX($B$6:$B58),'Second Earner'!$C$67&gt;=DATE('Second Earner'!$C$10,1,1),'Second Earner'!$C$67&lt;=DATE('Second Earner'!$C$10,12,31)),'Second Earner'!$C$67,999999))=999999,"",MIN(IF(AND('Second Earner'!$C$58&gt;MAX($B$6:$B58),'Second Earner'!$C$58&gt;=DATE('Second Earner'!$C$10,1,1),'Second Earner'!$C$58&lt;=DATE('Second Earner'!$C$10,12,31)),'Second Earner'!$C$58,999999),IF(AND('Second Earner'!$C$59&gt;MAX($B$6:$B58),'Second Earner'!$C$59&gt;=DATE('Second Earner'!$C$10,1,1),'Second Earner'!$C$59&lt;=DATE('Second Earner'!$C$10,12,31)),'Second Earner'!$C$59,999999),IF(AND('Second Earner'!$C$60&gt;MAX($B$6:$B58),'Second Earner'!$C$60&gt;=DATE('Second Earner'!$C$10,1,1),'Second Earner'!$C$60&lt;=DATE('Second Earner'!$C$10,12,31)),'Second Earner'!$C$60,999999),IF(AND('Second Earner'!$C$61&gt;MAX($B$6:$B58),'Second Earner'!$C$61&gt;=DATE('Second Earner'!$C$10,1,1),'Second Earner'!$C$61&lt;=DATE('Second Earner'!$C$10,12,31)),'Second Earner'!$C$61,999999),IF(AND('Second Earner'!$C$62&gt;MAX($B$6:$B58),'Second Earner'!$C$62&gt;=DATE('Second Earner'!$C$10,1,1),'Second Earner'!$C$62&lt;=DATE('Second Earner'!$C$10,12,31)),'Second Earner'!$C$62,999999),IF(AND('Second Earner'!$C$63&gt;MAX($B$6:$B58),'Second Earner'!$C$63&gt;=DATE('Second Earner'!$C$10,1,1),'Second Earner'!$C$63&lt;=DATE('Second Earner'!$C$10,12,31)),'Second Earner'!$C$63,999999),IF(AND('Second Earner'!$C$64&gt;MAX($B$6:$B58),'Second Earner'!$C$64&gt;=DATE('Second Earner'!$C$10,1,1),'Second Earner'!$C$64&lt;=DATE('Second Earner'!$C$10,12,31)),'Second Earner'!$C$64,999999),IF(AND('Second Earner'!$C$65&gt;MAX($B$6:$B58),'Second Earner'!$C$65&gt;=DATE('Second Earner'!$C$10,1,1),'Second Earner'!$C$65&lt;=DATE('Second Earner'!$C$10,12,31)),'Second Earner'!$C$65,999999),IF(AND('Second Earner'!$C$66&gt;MAX($B$6:$B58),'Second Earner'!$C$66&gt;=DATE('Second Earner'!$C$10,1,1),'Second Earner'!$C$66&lt;=DATE('Second Earner'!$C$10,12,31)),'Second Earner'!$C$66,999999),IF(AND('Second Earner'!$C$67&gt;MAX($B$6:$B58),'Second Earner'!$C$67&gt;=DATE('Second Earner'!$C$10,1,1),'Second Earner'!$C$67&lt;=DATE('Second Earner'!$C$10,12,31)),'Second Earner'!$C$67,999999)))</f>
      </c>
      <c r="CF59">
        <f>IF($B59="","",IF($D59=0,$Y59,""))</f>
      </c>
    </row>
    <row r="60">
      <c r="A60" t="n">
        <v>55</v>
      </c>
      <c r="B60" s="21">
        <f>IF(AND($CD60="",$CE60=""),"",IF($CE60="",$CD60,IF($CD60="",$CE60,MIN($CD60,$CE60))))</f>
      </c>
      <c r="C60" s="7">
        <f>IF($B60="","",IF($BF60=0,0,IF('Second Earner'!$C$4="Annual salary",ROUND($AK60/IF(AND('Second Earner'!$C$88="Actual paydays",MONTH('Second Earner'!$C$9)=1),MAX(1,MAX($BE$6:$BE$68)),'Second Earner'!$C$8),2),$AK60)))</f>
      </c>
      <c r="D60" s="7">
        <f>IF($B60="","",SUMIF('Second Earner'!$C$58:$C$67,$B60,'Second Earner'!$D$58:$D$67))</f>
      </c>
      <c r="E60" s="7">
        <f>IF($B60="","",ROUND(MAX(0,MIN(IF($AL60="Percent",$AM60*($C60+$D60),$AM60),MAX(0,'Second Earner'!$C$34-$AC59))),2))</f>
      </c>
      <c r="F60" s="7">
        <f>IF($B60="","",ROUND(MAX(0,MIN(IF('Second Earner'!$C$32="Percent",'Second Earner'!$D$32*($C60+$D60),'Second Earner'!$D$32),MAX(0,'Second Earner'!$C$34-$AC59-$E60))),2))</f>
      </c>
      <c r="G60" s="7">
        <f>IF($B60="","",IF($BF60=0,0,ROUND(MAX(0,MIN($BL60,'Second Earner'!$C$37-'Second Earner'!$C$54-$BI59)),2)))</f>
      </c>
      <c r="H60" s="7">
        <f>IF($B60="","",IF(OR($BF60=0,$BQ60=1),0,ROUND(MAX(0,MIN(IF($BS60=1,ROUND(MAX(0,MIN($BJ60,'How This Works &amp; Sources'!$C$13)-$BG59)/MAX(1,MAX($BE$6:$BE$68)-($BE59)),2),ROUND(MIN($BJ60,'How This Works &amp; Sources'!$C$13)/'Second Earner'!$C$8,2)),MIN($BJ60,'How This Works &amp; Sources'!$C$13)-$BG59)),2)))</f>
      </c>
      <c r="I60" s="7">
        <f>IF($B60="","",IF(OR($BF60=0,$BR60=1),0,ROUND(MAX(0,MIN(IF($BT60=1,ROUND(MAX(0,MIN($BK60,IF('Second Earner'!$C$12="MFJ",'How This Works &amp; Sources'!$C$14,'How This Works &amp; Sources'!$C$15))-$BH59)/MAX(1,MAX($BE$6:$BE$68)-($BE59)),2),ROUND(MIN($BK60,IF('Second Earner'!$C$12="MFJ",'How This Works &amp; Sources'!$C$14,'How This Works &amp; Sources'!$C$15))/'Second Earner'!$C$8,2)),MIN($BK60,IF('Second Earner'!$C$12="MFJ",'How This Works &amp; Sources'!$C$14,'How This Works &amp; Sources'!$C$15))-$BH59)),2)))</f>
      </c>
      <c r="J60" s="7">
        <f>IF($B60="","",IF($BF60=0,0,$BM60))</f>
      </c>
      <c r="K60" s="7">
        <f>IF($B60="","",IF($BF60=0,0,$BN60+$BO60))</f>
      </c>
      <c r="L60" s="7">
        <f>IF($B60="","",IF($BF60=0,0,'Second Earner'!$D$46))</f>
      </c>
      <c r="M60" s="7">
        <f>IF($B60="","",$C60+$D60+$L60-$E60-$G60-$H60-$I60-$J60-$K60)</f>
      </c>
      <c r="N60" s="7">
        <f>IF($B60="","",$C60+$D60+$L60-$G60-$H60-$I60-$J60-$K60)</f>
      </c>
      <c r="O60" s="7">
        <f>IF($B60="","",$C60+$D60+$L60-$E60-$H60-$I60-$J60-$K60-IF(OR($AN60="CA",$AN60="NJ"),0,$G60))</f>
      </c>
      <c r="P60" s="7">
        <f>IF($B60="","",IF('Second Earner'!$C$18,0,ROUND(MAX(0,IF('Second Earner'!$C$13,SUMPRODUCT(($AH60&gt;INDEX('How This Works &amp; Sources'!$B$29:$J$36,0,IF('Second Earner'!$C$12="MFJ",1,IF('Second Earner'!$C$12="HoH",7,4))))*($AH60-INDEX('How This Works &amp; Sources'!$B$29:$J$36,0,IF('Second Earner'!$C$12="MFJ",1,IF('Second Earner'!$C$12="HoH",7,4))))*INDEX('How This Works &amp; Sources'!$B$29:$J$36,0,IF('Second Earner'!$C$12="MFJ",1,IF('Second Earner'!$C$12="HoH",7,4))+2)),SUMPRODUCT(($AH60&gt;INDEX('How This Works &amp; Sources'!$B$19:$J$26,0,IF('Second Earner'!$C$12="MFJ",1,IF('Second Earner'!$C$12="HoH",7,4))))*($AH60-INDEX('How This Works &amp; Sources'!$B$19:$J$26,0,IF('Second Earner'!$C$12="MFJ",1,IF('Second Earner'!$C$12="HoH",7,4))))*INDEX('How This Works &amp; Sources'!$B$19:$J$26,0,IF('Second Earner'!$C$12="MFJ",1,IF('Second Earner'!$C$12="HoH",7,4))+2)))/'Second Earner'!$C$8-$AO60/'Second Earner'!$C$8)+$AR60+IF('Second Earner'!$C$89="Aggregate",MAX(0,IF('Second Earner'!$C$13,SUMPRODUCT((($AH60+$D60)&gt;INDEX('How This Works &amp; Sources'!$B$29:$J$36,0,IF('Second Earner'!$C$12="MFJ",1,IF('Second Earner'!$C$12="HoH",7,4))))*(($AH60+$D60)-INDEX('How This Works &amp; Sources'!$B$29:$J$36,0,IF('Second Earner'!$C$12="MFJ",1,IF('Second Earner'!$C$12="HoH",7,4))))*INDEX('How This Works &amp; Sources'!$B$29:$J$36,0,IF('Second Earner'!$C$12="MFJ",1,IF('Second Earner'!$C$12="HoH",7,4))+2)),SUMPRODUCT((($AH60+$D60)&gt;INDEX('How This Works &amp; Sources'!$B$19:$J$26,0,IF('Second Earner'!$C$12="MFJ",1,IF('Second Earner'!$C$12="HoH",7,4))))*(($AH60+$D60)-INDEX('How This Works &amp; Sources'!$B$19:$J$26,0,IF('Second Earner'!$C$12="MFJ",1,IF('Second Earner'!$C$12="HoH",7,4))))*INDEX('How This Works &amp; Sources'!$B$19:$J$26,0,IF('Second Earner'!$C$12="MFJ",1,IF('Second Earner'!$C$12="HoH",7,4))+2)))-IF('Second Earner'!$C$13,SUMPRODUCT(($AH60&gt;INDEX('How This Works &amp; Sources'!$B$29:$J$36,0,IF('Second Earner'!$C$12="MFJ",1,IF('Second Earner'!$C$12="HoH",7,4))))*($AH60-INDEX('How This Works &amp; Sources'!$B$29:$J$36,0,IF('Second Earner'!$C$12="MFJ",1,IF('Second Earner'!$C$12="HoH",7,4))))*INDEX('How This Works &amp; Sources'!$B$29:$J$36,0,IF('Second Earner'!$C$12="MFJ",1,IF('Second Earner'!$C$12="HoH",7,4))+2)),SUMPRODUCT(($AH60&gt;INDEX('How This Works &amp; Sources'!$B$19:$J$26,0,IF('Second Earner'!$C$12="MFJ",1,IF('Second Earner'!$C$12="HoH",7,4))))*($AH60-INDEX('How This Works &amp; Sources'!$B$19:$J$26,0,IF('Second Earner'!$C$12="MFJ",1,IF('Second Earner'!$C$12="HoH",7,4))))*INDEX('How This Works &amp; Sources'!$B$19:$J$26,0,IF('Second Earner'!$C$12="MFJ",1,IF('Second Earner'!$C$12="HoH",7,4))+2)))),'How This Works &amp; Sources'!$C$10*$D60),2)))</f>
      </c>
      <c r="Q60" s="7">
        <f>IF($B60="","",ROUND('How This Works &amp; Sources'!$C$4*MIN($N60,MAX(0,'How This Works &amp; Sources'!$C$3-($AX60+$AB59-$AW60))),2))</f>
      </c>
      <c r="R60" s="7">
        <f>IF($B60="","",ROUND('How This Works &amp; Sources'!$C$5*$N60,2))</f>
      </c>
      <c r="S60" s="7">
        <f>IF($B60="","",ROUND('How This Works &amp; Sources'!$C$6*MAX(0,MIN($N60,$AG59+$N60-'How This Works &amp; Sources'!$C$7)),2))</f>
      </c>
      <c r="T60" s="7">
        <f>IF($B60="","",IF('Second Earner'!$C$26,0,IF($AN60="CA",ROUND(IF($AI60&lt;=IF(($AS60+$AT60)&gt;=2,VLOOKUP($AN60,StateTables!$A$6:$AB$56,10,FALSE),VLOOKUP($AN60,StateTables!$A$6:$AB$56,9,FALSE)),0,MAX(0,SUMPRODUCT(($AJ60&gt;INDEX('How This Works &amp; Sources'!$B$39:$J$48,0,IF($AU60="Married",4,IF($AU60="Head of household",7,1))))*($AJ60-INDEX('How This Works &amp; Sources'!$B$39:$J$48,0,IF($AU60="Married",4,IF($AU60="Head of household",7,1))))*INDEX('How This Works &amp; Sources'!$B$39:$J$48,0,IF($AU60="Married",4,IF($AU60="Head of household",7,1))+2))-VLOOKUP($AN60,StateTables!$A$6:$AB$56,11,FALSE)*$AS60)/'Second Earner'!$C$8)+'Second Earner'!$C$25+VLOOKUP($AN60,StateTables!$A$6:$AB$56,13,FALSE)*$D60,2),IF(VLOOKUP($AN60,StateTables!$A$6:$AB$56,4,FALSE)="None",0,IF(ISNUMBER(SEARCH("MANUAL",VLOOKUP($AN60,StateTables!$A$6:$AB$56,5,FALSE))),'Second Earner'!$C$28,ROUND(MAX(0,$BA60+$BB60)/'Second Earner'!$C$8+'Second Earner'!$C$25+$BC60,2))))))</f>
      </c>
      <c r="U60" s="7">
        <f>IF($B60="","",IF(VLOOKUP($AN60,StateTables!$A$6:$AB$56,24,FALSE)="flatq",IF(OR(MONTH($B60)=1,MONTH($B60)=4,MONTH($B60)=7,MONTH($B60)=10),VLOOKUP($AN60,StateTables!$A$6:$AB$56,25,FALSE),0),IF(VLOOKUP($AN60,StateTables!$A$6:$AB$56,24,FALSE)="dbl",MIN(ROUND(0.005*$N60,2),ROUND(0.6*52/'Second Earner'!$C$8,2)),IF(OR(VLOOKUP($AN60,StateTables!$A$6:$AB$56,15,FALSE)="",VLOOKUP($AN60,StateTables!$A$6:$AB$56,15,FALSE)=0),0,ROUND(VLOOKUP($AN60,StateTables!$A$6:$AB$56,15,FALSE)*IF(OR(VLOOKUP($AN60,StateTables!$A$6:$AB$56,16,FALSE)="",VLOOKUP($AN60,StateTables!$A$6:$AB$56,16,FALSE)=0),$N60,MIN($N60,MAX(0,VLOOKUP($AN60,StateTables!$A$6:$AB$56,16,FALSE)-($AX60+$AB59-$AW60)))),2))))+IF(VLOOKUP($AN60,StateTables!$A$6:$AB$56,27,FALSE)="flatq",IF(OR(MONTH($B60)=1,MONTH($B60)=4,MONTH($B60)=7,MONTH($B60)=10),VLOOKUP($AN60,StateTables!$A$6:$AB$56,28,FALSE),0),IF(VLOOKUP($AN60,StateTables!$A$6:$AB$56,27,FALSE)="dbl",MIN(ROUND(0.005*$N60,2),ROUND(0.6*52/'Second Earner'!$C$8,2)),IF(OR(VLOOKUP($AN60,StateTables!$A$6:$AB$56,18,FALSE)="",VLOOKUP($AN60,StateTables!$A$6:$AB$56,18,FALSE)=0),0,ROUND(VLOOKUP($AN60,StateTables!$A$6:$AB$56,18,FALSE)*IF(OR(VLOOKUP($AN60,StateTables!$A$6:$AB$56,19,FALSE)="",VLOOKUP($AN60,StateTables!$A$6:$AB$56,19,FALSE)=0),$N60,MIN($N60,MAX(0,VLOOKUP($AN60,StateTables!$A$6:$AB$56,19,FALSE)-($AX60+$AB59-$AW60)))),2)))))</f>
      </c>
      <c r="V60" s="7">
        <f>IF($B60="","",IF($AN60="NY",IF('Second Earner'!$C$78,ROUND(SUMPRODUCT((MAX(0,($O60-$D60)*'Second Earner'!$C$8-(IF($AU60="Married",5500,5000)+1000*$AS60))&gt;INDEX('How This Works &amp; Sources'!$B$184:$J$198,0,4))*(MAX(0,($O60-$D60)*'Second Earner'!$C$8-(IF($AU60="Married",5500,5000)+1000*$AS60))-INDEX('How This Works &amp; Sources'!$B$184:$J$198,0,4))*INDEX('How This Works &amp; Sources'!$B$184:$J$198,0,4+2))/'Second Earner'!$C$8+0.0425*$D60,2),0)+IF('Second Earner'!$C$79="Resident",ROUND(0.1675*$T60,2),IF('Second Earner'!$C$79="Nonresident",ROUND(0.005*MAX(0,($O60-$D60)-(IF($AU60="Married",7950,7400)+1000*$AS60)/'Second Earner'!$C$8),2),0)),IF($AN60="PA",IF('Second Earner'!$C$80="None",'Second Earner'!$C$27+ROUND('Second Earner'!$C$81*($C60+$D60),2),ROUND(IF('Second Earner'!$C$80="Resident",IF($B60&lt;DATE(2026,7,1),0.0374,0.03735),IF($B60&lt;DATE(2026,7,1),0.0343,0.03425))*($C60+$D60),2)),IF($BF60=0,ROUND('Second Earner'!$C$81*($C60+$D60),2),'Second Earner'!$C$27+ROUND('Second Earner'!$C$81*($C60+$D60),2)))))</f>
      </c>
      <c r="W60" s="7">
        <f>IF($B60="","",IF($BF60=0,0,$BP60))</f>
      </c>
      <c r="X60" s="7">
        <f>IF($B60="","",SUM($E60:$K60)+$P60+$Q60+$R60+$S60+$T60+$U60+$V60+$W60)</f>
      </c>
      <c r="Y60" s="22">
        <f>IF($B60="","",$C60+$D60-$X60)</f>
      </c>
      <c r="Z60" s="7">
        <f>IF($B60="","",$Z59+$C60+$D60)</f>
      </c>
      <c r="AA60" s="7">
        <f>IF($B60="","",$AA59+$Y60)</f>
      </c>
      <c r="AB60" s="7">
        <f>IF($B60="","",$AB59+MIN($N60,MAX(0,'How This Works &amp; Sources'!$C$3-($AX60+$AB59-$AW60))))</f>
      </c>
      <c r="AC60" s="7">
        <f>IF($B60="","",$AC59+$E60+$F60)</f>
      </c>
      <c r="AD60" s="3">
        <f>IF($B60="","",IF(AND($AB59&lt;'How This Works &amp; Sources'!$C$3,$AB60&gt;='How This Works &amp; Sources'!$C$3),"★ Social Security maxed on this check — from the next check your net rises by about $"&amp;TEXT(ROUND('How This Works &amp; Sources'!$C$4*$N60,2),"#,##0.00")&amp;". ","")&amp;IF(AND($AC59&lt;'Second Earner'!$C$34,$AC60&gt;='Second Earner'!$C$34),"★ 401(k) reaches the $"&amp;TEXT('Second Earner'!$C$34,"#,##0")&amp;" cap on this check — deferrals stop and net pay rises. ","")&amp;IF(AND($AG59&lt;'How This Works &amp; Sources'!$C$7,$AG60&gt;='How This Works &amp; Sources'!$C$7),"★ Wages pass $200,000 — the 0.9% Additional Medicare Tax starts here. ","")&amp;IF(AND($BJ60&gt;0,$H60&gt;0,$BG59&lt;MIN($BJ60,'How This Works &amp; Sources'!$C$13),$BG59+$H60&gt;=MIN($BJ60,'How This Works &amp; Sources'!$C$13)),"★ Health FSA election is now fully deferred for the year. ",""))</f>
      </c>
      <c r="AE60" s="41" t="n"/>
      <c r="AF60" s="7">
        <f>IF(OR($B60="",$AE60=""),"",$AE60-$Y60)</f>
      </c>
      <c r="AG60" s="7">
        <f>IF($B60="","",$AG59+$N60)</f>
      </c>
      <c r="AH60" s="7">
        <f>IF($B60="","",MAX(0,($M60-$D60)*'Second Earner'!$C$8+$AP60-$AQ60-IF('Second Earner'!$C$13,0,IF('Second Earner'!$C$12="MFJ",'How This Works &amp; Sources'!$C$8,'How This Works &amp; Sources'!$C$9))))</f>
      </c>
      <c r="AI60" s="7">
        <f>IF($B60="","",$O60*'Second Earner'!$C$8)</f>
      </c>
      <c r="AJ60" s="7">
        <f>IF($B60="","",MAX(0,$AI60-VLOOKUP($AN60,StateTables!$A$6:$AB$56,12,FALSE)*$AT60-IF(($AS60+$AT60)&gt;=2,VLOOKUP($AN60,StateTables!$A$6:$AB$56,8,FALSE),VLOOKUP($AN60,StateTables!$A$6:$AB$56,7,FALSE))))</f>
      </c>
      <c r="AK60" s="7">
        <f>IF($B60="","",IFERROR(LOOKUP(2,1/(('Changes — Earner 2'!$C$6:$C$17="Salary change")*('Changes — Earner 2'!$B$6:$B$17&lt;=$B60)*('Changes — Earner 2'!$B$6:$B$17&lt;&gt;"")),'Changes — Earner 2'!$D$6:$D$17),IF('Second Earner'!$C$4="Annual salary",'Second Earner'!$C$5,'Second Earner'!$C$6)))</f>
      </c>
      <c r="AL60">
        <f>IF($B60="","",IFERROR(LOOKUP(2,1/(('Changes — Earner 2'!$C$6:$C$17="401(k) change")*('Changes — Earner 2'!$B$6:$B$17&lt;=$B60)*('Changes — Earner 2'!$B$6:$B$17&lt;&gt;"")),'Changes — Earner 2'!$D$6:$D$17),'Second Earner'!$C$30))</f>
      </c>
      <c r="AM60" s="7">
        <f>IF($B60="","",IFERROR(LOOKUP(2,1/(('Changes — Earner 2'!$C$6:$C$17="401(k) change")*('Changes — Earner 2'!$B$6:$B$17&lt;=$B60)*('Changes — Earner 2'!$B$6:$B$17&lt;&gt;"")),'Changes — Earner 2'!$E$6:$E$17),'Second Earner'!$D$31))</f>
      </c>
      <c r="AN60">
        <f>IF($B60="","",IFERROR(LOOKUP(2,1/(('Changes — Earner 2'!$C$6:$C$17="State move")*('Changes — Earner 2'!$B$6:$B$17&lt;=$B60)*('Changes — Earner 2'!$B$6:$B$17&lt;&gt;"")),'Changes — Earner 2'!$D$6:$D$17),'Second Earner'!$C$21))</f>
      </c>
      <c r="AO60" s="7">
        <f>IF($B60="","",IFERROR(LOOKUP(2,1/(('Changes — Earner 2'!$C$6:$C$17="W-4 change")*('Changes — Earner 2'!$B$6:$B$17&lt;=$B60)*('Changes — Earner 2'!$B$6:$B$17&lt;&gt;"")),'Changes — Earner 2'!$D$6:$D$17),'Second Earner'!$C$14))</f>
      </c>
      <c r="AP60" s="7">
        <f>IF($B60="","",IFERROR(LOOKUP(2,1/(('Changes — Earner 2'!$C$6:$C$17="W-4 change")*('Changes — Earner 2'!$B$6:$B$17&lt;=$B60)*('Changes — Earner 2'!$B$6:$B$17&lt;&gt;"")),'Changes — Earner 2'!$E$6:$E$17),'Second Earner'!$C$15))</f>
      </c>
      <c r="AQ60" s="7">
        <f>IF($B60="","",IFERROR(LOOKUP(2,1/(('Changes — Earner 2'!$C$6:$C$17="W-4 change")*('Changes — Earner 2'!$B$6:$B$17&lt;=$B60)*('Changes — Earner 2'!$B$6:$B$17&lt;&gt;"")),'Changes — Earner 2'!$F$6:$F$17),'Second Earner'!$C$16))</f>
      </c>
      <c r="AR60" s="7">
        <f>IF($B60="","",IFERROR(LOOKUP(2,1/(('Changes — Earner 2'!$C$6:$C$17="W-4 change")*('Changes — Earner 2'!$B$6:$B$17&lt;=$B60)*('Changes — Earner 2'!$B$6:$B$17&lt;&gt;"")),'Changes — Earner 2'!$G$6:$G$17),'Second Earner'!$C$17))</f>
      </c>
      <c r="AS60" s="6">
        <f>IF($B60="","",IFERROR(LOOKUP(2,1/((('Changes — Earner 2'!$C$6:$C$17="State move")+('Changes — Earner 2'!$C$6:$C$17="State cert change"))*('Changes — Earner 2'!$B$6:$B$17&lt;=$B60)*('Changes — Earner 2'!$B$6:$B$17&lt;&gt;"")),'Changes — Earner 2'!$F$6:$F$17),'Second Earner'!$C$23))</f>
      </c>
      <c r="AT60" s="6">
        <f>IF($B60="","",IFERROR(LOOKUP(2,1/((('Changes — Earner 2'!$C$6:$C$17="State move")+('Changes — Earner 2'!$C$6:$C$17="State cert change"))*('Changes — Earner 2'!$B$6:$B$17&lt;=$B60)*('Changes — Earner 2'!$B$6:$B$17&lt;&gt;"")),'Changes — Earner 2'!$G$6:$G$17),'Second Earner'!$C$24))</f>
      </c>
      <c r="AU60">
        <f>IF($B60="","",IFERROR(LOOKUP(2,1/(('Changes — Earner 2'!$C$6:$C$17="State move")*('Changes — Earner 2'!$B$6:$B$17&lt;=$B60)*('Changes — Earner 2'!$B$6:$B$17&lt;&gt;"")),'Changes — Earner 2'!$E$6:$E$17),'Second Earner'!$C$22))</f>
      </c>
      <c r="AV60" s="6">
        <f>IF($B60="","",1+COUNTIFS('Changes — Earner 2'!$C$6:$C$17,"Employer change",'Changes — Earner 2'!$B$6:$B$17,"&lt;="&amp;$B60,'Changes — Earner 2'!$B$6:$B$17,"&lt;&gt;"))</f>
      </c>
      <c r="AW60" s="7">
        <f>IF($B60="","",IF($AV60=1,'Second Earner'!$C$49,IF(IFERROR(MATCH(IFERROR(LOOKUP(2,1/(('Changes — Earner 2'!$C$6:$C$17="Employer change")*('Changes — Earner 2'!$B$6:$B$17&lt;=$B60)*('Changes — Earner 2'!$B$6:$B$17&lt;&gt;"")),'Changes — Earner 2'!$B$6:$B$17),""),$B$6:$B$68,1),1)&lt;=1,'Second Earner'!$C$49,INDEX($AB$6:$AB$68,MATCH(IFERROR(LOOKUP(2,1/(('Changes — Earner 2'!$C$6:$C$17="Employer change")*('Changes — Earner 2'!$B$6:$B$17&lt;=$B60)*('Changes — Earner 2'!$B$6:$B$17&lt;&gt;"")),'Changes — Earner 2'!$B$6:$B$17),""),$B$6:$B$68,1)-1))))</f>
      </c>
      <c r="AX60" s="7">
        <f>IF($B60="","",IF($AV60=1,'Second Earner'!$C$49,IFERROR(LOOKUP(2,1/(('Changes — Earner 2'!$C$6:$C$17="Employer change")*('Changes — Earner 2'!$B$6:$B$17&lt;=$B60)*('Changes — Earner 2'!$B$6:$B$17&lt;&gt;"")),'Changes — Earner 2'!$D$6:$D$17),0)))</f>
      </c>
      <c r="AY60" s="7">
        <f>IF($B60="","",($O60-$D60)*'Second Earner'!$C$8)</f>
      </c>
      <c r="AZ60" s="7">
        <f>IF($B60="","",IF($AN60="AL",MAX(0,$AY60-IF($AU60="Married",IF($AY60&lt;=25999,8500,MAX(5000,8500-175*CEILING(($AY60-25999)/500,1))),IF($AU60="Head of household",IF($AY60&lt;=25999,5200,MAX(2500,5200-135*CEILING(($AY60-25999)/500,1))),IF($AY60&lt;=25999,3000,MAX(2500,3000-25*CEILING(($AY60-25999)/500,1)))))-($P60-'How This Works &amp; Sources'!$C$10*$D60)*'Second Earner'!$C$8-IF(OR($AU60="Married",$AU60="Head of household"),3000,1500)-$AT60*IF($AY60&lt;=50000,1000,IF($AY60&lt;=100000,500,300))),IF($AN60="AR",IF(MAX(0,$AY60-2470)&lt;97701,INT(MAX(0,$AY60-2470)/100)*100+50,MAX(0,$AY60-2470)),IF($AN60="DE",MAX(0,$AI60-3250),IF($AN60="HI",MAX(0,$AI60-1144*$AS60-4350),IF($AN60="KS",MAX(0,$AI60-(9160*IF($AU60="Married",2,1)+2320*$AT60+IF($AU60="Head of household",2320,0))),IF($AN60="MD",MAX(0,$AI60-3400-3200*$AS60),IF($AN60="MN",MAX(0,$AY60-5300*$AS60),IF($AN60="MO",MAX(0,$AI60-IF($AU60="Head of household",24150,IF($AU60="Married",IF('Second Earner'!$C$83,16100,32200),16100))),IF($AN60="MT",$AY60,IF($AN60="ND",($C60+$L60)*'Second Earner'!$C$8,IF($AN60="NE",MAX(0,$AY60-2440*$AS60),IF($AN60="NJ",MAX(0,$AY60-1000*$AS60),IF($AN60="NY",MAX(0,$AY60-(IF($AU60="Married",7950,7400)+1000*$AS60)),IF($AN60="OH",MAX(0,$AY60-650*$AS60),IF($AN60="OK",MAX(0,$AY60-1000*$AS60),IF($AN60="RI",MAX(0,$AI60-1000*$AS60),IF($AN60="SC",MAX(0,$AI60-5000*$AS60-IF($AS60=0,0,MIN(0.1*$AI60,7500))),IF($AN60="VA",MAX(0,$AI60-IF($AU60="Married",17500,8750)-930*$AS60-800*$AT60),IF($AN60="VT",MAX(0,$AI60-5400*$AS60),IF($AN60="WI",MAX(0,$AI60-MAX(0,IF($AU60="Married",9461-0.2*MAX(0,$AI60-25727),6702-0.12*MAX(0,$AI60-17780)))-400*$AS60),IF($AN60="WV",MAX(0,$AI60-2000*$AS60),$AI60))))))))))))))))))))))</f>
      </c>
      <c r="BA60" s="7">
        <f>IF($B60="","",IF($BW60&lt;&gt;"",$BW60,IF($BX60&lt;&gt;"",$BX60,IF($BY60&lt;&gt;"",$BY60,0))))</f>
      </c>
      <c r="BB60" s="7">
        <f>IF($B60="","",IF($AN60="AR",-29*$AS60,IF($AN60="DE",-110*$AS60,IF($AN60="MD",$AZ60*'Second Earner'!$C$74,IF($AN60="AZ",'Second Earner'!$C$82*($M60-$D60)*'Second Earner'!$C$8,IF($AN60="CO",0.044*MAX(0,$AY60-IF($AU60="Married",10000,5000)),IF($AN60="IA",MAX(0,0.038*MAX(0,$AY60-IF($AU60="Head of household",19500,IF($AU60="Married",26000,13000)))-40*$AS60),IF($AN60="ID",0.053*MAX(0,$AY60-IF($AU60="Married",32000,16094)),IF($AN60="IL",0.0495*MAX(0,$AY60-(2925*$AS60+1000*$AT60)),IF($AN60="IN",(0.0295+'Second Earner'!$C$76)*MAX(0,$AY60-(1000*$AS60+1500*$AT60+3000*'Second Earner'!$C$86)),IF($AN60="KY",0.035*MAX(0,$AI60-3360),IF($AN60="LA",IF('Second Earner'!$C$84="0",0.0309*$AI60,0.0309*MAX(0,$AI60-IF('Second Earner'!$C$84="2",25750,12875))),IF($AN60="MA",0.05*MIN(MAX(0,$AY60-MIN(($BD59+$Q60+$R60+$S60),2000)-IF($AS60=0,0,IF($AS60=1,4400,1000*$AS60+3400))),1107750)+0.09*MAX(0,MAX(0,$AY60-MIN(($BD59+$Q60+$R60+$S60),2000)-IF($AS60=0,0,IF($AS60=1,4400,1000*$AS60+3400)))-1107750)-IF($AU60="Head of household",120,0)-110*'Second Earner'!$C$75,IF($AN60="MI",0.0425*MAX(0,$AY60-5900*$AS60),IF($AN60="MS",0.04*MAX(0,$AI60-IF($AU60="Head of household",3400,IF($AU60="Married",4600,2300))-'Second Earner'!$C$85-10000),IF($AN60="OR",IF(OR($AU60="Married",AND($AU60="Single",$AS60&gt;=3)),SUMPRODUCT((MAX(0,$AY60-MIN(($P60-'How This Works &amp; Sources'!$C$10*$D60)*'Second Earner'!$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Sources'!$B$211:$J$214,0,4))*(MAX(0,$AY60-MIN(($P60-'How This Works &amp; Sources'!$C$10*$D60)*'Second Earner'!$C$8,IF(OR($AU60="Married",AND($AU60="Single",$AS60&gt;=3)),IF($AY60&lt;250000,8750,IF($AY60&lt;260000,7000,IF($AY60&lt;270000,5250,IF($AY60&lt;280000,3500,IF($AY60&lt;290000,1750,0))))),IF($AY60&lt;125000,8750,IF($AY60&lt;130000,7000,IF($AY60&lt;135000,5250,IF($AY60&lt;140000,3500,IF($AY60&lt;145000,1750,0)))))))-IF(OR($AU60="Married",AND($AU60="Single",$AS60&gt;=3)),5820,2910))-INDEX('How This Works &amp; Sources'!$B$211:$J$214,0,4))*INDEX('How This Works &amp; Sources'!$B$211:$J$214,0,4+2)),SUMPRODUCT((MAX(0,$AY60-MIN(($P60-'How This Works &amp; Sources'!$C$10*$D60)*'Second Earner'!$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Sources'!$B$211:$J$214,0,1))*(MAX(0,$AY60-MIN(($P60-'How This Works &amp; Sources'!$C$10*$D60)*'Second Earner'!$C$8,IF(OR($AU60="Married",AND($AU60="Single",$AS60&gt;=3)),IF($AY60&lt;250000,8750,IF($AY60&lt;260000,7000,IF($AY60&lt;270000,5250,IF($AY60&lt;280000,3500,IF($AY60&lt;290000,1750,0))))),IF($AY60&lt;125000,8750,IF($AY60&lt;130000,7000,IF($AY60&lt;135000,5250,IF($AY60&lt;140000,3500,IF($AY60&lt;145000,1750,0)))))))-IF(OR($AU60="Married",AND($AU60="Single",$AS60&gt;=3)),5820,2910))-INDEX('How This Works &amp; Sources'!$B$211:$J$214,0,1))*INDEX('How This Works &amp; Sources'!$B$211:$J$214,0,1+2)))+263-263*IF(IF($AU60="Married",$AY60&gt;200000,$AY60&gt;100000),0,$AS60),IF($AN60="PA",0.0307*(($O60+$E60+$G60)*'Second Earner'!$C$8),IF($AN60="NY",IF($AU60="Married",IF($AZ60&gt;=2155350,0,IF($AZ60&gt;=1077550,0.48,IF($AZ60&gt;=373200,1.21,IF($AZ60&gt;=323200,0.21,IF($AZ60&gt;=211550,-0.19,IF($AZ60&gt;=157650,-2.8,IF($AZ60&gt;=107650,-0.8,IF($AZ60&gt;=96800,0.05,IF($AZ60&gt;=80650,-0.1,IF($AZ60&gt;=13900,0.4,IF($AZ60&gt;=11700,-0.3,IF($AZ60&gt;=8500,0.5,0)))))))))))),IF($AZ60&gt;=1077550,0,IF($AZ60&gt;=265400,4.29,IF($AZ60&gt;=215400,2.29,IF($AZ60&gt;=157650,2.29,IF($AZ60&gt;=107650,0.29,IF($AZ60&gt;=96800,0.05,IF($AZ60&gt;=80650,-0.1,IF($AZ60&gt;=13900,0.4,IF($AZ60&gt;=11700,-0.3,IF($AZ60&gt;=8500,0.5,0))))))))))),0))))))))))))))))))</f>
      </c>
      <c r="BC60" s="7">
        <f>IF($B60="","",IF($AN60="AL",0.05*$D60,IF($AN60="AR",0.039*$D60,IF($AN60="ID",0.053*$D60,IF($AN60="IN",(0.0295+'Second Earner'!$C$76)*$D60,IF($AN60="KS",0.05*$D60,IF($AN60="MA",0.09*MIN($D60,MAX(0,MAX(0,$AY60-MIN(($BD59+$Q60+$R60+$S60),2000)-IF($AS60=0,0,IF($AS60=1,4400,1000*$AS60+3400)))+$D60-1107750))+0.05*($D60-MIN($D60,MAX(0,MAX(0,$AY60-MIN(($BD59+$Q60+$R60+$S60),2000)-IF($AS60=0,0,IF($AS60=1,4400,1000*$AS60+3400)))+$D60-1107750))),IF($AN60="MD",(0.065+'Second Earner'!$C$74)*$D60,IF($AN60="MI",0.0425*$D60,IF($AN60="MN",0.0625*$D60,IF($AN60="MO",0.047*$D60,IF($AN60="MT",0.05*$D60,IF($AN60="ND",0.015*$D60,IF($AN60="NE",0.035*$D60,IF($AN60="NJ",IF('Second Earner'!$C$77="B",SUMPRODUCT(($D60*'Second Earner'!$C$8&gt;INDEX('How This Works &amp; Sources'!$B$155:$J$162,0,4))*($D60*'Second Earner'!$C$8-INDEX('How This Works &amp; Sources'!$B$155:$J$162,0,4))*INDEX('How This Works &amp; Sources'!$B$155:$J$162,0,4+2)),IF('Second Earner'!$C$77="C",SUMPRODUCT(($D60*'Second Earner'!$C$8&gt;INDEX('How This Works &amp; Sources'!$B$155:$J$162,0,7))*($D60*'Second Earner'!$C$8-INDEX('How This Works &amp; Sources'!$B$155:$J$162,0,7))*INDEX('How This Works &amp; Sources'!$B$155:$J$162,0,7+2)),IF('Second Earner'!$C$77="D",SUMPRODUCT(($D60*'Second Earner'!$C$8&gt;INDEX('How This Works &amp; Sources'!$B$167:$J$179,0,1))*($D60*'Second Earner'!$C$8-INDEX('How This Works &amp; Sources'!$B$167:$J$179,0,1))*INDEX('How This Works &amp; Sources'!$B$167:$J$179,0,1+2)),IF('Second Earner'!$C$77="E",SUMPRODUCT(($D60*'Second Earner'!$C$8&gt;INDEX('How This Works &amp; Sources'!$B$167:$J$179,0,4))*($D60*'Second Earner'!$C$8-INDEX('How This Works &amp; Sources'!$B$167:$J$179,0,4))*INDEX('How This Works &amp; Sources'!$B$167:$J$179,0,4+2)),SUMPRODUCT(($D60*'Second Earner'!$C$8&gt;INDEX('How This Works &amp; Sources'!$B$155:$J$162,0,1))*($D60*'Second Earner'!$C$8-INDEX('How This Works &amp; Sources'!$B$155:$J$162,0,1))*INDEX('How This Works &amp; Sources'!$B$155:$J$162,0,1+2))))))/'Second Earner'!$C$8,IF($AN60="NY",0.117*$D60,IF($AN60="OH",0.0275*$D60,IF($AN60="OK",0.045*$D60,IF($AN60="OR",0.08*$D60,IF($AN60="WI",IF($AY60&lt;12760,0.0354,IF($AY60&lt;25520,0.0465,IF($AY60&lt;280950,0.053,0.0765)))*$D60,0))))))))))))))))))))</f>
      </c>
      <c r="BD60" s="7">
        <f>IF($B60="","",$BD59+$Q60+$R60+$S60)</f>
      </c>
      <c r="BE60" s="6">
        <f>IF($B60="",$BE59,$BE59+$BF60)</f>
      </c>
      <c r="BF60" s="6">
        <f>IF($B60="","",IF(AND(IF(YEAR(IF('Second Earner'!$C$7="Weekly",'Second Earner'!$C$9+7*(($BE59+1)-1),IF('Second Earner'!$C$7="Biweekly",'Second Earner'!$C$9+14*(($BE59+1)-1),IF('Second Earner'!$C$7="Semimonthly",DATE(YEAR('Second Earner'!$C$9),MONTH('Second Earner'!$C$9)+INT((($BE59+1)-1)/2),MIN(DAY('Second Earner'!$C$9),DAY(EOMONTH(DATE(YEAR('Second Earner'!$C$9),MONTH('Second Earner'!$C$9)+INT((($BE59+1)-1)/2),1),0))))+IF(MOD(($BE59+1)-1,2)=1,15,0),EDATE('Second Earner'!$C$9,($BE59+1)-1)))))&lt;&gt;'Second Earner'!$C$10,"",IF('Second Earner'!$C$7="Weekly",'Second Earner'!$C$9+7*(($BE59+1)-1),IF('Second Earner'!$C$7="Biweekly",'Second Earner'!$C$9+14*(($BE59+1)-1),IF('Second Earner'!$C$7="Semimonthly",DATE(YEAR('Second Earner'!$C$9),MONTH('Second Earner'!$C$9)+INT((($BE59+1)-1)/2),MIN(DAY('Second Earner'!$C$9),DAY(EOMONTH(DATE(YEAR('Second Earner'!$C$9),MONTH('Second Earner'!$C$9)+INT((($BE59+1)-1)/2),1),0))))+IF(MOD(($BE59+1)-1,2)=1,15,0),EDATE('Second Earner'!$C$9,($BE59+1)-1)))))&lt;&gt;"",$B60=IF(YEAR(IF('Second Earner'!$C$7="Weekly",'Second Earner'!$C$9+7*(($BE59+1)-1),IF('Second Earner'!$C$7="Biweekly",'Second Earner'!$C$9+14*(($BE59+1)-1),IF('Second Earner'!$C$7="Semimonthly",DATE(YEAR('Second Earner'!$C$9),MONTH('Second Earner'!$C$9)+INT((($BE59+1)-1)/2),MIN(DAY('Second Earner'!$C$9),DAY(EOMONTH(DATE(YEAR('Second Earner'!$C$9),MONTH('Second Earner'!$C$9)+INT((($BE59+1)-1)/2),1),0))))+IF(MOD(($BE59+1)-1,2)=1,15,0),EDATE('Second Earner'!$C$9,($BE59+1)-1)))))&lt;&gt;'Second Earner'!$C$10,"",IF('Second Earner'!$C$7="Weekly",'Second Earner'!$C$9+7*(($BE59+1)-1),IF('Second Earner'!$C$7="Biweekly",'Second Earner'!$C$9+14*(($BE59+1)-1),IF('Second Earner'!$C$7="Semimonthly",DATE(YEAR('Second Earner'!$C$9),MONTH('Second Earner'!$C$9)+INT((($BE59+1)-1)/2),MIN(DAY('Second Earner'!$C$9),DAY(EOMONTH(DATE(YEAR('Second Earner'!$C$9),MONTH('Second Earner'!$C$9)+INT((($BE59+1)-1)/2),1),0))))+IF(MOD(($BE59+1)-1,2)=1,15,0),EDATE('Second Earner'!$C$9,($BE59+1)-1)))))),1,0))</f>
      </c>
      <c r="BG60" s="7">
        <f>IF($B60="","",$BG59+$H60)</f>
      </c>
      <c r="BH60" s="7">
        <f>IF($B60="","",$BH59+$I60)</f>
      </c>
      <c r="BI60" s="7">
        <f>IF($B60="","",$BI59+$G60)</f>
      </c>
      <c r="BJ60" s="7">
        <f>IF($B60="","",IFERROR(LOOKUP(2,1/(((('Changes — Earner 2'!$C$6:$C$17="Deduction start"))*('Changes — Earner 2'!$D$6:$D$17="Health FSA"))*('Changes — Earner 2'!$B$6:$B$17&lt;=$B60)*('Changes — Earner 2'!$B$6:$B$17&lt;&gt;"")),'Changes — Earner 2'!$E$6:$E$17),'Second Earner'!$D$38))</f>
      </c>
      <c r="BK60" s="7">
        <f>IF($B60="","",IFERROR(LOOKUP(2,1/(((('Changes — Earner 2'!$C$6:$C$17="Deduction start"))*('Changes — Earner 2'!$D$6:$D$17="Dependent-care FSA"))*('Changes — Earner 2'!$B$6:$B$17&lt;=$B60)*('Changes — Earner 2'!$B$6:$B$17&lt;&gt;"")),'Changes — Earner 2'!$E$6:$E$17),'Second Earner'!$D$39))</f>
      </c>
      <c r="BL60" s="7">
        <f>IF($B60="","",IFERROR(LOOKUP(2,1/(((('Changes — Earner 2'!$C$6:$C$17="Deduction start")+('Changes — Earner 2'!$C$6:$C$17="Deduction stop"))*('Changes — Earner 2'!$D$6:$D$17="HSA"))*('Changes — Earner 2'!$B$6:$B$17&lt;=$B60)*('Changes — Earner 2'!$B$6:$B$17&lt;&gt;"")),'Changes — Earner 2'!$I$6:$I$17),'Second Earner'!$D$35))</f>
      </c>
      <c r="BM60" s="7">
        <f>IF($B60="","",IFERROR(LOOKUP(2,1/(((('Changes — Earner 2'!$C$6:$C$17="Deduction start")+('Changes — Earner 2'!$C$6:$C$17="Deduction stop"))*('Changes — Earner 2'!$D$6:$D$17="Premiums"))*('Changes — Earner 2'!$B$6:$B$17&lt;=$B60)*('Changes — Earner 2'!$B$6:$B$17&lt;&gt;"")),'Changes — Earner 2'!$I$6:$I$17),'Second Earner'!$D$40+'Second Earner'!$D$41+'Second Earner'!$D$42))</f>
      </c>
      <c r="BN60" s="7">
        <f>IF($B60="","",IFERROR(LOOKUP(2,1/(((('Changes — Earner 2'!$C$6:$C$17="Deduction start")+('Changes — Earner 2'!$C$6:$C$17="Deduction stop"))*('Changes — Earner 2'!$D$6:$D$17="Commuter"))*('Changes — Earner 2'!$B$6:$B$17&lt;=$B60)*('Changes — Earner 2'!$B$6:$B$17&lt;&gt;"")),'Changes — Earner 2'!$I$6:$I$17),'Second Earner'!$D$43))</f>
      </c>
      <c r="BO60" s="7">
        <f>IF($B60="","",IFERROR(LOOKUP(2,1/(((('Changes — Earner 2'!$C$6:$C$17="Deduction start")+('Changes — Earner 2'!$C$6:$C$17="Deduction stop"))*('Changes — Earner 2'!$D$6:$D$17="Other pre-tax"))*('Changes — Earner 2'!$B$6:$B$17&lt;=$B60)*('Changes — Earner 2'!$B$6:$B$17&lt;&gt;"")),'Changes — Earner 2'!$I$6:$I$17),'Second Earner'!$D$44))</f>
      </c>
      <c r="BP60" s="7">
        <f>IF($B60="","",IFERROR(LOOKUP(2,1/(((('Changes — Earner 2'!$C$6:$C$17="Deduction start")+('Changes — Earner 2'!$C$6:$C$17="Deduction stop"))*('Changes — Earner 2'!$D$6:$D$17="Other post-tax"))*('Changes — Earner 2'!$B$6:$B$17&lt;=$B60)*('Changes — Earner 2'!$B$6:$B$17&lt;&gt;"")),'Changes — Earner 2'!$I$6:$I$17),'Second Earner'!$D$45))</f>
      </c>
      <c r="BQ60" s="6">
        <f>IF($B60="","",IFERROR(LOOKUP(2,1/(((('Changes — Earner 2'!$C$6:$C$17="Deduction start")+('Changes — Earner 2'!$C$6:$C$17="Deduction stop"))*('Changes — Earner 2'!$D$6:$D$17="Health FSA"))*('Changes — Earner 2'!$B$6:$B$17&lt;=$B60)*('Changes — Earner 2'!$B$6:$B$17&lt;&gt;"")),'Changes — Earner 2'!$J$6:$J$17),0))</f>
      </c>
      <c r="BR60" s="6">
        <f>IF($B60="","",IFERROR(LOOKUP(2,1/(((('Changes — Earner 2'!$C$6:$C$17="Deduction start")+('Changes — Earner 2'!$C$6:$C$17="Deduction stop"))*('Changes — Earner 2'!$D$6:$D$17="Dependent-care FSA"))*('Changes — Earner 2'!$B$6:$B$17&lt;=$B60)*('Changes — Earner 2'!$B$6:$B$17&lt;&gt;"")),'Changes — Earner 2'!$J$6:$J$17),0))</f>
      </c>
      <c r="BS60" s="6">
        <f>IF($B60="","",IF(SUMPRODUCT(('Changes — Earner 2'!$C$6:$C$17="Deduction start")*('Changes — Earner 2'!$B$6:$B$17&lt;=$B60)*('Changes — Earner 2'!$B$6:$B$17&lt;&gt;"")*('Changes — Earner 2'!$D$6:$D$17="Health FSA"))&gt;0,1,0))</f>
      </c>
      <c r="BT60" s="6">
        <f>IF($B60="","",IF(SUMPRODUCT(('Changes — Earner 2'!$C$6:$C$17="Deduction start")*('Changes — Earner 2'!$B$6:$B$17&lt;=$B60)*('Changes — Earner 2'!$B$6:$B$17&lt;&gt;"")*('Changes — Earner 2'!$D$6:$D$17="Dependent-care FSA"))&gt;0,1,0))</f>
      </c>
      <c r="BU60" s="24">
        <f>IF($B60="","",IF('Second Earner'!$C$13,SUMPRODUCT(($AH60&gt;=INDEX('How This Works &amp; Sources'!$B$29:$J$36,0,IF('Second Earner'!$C$12="MFJ",1,IF('Second Earner'!$C$12="HoH",7,4))))*INDEX('How This Works &amp; Sources'!$B$29:$J$36,0,IF('Second Earner'!$C$12="MFJ",1,IF('Second Earner'!$C$12="HoH",7,4))+2)),SUMPRODUCT(($AH60&gt;=INDEX('How This Works &amp; Sources'!$B$19:$J$26,0,IF('Second Earner'!$C$12="MFJ",1,IF('Second Earner'!$C$12="HoH",7,4))))*INDEX('How This Works &amp; Sources'!$B$19:$J$26,0,IF('Second Earner'!$C$12="MFJ",1,IF('Second Earner'!$C$12="HoH",7,4))+2))))</f>
      </c>
      <c r="BV60" s="24">
        <f>IF($B60="","",IF($BZ60&lt;&gt;"",$BZ60,IF($CA60&lt;&gt;"",$CA60,IF($CB60&lt;&gt;"",$CB60,IF($CC60&lt;&gt;"",$CC60,0)))))</f>
      </c>
      <c r="BW60" s="7">
        <f>IF($B60="","",IF($AN60="AR",SUMPRODUCT(($AZ60&gt;INDEX('How This Works &amp; Sources'!$B$82:$J$86,0,7))*($AZ60-INDEX('How This Works &amp; Sources'!$B$82:$J$86,0,7))*INDEX('How This Works &amp; Sources'!$B$82:$J$86,0,7+2)),IF($AN60="MD",IF(OR($AU60="Married",$AU60="Head of household"),SUMPRODUCT(($AZ60&gt;INDEX('How This Works &amp; Sources'!$B$114:$J$120,0,1))*($AZ60-INDEX('How This Works &amp; Sources'!$B$114:$J$120,0,1))*INDEX('How This Works &amp; Sources'!$B$114:$J$120,0,1+2)),SUMPRODUCT(($AZ60&gt;INDEX('How This Works &amp; Sources'!$B$103:$J$109,0,7))*($AZ60-INDEX('How This Works &amp; Sources'!$B$103:$J$109,0,7))*INDEX('How This Works &amp; Sources'!$B$103:$J$109,0,7+2))),IF($AN60="MT",IF($AU60="Head of household",SUMPRODUCT(($AZ60&gt;INDEX('How This Works &amp; Sources'!$B$137:$J$139,0,1))*($AZ60-INDEX('How This Works &amp; Sources'!$B$137:$J$139,0,1))*INDEX('How This Works &amp; Sources'!$B$137:$J$139,0,1+2)),IF($AU60="Married",SUMPRODUCT(($AZ60&gt;INDEX('How This Works &amp; Sources'!$B$125:$J$132,0,7))*($AZ60-INDEX('How This Works &amp; Sources'!$B$125:$J$132,0,7))*INDEX('How This Works &amp; Sources'!$B$125:$J$132,0,7+2)),SUMPRODUCT(($AZ60&gt;INDEX('How This Works &amp; Sources'!$B$125:$J$132,0,4))*($AZ60-INDEX('How This Works &amp; Sources'!$B$125:$J$132,0,4))*INDEX('How This Works &amp; Sources'!$B$125:$J$132,0,4+2)))),IF($AN60="ND",IF($AU60="Head of household",SUMPRODUCT(($AZ60&gt;INDEX('How This Works &amp; Sources'!$B$144:$J$150,0,1))*($AZ60-INDEX('How This Works &amp; Sources'!$B$144:$J$150,0,1))*INDEX('How This Works &amp; Sources'!$B$144:$J$150,0,1+2)),IF($AU60="Married",SUMPRODUCT(($AZ60&gt;INDEX('How This Works &amp; Sources'!$B$137:$J$139,0,7))*($AZ60-INDEX('How This Works &amp; Sources'!$B$137:$J$139,0,7))*INDEX('How This Works &amp; Sources'!$B$137:$J$139,0,7+2)),SUMPRODUCT(($AZ60&gt;INDEX('How This Works &amp; Sources'!$B$137:$J$139,0,4))*($AZ60-INDEX('How This Works &amp; Sources'!$B$137:$J$139,0,4))*INDEX('How This Works &amp; Sources'!$B$137:$J$139,0,4+2)))),IF($AN60="NJ",IF('Second Earner'!$C$77="B",SUMPRODUCT(($AZ60&gt;INDEX('How This Works &amp; Sources'!$B$155:$J$162,0,4))*($AZ60-INDEX('How This Works &amp; Sources'!$B$155:$J$162,0,4))*INDEX('How This Works &amp; Sources'!$B$155:$J$162,0,4+2)),IF('Second Earner'!$C$77="C",SUMPRODUCT(($AZ60&gt;INDEX('How This Works &amp; Sources'!$B$155:$J$162,0,7))*($AZ60-INDEX('How This Works &amp; Sources'!$B$155:$J$162,0,7))*INDEX('How This Works &amp; Sources'!$B$155:$J$162,0,7+2)),IF('Second Earner'!$C$77="D",SUMPRODUCT(($AZ60&gt;INDEX('How This Works &amp; Sources'!$B$167:$J$179,0,1))*($AZ60-INDEX('How This Works &amp; Sources'!$B$167:$J$179,0,1))*INDEX('How This Works &amp; Sources'!$B$167:$J$179,0,1+2)),IF('Second Earner'!$C$77="E",SUMPRODUCT(($AZ60&gt;INDEX('How This Works &amp; Sources'!$B$167:$J$179,0,4))*($AZ60-INDEX('How This Works &amp; Sources'!$B$167:$J$179,0,4))*INDEX('How This Works &amp; Sources'!$B$167:$J$179,0,4+2)),SUMPRODUCT(($AZ60&gt;INDEX('How This Works &amp; Sources'!$B$155:$J$162,0,1))*($AZ60-INDEX('How This Works &amp; Sources'!$B$155:$J$162,0,1))*INDEX('How This Works &amp; Sources'!$B$155:$J$162,0,1+2)))))),IF($AN60="NY",IF($AU60="Married",IF($AZ60&gt;=2155350,$AZ60*IF($AZ60&gt;25000000,0.117,IF($AZ60&gt;5000000,0.111,0.1045)),SUMPRODUCT(($AZ60&gt;INDEX('How This Works &amp; Sources'!$B$184:$J$198,0,1))*($AZ60-INDEX('How This Works &amp; Sources'!$B$184:$J$198,0,1))*INDEX('How This Works &amp; Sources'!$B$184:$J$198,0,1+2))),IF($AZ60&gt;=1077550,$AZ60*IF($AZ60&gt;25000000,0.117,IF($AZ60&gt;5000000,0.111,0.1045)),SUMPRODUCT(($AZ60&gt;INDEX('How This Works &amp; Sources'!$B$167:$J$179,0,7))*($AZ60-INDEX('How This Works &amp; Sources'!$B$167:$J$179,0,7))*INDEX('How This Works &amp; Sources'!$B$167:$J$179,0,7+2)))),"")))))))</f>
      </c>
      <c r="BX60" s="7">
        <f>IF($B60="","",IF($AN60="AL",IF(OR($AU60="Married",$AU60="Head of household"),SUMPRODUCT(($AZ60&gt;INDEX('How This Works &amp; Sources'!$B$82:$J$86,0,4))*($AZ60-INDEX('How This Works &amp; Sources'!$B$82:$J$86,0,4))*INDEX('How This Works &amp; Sources'!$B$82:$J$86,0,4+2)),SUMPRODUCT(($AZ60&gt;INDEX('How This Works &amp; Sources'!$B$82:$J$86,0,1))*($AZ60-INDEX('How This Works &amp; Sources'!$B$82:$J$86,0,1))*INDEX('How This Works &amp; Sources'!$B$82:$J$86,0,1+2))),IF($AN60="KS",IF($AU60="Married",SUMPRODUCT(($AZ60&gt;INDEX('How This Works &amp; Sources'!$B$103:$J$109,0,4))*($AZ60-INDEX('How This Works &amp; Sources'!$B$103:$J$109,0,4))*INDEX('How This Works &amp; Sources'!$B$103:$J$109,0,4+2)),SUMPRODUCT(($AZ60&gt;INDEX('How This Works &amp; Sources'!$B$103:$J$109,0,1))*($AZ60-INDEX('How This Works &amp; Sources'!$B$103:$J$109,0,1))*INDEX('How This Works &amp; Sources'!$B$103:$J$109,0,1+2))),IF($AN60="MN",IF($AU60="Married",SUMPRODUCT(($AZ60&gt;INDEX('How This Works &amp; Sources'!$B$114:$J$120,0,7))*($AZ60-INDEX('How This Works &amp; Sources'!$B$114:$J$120,0,7))*INDEX('How This Works &amp; Sources'!$B$114:$J$120,0,7+2)),SUMPRODUCT(($AZ60&gt;INDEX('How This Works &amp; Sources'!$B$114:$J$120,0,4))*($AZ60-INDEX('How This Works &amp; Sources'!$B$114:$J$120,0,4))*INDEX('How This Works &amp; Sources'!$B$114:$J$120,0,4+2))),IF($AN60="MO",SUMPRODUCT(($AZ60&gt;INDEX('How This Works &amp; Sources'!$B$125:$J$132,0,1))*($AZ60-INDEX('How This Works &amp; Sources'!$B$125:$J$132,0,1))*INDEX('How This Works &amp; Sources'!$B$125:$J$132,0,1+2)),IF($AN60="NE",MAX(IF($AU60="Married",SUMPRODUCT(($AZ60&gt;INDEX('How This Works &amp; Sources'!$B$144:$J$150,0,7))*($AZ60-INDEX('How This Works &amp; Sources'!$B$144:$J$150,0,7))*INDEX('How This Works &amp; Sources'!$B$144:$J$150,0,7+2)),SUMPRODUCT(($AZ60&gt;INDEX('How This Works &amp; Sources'!$B$144:$J$150,0,4))*($AZ60-INDEX('How This Works &amp; Sources'!$B$144:$J$150,0,4))*INDEX('How This Works &amp; Sources'!$B$144:$J$150,0,4+2))),0.015*$AZ60),IF($AN60="OH",IF($B60&gt;=DATE(2026,8,1),SUMPRODUCT(($AZ60&gt;INDEX('How This Works &amp; Sources'!$B$203:$J$206,0,1))*($AZ60-INDEX('How This Works &amp; Sources'!$B$203:$J$206,0,1))*INDEX('How This Works &amp; Sources'!$B$203:$J$206,0,1+2)),SUMPRODUCT(($AZ60&gt;INDEX('How This Works &amp; Sources'!$B$184:$J$198,0,7))*($AZ60-INDEX('How This Works &amp; Sources'!$B$184:$J$198,0,7))*INDEX('How This Works &amp; Sources'!$B$184:$J$198,0,7+2))),IF($AN60="OK",IF($AU60="Married",SUMPRODUCT(($AZ60&gt;INDEX('How This Works &amp; Sources'!$B$203:$J$206,0,7))*($AZ60-INDEX('How This Works &amp; Sources'!$B$203:$J$206,0,7))*INDEX('How This Works &amp; Sources'!$B$203:$J$206,0,7+2)),SUMPRODUCT(($AZ60&gt;INDEX('How This Works &amp; Sources'!$B$203:$J$206,0,4))*($AZ60-INDEX('How This Works &amp; Sources'!$B$203:$J$206,0,4))*INDEX('How This Works &amp; Sources'!$B$203:$J$206,0,4+2))),IF($AN60="VT",IF($AU60="Married",SUMPRODUCT(($AZ60&gt;INDEX('How This Works &amp; Sources'!$B$228:$J$232,0,1))*($AZ60-INDEX('How This Works &amp; Sources'!$B$228:$J$232,0,1))*INDEX('How This Works &amp; Sources'!$B$228:$J$232,0,1+2)),SUMPRODUCT(($AZ60&gt;INDEX('How This Works &amp; Sources'!$B$219:$J$223,0,7))*($AZ60-INDEX('How This Works &amp; Sources'!$B$219:$J$223,0,7))*INDEX('How This Works &amp; Sources'!$B$219:$J$223,0,7+2))),IF($AN60="WV",IF($AU60="Married",SUMPRODUCT(($AZ60&gt;INDEX('How This Works &amp; Sources'!$B$237:$J$241,0,7))*($AZ60-INDEX('How This Works &amp; Sources'!$B$237:$J$241,0,7))*INDEX('How This Works &amp; Sources'!$B$237:$J$241,0,7+2)),SUMPRODUCT(($AZ60&gt;INDEX('How This Works &amp; Sources'!$B$228:$J$232,0,7))*($AZ60-INDEX('How This Works &amp; Sources'!$B$228:$J$232,0,7))*INDEX('How This Works &amp; Sources'!$B$228:$J$232,0,7+2))),""))))))))))</f>
      </c>
      <c r="BY60" s="7">
        <f>IF($B60="","",IF($AN60="DE",SUMPRODUCT(($AZ60&gt;INDEX('How This Works &amp; Sources'!$B$91:$J$98,0,1))*($AZ60-INDEX('How This Works &amp; Sources'!$B$91:$J$98,0,1))*INDEX('How This Works &amp; Sources'!$B$91:$J$98,0,1+2)),IF($AN60="HI",IF($AU60="Married",SUMPRODUCT(($AZ60&gt;INDEX('How This Works &amp; Sources'!$B$91:$J$98,0,7))*($AZ60-INDEX('How This Works &amp; Sources'!$B$91:$J$98,0,7))*INDEX('How This Works &amp; Sources'!$B$91:$J$98,0,7+2)),SUMPRODUCT(($AZ60&gt;INDEX('How This Works &amp; Sources'!$B$91:$J$98,0,4))*($AZ60-INDEX('How This Works &amp; Sources'!$B$91:$J$98,0,4))*INDEX('How This Works &amp; Sources'!$B$91:$J$98,0,4+2))),IF($AN60="RI",SUMPRODUCT(($AZ60&gt;INDEX('How This Works &amp; Sources'!$B$211:$J$214,0,7))*($AZ60-INDEX('How This Works &amp; Sources'!$B$211:$J$214,0,7))*INDEX('How This Works &amp; Sources'!$B$211:$J$214,0,7+2)),IF($AN60="SC",SUMPRODUCT(($AZ60&gt;INDEX('How This Works &amp; Sources'!$B$219:$J$223,0,1))*($AZ60-INDEX('How This Works &amp; Sources'!$B$219:$J$223,0,1))*INDEX('How This Works &amp; Sources'!$B$219:$J$223,0,1+2)),IF($AN60="VA",SUMPRODUCT(($AZ60&gt;INDEX('How This Works &amp; Sources'!$B$219:$J$223,0,4))*($AZ60-INDEX('How This Works &amp; Sources'!$B$219:$J$223,0,4))*INDEX('How This Works &amp; Sources'!$B$219:$J$223,0,4+2)),IF($AN60="WI",SUMPRODUCT(($AZ60&gt;INDEX('How This Works &amp; Sources'!$B$228:$J$232,0,4))*($AZ60-INDEX('How This Works &amp; Sources'!$B$228:$J$232,0,4))*INDEX('How This Works &amp; Sources'!$B$228:$J$232,0,4+2)),"")))))))</f>
      </c>
      <c r="BZ60" s="24">
        <f>IF($B60="","",IF($AN60="KS",IF($AU60="Married",SUMPRODUCT(($AZ60&gt;=INDEX('How This Works &amp; Sources'!$B$103:$J$109,0,4))*INDEX('How This Works &amp; Sources'!$B$103:$J$109,0,4+2)),SUMPRODUCT(($AZ60&gt;=INDEX('How This Works &amp; Sources'!$B$103:$J$109,0,1))*INDEX('How This Works &amp; Sources'!$B$103:$J$109,0,1+2))),IF($AN60="MT",IF($AU60="Head of household",SUMPRODUCT(($AZ60&gt;=INDEX('How This Works &amp; Sources'!$B$137:$J$139,0,1))*INDEX('How This Works &amp; Sources'!$B$137:$J$139,0,1+2)),IF($AU60="Married",SUMPRODUCT(($AZ60&gt;=INDEX('How This Works &amp; Sources'!$B$125:$J$132,0,7))*INDEX('How This Works &amp; Sources'!$B$125:$J$132,0,7+2)),SUMPRODUCT(($AZ60&gt;=INDEX('How This Works &amp; Sources'!$B$125:$J$132,0,4))*INDEX('How This Works &amp; Sources'!$B$125:$J$132,0,4+2)))),IF($AN60="OR",IF(OR($AU60="Married",AND($AU60="Single",$AS60&gt;=3)),SUMPRODUCT((MAX(0,$AY60-MIN(($P60-'How This Works &amp; Sources'!$C$10*$D60)*'Second Earner'!$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Sources'!$B$211:$J$214,0,4))*INDEX('How This Works &amp; Sources'!$B$211:$J$214,0,4+2)),SUMPRODUCT((MAX(0,$AY60-MIN(($P60-'How This Works &amp; Sources'!$C$10*$D60)*'Second Earner'!$C$8,IF(OR($AU60="Married",AND($AU60="Single",$AS60&gt;=3)),IF($AY60&lt;250000,8750,IF($AY60&lt;260000,7000,IF($AY60&lt;270000,5250,IF($AY60&lt;280000,3500,IF($AY60&lt;290000,1750,0))))),IF($AY60&lt;125000,8750,IF($AY60&lt;130000,7000,IF($AY60&lt;135000,5250,IF($AY60&lt;140000,3500,IF($AY60&lt;145000,1750,0)))))))-IF(OR($AU60="Married",AND($AU60="Single",$AS60&gt;=3)),5820,2910))&gt;=INDEX('How This Works &amp; Sources'!$B$211:$J$214,0,1))*INDEX('How This Works &amp; Sources'!$B$211:$J$214,0,1+2)))*IF(($P60-'How This Works &amp; Sources'!$C$10*$D60)*'Second Earner'!$C$8&gt;=IF(OR($AU60="Married",AND($AU60="Single",$AS60&gt;=3)),IF($AY60&lt;250000,8750,IF($AY60&lt;260000,7000,IF($AY60&lt;270000,5250,IF($AY60&lt;280000,3500,IF($AY60&lt;290000,1750,0))))),IF($AY60&lt;125000,8750,IF($AY60&lt;130000,7000,IF($AY60&lt;135000,5250,IF($AY60&lt;140000,3500,IF($AY60&lt;145000,1750,0)))))),1,1-IF('Second Earner'!$C$13,SUMPRODUCT(($AH60&gt;=INDEX('How This Works &amp; Sources'!$B$29:$J$36,0,IF('Second Earner'!$C$12="MFJ",1,IF('Second Earner'!$C$12="HoH",7,4))))*INDEX('How This Works &amp; Sources'!$B$29:$J$36,0,IF('Second Earner'!$C$12="MFJ",1,IF('Second Earner'!$C$12="HoH",7,4))+2)),SUMPRODUCT(($AH60&gt;=INDEX('How This Works &amp; Sources'!$B$19:$J$26,0,IF('Second Earner'!$C$12="MFJ",1,IF('Second Earner'!$C$12="HoH",7,4))))*INDEX('How This Works &amp; Sources'!$B$19:$J$26,0,IF('Second Earner'!$C$12="MFJ",1,IF('Second Earner'!$C$12="HoH",7,4))+2)))),""))))</f>
      </c>
      <c r="CA60" s="24">
        <f>IF($B60="","",IF($AN60="CA",SUMPRODUCT(($AJ60&gt;=INDEX('How This Works &amp; Sources'!$B$39:$J$48,0,IF($AU60="Married",4,IF($AU60="Head of household",7,1))))*INDEX('How This Works &amp; Sources'!$B$39:$J$48,0,IF($AU60="Married",4,IF($AU60="Head of household",7,1))+2)),IF($AN60="AL",IF(OR($AU60="Married",$AU60="Head of household"),SUMPRODUCT(($AZ60&gt;=INDEX('How This Works &amp; Sources'!$B$82:$J$86,0,4))*INDEX('How This Works &amp; Sources'!$B$82:$J$86,0,4+2)),SUMPRODUCT(($AZ60&gt;=INDEX('How This Works &amp; Sources'!$B$82:$J$86,0,1))*INDEX('How This Works &amp; Sources'!$B$82:$J$86,0,1+2)))*(1-IF('Second Earner'!$C$13,SUMPRODUCT(($AH60&gt;=INDEX('How This Works &amp; Sources'!$B$29:$J$36,0,IF('Second Earner'!$C$12="MFJ",1,IF('Second Earner'!$C$12="HoH",7,4))))*INDEX('How This Works &amp; Sources'!$B$29:$J$36,0,IF('Second Earner'!$C$12="MFJ",1,IF('Second Earner'!$C$12="HoH",7,4))+2)),SUMPRODUCT(($AH60&gt;=INDEX('How This Works &amp; Sources'!$B$19:$J$26,0,IF('Second Earner'!$C$12="MFJ",1,IF('Second Earner'!$C$12="HoH",7,4))))*INDEX('How This Works &amp; Sources'!$B$19:$J$26,0,IF('Second Earner'!$C$12="MFJ",1,IF('Second Earner'!$C$12="HoH",7,4))+2)))),IF($AN60="ND",IF($AU60="Head of household",SUMPRODUCT(($AZ60&gt;=INDEX('How This Works &amp; Sources'!$B$144:$J$150,0,1))*INDEX('How This Works &amp; Sources'!$B$144:$J$150,0,1+2)),IF($AU60="Married",SUMPRODUCT(($AZ60&gt;=INDEX('How This Works &amp; Sources'!$B$137:$J$139,0,7))*INDEX('How This Works &amp; Sources'!$B$137:$J$139,0,7+2)),SUMPRODUCT(($AZ60&gt;=INDEX('How This Works &amp; Sources'!$B$137:$J$139,0,4))*INDEX('How This Works &amp; Sources'!$B$137:$J$139,0,4+2)))),IF($AN60="NJ",IF('Second Earner'!$C$77="B",SUMPRODUCT(($AZ60&gt;=INDEX('How This Works &amp; Sources'!$B$155:$J$162,0,4))*INDEX('How This Works &amp; Sources'!$B$155:$J$162,0,4+2)),IF('Second Earner'!$C$77="C",SUMPRODUCT(($AZ60&gt;=INDEX('How This Works &amp; Sources'!$B$155:$J$162,0,7))*INDEX('How This Works &amp; Sources'!$B$155:$J$162,0,7+2)),IF('Second Earner'!$C$77="D",SUMPRODUCT(($AZ60&gt;=INDEX('How This Works &amp; Sources'!$B$167:$J$179,0,1))*INDEX('How This Works &amp; Sources'!$B$167:$J$179,0,1+2)),IF('Second Earner'!$C$77="E",SUMPRODUCT(($AZ60&gt;=INDEX('How This Works &amp; Sources'!$B$167:$J$179,0,4))*INDEX('How This Works &amp; Sources'!$B$167:$J$179,0,4+2)),SUMPRODUCT(($AZ60&gt;=INDEX('How This Works &amp; Sources'!$B$155:$J$162,0,1))*INDEX('How This Works &amp; Sources'!$B$155:$J$162,0,1+2)))))),IF($AN60="NY",IF($AU60="Married",IF($AZ60&gt;=2155350,IF($AZ60&gt;25000000,0.117,IF($AZ60&gt;5000000,0.111,0.1045)),SUMPRODUCT(($AZ60&gt;=INDEX('How This Works &amp; Sources'!$B$184:$J$198,0,1))*INDEX('How This Works &amp; Sources'!$B$184:$J$198,0,1+2))),IF($AZ60&gt;=1077550,IF($AZ60&gt;25000000,0.117,IF($AZ60&gt;5000000,0.111,0.1045)),SUMPRODUCT(($AZ60&gt;=INDEX('How This Works &amp; Sources'!$B$167:$J$179,0,7))*INDEX('How This Works &amp; Sources'!$B$167:$J$179,0,7+2)))),IF($AN60="LA",0.0309,"")))))))</f>
      </c>
      <c r="CB60" s="24">
        <f>IF($B60="","",IF($AN60="HI",IF($AU60="Married",SUMPRODUCT(($AZ60&gt;=INDEX('How This Works &amp; Sources'!$B$91:$J$98,0,7))*INDEX('How This Works &amp; Sources'!$B$91:$J$98,0,7+2)),SUMPRODUCT(($AZ60&gt;=INDEX('How This Works &amp; Sources'!$B$91:$J$98,0,4))*INDEX('How This Works &amp; Sources'!$B$91:$J$98,0,4+2))),IF($AN60="MD",IF(OR($AU60="Married",$AU60="Head of household"),SUMPRODUCT(($AZ60&gt;=INDEX('How This Works &amp; Sources'!$B$114:$J$120,0,1))*INDEX('How This Works &amp; Sources'!$B$114:$J$120,0,1+2)),SUMPRODUCT(($AZ60&gt;=INDEX('How This Works &amp; Sources'!$B$103:$J$109,0,7))*INDEX('How This Works &amp; Sources'!$B$103:$J$109,0,7+2)))+'Second Earner'!$C$74,IF($AN60="MN",IF($AU60="Married",SUMPRODUCT(($AZ60&gt;=INDEX('How This Works &amp; Sources'!$B$114:$J$120,0,7))*INDEX('How This Works &amp; Sources'!$B$114:$J$120,0,7+2)),SUMPRODUCT(($AZ60&gt;=INDEX('How This Works &amp; Sources'!$B$114:$J$120,0,4))*INDEX('How This Works &amp; Sources'!$B$114:$J$120,0,4+2))),IF($AN60="MO",SUMPRODUCT(($AZ60&gt;=INDEX('How This Works &amp; Sources'!$B$125:$J$132,0,1))*INDEX('How This Works &amp; Sources'!$B$125:$J$132,0,1+2)),IF($AN60="NE",MAX(IF($AU60="Married",SUMPRODUCT(($AZ60&gt;=INDEX('How This Works &amp; Sources'!$B$144:$J$150,0,7))*INDEX('How This Works &amp; Sources'!$B$144:$J$150,0,7+2)),SUMPRODUCT(($AZ60&gt;=INDEX('How This Works &amp; Sources'!$B$144:$J$150,0,4))*INDEX('How This Works &amp; Sources'!$B$144:$J$150,0,4+2))),0.015),IF($AN60="OH",IF($B60&gt;=DATE(2026,8,1),SUMPRODUCT(($AZ60&gt;=INDEX('How This Works &amp; Sources'!$B$203:$J$206,0,1))*INDEX('How This Works &amp; Sources'!$B$203:$J$206,0,1+2)),SUMPRODUCT(($AZ60&gt;=INDEX('How This Works &amp; Sources'!$B$184:$J$198,0,7))*INDEX('How This Works &amp; Sources'!$B$184:$J$198,0,7+2))),IF($AN60="OK",IF($AU60="Married",SUMPRODUCT(($AZ60&gt;=INDEX('How This Works &amp; Sources'!$B$203:$J$206,0,7))*INDEX('How This Works &amp; Sources'!$B$203:$J$206,0,7+2)),SUMPRODUCT(($AZ60&gt;=INDEX('How This Works &amp; Sources'!$B$203:$J$206,0,4))*INDEX('How This Works &amp; Sources'!$B$203:$J$206,0,4+2))),IF($AN60="RI",SUMPRODUCT(($AZ60&gt;=INDEX('How This Works &amp; Sources'!$B$211:$J$214,0,7))*INDEX('How This Works &amp; Sources'!$B$211:$J$214,0,7+2)),IF($AN60="VT",IF($AU60="Married",SUMPRODUCT(($AZ60&gt;=INDEX('How This Works &amp; Sources'!$B$228:$J$232,0,1))*INDEX('How This Works &amp; Sources'!$B$228:$J$232,0,1+2)),SUMPRODUCT(($AZ60&gt;=INDEX('How This Works &amp; Sources'!$B$219:$J$223,0,7))*INDEX('How This Works &amp; Sources'!$B$219:$J$223,0,7+2))),IF($AN60="WV",IF($AU60="Married",SUMPRODUCT(($AZ60&gt;=INDEX('How This Works &amp; Sources'!$B$237:$J$241,0,7))*INDEX('How This Works &amp; Sources'!$B$237:$J$241,0,7+2)),SUMPRODUCT(($AZ60&gt;=INDEX('How This Works &amp; Sources'!$B$228:$J$232,0,7))*INDEX('How This Works &amp; Sources'!$B$228:$J$232,0,7+2))),IF($AN60="AZ",'Second Earner'!$C$82,IF($AN60="ID",IF($AY60&gt;IF($AU60="Married",32000,16094),0.053,0),"")))))))))))))</f>
      </c>
      <c r="CC60" s="24">
        <f>IF($B60="","",IF($AN60="AR",SUMPRODUCT(($AZ60&gt;=INDEX('How This Works &amp; Sources'!$B$82:$J$86,0,7))*INDEX('How This Works &amp; Sources'!$B$82:$J$86,0,7+2)),IF($AN60="DE",SUMPRODUCT(($AZ60&gt;=INDEX('How This Works &amp; Sources'!$B$91:$J$98,0,1))*INDEX('How This Works &amp; Sources'!$B$91:$J$98,0,1+2)),IF($AN60="SC",SUMPRODUCT(($AZ60&gt;=INDEX('How This Works &amp; Sources'!$B$219:$J$223,0,1))*INDEX('How This Works &amp; Sources'!$B$219:$J$223,0,1+2)),IF($AN60="VA",SUMPRODUCT(($AZ60&gt;=INDEX('How This Works &amp; Sources'!$B$219:$J$223,0,4))*INDEX('How This Works &amp; Sources'!$B$219:$J$223,0,4+2)),IF($AN60="WI",SUMPRODUCT(($AZ60&gt;=INDEX('How This Works &amp; Sources'!$B$228:$J$232,0,4))*INDEX('How This Works &amp; Sources'!$B$228:$J$232,0,4+2)),IF($AN60="CO",IF($AY60&gt;IF($AU60="Married",10000,5000),0.044,0),IF($AN60="IA",IF($AY60&gt;IF($AU60="Head of household",19500,IF($AU60="Married",26000,13000)),0.038,0),IF($AN60="IL",IF($AY60&gt;(2925*$AS60+1000*$AT60),0.0495,0),IF($AN60="IN",(0.0295+'Second Earner'!$C$76),IF($AN60="KY",IF($AI60&gt;3360,0.035,0),IF($AN60="MA",IF(MAX(0,$AY60-MIN(($BD59+$Q60+$R60+$S60),2000)-IF($AS60=0,0,IF($AS60=1,4400,1000*$AS60+3400)))&gt;=1107750,0.09,0.05),IF($AN60="MI",IF($AY60&gt;5900*$AS60,0.0425,0),IF($AN60="MS",IF($AI60-IF($AU60="Head of household",3400,IF($AU60="Married",4600,2300))-'Second Earner'!$C$85&gt;10000,0.04,0),IF($AN60="PA",0.0307,"")))))))))))))))</f>
      </c>
      <c r="CD60" s="21">
        <f>IF(YEAR(IF('Second Earner'!$C$7="Weekly",'Second Earner'!$C$9+7*(($BE59+1)-1),IF('Second Earner'!$C$7="Biweekly",'Second Earner'!$C$9+14*(($BE59+1)-1),IF('Second Earner'!$C$7="Semimonthly",DATE(YEAR('Second Earner'!$C$9),MONTH('Second Earner'!$C$9)+INT((($BE59+1)-1)/2),MIN(DAY('Second Earner'!$C$9),DAY(EOMONTH(DATE(YEAR('Second Earner'!$C$9),MONTH('Second Earner'!$C$9)+INT((($BE59+1)-1)/2),1),0))))+IF(MOD(($BE59+1)-1,2)=1,15,0),EDATE('Second Earner'!$C$9,($BE59+1)-1)))))&lt;&gt;'Second Earner'!$C$10,"",IF('Second Earner'!$C$7="Weekly",'Second Earner'!$C$9+7*(($BE59+1)-1),IF('Second Earner'!$C$7="Biweekly",'Second Earner'!$C$9+14*(($BE59+1)-1),IF('Second Earner'!$C$7="Semimonthly",DATE(YEAR('Second Earner'!$C$9),MONTH('Second Earner'!$C$9)+INT((($BE59+1)-1)/2),MIN(DAY('Second Earner'!$C$9),DAY(EOMONTH(DATE(YEAR('Second Earner'!$C$9),MONTH('Second Earner'!$C$9)+INT((($BE59+1)-1)/2),1),0))))+IF(MOD(($BE59+1)-1,2)=1,15,0),EDATE('Second Earner'!$C$9,($BE59+1)-1)))))</f>
      </c>
      <c r="CE60" s="21">
        <f>IF(MIN(IF(AND('Second Earner'!$C$58&gt;MAX($B$6:$B59),'Second Earner'!$C$58&gt;=DATE('Second Earner'!$C$10,1,1),'Second Earner'!$C$58&lt;=DATE('Second Earner'!$C$10,12,31)),'Second Earner'!$C$58,999999),IF(AND('Second Earner'!$C$59&gt;MAX($B$6:$B59),'Second Earner'!$C$59&gt;=DATE('Second Earner'!$C$10,1,1),'Second Earner'!$C$59&lt;=DATE('Second Earner'!$C$10,12,31)),'Second Earner'!$C$59,999999),IF(AND('Second Earner'!$C$60&gt;MAX($B$6:$B59),'Second Earner'!$C$60&gt;=DATE('Second Earner'!$C$10,1,1),'Second Earner'!$C$60&lt;=DATE('Second Earner'!$C$10,12,31)),'Second Earner'!$C$60,999999),IF(AND('Second Earner'!$C$61&gt;MAX($B$6:$B59),'Second Earner'!$C$61&gt;=DATE('Second Earner'!$C$10,1,1),'Second Earner'!$C$61&lt;=DATE('Second Earner'!$C$10,12,31)),'Second Earner'!$C$61,999999),IF(AND('Second Earner'!$C$62&gt;MAX($B$6:$B59),'Second Earner'!$C$62&gt;=DATE('Second Earner'!$C$10,1,1),'Second Earner'!$C$62&lt;=DATE('Second Earner'!$C$10,12,31)),'Second Earner'!$C$62,999999),IF(AND('Second Earner'!$C$63&gt;MAX($B$6:$B59),'Second Earner'!$C$63&gt;=DATE('Second Earner'!$C$10,1,1),'Second Earner'!$C$63&lt;=DATE('Second Earner'!$C$10,12,31)),'Second Earner'!$C$63,999999),IF(AND('Second Earner'!$C$64&gt;MAX($B$6:$B59),'Second Earner'!$C$64&gt;=DATE('Second Earner'!$C$10,1,1),'Second Earner'!$C$64&lt;=DATE('Second Earner'!$C$10,12,31)),'Second Earner'!$C$64,999999),IF(AND('Second Earner'!$C$65&gt;MAX($B$6:$B59),'Second Earner'!$C$65&gt;=DATE('Second Earner'!$C$10,1,1),'Second Earner'!$C$65&lt;=DATE('Second Earner'!$C$10,12,31)),'Second Earner'!$C$65,999999),IF(AND('Second Earner'!$C$66&gt;MAX($B$6:$B59),'Second Earner'!$C$66&gt;=DATE('Second Earner'!$C$10,1,1),'Second Earner'!$C$66&lt;=DATE('Second Earner'!$C$10,12,31)),'Second Earner'!$C$66,999999),IF(AND('Second Earner'!$C$67&gt;MAX($B$6:$B59),'Second Earner'!$C$67&gt;=DATE('Second Earner'!$C$10,1,1),'Second Earner'!$C$67&lt;=DATE('Second Earner'!$C$10,12,31)),'Second Earner'!$C$67,999999))=999999,"",MIN(IF(AND('Second Earner'!$C$58&gt;MAX($B$6:$B59),'Second Earner'!$C$58&gt;=DATE('Second Earner'!$C$10,1,1),'Second Earner'!$C$58&lt;=DATE('Second Earner'!$C$10,12,31)),'Second Earner'!$C$58,999999),IF(AND('Second Earner'!$C$59&gt;MAX($B$6:$B59),'Second Earner'!$C$59&gt;=DATE('Second Earner'!$C$10,1,1),'Second Earner'!$C$59&lt;=DATE('Second Earner'!$C$10,12,31)),'Second Earner'!$C$59,999999),IF(AND('Second Earner'!$C$60&gt;MAX($B$6:$B59),'Second Earner'!$C$60&gt;=DATE('Second Earner'!$C$10,1,1),'Second Earner'!$C$60&lt;=DATE('Second Earner'!$C$10,12,31)),'Second Earner'!$C$60,999999),IF(AND('Second Earner'!$C$61&gt;MAX($B$6:$B59),'Second Earner'!$C$61&gt;=DATE('Second Earner'!$C$10,1,1),'Second Earner'!$C$61&lt;=DATE('Second Earner'!$C$10,12,31)),'Second Earner'!$C$61,999999),IF(AND('Second Earner'!$C$62&gt;MAX($B$6:$B59),'Second Earner'!$C$62&gt;=DATE('Second Earner'!$C$10,1,1),'Second Earner'!$C$62&lt;=DATE('Second Earner'!$C$10,12,31)),'Second Earner'!$C$62,999999),IF(AND('Second Earner'!$C$63&gt;MAX($B$6:$B59),'Second Earner'!$C$63&gt;=DATE('Second Earner'!$C$10,1,1),'Second Earner'!$C$63&lt;=DATE('Second Earner'!$C$10,12,31)),'Second Earner'!$C$63,999999),IF(AND('Second Earner'!$C$64&gt;MAX($B$6:$B59),'Second Earner'!$C$64&gt;=DATE('Second Earner'!$C$10,1,1),'Second Earner'!$C$64&lt;=DATE('Second Earner'!$C$10,12,31)),'Second Earner'!$C$64,999999),IF(AND('Second Earner'!$C$65&gt;MAX($B$6:$B59),'Second Earner'!$C$65&gt;=DATE('Second Earner'!$C$10,1,1),'Second Earner'!$C$65&lt;=DATE('Second Earner'!$C$10,12,31)),'Second Earner'!$C$65,999999),IF(AND('Second Earner'!$C$66&gt;MAX($B$6:$B59),'Second Earner'!$C$66&gt;=DATE('Second Earner'!$C$10,1,1),'Second Earner'!$C$66&lt;=DATE('Second Earner'!$C$10,12,31)),'Second Earner'!$C$66,999999),IF(AND('Second Earner'!$C$67&gt;MAX($B$6:$B59),'Second Earner'!$C$67&gt;=DATE('Second Earner'!$C$10,1,1),'Second Earner'!$C$67&lt;=DATE('Second Earner'!$C$10,12,31)),'Second Earner'!$C$67,999999)))</f>
      </c>
      <c r="CF60">
        <f>IF($B60="","",IF($D60=0,$Y60,""))</f>
      </c>
    </row>
    <row r="61">
      <c r="A61" t="n">
        <v>56</v>
      </c>
      <c r="B61" s="21">
        <f>IF(AND($CD61="",$CE61=""),"",IF($CE61="",$CD61,IF($CD61="",$CE61,MIN($CD61,$CE61))))</f>
      </c>
      <c r="C61" s="7">
        <f>IF($B61="","",IF($BF61=0,0,IF('Second Earner'!$C$4="Annual salary",ROUND($AK61/IF(AND('Second Earner'!$C$88="Actual paydays",MONTH('Second Earner'!$C$9)=1),MAX(1,MAX($BE$6:$BE$68)),'Second Earner'!$C$8),2),$AK61)))</f>
      </c>
      <c r="D61" s="7">
        <f>IF($B61="","",SUMIF('Second Earner'!$C$58:$C$67,$B61,'Second Earner'!$D$58:$D$67))</f>
      </c>
      <c r="E61" s="7">
        <f>IF($B61="","",ROUND(MAX(0,MIN(IF($AL61="Percent",$AM61*($C61+$D61),$AM61),MAX(0,'Second Earner'!$C$34-$AC60))),2))</f>
      </c>
      <c r="F61" s="7">
        <f>IF($B61="","",ROUND(MAX(0,MIN(IF('Second Earner'!$C$32="Percent",'Second Earner'!$D$32*($C61+$D61),'Second Earner'!$D$32),MAX(0,'Second Earner'!$C$34-$AC60-$E61))),2))</f>
      </c>
      <c r="G61" s="7">
        <f>IF($B61="","",IF($BF61=0,0,ROUND(MAX(0,MIN($BL61,'Second Earner'!$C$37-'Second Earner'!$C$54-$BI60)),2)))</f>
      </c>
      <c r="H61" s="7">
        <f>IF($B61="","",IF(OR($BF61=0,$BQ61=1),0,ROUND(MAX(0,MIN(IF($BS61=1,ROUND(MAX(0,MIN($BJ61,'How This Works &amp; Sources'!$C$13)-$BG60)/MAX(1,MAX($BE$6:$BE$68)-($BE60)),2),ROUND(MIN($BJ61,'How This Works &amp; Sources'!$C$13)/'Second Earner'!$C$8,2)),MIN($BJ61,'How This Works &amp; Sources'!$C$13)-$BG60)),2)))</f>
      </c>
      <c r="I61" s="7">
        <f>IF($B61="","",IF(OR($BF61=0,$BR61=1),0,ROUND(MAX(0,MIN(IF($BT61=1,ROUND(MAX(0,MIN($BK61,IF('Second Earner'!$C$12="MFJ",'How This Works &amp; Sources'!$C$14,'How This Works &amp; Sources'!$C$15))-$BH60)/MAX(1,MAX($BE$6:$BE$68)-($BE60)),2),ROUND(MIN($BK61,IF('Second Earner'!$C$12="MFJ",'How This Works &amp; Sources'!$C$14,'How This Works &amp; Sources'!$C$15))/'Second Earner'!$C$8,2)),MIN($BK61,IF('Second Earner'!$C$12="MFJ",'How This Works &amp; Sources'!$C$14,'How This Works &amp; Sources'!$C$15))-$BH60)),2)))</f>
      </c>
      <c r="J61" s="7">
        <f>IF($B61="","",IF($BF61=0,0,$BM61))</f>
      </c>
      <c r="K61" s="7">
        <f>IF($B61="","",IF($BF61=0,0,$BN61+$BO61))</f>
      </c>
      <c r="L61" s="7">
        <f>IF($B61="","",IF($BF61=0,0,'Second Earner'!$D$46))</f>
      </c>
      <c r="M61" s="7">
        <f>IF($B61="","",$C61+$D61+$L61-$E61-$G61-$H61-$I61-$J61-$K61)</f>
      </c>
      <c r="N61" s="7">
        <f>IF($B61="","",$C61+$D61+$L61-$G61-$H61-$I61-$J61-$K61)</f>
      </c>
      <c r="O61" s="7">
        <f>IF($B61="","",$C61+$D61+$L61-$E61-$H61-$I61-$J61-$K61-IF(OR($AN61="CA",$AN61="NJ"),0,$G61))</f>
      </c>
      <c r="P61" s="7">
        <f>IF($B61="","",IF('Second Earner'!$C$18,0,ROUND(MAX(0,IF('Second Earner'!$C$13,SUMPRODUCT(($AH61&gt;INDEX('How This Works &amp; Sources'!$B$29:$J$36,0,IF('Second Earner'!$C$12="MFJ",1,IF('Second Earner'!$C$12="HoH",7,4))))*($AH61-INDEX('How This Works &amp; Sources'!$B$29:$J$36,0,IF('Second Earner'!$C$12="MFJ",1,IF('Second Earner'!$C$12="HoH",7,4))))*INDEX('How This Works &amp; Sources'!$B$29:$J$36,0,IF('Second Earner'!$C$12="MFJ",1,IF('Second Earner'!$C$12="HoH",7,4))+2)),SUMPRODUCT(($AH61&gt;INDEX('How This Works &amp; Sources'!$B$19:$J$26,0,IF('Second Earner'!$C$12="MFJ",1,IF('Second Earner'!$C$12="HoH",7,4))))*($AH61-INDEX('How This Works &amp; Sources'!$B$19:$J$26,0,IF('Second Earner'!$C$12="MFJ",1,IF('Second Earner'!$C$12="HoH",7,4))))*INDEX('How This Works &amp; Sources'!$B$19:$J$26,0,IF('Second Earner'!$C$12="MFJ",1,IF('Second Earner'!$C$12="HoH",7,4))+2)))/'Second Earner'!$C$8-$AO61/'Second Earner'!$C$8)+$AR61+IF('Second Earner'!$C$89="Aggregate",MAX(0,IF('Second Earner'!$C$13,SUMPRODUCT((($AH61+$D61)&gt;INDEX('How This Works &amp; Sources'!$B$29:$J$36,0,IF('Second Earner'!$C$12="MFJ",1,IF('Second Earner'!$C$12="HoH",7,4))))*(($AH61+$D61)-INDEX('How This Works &amp; Sources'!$B$29:$J$36,0,IF('Second Earner'!$C$12="MFJ",1,IF('Second Earner'!$C$12="HoH",7,4))))*INDEX('How This Works &amp; Sources'!$B$29:$J$36,0,IF('Second Earner'!$C$12="MFJ",1,IF('Second Earner'!$C$12="HoH",7,4))+2)),SUMPRODUCT((($AH61+$D61)&gt;INDEX('How This Works &amp; Sources'!$B$19:$J$26,0,IF('Second Earner'!$C$12="MFJ",1,IF('Second Earner'!$C$12="HoH",7,4))))*(($AH61+$D61)-INDEX('How This Works &amp; Sources'!$B$19:$J$26,0,IF('Second Earner'!$C$12="MFJ",1,IF('Second Earner'!$C$12="HoH",7,4))))*INDEX('How This Works &amp; Sources'!$B$19:$J$26,0,IF('Second Earner'!$C$12="MFJ",1,IF('Second Earner'!$C$12="HoH",7,4))+2)))-IF('Second Earner'!$C$13,SUMPRODUCT(($AH61&gt;INDEX('How This Works &amp; Sources'!$B$29:$J$36,0,IF('Second Earner'!$C$12="MFJ",1,IF('Second Earner'!$C$12="HoH",7,4))))*($AH61-INDEX('How This Works &amp; Sources'!$B$29:$J$36,0,IF('Second Earner'!$C$12="MFJ",1,IF('Second Earner'!$C$12="HoH",7,4))))*INDEX('How This Works &amp; Sources'!$B$29:$J$36,0,IF('Second Earner'!$C$12="MFJ",1,IF('Second Earner'!$C$12="HoH",7,4))+2)),SUMPRODUCT(($AH61&gt;INDEX('How This Works &amp; Sources'!$B$19:$J$26,0,IF('Second Earner'!$C$12="MFJ",1,IF('Second Earner'!$C$12="HoH",7,4))))*($AH61-INDEX('How This Works &amp; Sources'!$B$19:$J$26,0,IF('Second Earner'!$C$12="MFJ",1,IF('Second Earner'!$C$12="HoH",7,4))))*INDEX('How This Works &amp; Sources'!$B$19:$J$26,0,IF('Second Earner'!$C$12="MFJ",1,IF('Second Earner'!$C$12="HoH",7,4))+2)))),'How This Works &amp; Sources'!$C$10*$D61),2)))</f>
      </c>
      <c r="Q61" s="7">
        <f>IF($B61="","",ROUND('How This Works &amp; Sources'!$C$4*MIN($N61,MAX(0,'How This Works &amp; Sources'!$C$3-($AX61+$AB60-$AW61))),2))</f>
      </c>
      <c r="R61" s="7">
        <f>IF($B61="","",ROUND('How This Works &amp; Sources'!$C$5*$N61,2))</f>
      </c>
      <c r="S61" s="7">
        <f>IF($B61="","",ROUND('How This Works &amp; Sources'!$C$6*MAX(0,MIN($N61,$AG60+$N61-'How This Works &amp; Sources'!$C$7)),2))</f>
      </c>
      <c r="T61" s="7">
        <f>IF($B61="","",IF('Second Earner'!$C$26,0,IF($AN61="CA",ROUND(IF($AI61&lt;=IF(($AS61+$AT61)&gt;=2,VLOOKUP($AN61,StateTables!$A$6:$AB$56,10,FALSE),VLOOKUP($AN61,StateTables!$A$6:$AB$56,9,FALSE)),0,MAX(0,SUMPRODUCT(($AJ61&gt;INDEX('How This Works &amp; Sources'!$B$39:$J$48,0,IF($AU61="Married",4,IF($AU61="Head of household",7,1))))*($AJ61-INDEX('How This Works &amp; Sources'!$B$39:$J$48,0,IF($AU61="Married",4,IF($AU61="Head of household",7,1))))*INDEX('How This Works &amp; Sources'!$B$39:$J$48,0,IF($AU61="Married",4,IF($AU61="Head of household",7,1))+2))-VLOOKUP($AN61,StateTables!$A$6:$AB$56,11,FALSE)*$AS61)/'Second Earner'!$C$8)+'Second Earner'!$C$25+VLOOKUP($AN61,StateTables!$A$6:$AB$56,13,FALSE)*$D61,2),IF(VLOOKUP($AN61,StateTables!$A$6:$AB$56,4,FALSE)="None",0,IF(ISNUMBER(SEARCH("MANUAL",VLOOKUP($AN61,StateTables!$A$6:$AB$56,5,FALSE))),'Second Earner'!$C$28,ROUND(MAX(0,$BA61+$BB61)/'Second Earner'!$C$8+'Second Earner'!$C$25+$BC61,2))))))</f>
      </c>
      <c r="U61" s="7">
        <f>IF($B61="","",IF(VLOOKUP($AN61,StateTables!$A$6:$AB$56,24,FALSE)="flatq",IF(OR(MONTH($B61)=1,MONTH($B61)=4,MONTH($B61)=7,MONTH($B61)=10),VLOOKUP($AN61,StateTables!$A$6:$AB$56,25,FALSE),0),IF(VLOOKUP($AN61,StateTables!$A$6:$AB$56,24,FALSE)="dbl",MIN(ROUND(0.005*$N61,2),ROUND(0.6*52/'Second Earner'!$C$8,2)),IF(OR(VLOOKUP($AN61,StateTables!$A$6:$AB$56,15,FALSE)="",VLOOKUP($AN61,StateTables!$A$6:$AB$56,15,FALSE)=0),0,ROUND(VLOOKUP($AN61,StateTables!$A$6:$AB$56,15,FALSE)*IF(OR(VLOOKUP($AN61,StateTables!$A$6:$AB$56,16,FALSE)="",VLOOKUP($AN61,StateTables!$A$6:$AB$56,16,FALSE)=0),$N61,MIN($N61,MAX(0,VLOOKUP($AN61,StateTables!$A$6:$AB$56,16,FALSE)-($AX61+$AB60-$AW61)))),2))))+IF(VLOOKUP($AN61,StateTables!$A$6:$AB$56,27,FALSE)="flatq",IF(OR(MONTH($B61)=1,MONTH($B61)=4,MONTH($B61)=7,MONTH($B61)=10),VLOOKUP($AN61,StateTables!$A$6:$AB$56,28,FALSE),0),IF(VLOOKUP($AN61,StateTables!$A$6:$AB$56,27,FALSE)="dbl",MIN(ROUND(0.005*$N61,2),ROUND(0.6*52/'Second Earner'!$C$8,2)),IF(OR(VLOOKUP($AN61,StateTables!$A$6:$AB$56,18,FALSE)="",VLOOKUP($AN61,StateTables!$A$6:$AB$56,18,FALSE)=0),0,ROUND(VLOOKUP($AN61,StateTables!$A$6:$AB$56,18,FALSE)*IF(OR(VLOOKUP($AN61,StateTables!$A$6:$AB$56,19,FALSE)="",VLOOKUP($AN61,StateTables!$A$6:$AB$56,19,FALSE)=0),$N61,MIN($N61,MAX(0,VLOOKUP($AN61,StateTables!$A$6:$AB$56,19,FALSE)-($AX61+$AB60-$AW61)))),2)))))</f>
      </c>
      <c r="V61" s="7">
        <f>IF($B61="","",IF($AN61="NY",IF('Second Earner'!$C$78,ROUND(SUMPRODUCT((MAX(0,($O61-$D61)*'Second Earner'!$C$8-(IF($AU61="Married",5500,5000)+1000*$AS61))&gt;INDEX('How This Works &amp; Sources'!$B$184:$J$198,0,4))*(MAX(0,($O61-$D61)*'Second Earner'!$C$8-(IF($AU61="Married",5500,5000)+1000*$AS61))-INDEX('How This Works &amp; Sources'!$B$184:$J$198,0,4))*INDEX('How This Works &amp; Sources'!$B$184:$J$198,0,4+2))/'Second Earner'!$C$8+0.0425*$D61,2),0)+IF('Second Earner'!$C$79="Resident",ROUND(0.1675*$T61,2),IF('Second Earner'!$C$79="Nonresident",ROUND(0.005*MAX(0,($O61-$D61)-(IF($AU61="Married",7950,7400)+1000*$AS61)/'Second Earner'!$C$8),2),0)),IF($AN61="PA",IF('Second Earner'!$C$80="None",'Second Earner'!$C$27+ROUND('Second Earner'!$C$81*($C61+$D61),2),ROUND(IF('Second Earner'!$C$80="Resident",IF($B61&lt;DATE(2026,7,1),0.0374,0.03735),IF($B61&lt;DATE(2026,7,1),0.0343,0.03425))*($C61+$D61),2)),IF($BF61=0,ROUND('Second Earner'!$C$81*($C61+$D61),2),'Second Earner'!$C$27+ROUND('Second Earner'!$C$81*($C61+$D61),2)))))</f>
      </c>
      <c r="W61" s="7">
        <f>IF($B61="","",IF($BF61=0,0,$BP61))</f>
      </c>
      <c r="X61" s="7">
        <f>IF($B61="","",SUM($E61:$K61)+$P61+$Q61+$R61+$S61+$T61+$U61+$V61+$W61)</f>
      </c>
      <c r="Y61" s="22">
        <f>IF($B61="","",$C61+$D61-$X61)</f>
      </c>
      <c r="Z61" s="7">
        <f>IF($B61="","",$Z60+$C61+$D61)</f>
      </c>
      <c r="AA61" s="7">
        <f>IF($B61="","",$AA60+$Y61)</f>
      </c>
      <c r="AB61" s="7">
        <f>IF($B61="","",$AB60+MIN($N61,MAX(0,'How This Works &amp; Sources'!$C$3-($AX61+$AB60-$AW61))))</f>
      </c>
      <c r="AC61" s="7">
        <f>IF($B61="","",$AC60+$E61+$F61)</f>
      </c>
      <c r="AD61" s="3">
        <f>IF($B61="","",IF(AND($AB60&lt;'How This Works &amp; Sources'!$C$3,$AB61&gt;='How This Works &amp; Sources'!$C$3),"★ Social Security maxed on this check — from the next check your net rises by about $"&amp;TEXT(ROUND('How This Works &amp; Sources'!$C$4*$N61,2),"#,##0.00")&amp;". ","")&amp;IF(AND($AC60&lt;'Second Earner'!$C$34,$AC61&gt;='Second Earner'!$C$34),"★ 401(k) reaches the $"&amp;TEXT('Second Earner'!$C$34,"#,##0")&amp;" cap on this check — deferrals stop and net pay rises. ","")&amp;IF(AND($AG60&lt;'How This Works &amp; Sources'!$C$7,$AG61&gt;='How This Works &amp; Sources'!$C$7),"★ Wages pass $200,000 — the 0.9% Additional Medicare Tax starts here. ","")&amp;IF(AND($BJ61&gt;0,$H61&gt;0,$BG60&lt;MIN($BJ61,'How This Works &amp; Sources'!$C$13),$BG60+$H61&gt;=MIN($BJ61,'How This Works &amp; Sources'!$C$13)),"★ Health FSA election is now fully deferred for the year. ",""))</f>
      </c>
      <c r="AE61" s="41" t="n"/>
      <c r="AF61" s="7">
        <f>IF(OR($B61="",$AE61=""),"",$AE61-$Y61)</f>
      </c>
      <c r="AG61" s="7">
        <f>IF($B61="","",$AG60+$N61)</f>
      </c>
      <c r="AH61" s="7">
        <f>IF($B61="","",MAX(0,($M61-$D61)*'Second Earner'!$C$8+$AP61-$AQ61-IF('Second Earner'!$C$13,0,IF('Second Earner'!$C$12="MFJ",'How This Works &amp; Sources'!$C$8,'How This Works &amp; Sources'!$C$9))))</f>
      </c>
      <c r="AI61" s="7">
        <f>IF($B61="","",$O61*'Second Earner'!$C$8)</f>
      </c>
      <c r="AJ61" s="7">
        <f>IF($B61="","",MAX(0,$AI61-VLOOKUP($AN61,StateTables!$A$6:$AB$56,12,FALSE)*$AT61-IF(($AS61+$AT61)&gt;=2,VLOOKUP($AN61,StateTables!$A$6:$AB$56,8,FALSE),VLOOKUP($AN61,StateTables!$A$6:$AB$56,7,FALSE))))</f>
      </c>
      <c r="AK61" s="7">
        <f>IF($B61="","",IFERROR(LOOKUP(2,1/(('Changes — Earner 2'!$C$6:$C$17="Salary change")*('Changes — Earner 2'!$B$6:$B$17&lt;=$B61)*('Changes — Earner 2'!$B$6:$B$17&lt;&gt;"")),'Changes — Earner 2'!$D$6:$D$17),IF('Second Earner'!$C$4="Annual salary",'Second Earner'!$C$5,'Second Earner'!$C$6)))</f>
      </c>
      <c r="AL61">
        <f>IF($B61="","",IFERROR(LOOKUP(2,1/(('Changes — Earner 2'!$C$6:$C$17="401(k) change")*('Changes — Earner 2'!$B$6:$B$17&lt;=$B61)*('Changes — Earner 2'!$B$6:$B$17&lt;&gt;"")),'Changes — Earner 2'!$D$6:$D$17),'Second Earner'!$C$30))</f>
      </c>
      <c r="AM61" s="7">
        <f>IF($B61="","",IFERROR(LOOKUP(2,1/(('Changes — Earner 2'!$C$6:$C$17="401(k) change")*('Changes — Earner 2'!$B$6:$B$17&lt;=$B61)*('Changes — Earner 2'!$B$6:$B$17&lt;&gt;"")),'Changes — Earner 2'!$E$6:$E$17),'Second Earner'!$D$31))</f>
      </c>
      <c r="AN61">
        <f>IF($B61="","",IFERROR(LOOKUP(2,1/(('Changes — Earner 2'!$C$6:$C$17="State move")*('Changes — Earner 2'!$B$6:$B$17&lt;=$B61)*('Changes — Earner 2'!$B$6:$B$17&lt;&gt;"")),'Changes — Earner 2'!$D$6:$D$17),'Second Earner'!$C$21))</f>
      </c>
      <c r="AO61" s="7">
        <f>IF($B61="","",IFERROR(LOOKUP(2,1/(('Changes — Earner 2'!$C$6:$C$17="W-4 change")*('Changes — Earner 2'!$B$6:$B$17&lt;=$B61)*('Changes — Earner 2'!$B$6:$B$17&lt;&gt;"")),'Changes — Earner 2'!$D$6:$D$17),'Second Earner'!$C$14))</f>
      </c>
      <c r="AP61" s="7">
        <f>IF($B61="","",IFERROR(LOOKUP(2,1/(('Changes — Earner 2'!$C$6:$C$17="W-4 change")*('Changes — Earner 2'!$B$6:$B$17&lt;=$B61)*('Changes — Earner 2'!$B$6:$B$17&lt;&gt;"")),'Changes — Earner 2'!$E$6:$E$17),'Second Earner'!$C$15))</f>
      </c>
      <c r="AQ61" s="7">
        <f>IF($B61="","",IFERROR(LOOKUP(2,1/(('Changes — Earner 2'!$C$6:$C$17="W-4 change")*('Changes — Earner 2'!$B$6:$B$17&lt;=$B61)*('Changes — Earner 2'!$B$6:$B$17&lt;&gt;"")),'Changes — Earner 2'!$F$6:$F$17),'Second Earner'!$C$16))</f>
      </c>
      <c r="AR61" s="7">
        <f>IF($B61="","",IFERROR(LOOKUP(2,1/(('Changes — Earner 2'!$C$6:$C$17="W-4 change")*('Changes — Earner 2'!$B$6:$B$17&lt;=$B61)*('Changes — Earner 2'!$B$6:$B$17&lt;&gt;"")),'Changes — Earner 2'!$G$6:$G$17),'Second Earner'!$C$17))</f>
      </c>
      <c r="AS61" s="6">
        <f>IF($B61="","",IFERROR(LOOKUP(2,1/((('Changes — Earner 2'!$C$6:$C$17="State move")+('Changes — Earner 2'!$C$6:$C$17="State cert change"))*('Changes — Earner 2'!$B$6:$B$17&lt;=$B61)*('Changes — Earner 2'!$B$6:$B$17&lt;&gt;"")),'Changes — Earner 2'!$F$6:$F$17),'Second Earner'!$C$23))</f>
      </c>
      <c r="AT61" s="6">
        <f>IF($B61="","",IFERROR(LOOKUP(2,1/((('Changes — Earner 2'!$C$6:$C$17="State move")+('Changes — Earner 2'!$C$6:$C$17="State cert change"))*('Changes — Earner 2'!$B$6:$B$17&lt;=$B61)*('Changes — Earner 2'!$B$6:$B$17&lt;&gt;"")),'Changes — Earner 2'!$G$6:$G$17),'Second Earner'!$C$24))</f>
      </c>
      <c r="AU61">
        <f>IF($B61="","",IFERROR(LOOKUP(2,1/(('Changes — Earner 2'!$C$6:$C$17="State move")*('Changes — Earner 2'!$B$6:$B$17&lt;=$B61)*('Changes — Earner 2'!$B$6:$B$17&lt;&gt;"")),'Changes — Earner 2'!$E$6:$E$17),'Second Earner'!$C$22))</f>
      </c>
      <c r="AV61" s="6">
        <f>IF($B61="","",1+COUNTIFS('Changes — Earner 2'!$C$6:$C$17,"Employer change",'Changes — Earner 2'!$B$6:$B$17,"&lt;="&amp;$B61,'Changes — Earner 2'!$B$6:$B$17,"&lt;&gt;"))</f>
      </c>
      <c r="AW61" s="7">
        <f>IF($B61="","",IF($AV61=1,'Second Earner'!$C$49,IF(IFERROR(MATCH(IFERROR(LOOKUP(2,1/(('Changes — Earner 2'!$C$6:$C$17="Employer change")*('Changes — Earner 2'!$B$6:$B$17&lt;=$B61)*('Changes — Earner 2'!$B$6:$B$17&lt;&gt;"")),'Changes — Earner 2'!$B$6:$B$17),""),$B$6:$B$68,1),1)&lt;=1,'Second Earner'!$C$49,INDEX($AB$6:$AB$68,MATCH(IFERROR(LOOKUP(2,1/(('Changes — Earner 2'!$C$6:$C$17="Employer change")*('Changes — Earner 2'!$B$6:$B$17&lt;=$B61)*('Changes — Earner 2'!$B$6:$B$17&lt;&gt;"")),'Changes — Earner 2'!$B$6:$B$17),""),$B$6:$B$68,1)-1))))</f>
      </c>
      <c r="AX61" s="7">
        <f>IF($B61="","",IF($AV61=1,'Second Earner'!$C$49,IFERROR(LOOKUP(2,1/(('Changes — Earner 2'!$C$6:$C$17="Employer change")*('Changes — Earner 2'!$B$6:$B$17&lt;=$B61)*('Changes — Earner 2'!$B$6:$B$17&lt;&gt;"")),'Changes — Earner 2'!$D$6:$D$17),0)))</f>
      </c>
      <c r="AY61" s="7">
        <f>IF($B61="","",($O61-$D61)*'Second Earner'!$C$8)</f>
      </c>
      <c r="AZ61" s="7">
        <f>IF($B61="","",IF($AN61="AL",MAX(0,$AY61-IF($AU61="Married",IF($AY61&lt;=25999,8500,MAX(5000,8500-175*CEILING(($AY61-25999)/500,1))),IF($AU61="Head of household",IF($AY61&lt;=25999,5200,MAX(2500,5200-135*CEILING(($AY61-25999)/500,1))),IF($AY61&lt;=25999,3000,MAX(2500,3000-25*CEILING(($AY61-25999)/500,1)))))-($P61-'How This Works &amp; Sources'!$C$10*$D61)*'Second Earner'!$C$8-IF(OR($AU61="Married",$AU61="Head of household"),3000,1500)-$AT61*IF($AY61&lt;=50000,1000,IF($AY61&lt;=100000,500,300))),IF($AN61="AR",IF(MAX(0,$AY61-2470)&lt;97701,INT(MAX(0,$AY61-2470)/100)*100+50,MAX(0,$AY61-2470)),IF($AN61="DE",MAX(0,$AI61-3250),IF($AN61="HI",MAX(0,$AI61-1144*$AS61-4350),IF($AN61="KS",MAX(0,$AI61-(9160*IF($AU61="Married",2,1)+2320*$AT61+IF($AU61="Head of household",2320,0))),IF($AN61="MD",MAX(0,$AI61-3400-3200*$AS61),IF($AN61="MN",MAX(0,$AY61-5300*$AS61),IF($AN61="MO",MAX(0,$AI61-IF($AU61="Head of household",24150,IF($AU61="Married",IF('Second Earner'!$C$83,16100,32200),16100))),IF($AN61="MT",$AY61,IF($AN61="ND",($C61+$L61)*'Second Earner'!$C$8,IF($AN61="NE",MAX(0,$AY61-2440*$AS61),IF($AN61="NJ",MAX(0,$AY61-1000*$AS61),IF($AN61="NY",MAX(0,$AY61-(IF($AU61="Married",7950,7400)+1000*$AS61)),IF($AN61="OH",MAX(0,$AY61-650*$AS61),IF($AN61="OK",MAX(0,$AY61-1000*$AS61),IF($AN61="RI",MAX(0,$AI61-1000*$AS61),IF($AN61="SC",MAX(0,$AI61-5000*$AS61-IF($AS61=0,0,MIN(0.1*$AI61,7500))),IF($AN61="VA",MAX(0,$AI61-IF($AU61="Married",17500,8750)-930*$AS61-800*$AT61),IF($AN61="VT",MAX(0,$AI61-5400*$AS61),IF($AN61="WI",MAX(0,$AI61-MAX(0,IF($AU61="Married",9461-0.2*MAX(0,$AI61-25727),6702-0.12*MAX(0,$AI61-17780)))-400*$AS61),IF($AN61="WV",MAX(0,$AI61-2000*$AS61),$AI61))))))))))))))))))))))</f>
      </c>
      <c r="BA61" s="7">
        <f>IF($B61="","",IF($BW61&lt;&gt;"",$BW61,IF($BX61&lt;&gt;"",$BX61,IF($BY61&lt;&gt;"",$BY61,0))))</f>
      </c>
      <c r="BB61" s="7">
        <f>IF($B61="","",IF($AN61="AR",-29*$AS61,IF($AN61="DE",-110*$AS61,IF($AN61="MD",$AZ61*'Second Earner'!$C$74,IF($AN61="AZ",'Second Earner'!$C$82*($M61-$D61)*'Second Earner'!$C$8,IF($AN61="CO",0.044*MAX(0,$AY61-IF($AU61="Married",10000,5000)),IF($AN61="IA",MAX(0,0.038*MAX(0,$AY61-IF($AU61="Head of household",19500,IF($AU61="Married",26000,13000)))-40*$AS61),IF($AN61="ID",0.053*MAX(0,$AY61-IF($AU61="Married",32000,16094)),IF($AN61="IL",0.0495*MAX(0,$AY61-(2925*$AS61+1000*$AT61)),IF($AN61="IN",(0.0295+'Second Earner'!$C$76)*MAX(0,$AY61-(1000*$AS61+1500*$AT61+3000*'Second Earner'!$C$86)),IF($AN61="KY",0.035*MAX(0,$AI61-3360),IF($AN61="LA",IF('Second Earner'!$C$84="0",0.0309*$AI61,0.0309*MAX(0,$AI61-IF('Second Earner'!$C$84="2",25750,12875))),IF($AN61="MA",0.05*MIN(MAX(0,$AY61-MIN(($BD60+$Q61+$R61+$S61),2000)-IF($AS61=0,0,IF($AS61=1,4400,1000*$AS61+3400))),1107750)+0.09*MAX(0,MAX(0,$AY61-MIN(($BD60+$Q61+$R61+$S61),2000)-IF($AS61=0,0,IF($AS61=1,4400,1000*$AS61+3400)))-1107750)-IF($AU61="Head of household",120,0)-110*'Second Earner'!$C$75,IF($AN61="MI",0.0425*MAX(0,$AY61-5900*$AS61),IF($AN61="MS",0.04*MAX(0,$AI61-IF($AU61="Head of household",3400,IF($AU61="Married",4600,2300))-'Second Earner'!$C$85-10000),IF($AN61="OR",IF(OR($AU61="Married",AND($AU61="Single",$AS61&gt;=3)),SUMPRODUCT((MAX(0,$AY61-MIN(($P61-'How This Works &amp; Sources'!$C$10*$D61)*'Second Earner'!$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Sources'!$B$211:$J$214,0,4))*(MAX(0,$AY61-MIN(($P61-'How This Works &amp; Sources'!$C$10*$D61)*'Second Earner'!$C$8,IF(OR($AU61="Married",AND($AU61="Single",$AS61&gt;=3)),IF($AY61&lt;250000,8750,IF($AY61&lt;260000,7000,IF($AY61&lt;270000,5250,IF($AY61&lt;280000,3500,IF($AY61&lt;290000,1750,0))))),IF($AY61&lt;125000,8750,IF($AY61&lt;130000,7000,IF($AY61&lt;135000,5250,IF($AY61&lt;140000,3500,IF($AY61&lt;145000,1750,0)))))))-IF(OR($AU61="Married",AND($AU61="Single",$AS61&gt;=3)),5820,2910))-INDEX('How This Works &amp; Sources'!$B$211:$J$214,0,4))*INDEX('How This Works &amp; Sources'!$B$211:$J$214,0,4+2)),SUMPRODUCT((MAX(0,$AY61-MIN(($P61-'How This Works &amp; Sources'!$C$10*$D61)*'Second Earner'!$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Sources'!$B$211:$J$214,0,1))*(MAX(0,$AY61-MIN(($P61-'How This Works &amp; Sources'!$C$10*$D61)*'Second Earner'!$C$8,IF(OR($AU61="Married",AND($AU61="Single",$AS61&gt;=3)),IF($AY61&lt;250000,8750,IF($AY61&lt;260000,7000,IF($AY61&lt;270000,5250,IF($AY61&lt;280000,3500,IF($AY61&lt;290000,1750,0))))),IF($AY61&lt;125000,8750,IF($AY61&lt;130000,7000,IF($AY61&lt;135000,5250,IF($AY61&lt;140000,3500,IF($AY61&lt;145000,1750,0)))))))-IF(OR($AU61="Married",AND($AU61="Single",$AS61&gt;=3)),5820,2910))-INDEX('How This Works &amp; Sources'!$B$211:$J$214,0,1))*INDEX('How This Works &amp; Sources'!$B$211:$J$214,0,1+2)))+263-263*IF(IF($AU61="Married",$AY61&gt;200000,$AY61&gt;100000),0,$AS61),IF($AN61="PA",0.0307*(($O61+$E61+$G61)*'Second Earner'!$C$8),IF($AN61="NY",IF($AU61="Married",IF($AZ61&gt;=2155350,0,IF($AZ61&gt;=1077550,0.48,IF($AZ61&gt;=373200,1.21,IF($AZ61&gt;=323200,0.21,IF($AZ61&gt;=211550,-0.19,IF($AZ61&gt;=157650,-2.8,IF($AZ61&gt;=107650,-0.8,IF($AZ61&gt;=96800,0.05,IF($AZ61&gt;=80650,-0.1,IF($AZ61&gt;=13900,0.4,IF($AZ61&gt;=11700,-0.3,IF($AZ61&gt;=8500,0.5,0)))))))))))),IF($AZ61&gt;=1077550,0,IF($AZ61&gt;=265400,4.29,IF($AZ61&gt;=215400,2.29,IF($AZ61&gt;=157650,2.29,IF($AZ61&gt;=107650,0.29,IF($AZ61&gt;=96800,0.05,IF($AZ61&gt;=80650,-0.1,IF($AZ61&gt;=13900,0.4,IF($AZ61&gt;=11700,-0.3,IF($AZ61&gt;=8500,0.5,0))))))))))),0))))))))))))))))))</f>
      </c>
      <c r="BC61" s="7">
        <f>IF($B61="","",IF($AN61="AL",0.05*$D61,IF($AN61="AR",0.039*$D61,IF($AN61="ID",0.053*$D61,IF($AN61="IN",(0.0295+'Second Earner'!$C$76)*$D61,IF($AN61="KS",0.05*$D61,IF($AN61="MA",0.09*MIN($D61,MAX(0,MAX(0,$AY61-MIN(($BD60+$Q61+$R61+$S61),2000)-IF($AS61=0,0,IF($AS61=1,4400,1000*$AS61+3400)))+$D61-1107750))+0.05*($D61-MIN($D61,MAX(0,MAX(0,$AY61-MIN(($BD60+$Q61+$R61+$S61),2000)-IF($AS61=0,0,IF($AS61=1,4400,1000*$AS61+3400)))+$D61-1107750))),IF($AN61="MD",(0.065+'Second Earner'!$C$74)*$D61,IF($AN61="MI",0.0425*$D61,IF($AN61="MN",0.0625*$D61,IF($AN61="MO",0.047*$D61,IF($AN61="MT",0.05*$D61,IF($AN61="ND",0.015*$D61,IF($AN61="NE",0.035*$D61,IF($AN61="NJ",IF('Second Earner'!$C$77="B",SUMPRODUCT(($D61*'Second Earner'!$C$8&gt;INDEX('How This Works &amp; Sources'!$B$155:$J$162,0,4))*($D61*'Second Earner'!$C$8-INDEX('How This Works &amp; Sources'!$B$155:$J$162,0,4))*INDEX('How This Works &amp; Sources'!$B$155:$J$162,0,4+2)),IF('Second Earner'!$C$77="C",SUMPRODUCT(($D61*'Second Earner'!$C$8&gt;INDEX('How This Works &amp; Sources'!$B$155:$J$162,0,7))*($D61*'Second Earner'!$C$8-INDEX('How This Works &amp; Sources'!$B$155:$J$162,0,7))*INDEX('How This Works &amp; Sources'!$B$155:$J$162,0,7+2)),IF('Second Earner'!$C$77="D",SUMPRODUCT(($D61*'Second Earner'!$C$8&gt;INDEX('How This Works &amp; Sources'!$B$167:$J$179,0,1))*($D61*'Second Earner'!$C$8-INDEX('How This Works &amp; Sources'!$B$167:$J$179,0,1))*INDEX('How This Works &amp; Sources'!$B$167:$J$179,0,1+2)),IF('Second Earner'!$C$77="E",SUMPRODUCT(($D61*'Second Earner'!$C$8&gt;INDEX('How This Works &amp; Sources'!$B$167:$J$179,0,4))*($D61*'Second Earner'!$C$8-INDEX('How This Works &amp; Sources'!$B$167:$J$179,0,4))*INDEX('How This Works &amp; Sources'!$B$167:$J$179,0,4+2)),SUMPRODUCT(($D61*'Second Earner'!$C$8&gt;INDEX('How This Works &amp; Sources'!$B$155:$J$162,0,1))*($D61*'Second Earner'!$C$8-INDEX('How This Works &amp; Sources'!$B$155:$J$162,0,1))*INDEX('How This Works &amp; Sources'!$B$155:$J$162,0,1+2))))))/'Second Earner'!$C$8,IF($AN61="NY",0.117*$D61,IF($AN61="OH",0.0275*$D61,IF($AN61="OK",0.045*$D61,IF($AN61="OR",0.08*$D61,IF($AN61="WI",IF($AY61&lt;12760,0.0354,IF($AY61&lt;25520,0.0465,IF($AY61&lt;280950,0.053,0.0765)))*$D61,0))))))))))))))))))))</f>
      </c>
      <c r="BD61" s="7">
        <f>IF($B61="","",$BD60+$Q61+$R61+$S61)</f>
      </c>
      <c r="BE61" s="6">
        <f>IF($B61="",$BE60,$BE60+$BF61)</f>
      </c>
      <c r="BF61" s="6">
        <f>IF($B61="","",IF(AND(IF(YEAR(IF('Second Earner'!$C$7="Weekly",'Second Earner'!$C$9+7*(($BE60+1)-1),IF('Second Earner'!$C$7="Biweekly",'Second Earner'!$C$9+14*(($BE60+1)-1),IF('Second Earner'!$C$7="Semimonthly",DATE(YEAR('Second Earner'!$C$9),MONTH('Second Earner'!$C$9)+INT((($BE60+1)-1)/2),MIN(DAY('Second Earner'!$C$9),DAY(EOMONTH(DATE(YEAR('Second Earner'!$C$9),MONTH('Second Earner'!$C$9)+INT((($BE60+1)-1)/2),1),0))))+IF(MOD(($BE60+1)-1,2)=1,15,0),EDATE('Second Earner'!$C$9,($BE60+1)-1)))))&lt;&gt;'Second Earner'!$C$10,"",IF('Second Earner'!$C$7="Weekly",'Second Earner'!$C$9+7*(($BE60+1)-1),IF('Second Earner'!$C$7="Biweekly",'Second Earner'!$C$9+14*(($BE60+1)-1),IF('Second Earner'!$C$7="Semimonthly",DATE(YEAR('Second Earner'!$C$9),MONTH('Second Earner'!$C$9)+INT((($BE60+1)-1)/2),MIN(DAY('Second Earner'!$C$9),DAY(EOMONTH(DATE(YEAR('Second Earner'!$C$9),MONTH('Second Earner'!$C$9)+INT((($BE60+1)-1)/2),1),0))))+IF(MOD(($BE60+1)-1,2)=1,15,0),EDATE('Second Earner'!$C$9,($BE60+1)-1)))))&lt;&gt;"",$B61=IF(YEAR(IF('Second Earner'!$C$7="Weekly",'Second Earner'!$C$9+7*(($BE60+1)-1),IF('Second Earner'!$C$7="Biweekly",'Second Earner'!$C$9+14*(($BE60+1)-1),IF('Second Earner'!$C$7="Semimonthly",DATE(YEAR('Second Earner'!$C$9),MONTH('Second Earner'!$C$9)+INT((($BE60+1)-1)/2),MIN(DAY('Second Earner'!$C$9),DAY(EOMONTH(DATE(YEAR('Second Earner'!$C$9),MONTH('Second Earner'!$C$9)+INT((($BE60+1)-1)/2),1),0))))+IF(MOD(($BE60+1)-1,2)=1,15,0),EDATE('Second Earner'!$C$9,($BE60+1)-1)))))&lt;&gt;'Second Earner'!$C$10,"",IF('Second Earner'!$C$7="Weekly",'Second Earner'!$C$9+7*(($BE60+1)-1),IF('Second Earner'!$C$7="Biweekly",'Second Earner'!$C$9+14*(($BE60+1)-1),IF('Second Earner'!$C$7="Semimonthly",DATE(YEAR('Second Earner'!$C$9),MONTH('Second Earner'!$C$9)+INT((($BE60+1)-1)/2),MIN(DAY('Second Earner'!$C$9),DAY(EOMONTH(DATE(YEAR('Second Earner'!$C$9),MONTH('Second Earner'!$C$9)+INT((($BE60+1)-1)/2),1),0))))+IF(MOD(($BE60+1)-1,2)=1,15,0),EDATE('Second Earner'!$C$9,($BE60+1)-1)))))),1,0))</f>
      </c>
      <c r="BG61" s="7">
        <f>IF($B61="","",$BG60+$H61)</f>
      </c>
      <c r="BH61" s="7">
        <f>IF($B61="","",$BH60+$I61)</f>
      </c>
      <c r="BI61" s="7">
        <f>IF($B61="","",$BI60+$G61)</f>
      </c>
      <c r="BJ61" s="7">
        <f>IF($B61="","",IFERROR(LOOKUP(2,1/(((('Changes — Earner 2'!$C$6:$C$17="Deduction start"))*('Changes — Earner 2'!$D$6:$D$17="Health FSA"))*('Changes — Earner 2'!$B$6:$B$17&lt;=$B61)*('Changes — Earner 2'!$B$6:$B$17&lt;&gt;"")),'Changes — Earner 2'!$E$6:$E$17),'Second Earner'!$D$38))</f>
      </c>
      <c r="BK61" s="7">
        <f>IF($B61="","",IFERROR(LOOKUP(2,1/(((('Changes — Earner 2'!$C$6:$C$17="Deduction start"))*('Changes — Earner 2'!$D$6:$D$17="Dependent-care FSA"))*('Changes — Earner 2'!$B$6:$B$17&lt;=$B61)*('Changes — Earner 2'!$B$6:$B$17&lt;&gt;"")),'Changes — Earner 2'!$E$6:$E$17),'Second Earner'!$D$39))</f>
      </c>
      <c r="BL61" s="7">
        <f>IF($B61="","",IFERROR(LOOKUP(2,1/(((('Changes — Earner 2'!$C$6:$C$17="Deduction start")+('Changes — Earner 2'!$C$6:$C$17="Deduction stop"))*('Changes — Earner 2'!$D$6:$D$17="HSA"))*('Changes — Earner 2'!$B$6:$B$17&lt;=$B61)*('Changes — Earner 2'!$B$6:$B$17&lt;&gt;"")),'Changes — Earner 2'!$I$6:$I$17),'Second Earner'!$D$35))</f>
      </c>
      <c r="BM61" s="7">
        <f>IF($B61="","",IFERROR(LOOKUP(2,1/(((('Changes — Earner 2'!$C$6:$C$17="Deduction start")+('Changes — Earner 2'!$C$6:$C$17="Deduction stop"))*('Changes — Earner 2'!$D$6:$D$17="Premiums"))*('Changes — Earner 2'!$B$6:$B$17&lt;=$B61)*('Changes — Earner 2'!$B$6:$B$17&lt;&gt;"")),'Changes — Earner 2'!$I$6:$I$17),'Second Earner'!$D$40+'Second Earner'!$D$41+'Second Earner'!$D$42))</f>
      </c>
      <c r="BN61" s="7">
        <f>IF($B61="","",IFERROR(LOOKUP(2,1/(((('Changes — Earner 2'!$C$6:$C$17="Deduction start")+('Changes — Earner 2'!$C$6:$C$17="Deduction stop"))*('Changes — Earner 2'!$D$6:$D$17="Commuter"))*('Changes — Earner 2'!$B$6:$B$17&lt;=$B61)*('Changes — Earner 2'!$B$6:$B$17&lt;&gt;"")),'Changes — Earner 2'!$I$6:$I$17),'Second Earner'!$D$43))</f>
      </c>
      <c r="BO61" s="7">
        <f>IF($B61="","",IFERROR(LOOKUP(2,1/(((('Changes — Earner 2'!$C$6:$C$17="Deduction start")+('Changes — Earner 2'!$C$6:$C$17="Deduction stop"))*('Changes — Earner 2'!$D$6:$D$17="Other pre-tax"))*('Changes — Earner 2'!$B$6:$B$17&lt;=$B61)*('Changes — Earner 2'!$B$6:$B$17&lt;&gt;"")),'Changes — Earner 2'!$I$6:$I$17),'Second Earner'!$D$44))</f>
      </c>
      <c r="BP61" s="7">
        <f>IF($B61="","",IFERROR(LOOKUP(2,1/(((('Changes — Earner 2'!$C$6:$C$17="Deduction start")+('Changes — Earner 2'!$C$6:$C$17="Deduction stop"))*('Changes — Earner 2'!$D$6:$D$17="Other post-tax"))*('Changes — Earner 2'!$B$6:$B$17&lt;=$B61)*('Changes — Earner 2'!$B$6:$B$17&lt;&gt;"")),'Changes — Earner 2'!$I$6:$I$17),'Second Earner'!$D$45))</f>
      </c>
      <c r="BQ61" s="6">
        <f>IF($B61="","",IFERROR(LOOKUP(2,1/(((('Changes — Earner 2'!$C$6:$C$17="Deduction start")+('Changes — Earner 2'!$C$6:$C$17="Deduction stop"))*('Changes — Earner 2'!$D$6:$D$17="Health FSA"))*('Changes — Earner 2'!$B$6:$B$17&lt;=$B61)*('Changes — Earner 2'!$B$6:$B$17&lt;&gt;"")),'Changes — Earner 2'!$J$6:$J$17),0))</f>
      </c>
      <c r="BR61" s="6">
        <f>IF($B61="","",IFERROR(LOOKUP(2,1/(((('Changes — Earner 2'!$C$6:$C$17="Deduction start")+('Changes — Earner 2'!$C$6:$C$17="Deduction stop"))*('Changes — Earner 2'!$D$6:$D$17="Dependent-care FSA"))*('Changes — Earner 2'!$B$6:$B$17&lt;=$B61)*('Changes — Earner 2'!$B$6:$B$17&lt;&gt;"")),'Changes — Earner 2'!$J$6:$J$17),0))</f>
      </c>
      <c r="BS61" s="6">
        <f>IF($B61="","",IF(SUMPRODUCT(('Changes — Earner 2'!$C$6:$C$17="Deduction start")*('Changes — Earner 2'!$B$6:$B$17&lt;=$B61)*('Changes — Earner 2'!$B$6:$B$17&lt;&gt;"")*('Changes — Earner 2'!$D$6:$D$17="Health FSA"))&gt;0,1,0))</f>
      </c>
      <c r="BT61" s="6">
        <f>IF($B61="","",IF(SUMPRODUCT(('Changes — Earner 2'!$C$6:$C$17="Deduction start")*('Changes — Earner 2'!$B$6:$B$17&lt;=$B61)*('Changes — Earner 2'!$B$6:$B$17&lt;&gt;"")*('Changes — Earner 2'!$D$6:$D$17="Dependent-care FSA"))&gt;0,1,0))</f>
      </c>
      <c r="BU61" s="24">
        <f>IF($B61="","",IF('Second Earner'!$C$13,SUMPRODUCT(($AH61&gt;=INDEX('How This Works &amp; Sources'!$B$29:$J$36,0,IF('Second Earner'!$C$12="MFJ",1,IF('Second Earner'!$C$12="HoH",7,4))))*INDEX('How This Works &amp; Sources'!$B$29:$J$36,0,IF('Second Earner'!$C$12="MFJ",1,IF('Second Earner'!$C$12="HoH",7,4))+2)),SUMPRODUCT(($AH61&gt;=INDEX('How This Works &amp; Sources'!$B$19:$J$26,0,IF('Second Earner'!$C$12="MFJ",1,IF('Second Earner'!$C$12="HoH",7,4))))*INDEX('How This Works &amp; Sources'!$B$19:$J$26,0,IF('Second Earner'!$C$12="MFJ",1,IF('Second Earner'!$C$12="HoH",7,4))+2))))</f>
      </c>
      <c r="BV61" s="24">
        <f>IF($B61="","",IF($BZ61&lt;&gt;"",$BZ61,IF($CA61&lt;&gt;"",$CA61,IF($CB61&lt;&gt;"",$CB61,IF($CC61&lt;&gt;"",$CC61,0)))))</f>
      </c>
      <c r="BW61" s="7">
        <f>IF($B61="","",IF($AN61="AR",SUMPRODUCT(($AZ61&gt;INDEX('How This Works &amp; Sources'!$B$82:$J$86,0,7))*($AZ61-INDEX('How This Works &amp; Sources'!$B$82:$J$86,0,7))*INDEX('How This Works &amp; Sources'!$B$82:$J$86,0,7+2)),IF($AN61="MD",IF(OR($AU61="Married",$AU61="Head of household"),SUMPRODUCT(($AZ61&gt;INDEX('How This Works &amp; Sources'!$B$114:$J$120,0,1))*($AZ61-INDEX('How This Works &amp; Sources'!$B$114:$J$120,0,1))*INDEX('How This Works &amp; Sources'!$B$114:$J$120,0,1+2)),SUMPRODUCT(($AZ61&gt;INDEX('How This Works &amp; Sources'!$B$103:$J$109,0,7))*($AZ61-INDEX('How This Works &amp; Sources'!$B$103:$J$109,0,7))*INDEX('How This Works &amp; Sources'!$B$103:$J$109,0,7+2))),IF($AN61="MT",IF($AU61="Head of household",SUMPRODUCT(($AZ61&gt;INDEX('How This Works &amp; Sources'!$B$137:$J$139,0,1))*($AZ61-INDEX('How This Works &amp; Sources'!$B$137:$J$139,0,1))*INDEX('How This Works &amp; Sources'!$B$137:$J$139,0,1+2)),IF($AU61="Married",SUMPRODUCT(($AZ61&gt;INDEX('How This Works &amp; Sources'!$B$125:$J$132,0,7))*($AZ61-INDEX('How This Works &amp; Sources'!$B$125:$J$132,0,7))*INDEX('How This Works &amp; Sources'!$B$125:$J$132,0,7+2)),SUMPRODUCT(($AZ61&gt;INDEX('How This Works &amp; Sources'!$B$125:$J$132,0,4))*($AZ61-INDEX('How This Works &amp; Sources'!$B$125:$J$132,0,4))*INDEX('How This Works &amp; Sources'!$B$125:$J$132,0,4+2)))),IF($AN61="ND",IF($AU61="Head of household",SUMPRODUCT(($AZ61&gt;INDEX('How This Works &amp; Sources'!$B$144:$J$150,0,1))*($AZ61-INDEX('How This Works &amp; Sources'!$B$144:$J$150,0,1))*INDEX('How This Works &amp; Sources'!$B$144:$J$150,0,1+2)),IF($AU61="Married",SUMPRODUCT(($AZ61&gt;INDEX('How This Works &amp; Sources'!$B$137:$J$139,0,7))*($AZ61-INDEX('How This Works &amp; Sources'!$B$137:$J$139,0,7))*INDEX('How This Works &amp; Sources'!$B$137:$J$139,0,7+2)),SUMPRODUCT(($AZ61&gt;INDEX('How This Works &amp; Sources'!$B$137:$J$139,0,4))*($AZ61-INDEX('How This Works &amp; Sources'!$B$137:$J$139,0,4))*INDEX('How This Works &amp; Sources'!$B$137:$J$139,0,4+2)))),IF($AN61="NJ",IF('Second Earner'!$C$77="B",SUMPRODUCT(($AZ61&gt;INDEX('How This Works &amp; Sources'!$B$155:$J$162,0,4))*($AZ61-INDEX('How This Works &amp; Sources'!$B$155:$J$162,0,4))*INDEX('How This Works &amp; Sources'!$B$155:$J$162,0,4+2)),IF('Second Earner'!$C$77="C",SUMPRODUCT(($AZ61&gt;INDEX('How This Works &amp; Sources'!$B$155:$J$162,0,7))*($AZ61-INDEX('How This Works &amp; Sources'!$B$155:$J$162,0,7))*INDEX('How This Works &amp; Sources'!$B$155:$J$162,0,7+2)),IF('Second Earner'!$C$77="D",SUMPRODUCT(($AZ61&gt;INDEX('How This Works &amp; Sources'!$B$167:$J$179,0,1))*($AZ61-INDEX('How This Works &amp; Sources'!$B$167:$J$179,0,1))*INDEX('How This Works &amp; Sources'!$B$167:$J$179,0,1+2)),IF('Second Earner'!$C$77="E",SUMPRODUCT(($AZ61&gt;INDEX('How This Works &amp; Sources'!$B$167:$J$179,0,4))*($AZ61-INDEX('How This Works &amp; Sources'!$B$167:$J$179,0,4))*INDEX('How This Works &amp; Sources'!$B$167:$J$179,0,4+2)),SUMPRODUCT(($AZ61&gt;INDEX('How This Works &amp; Sources'!$B$155:$J$162,0,1))*($AZ61-INDEX('How This Works &amp; Sources'!$B$155:$J$162,0,1))*INDEX('How This Works &amp; Sources'!$B$155:$J$162,0,1+2)))))),IF($AN61="NY",IF($AU61="Married",IF($AZ61&gt;=2155350,$AZ61*IF($AZ61&gt;25000000,0.117,IF($AZ61&gt;5000000,0.111,0.1045)),SUMPRODUCT(($AZ61&gt;INDEX('How This Works &amp; Sources'!$B$184:$J$198,0,1))*($AZ61-INDEX('How This Works &amp; Sources'!$B$184:$J$198,0,1))*INDEX('How This Works &amp; Sources'!$B$184:$J$198,0,1+2))),IF($AZ61&gt;=1077550,$AZ61*IF($AZ61&gt;25000000,0.117,IF($AZ61&gt;5000000,0.111,0.1045)),SUMPRODUCT(($AZ61&gt;INDEX('How This Works &amp; Sources'!$B$167:$J$179,0,7))*($AZ61-INDEX('How This Works &amp; Sources'!$B$167:$J$179,0,7))*INDEX('How This Works &amp; Sources'!$B$167:$J$179,0,7+2)))),"")))))))</f>
      </c>
      <c r="BX61" s="7">
        <f>IF($B61="","",IF($AN61="AL",IF(OR($AU61="Married",$AU61="Head of household"),SUMPRODUCT(($AZ61&gt;INDEX('How This Works &amp; Sources'!$B$82:$J$86,0,4))*($AZ61-INDEX('How This Works &amp; Sources'!$B$82:$J$86,0,4))*INDEX('How This Works &amp; Sources'!$B$82:$J$86,0,4+2)),SUMPRODUCT(($AZ61&gt;INDEX('How This Works &amp; Sources'!$B$82:$J$86,0,1))*($AZ61-INDEX('How This Works &amp; Sources'!$B$82:$J$86,0,1))*INDEX('How This Works &amp; Sources'!$B$82:$J$86,0,1+2))),IF($AN61="KS",IF($AU61="Married",SUMPRODUCT(($AZ61&gt;INDEX('How This Works &amp; Sources'!$B$103:$J$109,0,4))*($AZ61-INDEX('How This Works &amp; Sources'!$B$103:$J$109,0,4))*INDEX('How This Works &amp; Sources'!$B$103:$J$109,0,4+2)),SUMPRODUCT(($AZ61&gt;INDEX('How This Works &amp; Sources'!$B$103:$J$109,0,1))*($AZ61-INDEX('How This Works &amp; Sources'!$B$103:$J$109,0,1))*INDEX('How This Works &amp; Sources'!$B$103:$J$109,0,1+2))),IF($AN61="MN",IF($AU61="Married",SUMPRODUCT(($AZ61&gt;INDEX('How This Works &amp; Sources'!$B$114:$J$120,0,7))*($AZ61-INDEX('How This Works &amp; Sources'!$B$114:$J$120,0,7))*INDEX('How This Works &amp; Sources'!$B$114:$J$120,0,7+2)),SUMPRODUCT(($AZ61&gt;INDEX('How This Works &amp; Sources'!$B$114:$J$120,0,4))*($AZ61-INDEX('How This Works &amp; Sources'!$B$114:$J$120,0,4))*INDEX('How This Works &amp; Sources'!$B$114:$J$120,0,4+2))),IF($AN61="MO",SUMPRODUCT(($AZ61&gt;INDEX('How This Works &amp; Sources'!$B$125:$J$132,0,1))*($AZ61-INDEX('How This Works &amp; Sources'!$B$125:$J$132,0,1))*INDEX('How This Works &amp; Sources'!$B$125:$J$132,0,1+2)),IF($AN61="NE",MAX(IF($AU61="Married",SUMPRODUCT(($AZ61&gt;INDEX('How This Works &amp; Sources'!$B$144:$J$150,0,7))*($AZ61-INDEX('How This Works &amp; Sources'!$B$144:$J$150,0,7))*INDEX('How This Works &amp; Sources'!$B$144:$J$150,0,7+2)),SUMPRODUCT(($AZ61&gt;INDEX('How This Works &amp; Sources'!$B$144:$J$150,0,4))*($AZ61-INDEX('How This Works &amp; Sources'!$B$144:$J$150,0,4))*INDEX('How This Works &amp; Sources'!$B$144:$J$150,0,4+2))),0.015*$AZ61),IF($AN61="OH",IF($B61&gt;=DATE(2026,8,1),SUMPRODUCT(($AZ61&gt;INDEX('How This Works &amp; Sources'!$B$203:$J$206,0,1))*($AZ61-INDEX('How This Works &amp; Sources'!$B$203:$J$206,0,1))*INDEX('How This Works &amp; Sources'!$B$203:$J$206,0,1+2)),SUMPRODUCT(($AZ61&gt;INDEX('How This Works &amp; Sources'!$B$184:$J$198,0,7))*($AZ61-INDEX('How This Works &amp; Sources'!$B$184:$J$198,0,7))*INDEX('How This Works &amp; Sources'!$B$184:$J$198,0,7+2))),IF($AN61="OK",IF($AU61="Married",SUMPRODUCT(($AZ61&gt;INDEX('How This Works &amp; Sources'!$B$203:$J$206,0,7))*($AZ61-INDEX('How This Works &amp; Sources'!$B$203:$J$206,0,7))*INDEX('How This Works &amp; Sources'!$B$203:$J$206,0,7+2)),SUMPRODUCT(($AZ61&gt;INDEX('How This Works &amp; Sources'!$B$203:$J$206,0,4))*($AZ61-INDEX('How This Works &amp; Sources'!$B$203:$J$206,0,4))*INDEX('How This Works &amp; Sources'!$B$203:$J$206,0,4+2))),IF($AN61="VT",IF($AU61="Married",SUMPRODUCT(($AZ61&gt;INDEX('How This Works &amp; Sources'!$B$228:$J$232,0,1))*($AZ61-INDEX('How This Works &amp; Sources'!$B$228:$J$232,0,1))*INDEX('How This Works &amp; Sources'!$B$228:$J$232,0,1+2)),SUMPRODUCT(($AZ61&gt;INDEX('How This Works &amp; Sources'!$B$219:$J$223,0,7))*($AZ61-INDEX('How This Works &amp; Sources'!$B$219:$J$223,0,7))*INDEX('How This Works &amp; Sources'!$B$219:$J$223,0,7+2))),IF($AN61="WV",IF($AU61="Married",SUMPRODUCT(($AZ61&gt;INDEX('How This Works &amp; Sources'!$B$237:$J$241,0,7))*($AZ61-INDEX('How This Works &amp; Sources'!$B$237:$J$241,0,7))*INDEX('How This Works &amp; Sources'!$B$237:$J$241,0,7+2)),SUMPRODUCT(($AZ61&gt;INDEX('How This Works &amp; Sources'!$B$228:$J$232,0,7))*($AZ61-INDEX('How This Works &amp; Sources'!$B$228:$J$232,0,7))*INDEX('How This Works &amp; Sources'!$B$228:$J$232,0,7+2))),""))))))))))</f>
      </c>
      <c r="BY61" s="7">
        <f>IF($B61="","",IF($AN61="DE",SUMPRODUCT(($AZ61&gt;INDEX('How This Works &amp; Sources'!$B$91:$J$98,0,1))*($AZ61-INDEX('How This Works &amp; Sources'!$B$91:$J$98,0,1))*INDEX('How This Works &amp; Sources'!$B$91:$J$98,0,1+2)),IF($AN61="HI",IF($AU61="Married",SUMPRODUCT(($AZ61&gt;INDEX('How This Works &amp; Sources'!$B$91:$J$98,0,7))*($AZ61-INDEX('How This Works &amp; Sources'!$B$91:$J$98,0,7))*INDEX('How This Works &amp; Sources'!$B$91:$J$98,0,7+2)),SUMPRODUCT(($AZ61&gt;INDEX('How This Works &amp; Sources'!$B$91:$J$98,0,4))*($AZ61-INDEX('How This Works &amp; Sources'!$B$91:$J$98,0,4))*INDEX('How This Works &amp; Sources'!$B$91:$J$98,0,4+2))),IF($AN61="RI",SUMPRODUCT(($AZ61&gt;INDEX('How This Works &amp; Sources'!$B$211:$J$214,0,7))*($AZ61-INDEX('How This Works &amp; Sources'!$B$211:$J$214,0,7))*INDEX('How This Works &amp; Sources'!$B$211:$J$214,0,7+2)),IF($AN61="SC",SUMPRODUCT(($AZ61&gt;INDEX('How This Works &amp; Sources'!$B$219:$J$223,0,1))*($AZ61-INDEX('How This Works &amp; Sources'!$B$219:$J$223,0,1))*INDEX('How This Works &amp; Sources'!$B$219:$J$223,0,1+2)),IF($AN61="VA",SUMPRODUCT(($AZ61&gt;INDEX('How This Works &amp; Sources'!$B$219:$J$223,0,4))*($AZ61-INDEX('How This Works &amp; Sources'!$B$219:$J$223,0,4))*INDEX('How This Works &amp; Sources'!$B$219:$J$223,0,4+2)),IF($AN61="WI",SUMPRODUCT(($AZ61&gt;INDEX('How This Works &amp; Sources'!$B$228:$J$232,0,4))*($AZ61-INDEX('How This Works &amp; Sources'!$B$228:$J$232,0,4))*INDEX('How This Works &amp; Sources'!$B$228:$J$232,0,4+2)),"")))))))</f>
      </c>
      <c r="BZ61" s="24">
        <f>IF($B61="","",IF($AN61="KS",IF($AU61="Married",SUMPRODUCT(($AZ61&gt;=INDEX('How This Works &amp; Sources'!$B$103:$J$109,0,4))*INDEX('How This Works &amp; Sources'!$B$103:$J$109,0,4+2)),SUMPRODUCT(($AZ61&gt;=INDEX('How This Works &amp; Sources'!$B$103:$J$109,0,1))*INDEX('How This Works &amp; Sources'!$B$103:$J$109,0,1+2))),IF($AN61="MT",IF($AU61="Head of household",SUMPRODUCT(($AZ61&gt;=INDEX('How This Works &amp; Sources'!$B$137:$J$139,0,1))*INDEX('How This Works &amp; Sources'!$B$137:$J$139,0,1+2)),IF($AU61="Married",SUMPRODUCT(($AZ61&gt;=INDEX('How This Works &amp; Sources'!$B$125:$J$132,0,7))*INDEX('How This Works &amp; Sources'!$B$125:$J$132,0,7+2)),SUMPRODUCT(($AZ61&gt;=INDEX('How This Works &amp; Sources'!$B$125:$J$132,0,4))*INDEX('How This Works &amp; Sources'!$B$125:$J$132,0,4+2)))),IF($AN61="OR",IF(OR($AU61="Married",AND($AU61="Single",$AS61&gt;=3)),SUMPRODUCT((MAX(0,$AY61-MIN(($P61-'How This Works &amp; Sources'!$C$10*$D61)*'Second Earner'!$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Sources'!$B$211:$J$214,0,4))*INDEX('How This Works &amp; Sources'!$B$211:$J$214,0,4+2)),SUMPRODUCT((MAX(0,$AY61-MIN(($P61-'How This Works &amp; Sources'!$C$10*$D61)*'Second Earner'!$C$8,IF(OR($AU61="Married",AND($AU61="Single",$AS61&gt;=3)),IF($AY61&lt;250000,8750,IF($AY61&lt;260000,7000,IF($AY61&lt;270000,5250,IF($AY61&lt;280000,3500,IF($AY61&lt;290000,1750,0))))),IF($AY61&lt;125000,8750,IF($AY61&lt;130000,7000,IF($AY61&lt;135000,5250,IF($AY61&lt;140000,3500,IF($AY61&lt;145000,1750,0)))))))-IF(OR($AU61="Married",AND($AU61="Single",$AS61&gt;=3)),5820,2910))&gt;=INDEX('How This Works &amp; Sources'!$B$211:$J$214,0,1))*INDEX('How This Works &amp; Sources'!$B$211:$J$214,0,1+2)))*IF(($P61-'How This Works &amp; Sources'!$C$10*$D61)*'Second Earner'!$C$8&gt;=IF(OR($AU61="Married",AND($AU61="Single",$AS61&gt;=3)),IF($AY61&lt;250000,8750,IF($AY61&lt;260000,7000,IF($AY61&lt;270000,5250,IF($AY61&lt;280000,3500,IF($AY61&lt;290000,1750,0))))),IF($AY61&lt;125000,8750,IF($AY61&lt;130000,7000,IF($AY61&lt;135000,5250,IF($AY61&lt;140000,3500,IF($AY61&lt;145000,1750,0)))))),1,1-IF('Second Earner'!$C$13,SUMPRODUCT(($AH61&gt;=INDEX('How This Works &amp; Sources'!$B$29:$J$36,0,IF('Second Earner'!$C$12="MFJ",1,IF('Second Earner'!$C$12="HoH",7,4))))*INDEX('How This Works &amp; Sources'!$B$29:$J$36,0,IF('Second Earner'!$C$12="MFJ",1,IF('Second Earner'!$C$12="HoH",7,4))+2)),SUMPRODUCT(($AH61&gt;=INDEX('How This Works &amp; Sources'!$B$19:$J$26,0,IF('Second Earner'!$C$12="MFJ",1,IF('Second Earner'!$C$12="HoH",7,4))))*INDEX('How This Works &amp; Sources'!$B$19:$J$26,0,IF('Second Earner'!$C$12="MFJ",1,IF('Second Earner'!$C$12="HoH",7,4))+2)))),""))))</f>
      </c>
      <c r="CA61" s="24">
        <f>IF($B61="","",IF($AN61="CA",SUMPRODUCT(($AJ61&gt;=INDEX('How This Works &amp; Sources'!$B$39:$J$48,0,IF($AU61="Married",4,IF($AU61="Head of household",7,1))))*INDEX('How This Works &amp; Sources'!$B$39:$J$48,0,IF($AU61="Married",4,IF($AU61="Head of household",7,1))+2)),IF($AN61="AL",IF(OR($AU61="Married",$AU61="Head of household"),SUMPRODUCT(($AZ61&gt;=INDEX('How This Works &amp; Sources'!$B$82:$J$86,0,4))*INDEX('How This Works &amp; Sources'!$B$82:$J$86,0,4+2)),SUMPRODUCT(($AZ61&gt;=INDEX('How This Works &amp; Sources'!$B$82:$J$86,0,1))*INDEX('How This Works &amp; Sources'!$B$82:$J$86,0,1+2)))*(1-IF('Second Earner'!$C$13,SUMPRODUCT(($AH61&gt;=INDEX('How This Works &amp; Sources'!$B$29:$J$36,0,IF('Second Earner'!$C$12="MFJ",1,IF('Second Earner'!$C$12="HoH",7,4))))*INDEX('How This Works &amp; Sources'!$B$29:$J$36,0,IF('Second Earner'!$C$12="MFJ",1,IF('Second Earner'!$C$12="HoH",7,4))+2)),SUMPRODUCT(($AH61&gt;=INDEX('How This Works &amp; Sources'!$B$19:$J$26,0,IF('Second Earner'!$C$12="MFJ",1,IF('Second Earner'!$C$12="HoH",7,4))))*INDEX('How This Works &amp; Sources'!$B$19:$J$26,0,IF('Second Earner'!$C$12="MFJ",1,IF('Second Earner'!$C$12="HoH",7,4))+2)))),IF($AN61="ND",IF($AU61="Head of household",SUMPRODUCT(($AZ61&gt;=INDEX('How This Works &amp; Sources'!$B$144:$J$150,0,1))*INDEX('How This Works &amp; Sources'!$B$144:$J$150,0,1+2)),IF($AU61="Married",SUMPRODUCT(($AZ61&gt;=INDEX('How This Works &amp; Sources'!$B$137:$J$139,0,7))*INDEX('How This Works &amp; Sources'!$B$137:$J$139,0,7+2)),SUMPRODUCT(($AZ61&gt;=INDEX('How This Works &amp; Sources'!$B$137:$J$139,0,4))*INDEX('How This Works &amp; Sources'!$B$137:$J$139,0,4+2)))),IF($AN61="NJ",IF('Second Earner'!$C$77="B",SUMPRODUCT(($AZ61&gt;=INDEX('How This Works &amp; Sources'!$B$155:$J$162,0,4))*INDEX('How This Works &amp; Sources'!$B$155:$J$162,0,4+2)),IF('Second Earner'!$C$77="C",SUMPRODUCT(($AZ61&gt;=INDEX('How This Works &amp; Sources'!$B$155:$J$162,0,7))*INDEX('How This Works &amp; Sources'!$B$155:$J$162,0,7+2)),IF('Second Earner'!$C$77="D",SUMPRODUCT(($AZ61&gt;=INDEX('How This Works &amp; Sources'!$B$167:$J$179,0,1))*INDEX('How This Works &amp; Sources'!$B$167:$J$179,0,1+2)),IF('Second Earner'!$C$77="E",SUMPRODUCT(($AZ61&gt;=INDEX('How This Works &amp; Sources'!$B$167:$J$179,0,4))*INDEX('How This Works &amp; Sources'!$B$167:$J$179,0,4+2)),SUMPRODUCT(($AZ61&gt;=INDEX('How This Works &amp; Sources'!$B$155:$J$162,0,1))*INDEX('How This Works &amp; Sources'!$B$155:$J$162,0,1+2)))))),IF($AN61="NY",IF($AU61="Married",IF($AZ61&gt;=2155350,IF($AZ61&gt;25000000,0.117,IF($AZ61&gt;5000000,0.111,0.1045)),SUMPRODUCT(($AZ61&gt;=INDEX('How This Works &amp; Sources'!$B$184:$J$198,0,1))*INDEX('How This Works &amp; Sources'!$B$184:$J$198,0,1+2))),IF($AZ61&gt;=1077550,IF($AZ61&gt;25000000,0.117,IF($AZ61&gt;5000000,0.111,0.1045)),SUMPRODUCT(($AZ61&gt;=INDEX('How This Works &amp; Sources'!$B$167:$J$179,0,7))*INDEX('How This Works &amp; Sources'!$B$167:$J$179,0,7+2)))),IF($AN61="LA",0.0309,"")))))))</f>
      </c>
      <c r="CB61" s="24">
        <f>IF($B61="","",IF($AN61="HI",IF($AU61="Married",SUMPRODUCT(($AZ61&gt;=INDEX('How This Works &amp; Sources'!$B$91:$J$98,0,7))*INDEX('How This Works &amp; Sources'!$B$91:$J$98,0,7+2)),SUMPRODUCT(($AZ61&gt;=INDEX('How This Works &amp; Sources'!$B$91:$J$98,0,4))*INDEX('How This Works &amp; Sources'!$B$91:$J$98,0,4+2))),IF($AN61="MD",IF(OR($AU61="Married",$AU61="Head of household"),SUMPRODUCT(($AZ61&gt;=INDEX('How This Works &amp; Sources'!$B$114:$J$120,0,1))*INDEX('How This Works &amp; Sources'!$B$114:$J$120,0,1+2)),SUMPRODUCT(($AZ61&gt;=INDEX('How This Works &amp; Sources'!$B$103:$J$109,0,7))*INDEX('How This Works &amp; Sources'!$B$103:$J$109,0,7+2)))+'Second Earner'!$C$74,IF($AN61="MN",IF($AU61="Married",SUMPRODUCT(($AZ61&gt;=INDEX('How This Works &amp; Sources'!$B$114:$J$120,0,7))*INDEX('How This Works &amp; Sources'!$B$114:$J$120,0,7+2)),SUMPRODUCT(($AZ61&gt;=INDEX('How This Works &amp; Sources'!$B$114:$J$120,0,4))*INDEX('How This Works &amp; Sources'!$B$114:$J$120,0,4+2))),IF($AN61="MO",SUMPRODUCT(($AZ61&gt;=INDEX('How This Works &amp; Sources'!$B$125:$J$132,0,1))*INDEX('How This Works &amp; Sources'!$B$125:$J$132,0,1+2)),IF($AN61="NE",MAX(IF($AU61="Married",SUMPRODUCT(($AZ61&gt;=INDEX('How This Works &amp; Sources'!$B$144:$J$150,0,7))*INDEX('How This Works &amp; Sources'!$B$144:$J$150,0,7+2)),SUMPRODUCT(($AZ61&gt;=INDEX('How This Works &amp; Sources'!$B$144:$J$150,0,4))*INDEX('How This Works &amp; Sources'!$B$144:$J$150,0,4+2))),0.015),IF($AN61="OH",IF($B61&gt;=DATE(2026,8,1),SUMPRODUCT(($AZ61&gt;=INDEX('How This Works &amp; Sources'!$B$203:$J$206,0,1))*INDEX('How This Works &amp; Sources'!$B$203:$J$206,0,1+2)),SUMPRODUCT(($AZ61&gt;=INDEX('How This Works &amp; Sources'!$B$184:$J$198,0,7))*INDEX('How This Works &amp; Sources'!$B$184:$J$198,0,7+2))),IF($AN61="OK",IF($AU61="Married",SUMPRODUCT(($AZ61&gt;=INDEX('How This Works &amp; Sources'!$B$203:$J$206,0,7))*INDEX('How This Works &amp; Sources'!$B$203:$J$206,0,7+2)),SUMPRODUCT(($AZ61&gt;=INDEX('How This Works &amp; Sources'!$B$203:$J$206,0,4))*INDEX('How This Works &amp; Sources'!$B$203:$J$206,0,4+2))),IF($AN61="RI",SUMPRODUCT(($AZ61&gt;=INDEX('How This Works &amp; Sources'!$B$211:$J$214,0,7))*INDEX('How This Works &amp; Sources'!$B$211:$J$214,0,7+2)),IF($AN61="VT",IF($AU61="Married",SUMPRODUCT(($AZ61&gt;=INDEX('How This Works &amp; Sources'!$B$228:$J$232,0,1))*INDEX('How This Works &amp; Sources'!$B$228:$J$232,0,1+2)),SUMPRODUCT(($AZ61&gt;=INDEX('How This Works &amp; Sources'!$B$219:$J$223,0,7))*INDEX('How This Works &amp; Sources'!$B$219:$J$223,0,7+2))),IF($AN61="WV",IF($AU61="Married",SUMPRODUCT(($AZ61&gt;=INDEX('How This Works &amp; Sources'!$B$237:$J$241,0,7))*INDEX('How This Works &amp; Sources'!$B$237:$J$241,0,7+2)),SUMPRODUCT(($AZ61&gt;=INDEX('How This Works &amp; Sources'!$B$228:$J$232,0,7))*INDEX('How This Works &amp; Sources'!$B$228:$J$232,0,7+2))),IF($AN61="AZ",'Second Earner'!$C$82,IF($AN61="ID",IF($AY61&gt;IF($AU61="Married",32000,16094),0.053,0),"")))))))))))))</f>
      </c>
      <c r="CC61" s="24">
        <f>IF($B61="","",IF($AN61="AR",SUMPRODUCT(($AZ61&gt;=INDEX('How This Works &amp; Sources'!$B$82:$J$86,0,7))*INDEX('How This Works &amp; Sources'!$B$82:$J$86,0,7+2)),IF($AN61="DE",SUMPRODUCT(($AZ61&gt;=INDEX('How This Works &amp; Sources'!$B$91:$J$98,0,1))*INDEX('How This Works &amp; Sources'!$B$91:$J$98,0,1+2)),IF($AN61="SC",SUMPRODUCT(($AZ61&gt;=INDEX('How This Works &amp; Sources'!$B$219:$J$223,0,1))*INDEX('How This Works &amp; Sources'!$B$219:$J$223,0,1+2)),IF($AN61="VA",SUMPRODUCT(($AZ61&gt;=INDEX('How This Works &amp; Sources'!$B$219:$J$223,0,4))*INDEX('How This Works &amp; Sources'!$B$219:$J$223,0,4+2)),IF($AN61="WI",SUMPRODUCT(($AZ61&gt;=INDEX('How This Works &amp; Sources'!$B$228:$J$232,0,4))*INDEX('How This Works &amp; Sources'!$B$228:$J$232,0,4+2)),IF($AN61="CO",IF($AY61&gt;IF($AU61="Married",10000,5000),0.044,0),IF($AN61="IA",IF($AY61&gt;IF($AU61="Head of household",19500,IF($AU61="Married",26000,13000)),0.038,0),IF($AN61="IL",IF($AY61&gt;(2925*$AS61+1000*$AT61),0.0495,0),IF($AN61="IN",(0.0295+'Second Earner'!$C$76),IF($AN61="KY",IF($AI61&gt;3360,0.035,0),IF($AN61="MA",IF(MAX(0,$AY61-MIN(($BD60+$Q61+$R61+$S61),2000)-IF($AS61=0,0,IF($AS61=1,4400,1000*$AS61+3400)))&gt;=1107750,0.09,0.05),IF($AN61="MI",IF($AY61&gt;5900*$AS61,0.0425,0),IF($AN61="MS",IF($AI61-IF($AU61="Head of household",3400,IF($AU61="Married",4600,2300))-'Second Earner'!$C$85&gt;10000,0.04,0),IF($AN61="PA",0.0307,"")))))))))))))))</f>
      </c>
      <c r="CD61" s="21">
        <f>IF(YEAR(IF('Second Earner'!$C$7="Weekly",'Second Earner'!$C$9+7*(($BE60+1)-1),IF('Second Earner'!$C$7="Biweekly",'Second Earner'!$C$9+14*(($BE60+1)-1),IF('Second Earner'!$C$7="Semimonthly",DATE(YEAR('Second Earner'!$C$9),MONTH('Second Earner'!$C$9)+INT((($BE60+1)-1)/2),MIN(DAY('Second Earner'!$C$9),DAY(EOMONTH(DATE(YEAR('Second Earner'!$C$9),MONTH('Second Earner'!$C$9)+INT((($BE60+1)-1)/2),1),0))))+IF(MOD(($BE60+1)-1,2)=1,15,0),EDATE('Second Earner'!$C$9,($BE60+1)-1)))))&lt;&gt;'Second Earner'!$C$10,"",IF('Second Earner'!$C$7="Weekly",'Second Earner'!$C$9+7*(($BE60+1)-1),IF('Second Earner'!$C$7="Biweekly",'Second Earner'!$C$9+14*(($BE60+1)-1),IF('Second Earner'!$C$7="Semimonthly",DATE(YEAR('Second Earner'!$C$9),MONTH('Second Earner'!$C$9)+INT((($BE60+1)-1)/2),MIN(DAY('Second Earner'!$C$9),DAY(EOMONTH(DATE(YEAR('Second Earner'!$C$9),MONTH('Second Earner'!$C$9)+INT((($BE60+1)-1)/2),1),0))))+IF(MOD(($BE60+1)-1,2)=1,15,0),EDATE('Second Earner'!$C$9,($BE60+1)-1)))))</f>
      </c>
      <c r="CE61" s="21">
        <f>IF(MIN(IF(AND('Second Earner'!$C$58&gt;MAX($B$6:$B60),'Second Earner'!$C$58&gt;=DATE('Second Earner'!$C$10,1,1),'Second Earner'!$C$58&lt;=DATE('Second Earner'!$C$10,12,31)),'Second Earner'!$C$58,999999),IF(AND('Second Earner'!$C$59&gt;MAX($B$6:$B60),'Second Earner'!$C$59&gt;=DATE('Second Earner'!$C$10,1,1),'Second Earner'!$C$59&lt;=DATE('Second Earner'!$C$10,12,31)),'Second Earner'!$C$59,999999),IF(AND('Second Earner'!$C$60&gt;MAX($B$6:$B60),'Second Earner'!$C$60&gt;=DATE('Second Earner'!$C$10,1,1),'Second Earner'!$C$60&lt;=DATE('Second Earner'!$C$10,12,31)),'Second Earner'!$C$60,999999),IF(AND('Second Earner'!$C$61&gt;MAX($B$6:$B60),'Second Earner'!$C$61&gt;=DATE('Second Earner'!$C$10,1,1),'Second Earner'!$C$61&lt;=DATE('Second Earner'!$C$10,12,31)),'Second Earner'!$C$61,999999),IF(AND('Second Earner'!$C$62&gt;MAX($B$6:$B60),'Second Earner'!$C$62&gt;=DATE('Second Earner'!$C$10,1,1),'Second Earner'!$C$62&lt;=DATE('Second Earner'!$C$10,12,31)),'Second Earner'!$C$62,999999),IF(AND('Second Earner'!$C$63&gt;MAX($B$6:$B60),'Second Earner'!$C$63&gt;=DATE('Second Earner'!$C$10,1,1),'Second Earner'!$C$63&lt;=DATE('Second Earner'!$C$10,12,31)),'Second Earner'!$C$63,999999),IF(AND('Second Earner'!$C$64&gt;MAX($B$6:$B60),'Second Earner'!$C$64&gt;=DATE('Second Earner'!$C$10,1,1),'Second Earner'!$C$64&lt;=DATE('Second Earner'!$C$10,12,31)),'Second Earner'!$C$64,999999),IF(AND('Second Earner'!$C$65&gt;MAX($B$6:$B60),'Second Earner'!$C$65&gt;=DATE('Second Earner'!$C$10,1,1),'Second Earner'!$C$65&lt;=DATE('Second Earner'!$C$10,12,31)),'Second Earner'!$C$65,999999),IF(AND('Second Earner'!$C$66&gt;MAX($B$6:$B60),'Second Earner'!$C$66&gt;=DATE('Second Earner'!$C$10,1,1),'Second Earner'!$C$66&lt;=DATE('Second Earner'!$C$10,12,31)),'Second Earner'!$C$66,999999),IF(AND('Second Earner'!$C$67&gt;MAX($B$6:$B60),'Second Earner'!$C$67&gt;=DATE('Second Earner'!$C$10,1,1),'Second Earner'!$C$67&lt;=DATE('Second Earner'!$C$10,12,31)),'Second Earner'!$C$67,999999))=999999,"",MIN(IF(AND('Second Earner'!$C$58&gt;MAX($B$6:$B60),'Second Earner'!$C$58&gt;=DATE('Second Earner'!$C$10,1,1),'Second Earner'!$C$58&lt;=DATE('Second Earner'!$C$10,12,31)),'Second Earner'!$C$58,999999),IF(AND('Second Earner'!$C$59&gt;MAX($B$6:$B60),'Second Earner'!$C$59&gt;=DATE('Second Earner'!$C$10,1,1),'Second Earner'!$C$59&lt;=DATE('Second Earner'!$C$10,12,31)),'Second Earner'!$C$59,999999),IF(AND('Second Earner'!$C$60&gt;MAX($B$6:$B60),'Second Earner'!$C$60&gt;=DATE('Second Earner'!$C$10,1,1),'Second Earner'!$C$60&lt;=DATE('Second Earner'!$C$10,12,31)),'Second Earner'!$C$60,999999),IF(AND('Second Earner'!$C$61&gt;MAX($B$6:$B60),'Second Earner'!$C$61&gt;=DATE('Second Earner'!$C$10,1,1),'Second Earner'!$C$61&lt;=DATE('Second Earner'!$C$10,12,31)),'Second Earner'!$C$61,999999),IF(AND('Second Earner'!$C$62&gt;MAX($B$6:$B60),'Second Earner'!$C$62&gt;=DATE('Second Earner'!$C$10,1,1),'Second Earner'!$C$62&lt;=DATE('Second Earner'!$C$10,12,31)),'Second Earner'!$C$62,999999),IF(AND('Second Earner'!$C$63&gt;MAX($B$6:$B60),'Second Earner'!$C$63&gt;=DATE('Second Earner'!$C$10,1,1),'Second Earner'!$C$63&lt;=DATE('Second Earner'!$C$10,12,31)),'Second Earner'!$C$63,999999),IF(AND('Second Earner'!$C$64&gt;MAX($B$6:$B60),'Second Earner'!$C$64&gt;=DATE('Second Earner'!$C$10,1,1),'Second Earner'!$C$64&lt;=DATE('Second Earner'!$C$10,12,31)),'Second Earner'!$C$64,999999),IF(AND('Second Earner'!$C$65&gt;MAX($B$6:$B60),'Second Earner'!$C$65&gt;=DATE('Second Earner'!$C$10,1,1),'Second Earner'!$C$65&lt;=DATE('Second Earner'!$C$10,12,31)),'Second Earner'!$C$65,999999),IF(AND('Second Earner'!$C$66&gt;MAX($B$6:$B60),'Second Earner'!$C$66&gt;=DATE('Second Earner'!$C$10,1,1),'Second Earner'!$C$66&lt;=DATE('Second Earner'!$C$10,12,31)),'Second Earner'!$C$66,999999),IF(AND('Second Earner'!$C$67&gt;MAX($B$6:$B60),'Second Earner'!$C$67&gt;=DATE('Second Earner'!$C$10,1,1),'Second Earner'!$C$67&lt;=DATE('Second Earner'!$C$10,12,31)),'Second Earner'!$C$67,999999)))</f>
      </c>
      <c r="CF61">
        <f>IF($B61="","",IF($D61=0,$Y61,""))</f>
      </c>
    </row>
    <row r="62">
      <c r="A62" t="n">
        <v>57</v>
      </c>
      <c r="B62" s="21">
        <f>IF(AND($CD62="",$CE62=""),"",IF($CE62="",$CD62,IF($CD62="",$CE62,MIN($CD62,$CE62))))</f>
      </c>
      <c r="C62" s="7">
        <f>IF($B62="","",IF($BF62=0,0,IF('Second Earner'!$C$4="Annual salary",ROUND($AK62/IF(AND('Second Earner'!$C$88="Actual paydays",MONTH('Second Earner'!$C$9)=1),MAX(1,MAX($BE$6:$BE$68)),'Second Earner'!$C$8),2),$AK62)))</f>
      </c>
      <c r="D62" s="7">
        <f>IF($B62="","",SUMIF('Second Earner'!$C$58:$C$67,$B62,'Second Earner'!$D$58:$D$67))</f>
      </c>
      <c r="E62" s="7">
        <f>IF($B62="","",ROUND(MAX(0,MIN(IF($AL62="Percent",$AM62*($C62+$D62),$AM62),MAX(0,'Second Earner'!$C$34-$AC61))),2))</f>
      </c>
      <c r="F62" s="7">
        <f>IF($B62="","",ROUND(MAX(0,MIN(IF('Second Earner'!$C$32="Percent",'Second Earner'!$D$32*($C62+$D62),'Second Earner'!$D$32),MAX(0,'Second Earner'!$C$34-$AC61-$E62))),2))</f>
      </c>
      <c r="G62" s="7">
        <f>IF($B62="","",IF($BF62=0,0,ROUND(MAX(0,MIN($BL62,'Second Earner'!$C$37-'Second Earner'!$C$54-$BI61)),2)))</f>
      </c>
      <c r="H62" s="7">
        <f>IF($B62="","",IF(OR($BF62=0,$BQ62=1),0,ROUND(MAX(0,MIN(IF($BS62=1,ROUND(MAX(0,MIN($BJ62,'How This Works &amp; Sources'!$C$13)-$BG61)/MAX(1,MAX($BE$6:$BE$68)-($BE61)),2),ROUND(MIN($BJ62,'How This Works &amp; Sources'!$C$13)/'Second Earner'!$C$8,2)),MIN($BJ62,'How This Works &amp; Sources'!$C$13)-$BG61)),2)))</f>
      </c>
      <c r="I62" s="7">
        <f>IF($B62="","",IF(OR($BF62=0,$BR62=1),0,ROUND(MAX(0,MIN(IF($BT62=1,ROUND(MAX(0,MIN($BK62,IF('Second Earner'!$C$12="MFJ",'How This Works &amp; Sources'!$C$14,'How This Works &amp; Sources'!$C$15))-$BH61)/MAX(1,MAX($BE$6:$BE$68)-($BE61)),2),ROUND(MIN($BK62,IF('Second Earner'!$C$12="MFJ",'How This Works &amp; Sources'!$C$14,'How This Works &amp; Sources'!$C$15))/'Second Earner'!$C$8,2)),MIN($BK62,IF('Second Earner'!$C$12="MFJ",'How This Works &amp; Sources'!$C$14,'How This Works &amp; Sources'!$C$15))-$BH61)),2)))</f>
      </c>
      <c r="J62" s="7">
        <f>IF($B62="","",IF($BF62=0,0,$BM62))</f>
      </c>
      <c r="K62" s="7">
        <f>IF($B62="","",IF($BF62=0,0,$BN62+$BO62))</f>
      </c>
      <c r="L62" s="7">
        <f>IF($B62="","",IF($BF62=0,0,'Second Earner'!$D$46))</f>
      </c>
      <c r="M62" s="7">
        <f>IF($B62="","",$C62+$D62+$L62-$E62-$G62-$H62-$I62-$J62-$K62)</f>
      </c>
      <c r="N62" s="7">
        <f>IF($B62="","",$C62+$D62+$L62-$G62-$H62-$I62-$J62-$K62)</f>
      </c>
      <c r="O62" s="7">
        <f>IF($B62="","",$C62+$D62+$L62-$E62-$H62-$I62-$J62-$K62-IF(OR($AN62="CA",$AN62="NJ"),0,$G62))</f>
      </c>
      <c r="P62" s="7">
        <f>IF($B62="","",IF('Second Earner'!$C$18,0,ROUND(MAX(0,IF('Second Earner'!$C$13,SUMPRODUCT(($AH62&gt;INDEX('How This Works &amp; Sources'!$B$29:$J$36,0,IF('Second Earner'!$C$12="MFJ",1,IF('Second Earner'!$C$12="HoH",7,4))))*($AH62-INDEX('How This Works &amp; Sources'!$B$29:$J$36,0,IF('Second Earner'!$C$12="MFJ",1,IF('Second Earner'!$C$12="HoH",7,4))))*INDEX('How This Works &amp; Sources'!$B$29:$J$36,0,IF('Second Earner'!$C$12="MFJ",1,IF('Second Earner'!$C$12="HoH",7,4))+2)),SUMPRODUCT(($AH62&gt;INDEX('How This Works &amp; Sources'!$B$19:$J$26,0,IF('Second Earner'!$C$12="MFJ",1,IF('Second Earner'!$C$12="HoH",7,4))))*($AH62-INDEX('How This Works &amp; Sources'!$B$19:$J$26,0,IF('Second Earner'!$C$12="MFJ",1,IF('Second Earner'!$C$12="HoH",7,4))))*INDEX('How This Works &amp; Sources'!$B$19:$J$26,0,IF('Second Earner'!$C$12="MFJ",1,IF('Second Earner'!$C$12="HoH",7,4))+2)))/'Second Earner'!$C$8-$AO62/'Second Earner'!$C$8)+$AR62+IF('Second Earner'!$C$89="Aggregate",MAX(0,IF('Second Earner'!$C$13,SUMPRODUCT((($AH62+$D62)&gt;INDEX('How This Works &amp; Sources'!$B$29:$J$36,0,IF('Second Earner'!$C$12="MFJ",1,IF('Second Earner'!$C$12="HoH",7,4))))*(($AH62+$D62)-INDEX('How This Works &amp; Sources'!$B$29:$J$36,0,IF('Second Earner'!$C$12="MFJ",1,IF('Second Earner'!$C$12="HoH",7,4))))*INDEX('How This Works &amp; Sources'!$B$29:$J$36,0,IF('Second Earner'!$C$12="MFJ",1,IF('Second Earner'!$C$12="HoH",7,4))+2)),SUMPRODUCT((($AH62+$D62)&gt;INDEX('How This Works &amp; Sources'!$B$19:$J$26,0,IF('Second Earner'!$C$12="MFJ",1,IF('Second Earner'!$C$12="HoH",7,4))))*(($AH62+$D62)-INDEX('How This Works &amp; Sources'!$B$19:$J$26,0,IF('Second Earner'!$C$12="MFJ",1,IF('Second Earner'!$C$12="HoH",7,4))))*INDEX('How This Works &amp; Sources'!$B$19:$J$26,0,IF('Second Earner'!$C$12="MFJ",1,IF('Second Earner'!$C$12="HoH",7,4))+2)))-IF('Second Earner'!$C$13,SUMPRODUCT(($AH62&gt;INDEX('How This Works &amp; Sources'!$B$29:$J$36,0,IF('Second Earner'!$C$12="MFJ",1,IF('Second Earner'!$C$12="HoH",7,4))))*($AH62-INDEX('How This Works &amp; Sources'!$B$29:$J$36,0,IF('Second Earner'!$C$12="MFJ",1,IF('Second Earner'!$C$12="HoH",7,4))))*INDEX('How This Works &amp; Sources'!$B$29:$J$36,0,IF('Second Earner'!$C$12="MFJ",1,IF('Second Earner'!$C$12="HoH",7,4))+2)),SUMPRODUCT(($AH62&gt;INDEX('How This Works &amp; Sources'!$B$19:$J$26,0,IF('Second Earner'!$C$12="MFJ",1,IF('Second Earner'!$C$12="HoH",7,4))))*($AH62-INDEX('How This Works &amp; Sources'!$B$19:$J$26,0,IF('Second Earner'!$C$12="MFJ",1,IF('Second Earner'!$C$12="HoH",7,4))))*INDEX('How This Works &amp; Sources'!$B$19:$J$26,0,IF('Second Earner'!$C$12="MFJ",1,IF('Second Earner'!$C$12="HoH",7,4))+2)))),'How This Works &amp; Sources'!$C$10*$D62),2)))</f>
      </c>
      <c r="Q62" s="7">
        <f>IF($B62="","",ROUND('How This Works &amp; Sources'!$C$4*MIN($N62,MAX(0,'How This Works &amp; Sources'!$C$3-($AX62+$AB61-$AW62))),2))</f>
      </c>
      <c r="R62" s="7">
        <f>IF($B62="","",ROUND('How This Works &amp; Sources'!$C$5*$N62,2))</f>
      </c>
      <c r="S62" s="7">
        <f>IF($B62="","",ROUND('How This Works &amp; Sources'!$C$6*MAX(0,MIN($N62,$AG61+$N62-'How This Works &amp; Sources'!$C$7)),2))</f>
      </c>
      <c r="T62" s="7">
        <f>IF($B62="","",IF('Second Earner'!$C$26,0,IF($AN62="CA",ROUND(IF($AI62&lt;=IF(($AS62+$AT62)&gt;=2,VLOOKUP($AN62,StateTables!$A$6:$AB$56,10,FALSE),VLOOKUP($AN62,StateTables!$A$6:$AB$56,9,FALSE)),0,MAX(0,SUMPRODUCT(($AJ62&gt;INDEX('How This Works &amp; Sources'!$B$39:$J$48,0,IF($AU62="Married",4,IF($AU62="Head of household",7,1))))*($AJ62-INDEX('How This Works &amp; Sources'!$B$39:$J$48,0,IF($AU62="Married",4,IF($AU62="Head of household",7,1))))*INDEX('How This Works &amp; Sources'!$B$39:$J$48,0,IF($AU62="Married",4,IF($AU62="Head of household",7,1))+2))-VLOOKUP($AN62,StateTables!$A$6:$AB$56,11,FALSE)*$AS62)/'Second Earner'!$C$8)+'Second Earner'!$C$25+VLOOKUP($AN62,StateTables!$A$6:$AB$56,13,FALSE)*$D62,2),IF(VLOOKUP($AN62,StateTables!$A$6:$AB$56,4,FALSE)="None",0,IF(ISNUMBER(SEARCH("MANUAL",VLOOKUP($AN62,StateTables!$A$6:$AB$56,5,FALSE))),'Second Earner'!$C$28,ROUND(MAX(0,$BA62+$BB62)/'Second Earner'!$C$8+'Second Earner'!$C$25+$BC62,2))))))</f>
      </c>
      <c r="U62" s="7">
        <f>IF($B62="","",IF(VLOOKUP($AN62,StateTables!$A$6:$AB$56,24,FALSE)="flatq",IF(OR(MONTH($B62)=1,MONTH($B62)=4,MONTH($B62)=7,MONTH($B62)=10),VLOOKUP($AN62,StateTables!$A$6:$AB$56,25,FALSE),0),IF(VLOOKUP($AN62,StateTables!$A$6:$AB$56,24,FALSE)="dbl",MIN(ROUND(0.005*$N62,2),ROUND(0.6*52/'Second Earner'!$C$8,2)),IF(OR(VLOOKUP($AN62,StateTables!$A$6:$AB$56,15,FALSE)="",VLOOKUP($AN62,StateTables!$A$6:$AB$56,15,FALSE)=0),0,ROUND(VLOOKUP($AN62,StateTables!$A$6:$AB$56,15,FALSE)*IF(OR(VLOOKUP($AN62,StateTables!$A$6:$AB$56,16,FALSE)="",VLOOKUP($AN62,StateTables!$A$6:$AB$56,16,FALSE)=0),$N62,MIN($N62,MAX(0,VLOOKUP($AN62,StateTables!$A$6:$AB$56,16,FALSE)-($AX62+$AB61-$AW62)))),2))))+IF(VLOOKUP($AN62,StateTables!$A$6:$AB$56,27,FALSE)="flatq",IF(OR(MONTH($B62)=1,MONTH($B62)=4,MONTH($B62)=7,MONTH($B62)=10),VLOOKUP($AN62,StateTables!$A$6:$AB$56,28,FALSE),0),IF(VLOOKUP($AN62,StateTables!$A$6:$AB$56,27,FALSE)="dbl",MIN(ROUND(0.005*$N62,2),ROUND(0.6*52/'Second Earner'!$C$8,2)),IF(OR(VLOOKUP($AN62,StateTables!$A$6:$AB$56,18,FALSE)="",VLOOKUP($AN62,StateTables!$A$6:$AB$56,18,FALSE)=0),0,ROUND(VLOOKUP($AN62,StateTables!$A$6:$AB$56,18,FALSE)*IF(OR(VLOOKUP($AN62,StateTables!$A$6:$AB$56,19,FALSE)="",VLOOKUP($AN62,StateTables!$A$6:$AB$56,19,FALSE)=0),$N62,MIN($N62,MAX(0,VLOOKUP($AN62,StateTables!$A$6:$AB$56,19,FALSE)-($AX62+$AB61-$AW62)))),2)))))</f>
      </c>
      <c r="V62" s="7">
        <f>IF($B62="","",IF($AN62="NY",IF('Second Earner'!$C$78,ROUND(SUMPRODUCT((MAX(0,($O62-$D62)*'Second Earner'!$C$8-(IF($AU62="Married",5500,5000)+1000*$AS62))&gt;INDEX('How This Works &amp; Sources'!$B$184:$J$198,0,4))*(MAX(0,($O62-$D62)*'Second Earner'!$C$8-(IF($AU62="Married",5500,5000)+1000*$AS62))-INDEX('How This Works &amp; Sources'!$B$184:$J$198,0,4))*INDEX('How This Works &amp; Sources'!$B$184:$J$198,0,4+2))/'Second Earner'!$C$8+0.0425*$D62,2),0)+IF('Second Earner'!$C$79="Resident",ROUND(0.1675*$T62,2),IF('Second Earner'!$C$79="Nonresident",ROUND(0.005*MAX(0,($O62-$D62)-(IF($AU62="Married",7950,7400)+1000*$AS62)/'Second Earner'!$C$8),2),0)),IF($AN62="PA",IF('Second Earner'!$C$80="None",'Second Earner'!$C$27+ROUND('Second Earner'!$C$81*($C62+$D62),2),ROUND(IF('Second Earner'!$C$80="Resident",IF($B62&lt;DATE(2026,7,1),0.0374,0.03735),IF($B62&lt;DATE(2026,7,1),0.0343,0.03425))*($C62+$D62),2)),IF($BF62=0,ROUND('Second Earner'!$C$81*($C62+$D62),2),'Second Earner'!$C$27+ROUND('Second Earner'!$C$81*($C62+$D62),2)))))</f>
      </c>
      <c r="W62" s="7">
        <f>IF($B62="","",IF($BF62=0,0,$BP62))</f>
      </c>
      <c r="X62" s="7">
        <f>IF($B62="","",SUM($E62:$K62)+$P62+$Q62+$R62+$S62+$T62+$U62+$V62+$W62)</f>
      </c>
      <c r="Y62" s="22">
        <f>IF($B62="","",$C62+$D62-$X62)</f>
      </c>
      <c r="Z62" s="7">
        <f>IF($B62="","",$Z61+$C62+$D62)</f>
      </c>
      <c r="AA62" s="7">
        <f>IF($B62="","",$AA61+$Y62)</f>
      </c>
      <c r="AB62" s="7">
        <f>IF($B62="","",$AB61+MIN($N62,MAX(0,'How This Works &amp; Sources'!$C$3-($AX62+$AB61-$AW62))))</f>
      </c>
      <c r="AC62" s="7">
        <f>IF($B62="","",$AC61+$E62+$F62)</f>
      </c>
      <c r="AD62" s="3">
        <f>IF($B62="","",IF(AND($AB61&lt;'How This Works &amp; Sources'!$C$3,$AB62&gt;='How This Works &amp; Sources'!$C$3),"★ Social Security maxed on this check — from the next check your net rises by about $"&amp;TEXT(ROUND('How This Works &amp; Sources'!$C$4*$N62,2),"#,##0.00")&amp;". ","")&amp;IF(AND($AC61&lt;'Second Earner'!$C$34,$AC62&gt;='Second Earner'!$C$34),"★ 401(k) reaches the $"&amp;TEXT('Second Earner'!$C$34,"#,##0")&amp;" cap on this check — deferrals stop and net pay rises. ","")&amp;IF(AND($AG61&lt;'How This Works &amp; Sources'!$C$7,$AG62&gt;='How This Works &amp; Sources'!$C$7),"★ Wages pass $200,000 — the 0.9% Additional Medicare Tax starts here. ","")&amp;IF(AND($BJ62&gt;0,$H62&gt;0,$BG61&lt;MIN($BJ62,'How This Works &amp; Sources'!$C$13),$BG61+$H62&gt;=MIN($BJ62,'How This Works &amp; Sources'!$C$13)),"★ Health FSA election is now fully deferred for the year. ",""))</f>
      </c>
      <c r="AE62" s="41" t="n"/>
      <c r="AF62" s="7">
        <f>IF(OR($B62="",$AE62=""),"",$AE62-$Y62)</f>
      </c>
      <c r="AG62" s="7">
        <f>IF($B62="","",$AG61+$N62)</f>
      </c>
      <c r="AH62" s="7">
        <f>IF($B62="","",MAX(0,($M62-$D62)*'Second Earner'!$C$8+$AP62-$AQ62-IF('Second Earner'!$C$13,0,IF('Second Earner'!$C$12="MFJ",'How This Works &amp; Sources'!$C$8,'How This Works &amp; Sources'!$C$9))))</f>
      </c>
      <c r="AI62" s="7">
        <f>IF($B62="","",$O62*'Second Earner'!$C$8)</f>
      </c>
      <c r="AJ62" s="7">
        <f>IF($B62="","",MAX(0,$AI62-VLOOKUP($AN62,StateTables!$A$6:$AB$56,12,FALSE)*$AT62-IF(($AS62+$AT62)&gt;=2,VLOOKUP($AN62,StateTables!$A$6:$AB$56,8,FALSE),VLOOKUP($AN62,StateTables!$A$6:$AB$56,7,FALSE))))</f>
      </c>
      <c r="AK62" s="7">
        <f>IF($B62="","",IFERROR(LOOKUP(2,1/(('Changes — Earner 2'!$C$6:$C$17="Salary change")*('Changes — Earner 2'!$B$6:$B$17&lt;=$B62)*('Changes — Earner 2'!$B$6:$B$17&lt;&gt;"")),'Changes — Earner 2'!$D$6:$D$17),IF('Second Earner'!$C$4="Annual salary",'Second Earner'!$C$5,'Second Earner'!$C$6)))</f>
      </c>
      <c r="AL62">
        <f>IF($B62="","",IFERROR(LOOKUP(2,1/(('Changes — Earner 2'!$C$6:$C$17="401(k) change")*('Changes — Earner 2'!$B$6:$B$17&lt;=$B62)*('Changes — Earner 2'!$B$6:$B$17&lt;&gt;"")),'Changes — Earner 2'!$D$6:$D$17),'Second Earner'!$C$30))</f>
      </c>
      <c r="AM62" s="7">
        <f>IF($B62="","",IFERROR(LOOKUP(2,1/(('Changes — Earner 2'!$C$6:$C$17="401(k) change")*('Changes — Earner 2'!$B$6:$B$17&lt;=$B62)*('Changes — Earner 2'!$B$6:$B$17&lt;&gt;"")),'Changes — Earner 2'!$E$6:$E$17),'Second Earner'!$D$31))</f>
      </c>
      <c r="AN62">
        <f>IF($B62="","",IFERROR(LOOKUP(2,1/(('Changes — Earner 2'!$C$6:$C$17="State move")*('Changes — Earner 2'!$B$6:$B$17&lt;=$B62)*('Changes — Earner 2'!$B$6:$B$17&lt;&gt;"")),'Changes — Earner 2'!$D$6:$D$17),'Second Earner'!$C$21))</f>
      </c>
      <c r="AO62" s="7">
        <f>IF($B62="","",IFERROR(LOOKUP(2,1/(('Changes — Earner 2'!$C$6:$C$17="W-4 change")*('Changes — Earner 2'!$B$6:$B$17&lt;=$B62)*('Changes — Earner 2'!$B$6:$B$17&lt;&gt;"")),'Changes — Earner 2'!$D$6:$D$17),'Second Earner'!$C$14))</f>
      </c>
      <c r="AP62" s="7">
        <f>IF($B62="","",IFERROR(LOOKUP(2,1/(('Changes — Earner 2'!$C$6:$C$17="W-4 change")*('Changes — Earner 2'!$B$6:$B$17&lt;=$B62)*('Changes — Earner 2'!$B$6:$B$17&lt;&gt;"")),'Changes — Earner 2'!$E$6:$E$17),'Second Earner'!$C$15))</f>
      </c>
      <c r="AQ62" s="7">
        <f>IF($B62="","",IFERROR(LOOKUP(2,1/(('Changes — Earner 2'!$C$6:$C$17="W-4 change")*('Changes — Earner 2'!$B$6:$B$17&lt;=$B62)*('Changes — Earner 2'!$B$6:$B$17&lt;&gt;"")),'Changes — Earner 2'!$F$6:$F$17),'Second Earner'!$C$16))</f>
      </c>
      <c r="AR62" s="7">
        <f>IF($B62="","",IFERROR(LOOKUP(2,1/(('Changes — Earner 2'!$C$6:$C$17="W-4 change")*('Changes — Earner 2'!$B$6:$B$17&lt;=$B62)*('Changes — Earner 2'!$B$6:$B$17&lt;&gt;"")),'Changes — Earner 2'!$G$6:$G$17),'Second Earner'!$C$17))</f>
      </c>
      <c r="AS62" s="6">
        <f>IF($B62="","",IFERROR(LOOKUP(2,1/((('Changes — Earner 2'!$C$6:$C$17="State move")+('Changes — Earner 2'!$C$6:$C$17="State cert change"))*('Changes — Earner 2'!$B$6:$B$17&lt;=$B62)*('Changes — Earner 2'!$B$6:$B$17&lt;&gt;"")),'Changes — Earner 2'!$F$6:$F$17),'Second Earner'!$C$23))</f>
      </c>
      <c r="AT62" s="6">
        <f>IF($B62="","",IFERROR(LOOKUP(2,1/((('Changes — Earner 2'!$C$6:$C$17="State move")+('Changes — Earner 2'!$C$6:$C$17="State cert change"))*('Changes — Earner 2'!$B$6:$B$17&lt;=$B62)*('Changes — Earner 2'!$B$6:$B$17&lt;&gt;"")),'Changes — Earner 2'!$G$6:$G$17),'Second Earner'!$C$24))</f>
      </c>
      <c r="AU62">
        <f>IF($B62="","",IFERROR(LOOKUP(2,1/(('Changes — Earner 2'!$C$6:$C$17="State move")*('Changes — Earner 2'!$B$6:$B$17&lt;=$B62)*('Changes — Earner 2'!$B$6:$B$17&lt;&gt;"")),'Changes — Earner 2'!$E$6:$E$17),'Second Earner'!$C$22))</f>
      </c>
      <c r="AV62" s="6">
        <f>IF($B62="","",1+COUNTIFS('Changes — Earner 2'!$C$6:$C$17,"Employer change",'Changes — Earner 2'!$B$6:$B$17,"&lt;="&amp;$B62,'Changes — Earner 2'!$B$6:$B$17,"&lt;&gt;"))</f>
      </c>
      <c r="AW62" s="7">
        <f>IF($B62="","",IF($AV62=1,'Second Earner'!$C$49,IF(IFERROR(MATCH(IFERROR(LOOKUP(2,1/(('Changes — Earner 2'!$C$6:$C$17="Employer change")*('Changes — Earner 2'!$B$6:$B$17&lt;=$B62)*('Changes — Earner 2'!$B$6:$B$17&lt;&gt;"")),'Changes — Earner 2'!$B$6:$B$17),""),$B$6:$B$68,1),1)&lt;=1,'Second Earner'!$C$49,INDEX($AB$6:$AB$68,MATCH(IFERROR(LOOKUP(2,1/(('Changes — Earner 2'!$C$6:$C$17="Employer change")*('Changes — Earner 2'!$B$6:$B$17&lt;=$B62)*('Changes — Earner 2'!$B$6:$B$17&lt;&gt;"")),'Changes — Earner 2'!$B$6:$B$17),""),$B$6:$B$68,1)-1))))</f>
      </c>
      <c r="AX62" s="7">
        <f>IF($B62="","",IF($AV62=1,'Second Earner'!$C$49,IFERROR(LOOKUP(2,1/(('Changes — Earner 2'!$C$6:$C$17="Employer change")*('Changes — Earner 2'!$B$6:$B$17&lt;=$B62)*('Changes — Earner 2'!$B$6:$B$17&lt;&gt;"")),'Changes — Earner 2'!$D$6:$D$17),0)))</f>
      </c>
      <c r="AY62" s="7">
        <f>IF($B62="","",($O62-$D62)*'Second Earner'!$C$8)</f>
      </c>
      <c r="AZ62" s="7">
        <f>IF($B62="","",IF($AN62="AL",MAX(0,$AY62-IF($AU62="Married",IF($AY62&lt;=25999,8500,MAX(5000,8500-175*CEILING(($AY62-25999)/500,1))),IF($AU62="Head of household",IF($AY62&lt;=25999,5200,MAX(2500,5200-135*CEILING(($AY62-25999)/500,1))),IF($AY62&lt;=25999,3000,MAX(2500,3000-25*CEILING(($AY62-25999)/500,1)))))-($P62-'How This Works &amp; Sources'!$C$10*$D62)*'Second Earner'!$C$8-IF(OR($AU62="Married",$AU62="Head of household"),3000,1500)-$AT62*IF($AY62&lt;=50000,1000,IF($AY62&lt;=100000,500,300))),IF($AN62="AR",IF(MAX(0,$AY62-2470)&lt;97701,INT(MAX(0,$AY62-2470)/100)*100+50,MAX(0,$AY62-2470)),IF($AN62="DE",MAX(0,$AI62-3250),IF($AN62="HI",MAX(0,$AI62-1144*$AS62-4350),IF($AN62="KS",MAX(0,$AI62-(9160*IF($AU62="Married",2,1)+2320*$AT62+IF($AU62="Head of household",2320,0))),IF($AN62="MD",MAX(0,$AI62-3400-3200*$AS62),IF($AN62="MN",MAX(0,$AY62-5300*$AS62),IF($AN62="MO",MAX(0,$AI62-IF($AU62="Head of household",24150,IF($AU62="Married",IF('Second Earner'!$C$83,16100,32200),16100))),IF($AN62="MT",$AY62,IF($AN62="ND",($C62+$L62)*'Second Earner'!$C$8,IF($AN62="NE",MAX(0,$AY62-2440*$AS62),IF($AN62="NJ",MAX(0,$AY62-1000*$AS62),IF($AN62="NY",MAX(0,$AY62-(IF($AU62="Married",7950,7400)+1000*$AS62)),IF($AN62="OH",MAX(0,$AY62-650*$AS62),IF($AN62="OK",MAX(0,$AY62-1000*$AS62),IF($AN62="RI",MAX(0,$AI62-1000*$AS62),IF($AN62="SC",MAX(0,$AI62-5000*$AS62-IF($AS62=0,0,MIN(0.1*$AI62,7500))),IF($AN62="VA",MAX(0,$AI62-IF($AU62="Married",17500,8750)-930*$AS62-800*$AT62),IF($AN62="VT",MAX(0,$AI62-5400*$AS62),IF($AN62="WI",MAX(0,$AI62-MAX(0,IF($AU62="Married",9461-0.2*MAX(0,$AI62-25727),6702-0.12*MAX(0,$AI62-17780)))-400*$AS62),IF($AN62="WV",MAX(0,$AI62-2000*$AS62),$AI62))))))))))))))))))))))</f>
      </c>
      <c r="BA62" s="7">
        <f>IF($B62="","",IF($BW62&lt;&gt;"",$BW62,IF($BX62&lt;&gt;"",$BX62,IF($BY62&lt;&gt;"",$BY62,0))))</f>
      </c>
      <c r="BB62" s="7">
        <f>IF($B62="","",IF($AN62="AR",-29*$AS62,IF($AN62="DE",-110*$AS62,IF($AN62="MD",$AZ62*'Second Earner'!$C$74,IF($AN62="AZ",'Second Earner'!$C$82*($M62-$D62)*'Second Earner'!$C$8,IF($AN62="CO",0.044*MAX(0,$AY62-IF($AU62="Married",10000,5000)),IF($AN62="IA",MAX(0,0.038*MAX(0,$AY62-IF($AU62="Head of household",19500,IF($AU62="Married",26000,13000)))-40*$AS62),IF($AN62="ID",0.053*MAX(0,$AY62-IF($AU62="Married",32000,16094)),IF($AN62="IL",0.0495*MAX(0,$AY62-(2925*$AS62+1000*$AT62)),IF($AN62="IN",(0.0295+'Second Earner'!$C$76)*MAX(0,$AY62-(1000*$AS62+1500*$AT62+3000*'Second Earner'!$C$86)),IF($AN62="KY",0.035*MAX(0,$AI62-3360),IF($AN62="LA",IF('Second Earner'!$C$84="0",0.0309*$AI62,0.0309*MAX(0,$AI62-IF('Second Earner'!$C$84="2",25750,12875))),IF($AN62="MA",0.05*MIN(MAX(0,$AY62-MIN(($BD61+$Q62+$R62+$S62),2000)-IF($AS62=0,0,IF($AS62=1,4400,1000*$AS62+3400))),1107750)+0.09*MAX(0,MAX(0,$AY62-MIN(($BD61+$Q62+$R62+$S62),2000)-IF($AS62=0,0,IF($AS62=1,4400,1000*$AS62+3400)))-1107750)-IF($AU62="Head of household",120,0)-110*'Second Earner'!$C$75,IF($AN62="MI",0.0425*MAX(0,$AY62-5900*$AS62),IF($AN62="MS",0.04*MAX(0,$AI62-IF($AU62="Head of household",3400,IF($AU62="Married",4600,2300))-'Second Earner'!$C$85-10000),IF($AN62="OR",IF(OR($AU62="Married",AND($AU62="Single",$AS62&gt;=3)),SUMPRODUCT((MAX(0,$AY62-MIN(($P62-'How This Works &amp; Sources'!$C$10*$D62)*'Second Earner'!$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Sources'!$B$211:$J$214,0,4))*(MAX(0,$AY62-MIN(($P62-'How This Works &amp; Sources'!$C$10*$D62)*'Second Earner'!$C$8,IF(OR($AU62="Married",AND($AU62="Single",$AS62&gt;=3)),IF($AY62&lt;250000,8750,IF($AY62&lt;260000,7000,IF($AY62&lt;270000,5250,IF($AY62&lt;280000,3500,IF($AY62&lt;290000,1750,0))))),IF($AY62&lt;125000,8750,IF($AY62&lt;130000,7000,IF($AY62&lt;135000,5250,IF($AY62&lt;140000,3500,IF($AY62&lt;145000,1750,0)))))))-IF(OR($AU62="Married",AND($AU62="Single",$AS62&gt;=3)),5820,2910))-INDEX('How This Works &amp; Sources'!$B$211:$J$214,0,4))*INDEX('How This Works &amp; Sources'!$B$211:$J$214,0,4+2)),SUMPRODUCT((MAX(0,$AY62-MIN(($P62-'How This Works &amp; Sources'!$C$10*$D62)*'Second Earner'!$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Sources'!$B$211:$J$214,0,1))*(MAX(0,$AY62-MIN(($P62-'How This Works &amp; Sources'!$C$10*$D62)*'Second Earner'!$C$8,IF(OR($AU62="Married",AND($AU62="Single",$AS62&gt;=3)),IF($AY62&lt;250000,8750,IF($AY62&lt;260000,7000,IF($AY62&lt;270000,5250,IF($AY62&lt;280000,3500,IF($AY62&lt;290000,1750,0))))),IF($AY62&lt;125000,8750,IF($AY62&lt;130000,7000,IF($AY62&lt;135000,5250,IF($AY62&lt;140000,3500,IF($AY62&lt;145000,1750,0)))))))-IF(OR($AU62="Married",AND($AU62="Single",$AS62&gt;=3)),5820,2910))-INDEX('How This Works &amp; Sources'!$B$211:$J$214,0,1))*INDEX('How This Works &amp; Sources'!$B$211:$J$214,0,1+2)))+263-263*IF(IF($AU62="Married",$AY62&gt;200000,$AY62&gt;100000),0,$AS62),IF($AN62="PA",0.0307*(($O62+$E62+$G62)*'Second Earner'!$C$8),IF($AN62="NY",IF($AU62="Married",IF($AZ62&gt;=2155350,0,IF($AZ62&gt;=1077550,0.48,IF($AZ62&gt;=373200,1.21,IF($AZ62&gt;=323200,0.21,IF($AZ62&gt;=211550,-0.19,IF($AZ62&gt;=157650,-2.8,IF($AZ62&gt;=107650,-0.8,IF($AZ62&gt;=96800,0.05,IF($AZ62&gt;=80650,-0.1,IF($AZ62&gt;=13900,0.4,IF($AZ62&gt;=11700,-0.3,IF($AZ62&gt;=8500,0.5,0)))))))))))),IF($AZ62&gt;=1077550,0,IF($AZ62&gt;=265400,4.29,IF($AZ62&gt;=215400,2.29,IF($AZ62&gt;=157650,2.29,IF($AZ62&gt;=107650,0.29,IF($AZ62&gt;=96800,0.05,IF($AZ62&gt;=80650,-0.1,IF($AZ62&gt;=13900,0.4,IF($AZ62&gt;=11700,-0.3,IF($AZ62&gt;=8500,0.5,0))))))))))),0))))))))))))))))))</f>
      </c>
      <c r="BC62" s="7">
        <f>IF($B62="","",IF($AN62="AL",0.05*$D62,IF($AN62="AR",0.039*$D62,IF($AN62="ID",0.053*$D62,IF($AN62="IN",(0.0295+'Second Earner'!$C$76)*$D62,IF($AN62="KS",0.05*$D62,IF($AN62="MA",0.09*MIN($D62,MAX(0,MAX(0,$AY62-MIN(($BD61+$Q62+$R62+$S62),2000)-IF($AS62=0,0,IF($AS62=1,4400,1000*$AS62+3400)))+$D62-1107750))+0.05*($D62-MIN($D62,MAX(0,MAX(0,$AY62-MIN(($BD61+$Q62+$R62+$S62),2000)-IF($AS62=0,0,IF($AS62=1,4400,1000*$AS62+3400)))+$D62-1107750))),IF($AN62="MD",(0.065+'Second Earner'!$C$74)*$D62,IF($AN62="MI",0.0425*$D62,IF($AN62="MN",0.0625*$D62,IF($AN62="MO",0.047*$D62,IF($AN62="MT",0.05*$D62,IF($AN62="ND",0.015*$D62,IF($AN62="NE",0.035*$D62,IF($AN62="NJ",IF('Second Earner'!$C$77="B",SUMPRODUCT(($D62*'Second Earner'!$C$8&gt;INDEX('How This Works &amp; Sources'!$B$155:$J$162,0,4))*($D62*'Second Earner'!$C$8-INDEX('How This Works &amp; Sources'!$B$155:$J$162,0,4))*INDEX('How This Works &amp; Sources'!$B$155:$J$162,0,4+2)),IF('Second Earner'!$C$77="C",SUMPRODUCT(($D62*'Second Earner'!$C$8&gt;INDEX('How This Works &amp; Sources'!$B$155:$J$162,0,7))*($D62*'Second Earner'!$C$8-INDEX('How This Works &amp; Sources'!$B$155:$J$162,0,7))*INDEX('How This Works &amp; Sources'!$B$155:$J$162,0,7+2)),IF('Second Earner'!$C$77="D",SUMPRODUCT(($D62*'Second Earner'!$C$8&gt;INDEX('How This Works &amp; Sources'!$B$167:$J$179,0,1))*($D62*'Second Earner'!$C$8-INDEX('How This Works &amp; Sources'!$B$167:$J$179,0,1))*INDEX('How This Works &amp; Sources'!$B$167:$J$179,0,1+2)),IF('Second Earner'!$C$77="E",SUMPRODUCT(($D62*'Second Earner'!$C$8&gt;INDEX('How This Works &amp; Sources'!$B$167:$J$179,0,4))*($D62*'Second Earner'!$C$8-INDEX('How This Works &amp; Sources'!$B$167:$J$179,0,4))*INDEX('How This Works &amp; Sources'!$B$167:$J$179,0,4+2)),SUMPRODUCT(($D62*'Second Earner'!$C$8&gt;INDEX('How This Works &amp; Sources'!$B$155:$J$162,0,1))*($D62*'Second Earner'!$C$8-INDEX('How This Works &amp; Sources'!$B$155:$J$162,0,1))*INDEX('How This Works &amp; Sources'!$B$155:$J$162,0,1+2))))))/'Second Earner'!$C$8,IF($AN62="NY",0.117*$D62,IF($AN62="OH",0.0275*$D62,IF($AN62="OK",0.045*$D62,IF($AN62="OR",0.08*$D62,IF($AN62="WI",IF($AY62&lt;12760,0.0354,IF($AY62&lt;25520,0.0465,IF($AY62&lt;280950,0.053,0.0765)))*$D62,0))))))))))))))))))))</f>
      </c>
      <c r="BD62" s="7">
        <f>IF($B62="","",$BD61+$Q62+$R62+$S62)</f>
      </c>
      <c r="BE62" s="6">
        <f>IF($B62="",$BE61,$BE61+$BF62)</f>
      </c>
      <c r="BF62" s="6">
        <f>IF($B62="","",IF(AND(IF(YEAR(IF('Second Earner'!$C$7="Weekly",'Second Earner'!$C$9+7*(($BE61+1)-1),IF('Second Earner'!$C$7="Biweekly",'Second Earner'!$C$9+14*(($BE61+1)-1),IF('Second Earner'!$C$7="Semimonthly",DATE(YEAR('Second Earner'!$C$9),MONTH('Second Earner'!$C$9)+INT((($BE61+1)-1)/2),MIN(DAY('Second Earner'!$C$9),DAY(EOMONTH(DATE(YEAR('Second Earner'!$C$9),MONTH('Second Earner'!$C$9)+INT((($BE61+1)-1)/2),1),0))))+IF(MOD(($BE61+1)-1,2)=1,15,0),EDATE('Second Earner'!$C$9,($BE61+1)-1)))))&lt;&gt;'Second Earner'!$C$10,"",IF('Second Earner'!$C$7="Weekly",'Second Earner'!$C$9+7*(($BE61+1)-1),IF('Second Earner'!$C$7="Biweekly",'Second Earner'!$C$9+14*(($BE61+1)-1),IF('Second Earner'!$C$7="Semimonthly",DATE(YEAR('Second Earner'!$C$9),MONTH('Second Earner'!$C$9)+INT((($BE61+1)-1)/2),MIN(DAY('Second Earner'!$C$9),DAY(EOMONTH(DATE(YEAR('Second Earner'!$C$9),MONTH('Second Earner'!$C$9)+INT((($BE61+1)-1)/2),1),0))))+IF(MOD(($BE61+1)-1,2)=1,15,0),EDATE('Second Earner'!$C$9,($BE61+1)-1)))))&lt;&gt;"",$B62=IF(YEAR(IF('Second Earner'!$C$7="Weekly",'Second Earner'!$C$9+7*(($BE61+1)-1),IF('Second Earner'!$C$7="Biweekly",'Second Earner'!$C$9+14*(($BE61+1)-1),IF('Second Earner'!$C$7="Semimonthly",DATE(YEAR('Second Earner'!$C$9),MONTH('Second Earner'!$C$9)+INT((($BE61+1)-1)/2),MIN(DAY('Second Earner'!$C$9),DAY(EOMONTH(DATE(YEAR('Second Earner'!$C$9),MONTH('Second Earner'!$C$9)+INT((($BE61+1)-1)/2),1),0))))+IF(MOD(($BE61+1)-1,2)=1,15,0),EDATE('Second Earner'!$C$9,($BE61+1)-1)))))&lt;&gt;'Second Earner'!$C$10,"",IF('Second Earner'!$C$7="Weekly",'Second Earner'!$C$9+7*(($BE61+1)-1),IF('Second Earner'!$C$7="Biweekly",'Second Earner'!$C$9+14*(($BE61+1)-1),IF('Second Earner'!$C$7="Semimonthly",DATE(YEAR('Second Earner'!$C$9),MONTH('Second Earner'!$C$9)+INT((($BE61+1)-1)/2),MIN(DAY('Second Earner'!$C$9),DAY(EOMONTH(DATE(YEAR('Second Earner'!$C$9),MONTH('Second Earner'!$C$9)+INT((($BE61+1)-1)/2),1),0))))+IF(MOD(($BE61+1)-1,2)=1,15,0),EDATE('Second Earner'!$C$9,($BE61+1)-1)))))),1,0))</f>
      </c>
      <c r="BG62" s="7">
        <f>IF($B62="","",$BG61+$H62)</f>
      </c>
      <c r="BH62" s="7">
        <f>IF($B62="","",$BH61+$I62)</f>
      </c>
      <c r="BI62" s="7">
        <f>IF($B62="","",$BI61+$G62)</f>
      </c>
      <c r="BJ62" s="7">
        <f>IF($B62="","",IFERROR(LOOKUP(2,1/(((('Changes — Earner 2'!$C$6:$C$17="Deduction start"))*('Changes — Earner 2'!$D$6:$D$17="Health FSA"))*('Changes — Earner 2'!$B$6:$B$17&lt;=$B62)*('Changes — Earner 2'!$B$6:$B$17&lt;&gt;"")),'Changes — Earner 2'!$E$6:$E$17),'Second Earner'!$D$38))</f>
      </c>
      <c r="BK62" s="7">
        <f>IF($B62="","",IFERROR(LOOKUP(2,1/(((('Changes — Earner 2'!$C$6:$C$17="Deduction start"))*('Changes — Earner 2'!$D$6:$D$17="Dependent-care FSA"))*('Changes — Earner 2'!$B$6:$B$17&lt;=$B62)*('Changes — Earner 2'!$B$6:$B$17&lt;&gt;"")),'Changes — Earner 2'!$E$6:$E$17),'Second Earner'!$D$39))</f>
      </c>
      <c r="BL62" s="7">
        <f>IF($B62="","",IFERROR(LOOKUP(2,1/(((('Changes — Earner 2'!$C$6:$C$17="Deduction start")+('Changes — Earner 2'!$C$6:$C$17="Deduction stop"))*('Changes — Earner 2'!$D$6:$D$17="HSA"))*('Changes — Earner 2'!$B$6:$B$17&lt;=$B62)*('Changes — Earner 2'!$B$6:$B$17&lt;&gt;"")),'Changes — Earner 2'!$I$6:$I$17),'Second Earner'!$D$35))</f>
      </c>
      <c r="BM62" s="7">
        <f>IF($B62="","",IFERROR(LOOKUP(2,1/(((('Changes — Earner 2'!$C$6:$C$17="Deduction start")+('Changes — Earner 2'!$C$6:$C$17="Deduction stop"))*('Changes — Earner 2'!$D$6:$D$17="Premiums"))*('Changes — Earner 2'!$B$6:$B$17&lt;=$B62)*('Changes — Earner 2'!$B$6:$B$17&lt;&gt;"")),'Changes — Earner 2'!$I$6:$I$17),'Second Earner'!$D$40+'Second Earner'!$D$41+'Second Earner'!$D$42))</f>
      </c>
      <c r="BN62" s="7">
        <f>IF($B62="","",IFERROR(LOOKUP(2,1/(((('Changes — Earner 2'!$C$6:$C$17="Deduction start")+('Changes — Earner 2'!$C$6:$C$17="Deduction stop"))*('Changes — Earner 2'!$D$6:$D$17="Commuter"))*('Changes — Earner 2'!$B$6:$B$17&lt;=$B62)*('Changes — Earner 2'!$B$6:$B$17&lt;&gt;"")),'Changes — Earner 2'!$I$6:$I$17),'Second Earner'!$D$43))</f>
      </c>
      <c r="BO62" s="7">
        <f>IF($B62="","",IFERROR(LOOKUP(2,1/(((('Changes — Earner 2'!$C$6:$C$17="Deduction start")+('Changes — Earner 2'!$C$6:$C$17="Deduction stop"))*('Changes — Earner 2'!$D$6:$D$17="Other pre-tax"))*('Changes — Earner 2'!$B$6:$B$17&lt;=$B62)*('Changes — Earner 2'!$B$6:$B$17&lt;&gt;"")),'Changes — Earner 2'!$I$6:$I$17),'Second Earner'!$D$44))</f>
      </c>
      <c r="BP62" s="7">
        <f>IF($B62="","",IFERROR(LOOKUP(2,1/(((('Changes — Earner 2'!$C$6:$C$17="Deduction start")+('Changes — Earner 2'!$C$6:$C$17="Deduction stop"))*('Changes — Earner 2'!$D$6:$D$17="Other post-tax"))*('Changes — Earner 2'!$B$6:$B$17&lt;=$B62)*('Changes — Earner 2'!$B$6:$B$17&lt;&gt;"")),'Changes — Earner 2'!$I$6:$I$17),'Second Earner'!$D$45))</f>
      </c>
      <c r="BQ62" s="6">
        <f>IF($B62="","",IFERROR(LOOKUP(2,1/(((('Changes — Earner 2'!$C$6:$C$17="Deduction start")+('Changes — Earner 2'!$C$6:$C$17="Deduction stop"))*('Changes — Earner 2'!$D$6:$D$17="Health FSA"))*('Changes — Earner 2'!$B$6:$B$17&lt;=$B62)*('Changes — Earner 2'!$B$6:$B$17&lt;&gt;"")),'Changes — Earner 2'!$J$6:$J$17),0))</f>
      </c>
      <c r="BR62" s="6">
        <f>IF($B62="","",IFERROR(LOOKUP(2,1/(((('Changes — Earner 2'!$C$6:$C$17="Deduction start")+('Changes — Earner 2'!$C$6:$C$17="Deduction stop"))*('Changes — Earner 2'!$D$6:$D$17="Dependent-care FSA"))*('Changes — Earner 2'!$B$6:$B$17&lt;=$B62)*('Changes — Earner 2'!$B$6:$B$17&lt;&gt;"")),'Changes — Earner 2'!$J$6:$J$17),0))</f>
      </c>
      <c r="BS62" s="6">
        <f>IF($B62="","",IF(SUMPRODUCT(('Changes — Earner 2'!$C$6:$C$17="Deduction start")*('Changes — Earner 2'!$B$6:$B$17&lt;=$B62)*('Changes — Earner 2'!$B$6:$B$17&lt;&gt;"")*('Changes — Earner 2'!$D$6:$D$17="Health FSA"))&gt;0,1,0))</f>
      </c>
      <c r="BT62" s="6">
        <f>IF($B62="","",IF(SUMPRODUCT(('Changes — Earner 2'!$C$6:$C$17="Deduction start")*('Changes — Earner 2'!$B$6:$B$17&lt;=$B62)*('Changes — Earner 2'!$B$6:$B$17&lt;&gt;"")*('Changes — Earner 2'!$D$6:$D$17="Dependent-care FSA"))&gt;0,1,0))</f>
      </c>
      <c r="BU62" s="24">
        <f>IF($B62="","",IF('Second Earner'!$C$13,SUMPRODUCT(($AH62&gt;=INDEX('How This Works &amp; Sources'!$B$29:$J$36,0,IF('Second Earner'!$C$12="MFJ",1,IF('Second Earner'!$C$12="HoH",7,4))))*INDEX('How This Works &amp; Sources'!$B$29:$J$36,0,IF('Second Earner'!$C$12="MFJ",1,IF('Second Earner'!$C$12="HoH",7,4))+2)),SUMPRODUCT(($AH62&gt;=INDEX('How This Works &amp; Sources'!$B$19:$J$26,0,IF('Second Earner'!$C$12="MFJ",1,IF('Second Earner'!$C$12="HoH",7,4))))*INDEX('How This Works &amp; Sources'!$B$19:$J$26,0,IF('Second Earner'!$C$12="MFJ",1,IF('Second Earner'!$C$12="HoH",7,4))+2))))</f>
      </c>
      <c r="BV62" s="24">
        <f>IF($B62="","",IF($BZ62&lt;&gt;"",$BZ62,IF($CA62&lt;&gt;"",$CA62,IF($CB62&lt;&gt;"",$CB62,IF($CC62&lt;&gt;"",$CC62,0)))))</f>
      </c>
      <c r="BW62" s="7">
        <f>IF($B62="","",IF($AN62="AR",SUMPRODUCT(($AZ62&gt;INDEX('How This Works &amp; Sources'!$B$82:$J$86,0,7))*($AZ62-INDEX('How This Works &amp; Sources'!$B$82:$J$86,0,7))*INDEX('How This Works &amp; Sources'!$B$82:$J$86,0,7+2)),IF($AN62="MD",IF(OR($AU62="Married",$AU62="Head of household"),SUMPRODUCT(($AZ62&gt;INDEX('How This Works &amp; Sources'!$B$114:$J$120,0,1))*($AZ62-INDEX('How This Works &amp; Sources'!$B$114:$J$120,0,1))*INDEX('How This Works &amp; Sources'!$B$114:$J$120,0,1+2)),SUMPRODUCT(($AZ62&gt;INDEX('How This Works &amp; Sources'!$B$103:$J$109,0,7))*($AZ62-INDEX('How This Works &amp; Sources'!$B$103:$J$109,0,7))*INDEX('How This Works &amp; Sources'!$B$103:$J$109,0,7+2))),IF($AN62="MT",IF($AU62="Head of household",SUMPRODUCT(($AZ62&gt;INDEX('How This Works &amp; Sources'!$B$137:$J$139,0,1))*($AZ62-INDEX('How This Works &amp; Sources'!$B$137:$J$139,0,1))*INDEX('How This Works &amp; Sources'!$B$137:$J$139,0,1+2)),IF($AU62="Married",SUMPRODUCT(($AZ62&gt;INDEX('How This Works &amp; Sources'!$B$125:$J$132,0,7))*($AZ62-INDEX('How This Works &amp; Sources'!$B$125:$J$132,0,7))*INDEX('How This Works &amp; Sources'!$B$125:$J$132,0,7+2)),SUMPRODUCT(($AZ62&gt;INDEX('How This Works &amp; Sources'!$B$125:$J$132,0,4))*($AZ62-INDEX('How This Works &amp; Sources'!$B$125:$J$132,0,4))*INDEX('How This Works &amp; Sources'!$B$125:$J$132,0,4+2)))),IF($AN62="ND",IF($AU62="Head of household",SUMPRODUCT(($AZ62&gt;INDEX('How This Works &amp; Sources'!$B$144:$J$150,0,1))*($AZ62-INDEX('How This Works &amp; Sources'!$B$144:$J$150,0,1))*INDEX('How This Works &amp; Sources'!$B$144:$J$150,0,1+2)),IF($AU62="Married",SUMPRODUCT(($AZ62&gt;INDEX('How This Works &amp; Sources'!$B$137:$J$139,0,7))*($AZ62-INDEX('How This Works &amp; Sources'!$B$137:$J$139,0,7))*INDEX('How This Works &amp; Sources'!$B$137:$J$139,0,7+2)),SUMPRODUCT(($AZ62&gt;INDEX('How This Works &amp; Sources'!$B$137:$J$139,0,4))*($AZ62-INDEX('How This Works &amp; Sources'!$B$137:$J$139,0,4))*INDEX('How This Works &amp; Sources'!$B$137:$J$139,0,4+2)))),IF($AN62="NJ",IF('Second Earner'!$C$77="B",SUMPRODUCT(($AZ62&gt;INDEX('How This Works &amp; Sources'!$B$155:$J$162,0,4))*($AZ62-INDEX('How This Works &amp; Sources'!$B$155:$J$162,0,4))*INDEX('How This Works &amp; Sources'!$B$155:$J$162,0,4+2)),IF('Second Earner'!$C$77="C",SUMPRODUCT(($AZ62&gt;INDEX('How This Works &amp; Sources'!$B$155:$J$162,0,7))*($AZ62-INDEX('How This Works &amp; Sources'!$B$155:$J$162,0,7))*INDEX('How This Works &amp; Sources'!$B$155:$J$162,0,7+2)),IF('Second Earner'!$C$77="D",SUMPRODUCT(($AZ62&gt;INDEX('How This Works &amp; Sources'!$B$167:$J$179,0,1))*($AZ62-INDEX('How This Works &amp; Sources'!$B$167:$J$179,0,1))*INDEX('How This Works &amp; Sources'!$B$167:$J$179,0,1+2)),IF('Second Earner'!$C$77="E",SUMPRODUCT(($AZ62&gt;INDEX('How This Works &amp; Sources'!$B$167:$J$179,0,4))*($AZ62-INDEX('How This Works &amp; Sources'!$B$167:$J$179,0,4))*INDEX('How This Works &amp; Sources'!$B$167:$J$179,0,4+2)),SUMPRODUCT(($AZ62&gt;INDEX('How This Works &amp; Sources'!$B$155:$J$162,0,1))*($AZ62-INDEX('How This Works &amp; Sources'!$B$155:$J$162,0,1))*INDEX('How This Works &amp; Sources'!$B$155:$J$162,0,1+2)))))),IF($AN62="NY",IF($AU62="Married",IF($AZ62&gt;=2155350,$AZ62*IF($AZ62&gt;25000000,0.117,IF($AZ62&gt;5000000,0.111,0.1045)),SUMPRODUCT(($AZ62&gt;INDEX('How This Works &amp; Sources'!$B$184:$J$198,0,1))*($AZ62-INDEX('How This Works &amp; Sources'!$B$184:$J$198,0,1))*INDEX('How This Works &amp; Sources'!$B$184:$J$198,0,1+2))),IF($AZ62&gt;=1077550,$AZ62*IF($AZ62&gt;25000000,0.117,IF($AZ62&gt;5000000,0.111,0.1045)),SUMPRODUCT(($AZ62&gt;INDEX('How This Works &amp; Sources'!$B$167:$J$179,0,7))*($AZ62-INDEX('How This Works &amp; Sources'!$B$167:$J$179,0,7))*INDEX('How This Works &amp; Sources'!$B$167:$J$179,0,7+2)))),"")))))))</f>
      </c>
      <c r="BX62" s="7">
        <f>IF($B62="","",IF($AN62="AL",IF(OR($AU62="Married",$AU62="Head of household"),SUMPRODUCT(($AZ62&gt;INDEX('How This Works &amp; Sources'!$B$82:$J$86,0,4))*($AZ62-INDEX('How This Works &amp; Sources'!$B$82:$J$86,0,4))*INDEX('How This Works &amp; Sources'!$B$82:$J$86,0,4+2)),SUMPRODUCT(($AZ62&gt;INDEX('How This Works &amp; Sources'!$B$82:$J$86,0,1))*($AZ62-INDEX('How This Works &amp; Sources'!$B$82:$J$86,0,1))*INDEX('How This Works &amp; Sources'!$B$82:$J$86,0,1+2))),IF($AN62="KS",IF($AU62="Married",SUMPRODUCT(($AZ62&gt;INDEX('How This Works &amp; Sources'!$B$103:$J$109,0,4))*($AZ62-INDEX('How This Works &amp; Sources'!$B$103:$J$109,0,4))*INDEX('How This Works &amp; Sources'!$B$103:$J$109,0,4+2)),SUMPRODUCT(($AZ62&gt;INDEX('How This Works &amp; Sources'!$B$103:$J$109,0,1))*($AZ62-INDEX('How This Works &amp; Sources'!$B$103:$J$109,0,1))*INDEX('How This Works &amp; Sources'!$B$103:$J$109,0,1+2))),IF($AN62="MN",IF($AU62="Married",SUMPRODUCT(($AZ62&gt;INDEX('How This Works &amp; Sources'!$B$114:$J$120,0,7))*($AZ62-INDEX('How This Works &amp; Sources'!$B$114:$J$120,0,7))*INDEX('How This Works &amp; Sources'!$B$114:$J$120,0,7+2)),SUMPRODUCT(($AZ62&gt;INDEX('How This Works &amp; Sources'!$B$114:$J$120,0,4))*($AZ62-INDEX('How This Works &amp; Sources'!$B$114:$J$120,0,4))*INDEX('How This Works &amp; Sources'!$B$114:$J$120,0,4+2))),IF($AN62="MO",SUMPRODUCT(($AZ62&gt;INDEX('How This Works &amp; Sources'!$B$125:$J$132,0,1))*($AZ62-INDEX('How This Works &amp; Sources'!$B$125:$J$132,0,1))*INDEX('How This Works &amp; Sources'!$B$125:$J$132,0,1+2)),IF($AN62="NE",MAX(IF($AU62="Married",SUMPRODUCT(($AZ62&gt;INDEX('How This Works &amp; Sources'!$B$144:$J$150,0,7))*($AZ62-INDEX('How This Works &amp; Sources'!$B$144:$J$150,0,7))*INDEX('How This Works &amp; Sources'!$B$144:$J$150,0,7+2)),SUMPRODUCT(($AZ62&gt;INDEX('How This Works &amp; Sources'!$B$144:$J$150,0,4))*($AZ62-INDEX('How This Works &amp; Sources'!$B$144:$J$150,0,4))*INDEX('How This Works &amp; Sources'!$B$144:$J$150,0,4+2))),0.015*$AZ62),IF($AN62="OH",IF($B62&gt;=DATE(2026,8,1),SUMPRODUCT(($AZ62&gt;INDEX('How This Works &amp; Sources'!$B$203:$J$206,0,1))*($AZ62-INDEX('How This Works &amp; Sources'!$B$203:$J$206,0,1))*INDEX('How This Works &amp; Sources'!$B$203:$J$206,0,1+2)),SUMPRODUCT(($AZ62&gt;INDEX('How This Works &amp; Sources'!$B$184:$J$198,0,7))*($AZ62-INDEX('How This Works &amp; Sources'!$B$184:$J$198,0,7))*INDEX('How This Works &amp; Sources'!$B$184:$J$198,0,7+2))),IF($AN62="OK",IF($AU62="Married",SUMPRODUCT(($AZ62&gt;INDEX('How This Works &amp; Sources'!$B$203:$J$206,0,7))*($AZ62-INDEX('How This Works &amp; Sources'!$B$203:$J$206,0,7))*INDEX('How This Works &amp; Sources'!$B$203:$J$206,0,7+2)),SUMPRODUCT(($AZ62&gt;INDEX('How This Works &amp; Sources'!$B$203:$J$206,0,4))*($AZ62-INDEX('How This Works &amp; Sources'!$B$203:$J$206,0,4))*INDEX('How This Works &amp; Sources'!$B$203:$J$206,0,4+2))),IF($AN62="VT",IF($AU62="Married",SUMPRODUCT(($AZ62&gt;INDEX('How This Works &amp; Sources'!$B$228:$J$232,0,1))*($AZ62-INDEX('How This Works &amp; Sources'!$B$228:$J$232,0,1))*INDEX('How This Works &amp; Sources'!$B$228:$J$232,0,1+2)),SUMPRODUCT(($AZ62&gt;INDEX('How This Works &amp; Sources'!$B$219:$J$223,0,7))*($AZ62-INDEX('How This Works &amp; Sources'!$B$219:$J$223,0,7))*INDEX('How This Works &amp; Sources'!$B$219:$J$223,0,7+2))),IF($AN62="WV",IF($AU62="Married",SUMPRODUCT(($AZ62&gt;INDEX('How This Works &amp; Sources'!$B$237:$J$241,0,7))*($AZ62-INDEX('How This Works &amp; Sources'!$B$237:$J$241,0,7))*INDEX('How This Works &amp; Sources'!$B$237:$J$241,0,7+2)),SUMPRODUCT(($AZ62&gt;INDEX('How This Works &amp; Sources'!$B$228:$J$232,0,7))*($AZ62-INDEX('How This Works &amp; Sources'!$B$228:$J$232,0,7))*INDEX('How This Works &amp; Sources'!$B$228:$J$232,0,7+2))),""))))))))))</f>
      </c>
      <c r="BY62" s="7">
        <f>IF($B62="","",IF($AN62="DE",SUMPRODUCT(($AZ62&gt;INDEX('How This Works &amp; Sources'!$B$91:$J$98,0,1))*($AZ62-INDEX('How This Works &amp; Sources'!$B$91:$J$98,0,1))*INDEX('How This Works &amp; Sources'!$B$91:$J$98,0,1+2)),IF($AN62="HI",IF($AU62="Married",SUMPRODUCT(($AZ62&gt;INDEX('How This Works &amp; Sources'!$B$91:$J$98,0,7))*($AZ62-INDEX('How This Works &amp; Sources'!$B$91:$J$98,0,7))*INDEX('How This Works &amp; Sources'!$B$91:$J$98,0,7+2)),SUMPRODUCT(($AZ62&gt;INDEX('How This Works &amp; Sources'!$B$91:$J$98,0,4))*($AZ62-INDEX('How This Works &amp; Sources'!$B$91:$J$98,0,4))*INDEX('How This Works &amp; Sources'!$B$91:$J$98,0,4+2))),IF($AN62="RI",SUMPRODUCT(($AZ62&gt;INDEX('How This Works &amp; Sources'!$B$211:$J$214,0,7))*($AZ62-INDEX('How This Works &amp; Sources'!$B$211:$J$214,0,7))*INDEX('How This Works &amp; Sources'!$B$211:$J$214,0,7+2)),IF($AN62="SC",SUMPRODUCT(($AZ62&gt;INDEX('How This Works &amp; Sources'!$B$219:$J$223,0,1))*($AZ62-INDEX('How This Works &amp; Sources'!$B$219:$J$223,0,1))*INDEX('How This Works &amp; Sources'!$B$219:$J$223,0,1+2)),IF($AN62="VA",SUMPRODUCT(($AZ62&gt;INDEX('How This Works &amp; Sources'!$B$219:$J$223,0,4))*($AZ62-INDEX('How This Works &amp; Sources'!$B$219:$J$223,0,4))*INDEX('How This Works &amp; Sources'!$B$219:$J$223,0,4+2)),IF($AN62="WI",SUMPRODUCT(($AZ62&gt;INDEX('How This Works &amp; Sources'!$B$228:$J$232,0,4))*($AZ62-INDEX('How This Works &amp; Sources'!$B$228:$J$232,0,4))*INDEX('How This Works &amp; Sources'!$B$228:$J$232,0,4+2)),"")))))))</f>
      </c>
      <c r="BZ62" s="24">
        <f>IF($B62="","",IF($AN62="KS",IF($AU62="Married",SUMPRODUCT(($AZ62&gt;=INDEX('How This Works &amp; Sources'!$B$103:$J$109,0,4))*INDEX('How This Works &amp; Sources'!$B$103:$J$109,0,4+2)),SUMPRODUCT(($AZ62&gt;=INDEX('How This Works &amp; Sources'!$B$103:$J$109,0,1))*INDEX('How This Works &amp; Sources'!$B$103:$J$109,0,1+2))),IF($AN62="MT",IF($AU62="Head of household",SUMPRODUCT(($AZ62&gt;=INDEX('How This Works &amp; Sources'!$B$137:$J$139,0,1))*INDEX('How This Works &amp; Sources'!$B$137:$J$139,0,1+2)),IF($AU62="Married",SUMPRODUCT(($AZ62&gt;=INDEX('How This Works &amp; Sources'!$B$125:$J$132,0,7))*INDEX('How This Works &amp; Sources'!$B$125:$J$132,0,7+2)),SUMPRODUCT(($AZ62&gt;=INDEX('How This Works &amp; Sources'!$B$125:$J$132,0,4))*INDEX('How This Works &amp; Sources'!$B$125:$J$132,0,4+2)))),IF($AN62="OR",IF(OR($AU62="Married",AND($AU62="Single",$AS62&gt;=3)),SUMPRODUCT((MAX(0,$AY62-MIN(($P62-'How This Works &amp; Sources'!$C$10*$D62)*'Second Earner'!$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Sources'!$B$211:$J$214,0,4))*INDEX('How This Works &amp; Sources'!$B$211:$J$214,0,4+2)),SUMPRODUCT((MAX(0,$AY62-MIN(($P62-'How This Works &amp; Sources'!$C$10*$D62)*'Second Earner'!$C$8,IF(OR($AU62="Married",AND($AU62="Single",$AS62&gt;=3)),IF($AY62&lt;250000,8750,IF($AY62&lt;260000,7000,IF($AY62&lt;270000,5250,IF($AY62&lt;280000,3500,IF($AY62&lt;290000,1750,0))))),IF($AY62&lt;125000,8750,IF($AY62&lt;130000,7000,IF($AY62&lt;135000,5250,IF($AY62&lt;140000,3500,IF($AY62&lt;145000,1750,0)))))))-IF(OR($AU62="Married",AND($AU62="Single",$AS62&gt;=3)),5820,2910))&gt;=INDEX('How This Works &amp; Sources'!$B$211:$J$214,0,1))*INDEX('How This Works &amp; Sources'!$B$211:$J$214,0,1+2)))*IF(($P62-'How This Works &amp; Sources'!$C$10*$D62)*'Second Earner'!$C$8&gt;=IF(OR($AU62="Married",AND($AU62="Single",$AS62&gt;=3)),IF($AY62&lt;250000,8750,IF($AY62&lt;260000,7000,IF($AY62&lt;270000,5250,IF($AY62&lt;280000,3500,IF($AY62&lt;290000,1750,0))))),IF($AY62&lt;125000,8750,IF($AY62&lt;130000,7000,IF($AY62&lt;135000,5250,IF($AY62&lt;140000,3500,IF($AY62&lt;145000,1750,0)))))),1,1-IF('Second Earner'!$C$13,SUMPRODUCT(($AH62&gt;=INDEX('How This Works &amp; Sources'!$B$29:$J$36,0,IF('Second Earner'!$C$12="MFJ",1,IF('Second Earner'!$C$12="HoH",7,4))))*INDEX('How This Works &amp; Sources'!$B$29:$J$36,0,IF('Second Earner'!$C$12="MFJ",1,IF('Second Earner'!$C$12="HoH",7,4))+2)),SUMPRODUCT(($AH62&gt;=INDEX('How This Works &amp; Sources'!$B$19:$J$26,0,IF('Second Earner'!$C$12="MFJ",1,IF('Second Earner'!$C$12="HoH",7,4))))*INDEX('How This Works &amp; Sources'!$B$19:$J$26,0,IF('Second Earner'!$C$12="MFJ",1,IF('Second Earner'!$C$12="HoH",7,4))+2)))),""))))</f>
      </c>
      <c r="CA62" s="24">
        <f>IF($B62="","",IF($AN62="CA",SUMPRODUCT(($AJ62&gt;=INDEX('How This Works &amp; Sources'!$B$39:$J$48,0,IF($AU62="Married",4,IF($AU62="Head of household",7,1))))*INDEX('How This Works &amp; Sources'!$B$39:$J$48,0,IF($AU62="Married",4,IF($AU62="Head of household",7,1))+2)),IF($AN62="AL",IF(OR($AU62="Married",$AU62="Head of household"),SUMPRODUCT(($AZ62&gt;=INDEX('How This Works &amp; Sources'!$B$82:$J$86,0,4))*INDEX('How This Works &amp; Sources'!$B$82:$J$86,0,4+2)),SUMPRODUCT(($AZ62&gt;=INDEX('How This Works &amp; Sources'!$B$82:$J$86,0,1))*INDEX('How This Works &amp; Sources'!$B$82:$J$86,0,1+2)))*(1-IF('Second Earner'!$C$13,SUMPRODUCT(($AH62&gt;=INDEX('How This Works &amp; Sources'!$B$29:$J$36,0,IF('Second Earner'!$C$12="MFJ",1,IF('Second Earner'!$C$12="HoH",7,4))))*INDEX('How This Works &amp; Sources'!$B$29:$J$36,0,IF('Second Earner'!$C$12="MFJ",1,IF('Second Earner'!$C$12="HoH",7,4))+2)),SUMPRODUCT(($AH62&gt;=INDEX('How This Works &amp; Sources'!$B$19:$J$26,0,IF('Second Earner'!$C$12="MFJ",1,IF('Second Earner'!$C$12="HoH",7,4))))*INDEX('How This Works &amp; Sources'!$B$19:$J$26,0,IF('Second Earner'!$C$12="MFJ",1,IF('Second Earner'!$C$12="HoH",7,4))+2)))),IF($AN62="ND",IF($AU62="Head of household",SUMPRODUCT(($AZ62&gt;=INDEX('How This Works &amp; Sources'!$B$144:$J$150,0,1))*INDEX('How This Works &amp; Sources'!$B$144:$J$150,0,1+2)),IF($AU62="Married",SUMPRODUCT(($AZ62&gt;=INDEX('How This Works &amp; Sources'!$B$137:$J$139,0,7))*INDEX('How This Works &amp; Sources'!$B$137:$J$139,0,7+2)),SUMPRODUCT(($AZ62&gt;=INDEX('How This Works &amp; Sources'!$B$137:$J$139,0,4))*INDEX('How This Works &amp; Sources'!$B$137:$J$139,0,4+2)))),IF($AN62="NJ",IF('Second Earner'!$C$77="B",SUMPRODUCT(($AZ62&gt;=INDEX('How This Works &amp; Sources'!$B$155:$J$162,0,4))*INDEX('How This Works &amp; Sources'!$B$155:$J$162,0,4+2)),IF('Second Earner'!$C$77="C",SUMPRODUCT(($AZ62&gt;=INDEX('How This Works &amp; Sources'!$B$155:$J$162,0,7))*INDEX('How This Works &amp; Sources'!$B$155:$J$162,0,7+2)),IF('Second Earner'!$C$77="D",SUMPRODUCT(($AZ62&gt;=INDEX('How This Works &amp; Sources'!$B$167:$J$179,0,1))*INDEX('How This Works &amp; Sources'!$B$167:$J$179,0,1+2)),IF('Second Earner'!$C$77="E",SUMPRODUCT(($AZ62&gt;=INDEX('How This Works &amp; Sources'!$B$167:$J$179,0,4))*INDEX('How This Works &amp; Sources'!$B$167:$J$179,0,4+2)),SUMPRODUCT(($AZ62&gt;=INDEX('How This Works &amp; Sources'!$B$155:$J$162,0,1))*INDEX('How This Works &amp; Sources'!$B$155:$J$162,0,1+2)))))),IF($AN62="NY",IF($AU62="Married",IF($AZ62&gt;=2155350,IF($AZ62&gt;25000000,0.117,IF($AZ62&gt;5000000,0.111,0.1045)),SUMPRODUCT(($AZ62&gt;=INDEX('How This Works &amp; Sources'!$B$184:$J$198,0,1))*INDEX('How This Works &amp; Sources'!$B$184:$J$198,0,1+2))),IF($AZ62&gt;=1077550,IF($AZ62&gt;25000000,0.117,IF($AZ62&gt;5000000,0.111,0.1045)),SUMPRODUCT(($AZ62&gt;=INDEX('How This Works &amp; Sources'!$B$167:$J$179,0,7))*INDEX('How This Works &amp; Sources'!$B$167:$J$179,0,7+2)))),IF($AN62="LA",0.0309,"")))))))</f>
      </c>
      <c r="CB62" s="24">
        <f>IF($B62="","",IF($AN62="HI",IF($AU62="Married",SUMPRODUCT(($AZ62&gt;=INDEX('How This Works &amp; Sources'!$B$91:$J$98,0,7))*INDEX('How This Works &amp; Sources'!$B$91:$J$98,0,7+2)),SUMPRODUCT(($AZ62&gt;=INDEX('How This Works &amp; Sources'!$B$91:$J$98,0,4))*INDEX('How This Works &amp; Sources'!$B$91:$J$98,0,4+2))),IF($AN62="MD",IF(OR($AU62="Married",$AU62="Head of household"),SUMPRODUCT(($AZ62&gt;=INDEX('How This Works &amp; Sources'!$B$114:$J$120,0,1))*INDEX('How This Works &amp; Sources'!$B$114:$J$120,0,1+2)),SUMPRODUCT(($AZ62&gt;=INDEX('How This Works &amp; Sources'!$B$103:$J$109,0,7))*INDEX('How This Works &amp; Sources'!$B$103:$J$109,0,7+2)))+'Second Earner'!$C$74,IF($AN62="MN",IF($AU62="Married",SUMPRODUCT(($AZ62&gt;=INDEX('How This Works &amp; Sources'!$B$114:$J$120,0,7))*INDEX('How This Works &amp; Sources'!$B$114:$J$120,0,7+2)),SUMPRODUCT(($AZ62&gt;=INDEX('How This Works &amp; Sources'!$B$114:$J$120,0,4))*INDEX('How This Works &amp; Sources'!$B$114:$J$120,0,4+2))),IF($AN62="MO",SUMPRODUCT(($AZ62&gt;=INDEX('How This Works &amp; Sources'!$B$125:$J$132,0,1))*INDEX('How This Works &amp; Sources'!$B$125:$J$132,0,1+2)),IF($AN62="NE",MAX(IF($AU62="Married",SUMPRODUCT(($AZ62&gt;=INDEX('How This Works &amp; Sources'!$B$144:$J$150,0,7))*INDEX('How This Works &amp; Sources'!$B$144:$J$150,0,7+2)),SUMPRODUCT(($AZ62&gt;=INDEX('How This Works &amp; Sources'!$B$144:$J$150,0,4))*INDEX('How This Works &amp; Sources'!$B$144:$J$150,0,4+2))),0.015),IF($AN62="OH",IF($B62&gt;=DATE(2026,8,1),SUMPRODUCT(($AZ62&gt;=INDEX('How This Works &amp; Sources'!$B$203:$J$206,0,1))*INDEX('How This Works &amp; Sources'!$B$203:$J$206,0,1+2)),SUMPRODUCT(($AZ62&gt;=INDEX('How This Works &amp; Sources'!$B$184:$J$198,0,7))*INDEX('How This Works &amp; Sources'!$B$184:$J$198,0,7+2))),IF($AN62="OK",IF($AU62="Married",SUMPRODUCT(($AZ62&gt;=INDEX('How This Works &amp; Sources'!$B$203:$J$206,0,7))*INDEX('How This Works &amp; Sources'!$B$203:$J$206,0,7+2)),SUMPRODUCT(($AZ62&gt;=INDEX('How This Works &amp; Sources'!$B$203:$J$206,0,4))*INDEX('How This Works &amp; Sources'!$B$203:$J$206,0,4+2))),IF($AN62="RI",SUMPRODUCT(($AZ62&gt;=INDEX('How This Works &amp; Sources'!$B$211:$J$214,0,7))*INDEX('How This Works &amp; Sources'!$B$211:$J$214,0,7+2)),IF($AN62="VT",IF($AU62="Married",SUMPRODUCT(($AZ62&gt;=INDEX('How This Works &amp; Sources'!$B$228:$J$232,0,1))*INDEX('How This Works &amp; Sources'!$B$228:$J$232,0,1+2)),SUMPRODUCT(($AZ62&gt;=INDEX('How This Works &amp; Sources'!$B$219:$J$223,0,7))*INDEX('How This Works &amp; Sources'!$B$219:$J$223,0,7+2))),IF($AN62="WV",IF($AU62="Married",SUMPRODUCT(($AZ62&gt;=INDEX('How This Works &amp; Sources'!$B$237:$J$241,0,7))*INDEX('How This Works &amp; Sources'!$B$237:$J$241,0,7+2)),SUMPRODUCT(($AZ62&gt;=INDEX('How This Works &amp; Sources'!$B$228:$J$232,0,7))*INDEX('How This Works &amp; Sources'!$B$228:$J$232,0,7+2))),IF($AN62="AZ",'Second Earner'!$C$82,IF($AN62="ID",IF($AY62&gt;IF($AU62="Married",32000,16094),0.053,0),"")))))))))))))</f>
      </c>
      <c r="CC62" s="24">
        <f>IF($B62="","",IF($AN62="AR",SUMPRODUCT(($AZ62&gt;=INDEX('How This Works &amp; Sources'!$B$82:$J$86,0,7))*INDEX('How This Works &amp; Sources'!$B$82:$J$86,0,7+2)),IF($AN62="DE",SUMPRODUCT(($AZ62&gt;=INDEX('How This Works &amp; Sources'!$B$91:$J$98,0,1))*INDEX('How This Works &amp; Sources'!$B$91:$J$98,0,1+2)),IF($AN62="SC",SUMPRODUCT(($AZ62&gt;=INDEX('How This Works &amp; Sources'!$B$219:$J$223,0,1))*INDEX('How This Works &amp; Sources'!$B$219:$J$223,0,1+2)),IF($AN62="VA",SUMPRODUCT(($AZ62&gt;=INDEX('How This Works &amp; Sources'!$B$219:$J$223,0,4))*INDEX('How This Works &amp; Sources'!$B$219:$J$223,0,4+2)),IF($AN62="WI",SUMPRODUCT(($AZ62&gt;=INDEX('How This Works &amp; Sources'!$B$228:$J$232,0,4))*INDEX('How This Works &amp; Sources'!$B$228:$J$232,0,4+2)),IF($AN62="CO",IF($AY62&gt;IF($AU62="Married",10000,5000),0.044,0),IF($AN62="IA",IF($AY62&gt;IF($AU62="Head of household",19500,IF($AU62="Married",26000,13000)),0.038,0),IF($AN62="IL",IF($AY62&gt;(2925*$AS62+1000*$AT62),0.0495,0),IF($AN62="IN",(0.0295+'Second Earner'!$C$76),IF($AN62="KY",IF($AI62&gt;3360,0.035,0),IF($AN62="MA",IF(MAX(0,$AY62-MIN(($BD61+$Q62+$R62+$S62),2000)-IF($AS62=0,0,IF($AS62=1,4400,1000*$AS62+3400)))&gt;=1107750,0.09,0.05),IF($AN62="MI",IF($AY62&gt;5900*$AS62,0.0425,0),IF($AN62="MS",IF($AI62-IF($AU62="Head of household",3400,IF($AU62="Married",4600,2300))-'Second Earner'!$C$85&gt;10000,0.04,0),IF($AN62="PA",0.0307,"")))))))))))))))</f>
      </c>
      <c r="CD62" s="21">
        <f>IF(YEAR(IF('Second Earner'!$C$7="Weekly",'Second Earner'!$C$9+7*(($BE61+1)-1),IF('Second Earner'!$C$7="Biweekly",'Second Earner'!$C$9+14*(($BE61+1)-1),IF('Second Earner'!$C$7="Semimonthly",DATE(YEAR('Second Earner'!$C$9),MONTH('Second Earner'!$C$9)+INT((($BE61+1)-1)/2),MIN(DAY('Second Earner'!$C$9),DAY(EOMONTH(DATE(YEAR('Second Earner'!$C$9),MONTH('Second Earner'!$C$9)+INT((($BE61+1)-1)/2),1),0))))+IF(MOD(($BE61+1)-1,2)=1,15,0),EDATE('Second Earner'!$C$9,($BE61+1)-1)))))&lt;&gt;'Second Earner'!$C$10,"",IF('Second Earner'!$C$7="Weekly",'Second Earner'!$C$9+7*(($BE61+1)-1),IF('Second Earner'!$C$7="Biweekly",'Second Earner'!$C$9+14*(($BE61+1)-1),IF('Second Earner'!$C$7="Semimonthly",DATE(YEAR('Second Earner'!$C$9),MONTH('Second Earner'!$C$9)+INT((($BE61+1)-1)/2),MIN(DAY('Second Earner'!$C$9),DAY(EOMONTH(DATE(YEAR('Second Earner'!$C$9),MONTH('Second Earner'!$C$9)+INT((($BE61+1)-1)/2),1),0))))+IF(MOD(($BE61+1)-1,2)=1,15,0),EDATE('Second Earner'!$C$9,($BE61+1)-1)))))</f>
      </c>
      <c r="CE62" s="21">
        <f>IF(MIN(IF(AND('Second Earner'!$C$58&gt;MAX($B$6:$B61),'Second Earner'!$C$58&gt;=DATE('Second Earner'!$C$10,1,1),'Second Earner'!$C$58&lt;=DATE('Second Earner'!$C$10,12,31)),'Second Earner'!$C$58,999999),IF(AND('Second Earner'!$C$59&gt;MAX($B$6:$B61),'Second Earner'!$C$59&gt;=DATE('Second Earner'!$C$10,1,1),'Second Earner'!$C$59&lt;=DATE('Second Earner'!$C$10,12,31)),'Second Earner'!$C$59,999999),IF(AND('Second Earner'!$C$60&gt;MAX($B$6:$B61),'Second Earner'!$C$60&gt;=DATE('Second Earner'!$C$10,1,1),'Second Earner'!$C$60&lt;=DATE('Second Earner'!$C$10,12,31)),'Second Earner'!$C$60,999999),IF(AND('Second Earner'!$C$61&gt;MAX($B$6:$B61),'Second Earner'!$C$61&gt;=DATE('Second Earner'!$C$10,1,1),'Second Earner'!$C$61&lt;=DATE('Second Earner'!$C$10,12,31)),'Second Earner'!$C$61,999999),IF(AND('Second Earner'!$C$62&gt;MAX($B$6:$B61),'Second Earner'!$C$62&gt;=DATE('Second Earner'!$C$10,1,1),'Second Earner'!$C$62&lt;=DATE('Second Earner'!$C$10,12,31)),'Second Earner'!$C$62,999999),IF(AND('Second Earner'!$C$63&gt;MAX($B$6:$B61),'Second Earner'!$C$63&gt;=DATE('Second Earner'!$C$10,1,1),'Second Earner'!$C$63&lt;=DATE('Second Earner'!$C$10,12,31)),'Second Earner'!$C$63,999999),IF(AND('Second Earner'!$C$64&gt;MAX($B$6:$B61),'Second Earner'!$C$64&gt;=DATE('Second Earner'!$C$10,1,1),'Second Earner'!$C$64&lt;=DATE('Second Earner'!$C$10,12,31)),'Second Earner'!$C$64,999999),IF(AND('Second Earner'!$C$65&gt;MAX($B$6:$B61),'Second Earner'!$C$65&gt;=DATE('Second Earner'!$C$10,1,1),'Second Earner'!$C$65&lt;=DATE('Second Earner'!$C$10,12,31)),'Second Earner'!$C$65,999999),IF(AND('Second Earner'!$C$66&gt;MAX($B$6:$B61),'Second Earner'!$C$66&gt;=DATE('Second Earner'!$C$10,1,1),'Second Earner'!$C$66&lt;=DATE('Second Earner'!$C$10,12,31)),'Second Earner'!$C$66,999999),IF(AND('Second Earner'!$C$67&gt;MAX($B$6:$B61),'Second Earner'!$C$67&gt;=DATE('Second Earner'!$C$10,1,1),'Second Earner'!$C$67&lt;=DATE('Second Earner'!$C$10,12,31)),'Second Earner'!$C$67,999999))=999999,"",MIN(IF(AND('Second Earner'!$C$58&gt;MAX($B$6:$B61),'Second Earner'!$C$58&gt;=DATE('Second Earner'!$C$10,1,1),'Second Earner'!$C$58&lt;=DATE('Second Earner'!$C$10,12,31)),'Second Earner'!$C$58,999999),IF(AND('Second Earner'!$C$59&gt;MAX($B$6:$B61),'Second Earner'!$C$59&gt;=DATE('Second Earner'!$C$10,1,1),'Second Earner'!$C$59&lt;=DATE('Second Earner'!$C$10,12,31)),'Second Earner'!$C$59,999999),IF(AND('Second Earner'!$C$60&gt;MAX($B$6:$B61),'Second Earner'!$C$60&gt;=DATE('Second Earner'!$C$10,1,1),'Second Earner'!$C$60&lt;=DATE('Second Earner'!$C$10,12,31)),'Second Earner'!$C$60,999999),IF(AND('Second Earner'!$C$61&gt;MAX($B$6:$B61),'Second Earner'!$C$61&gt;=DATE('Second Earner'!$C$10,1,1),'Second Earner'!$C$61&lt;=DATE('Second Earner'!$C$10,12,31)),'Second Earner'!$C$61,999999),IF(AND('Second Earner'!$C$62&gt;MAX($B$6:$B61),'Second Earner'!$C$62&gt;=DATE('Second Earner'!$C$10,1,1),'Second Earner'!$C$62&lt;=DATE('Second Earner'!$C$10,12,31)),'Second Earner'!$C$62,999999),IF(AND('Second Earner'!$C$63&gt;MAX($B$6:$B61),'Second Earner'!$C$63&gt;=DATE('Second Earner'!$C$10,1,1),'Second Earner'!$C$63&lt;=DATE('Second Earner'!$C$10,12,31)),'Second Earner'!$C$63,999999),IF(AND('Second Earner'!$C$64&gt;MAX($B$6:$B61),'Second Earner'!$C$64&gt;=DATE('Second Earner'!$C$10,1,1),'Second Earner'!$C$64&lt;=DATE('Second Earner'!$C$10,12,31)),'Second Earner'!$C$64,999999),IF(AND('Second Earner'!$C$65&gt;MAX($B$6:$B61),'Second Earner'!$C$65&gt;=DATE('Second Earner'!$C$10,1,1),'Second Earner'!$C$65&lt;=DATE('Second Earner'!$C$10,12,31)),'Second Earner'!$C$65,999999),IF(AND('Second Earner'!$C$66&gt;MAX($B$6:$B61),'Second Earner'!$C$66&gt;=DATE('Second Earner'!$C$10,1,1),'Second Earner'!$C$66&lt;=DATE('Second Earner'!$C$10,12,31)),'Second Earner'!$C$66,999999),IF(AND('Second Earner'!$C$67&gt;MAX($B$6:$B61),'Second Earner'!$C$67&gt;=DATE('Second Earner'!$C$10,1,1),'Second Earner'!$C$67&lt;=DATE('Second Earner'!$C$10,12,31)),'Second Earner'!$C$67,999999)))</f>
      </c>
      <c r="CF62">
        <f>IF($B62="","",IF($D62=0,$Y62,""))</f>
      </c>
    </row>
    <row r="63">
      <c r="A63" t="n">
        <v>58</v>
      </c>
      <c r="B63" s="21">
        <f>IF(AND($CD63="",$CE63=""),"",IF($CE63="",$CD63,IF($CD63="",$CE63,MIN($CD63,$CE63))))</f>
      </c>
      <c r="C63" s="7">
        <f>IF($B63="","",IF($BF63=0,0,IF('Second Earner'!$C$4="Annual salary",ROUND($AK63/IF(AND('Second Earner'!$C$88="Actual paydays",MONTH('Second Earner'!$C$9)=1),MAX(1,MAX($BE$6:$BE$68)),'Second Earner'!$C$8),2),$AK63)))</f>
      </c>
      <c r="D63" s="7">
        <f>IF($B63="","",SUMIF('Second Earner'!$C$58:$C$67,$B63,'Second Earner'!$D$58:$D$67))</f>
      </c>
      <c r="E63" s="7">
        <f>IF($B63="","",ROUND(MAX(0,MIN(IF($AL63="Percent",$AM63*($C63+$D63),$AM63),MAX(0,'Second Earner'!$C$34-$AC62))),2))</f>
      </c>
      <c r="F63" s="7">
        <f>IF($B63="","",ROUND(MAX(0,MIN(IF('Second Earner'!$C$32="Percent",'Second Earner'!$D$32*($C63+$D63),'Second Earner'!$D$32),MAX(0,'Second Earner'!$C$34-$AC62-$E63))),2))</f>
      </c>
      <c r="G63" s="7">
        <f>IF($B63="","",IF($BF63=0,0,ROUND(MAX(0,MIN($BL63,'Second Earner'!$C$37-'Second Earner'!$C$54-$BI62)),2)))</f>
      </c>
      <c r="H63" s="7">
        <f>IF($B63="","",IF(OR($BF63=0,$BQ63=1),0,ROUND(MAX(0,MIN(IF($BS63=1,ROUND(MAX(0,MIN($BJ63,'How This Works &amp; Sources'!$C$13)-$BG62)/MAX(1,MAX($BE$6:$BE$68)-($BE62)),2),ROUND(MIN($BJ63,'How This Works &amp; Sources'!$C$13)/'Second Earner'!$C$8,2)),MIN($BJ63,'How This Works &amp; Sources'!$C$13)-$BG62)),2)))</f>
      </c>
      <c r="I63" s="7">
        <f>IF($B63="","",IF(OR($BF63=0,$BR63=1),0,ROUND(MAX(0,MIN(IF($BT63=1,ROUND(MAX(0,MIN($BK63,IF('Second Earner'!$C$12="MFJ",'How This Works &amp; Sources'!$C$14,'How This Works &amp; Sources'!$C$15))-$BH62)/MAX(1,MAX($BE$6:$BE$68)-($BE62)),2),ROUND(MIN($BK63,IF('Second Earner'!$C$12="MFJ",'How This Works &amp; Sources'!$C$14,'How This Works &amp; Sources'!$C$15))/'Second Earner'!$C$8,2)),MIN($BK63,IF('Second Earner'!$C$12="MFJ",'How This Works &amp; Sources'!$C$14,'How This Works &amp; Sources'!$C$15))-$BH62)),2)))</f>
      </c>
      <c r="J63" s="7">
        <f>IF($B63="","",IF($BF63=0,0,$BM63))</f>
      </c>
      <c r="K63" s="7">
        <f>IF($B63="","",IF($BF63=0,0,$BN63+$BO63))</f>
      </c>
      <c r="L63" s="7">
        <f>IF($B63="","",IF($BF63=0,0,'Second Earner'!$D$46))</f>
      </c>
      <c r="M63" s="7">
        <f>IF($B63="","",$C63+$D63+$L63-$E63-$G63-$H63-$I63-$J63-$K63)</f>
      </c>
      <c r="N63" s="7">
        <f>IF($B63="","",$C63+$D63+$L63-$G63-$H63-$I63-$J63-$K63)</f>
      </c>
      <c r="O63" s="7">
        <f>IF($B63="","",$C63+$D63+$L63-$E63-$H63-$I63-$J63-$K63-IF(OR($AN63="CA",$AN63="NJ"),0,$G63))</f>
      </c>
      <c r="P63" s="7">
        <f>IF($B63="","",IF('Second Earner'!$C$18,0,ROUND(MAX(0,IF('Second Earner'!$C$13,SUMPRODUCT(($AH63&gt;INDEX('How This Works &amp; Sources'!$B$29:$J$36,0,IF('Second Earner'!$C$12="MFJ",1,IF('Second Earner'!$C$12="HoH",7,4))))*($AH63-INDEX('How This Works &amp; Sources'!$B$29:$J$36,0,IF('Second Earner'!$C$12="MFJ",1,IF('Second Earner'!$C$12="HoH",7,4))))*INDEX('How This Works &amp; Sources'!$B$29:$J$36,0,IF('Second Earner'!$C$12="MFJ",1,IF('Second Earner'!$C$12="HoH",7,4))+2)),SUMPRODUCT(($AH63&gt;INDEX('How This Works &amp; Sources'!$B$19:$J$26,0,IF('Second Earner'!$C$12="MFJ",1,IF('Second Earner'!$C$12="HoH",7,4))))*($AH63-INDEX('How This Works &amp; Sources'!$B$19:$J$26,0,IF('Second Earner'!$C$12="MFJ",1,IF('Second Earner'!$C$12="HoH",7,4))))*INDEX('How This Works &amp; Sources'!$B$19:$J$26,0,IF('Second Earner'!$C$12="MFJ",1,IF('Second Earner'!$C$12="HoH",7,4))+2)))/'Second Earner'!$C$8-$AO63/'Second Earner'!$C$8)+$AR63+IF('Second Earner'!$C$89="Aggregate",MAX(0,IF('Second Earner'!$C$13,SUMPRODUCT((($AH63+$D63)&gt;INDEX('How This Works &amp; Sources'!$B$29:$J$36,0,IF('Second Earner'!$C$12="MFJ",1,IF('Second Earner'!$C$12="HoH",7,4))))*(($AH63+$D63)-INDEX('How This Works &amp; Sources'!$B$29:$J$36,0,IF('Second Earner'!$C$12="MFJ",1,IF('Second Earner'!$C$12="HoH",7,4))))*INDEX('How This Works &amp; Sources'!$B$29:$J$36,0,IF('Second Earner'!$C$12="MFJ",1,IF('Second Earner'!$C$12="HoH",7,4))+2)),SUMPRODUCT((($AH63+$D63)&gt;INDEX('How This Works &amp; Sources'!$B$19:$J$26,0,IF('Second Earner'!$C$12="MFJ",1,IF('Second Earner'!$C$12="HoH",7,4))))*(($AH63+$D63)-INDEX('How This Works &amp; Sources'!$B$19:$J$26,0,IF('Second Earner'!$C$12="MFJ",1,IF('Second Earner'!$C$12="HoH",7,4))))*INDEX('How This Works &amp; Sources'!$B$19:$J$26,0,IF('Second Earner'!$C$12="MFJ",1,IF('Second Earner'!$C$12="HoH",7,4))+2)))-IF('Second Earner'!$C$13,SUMPRODUCT(($AH63&gt;INDEX('How This Works &amp; Sources'!$B$29:$J$36,0,IF('Second Earner'!$C$12="MFJ",1,IF('Second Earner'!$C$12="HoH",7,4))))*($AH63-INDEX('How This Works &amp; Sources'!$B$29:$J$36,0,IF('Second Earner'!$C$12="MFJ",1,IF('Second Earner'!$C$12="HoH",7,4))))*INDEX('How This Works &amp; Sources'!$B$29:$J$36,0,IF('Second Earner'!$C$12="MFJ",1,IF('Second Earner'!$C$12="HoH",7,4))+2)),SUMPRODUCT(($AH63&gt;INDEX('How This Works &amp; Sources'!$B$19:$J$26,0,IF('Second Earner'!$C$12="MFJ",1,IF('Second Earner'!$C$12="HoH",7,4))))*($AH63-INDEX('How This Works &amp; Sources'!$B$19:$J$26,0,IF('Second Earner'!$C$12="MFJ",1,IF('Second Earner'!$C$12="HoH",7,4))))*INDEX('How This Works &amp; Sources'!$B$19:$J$26,0,IF('Second Earner'!$C$12="MFJ",1,IF('Second Earner'!$C$12="HoH",7,4))+2)))),'How This Works &amp; Sources'!$C$10*$D63),2)))</f>
      </c>
      <c r="Q63" s="7">
        <f>IF($B63="","",ROUND('How This Works &amp; Sources'!$C$4*MIN($N63,MAX(0,'How This Works &amp; Sources'!$C$3-($AX63+$AB62-$AW63))),2))</f>
      </c>
      <c r="R63" s="7">
        <f>IF($B63="","",ROUND('How This Works &amp; Sources'!$C$5*$N63,2))</f>
      </c>
      <c r="S63" s="7">
        <f>IF($B63="","",ROUND('How This Works &amp; Sources'!$C$6*MAX(0,MIN($N63,$AG62+$N63-'How This Works &amp; Sources'!$C$7)),2))</f>
      </c>
      <c r="T63" s="7">
        <f>IF($B63="","",IF('Second Earner'!$C$26,0,IF($AN63="CA",ROUND(IF($AI63&lt;=IF(($AS63+$AT63)&gt;=2,VLOOKUP($AN63,StateTables!$A$6:$AB$56,10,FALSE),VLOOKUP($AN63,StateTables!$A$6:$AB$56,9,FALSE)),0,MAX(0,SUMPRODUCT(($AJ63&gt;INDEX('How This Works &amp; Sources'!$B$39:$J$48,0,IF($AU63="Married",4,IF($AU63="Head of household",7,1))))*($AJ63-INDEX('How This Works &amp; Sources'!$B$39:$J$48,0,IF($AU63="Married",4,IF($AU63="Head of household",7,1))))*INDEX('How This Works &amp; Sources'!$B$39:$J$48,0,IF($AU63="Married",4,IF($AU63="Head of household",7,1))+2))-VLOOKUP($AN63,StateTables!$A$6:$AB$56,11,FALSE)*$AS63)/'Second Earner'!$C$8)+'Second Earner'!$C$25+VLOOKUP($AN63,StateTables!$A$6:$AB$56,13,FALSE)*$D63,2),IF(VLOOKUP($AN63,StateTables!$A$6:$AB$56,4,FALSE)="None",0,IF(ISNUMBER(SEARCH("MANUAL",VLOOKUP($AN63,StateTables!$A$6:$AB$56,5,FALSE))),'Second Earner'!$C$28,ROUND(MAX(0,$BA63+$BB63)/'Second Earner'!$C$8+'Second Earner'!$C$25+$BC63,2))))))</f>
      </c>
      <c r="U63" s="7">
        <f>IF($B63="","",IF(VLOOKUP($AN63,StateTables!$A$6:$AB$56,24,FALSE)="flatq",IF(OR(MONTH($B63)=1,MONTH($B63)=4,MONTH($B63)=7,MONTH($B63)=10),VLOOKUP($AN63,StateTables!$A$6:$AB$56,25,FALSE),0),IF(VLOOKUP($AN63,StateTables!$A$6:$AB$56,24,FALSE)="dbl",MIN(ROUND(0.005*$N63,2),ROUND(0.6*52/'Second Earner'!$C$8,2)),IF(OR(VLOOKUP($AN63,StateTables!$A$6:$AB$56,15,FALSE)="",VLOOKUP($AN63,StateTables!$A$6:$AB$56,15,FALSE)=0),0,ROUND(VLOOKUP($AN63,StateTables!$A$6:$AB$56,15,FALSE)*IF(OR(VLOOKUP($AN63,StateTables!$A$6:$AB$56,16,FALSE)="",VLOOKUP($AN63,StateTables!$A$6:$AB$56,16,FALSE)=0),$N63,MIN($N63,MAX(0,VLOOKUP($AN63,StateTables!$A$6:$AB$56,16,FALSE)-($AX63+$AB62-$AW63)))),2))))+IF(VLOOKUP($AN63,StateTables!$A$6:$AB$56,27,FALSE)="flatq",IF(OR(MONTH($B63)=1,MONTH($B63)=4,MONTH($B63)=7,MONTH($B63)=10),VLOOKUP($AN63,StateTables!$A$6:$AB$56,28,FALSE),0),IF(VLOOKUP($AN63,StateTables!$A$6:$AB$56,27,FALSE)="dbl",MIN(ROUND(0.005*$N63,2),ROUND(0.6*52/'Second Earner'!$C$8,2)),IF(OR(VLOOKUP($AN63,StateTables!$A$6:$AB$56,18,FALSE)="",VLOOKUP($AN63,StateTables!$A$6:$AB$56,18,FALSE)=0),0,ROUND(VLOOKUP($AN63,StateTables!$A$6:$AB$56,18,FALSE)*IF(OR(VLOOKUP($AN63,StateTables!$A$6:$AB$56,19,FALSE)="",VLOOKUP($AN63,StateTables!$A$6:$AB$56,19,FALSE)=0),$N63,MIN($N63,MAX(0,VLOOKUP($AN63,StateTables!$A$6:$AB$56,19,FALSE)-($AX63+$AB62-$AW63)))),2)))))</f>
      </c>
      <c r="V63" s="7">
        <f>IF($B63="","",IF($AN63="NY",IF('Second Earner'!$C$78,ROUND(SUMPRODUCT((MAX(0,($O63-$D63)*'Second Earner'!$C$8-(IF($AU63="Married",5500,5000)+1000*$AS63))&gt;INDEX('How This Works &amp; Sources'!$B$184:$J$198,0,4))*(MAX(0,($O63-$D63)*'Second Earner'!$C$8-(IF($AU63="Married",5500,5000)+1000*$AS63))-INDEX('How This Works &amp; Sources'!$B$184:$J$198,0,4))*INDEX('How This Works &amp; Sources'!$B$184:$J$198,0,4+2))/'Second Earner'!$C$8+0.0425*$D63,2),0)+IF('Second Earner'!$C$79="Resident",ROUND(0.1675*$T63,2),IF('Second Earner'!$C$79="Nonresident",ROUND(0.005*MAX(0,($O63-$D63)-(IF($AU63="Married",7950,7400)+1000*$AS63)/'Second Earner'!$C$8),2),0)),IF($AN63="PA",IF('Second Earner'!$C$80="None",'Second Earner'!$C$27+ROUND('Second Earner'!$C$81*($C63+$D63),2),ROUND(IF('Second Earner'!$C$80="Resident",IF($B63&lt;DATE(2026,7,1),0.0374,0.03735),IF($B63&lt;DATE(2026,7,1),0.0343,0.03425))*($C63+$D63),2)),IF($BF63=0,ROUND('Second Earner'!$C$81*($C63+$D63),2),'Second Earner'!$C$27+ROUND('Second Earner'!$C$81*($C63+$D63),2)))))</f>
      </c>
      <c r="W63" s="7">
        <f>IF($B63="","",IF($BF63=0,0,$BP63))</f>
      </c>
      <c r="X63" s="7">
        <f>IF($B63="","",SUM($E63:$K63)+$P63+$Q63+$R63+$S63+$T63+$U63+$V63+$W63)</f>
      </c>
      <c r="Y63" s="22">
        <f>IF($B63="","",$C63+$D63-$X63)</f>
      </c>
      <c r="Z63" s="7">
        <f>IF($B63="","",$Z62+$C63+$D63)</f>
      </c>
      <c r="AA63" s="7">
        <f>IF($B63="","",$AA62+$Y63)</f>
      </c>
      <c r="AB63" s="7">
        <f>IF($B63="","",$AB62+MIN($N63,MAX(0,'How This Works &amp; Sources'!$C$3-($AX63+$AB62-$AW63))))</f>
      </c>
      <c r="AC63" s="7">
        <f>IF($B63="","",$AC62+$E63+$F63)</f>
      </c>
      <c r="AD63" s="3">
        <f>IF($B63="","",IF(AND($AB62&lt;'How This Works &amp; Sources'!$C$3,$AB63&gt;='How This Works &amp; Sources'!$C$3),"★ Social Security maxed on this check — from the next check your net rises by about $"&amp;TEXT(ROUND('How This Works &amp; Sources'!$C$4*$N63,2),"#,##0.00")&amp;". ","")&amp;IF(AND($AC62&lt;'Second Earner'!$C$34,$AC63&gt;='Second Earner'!$C$34),"★ 401(k) reaches the $"&amp;TEXT('Second Earner'!$C$34,"#,##0")&amp;" cap on this check — deferrals stop and net pay rises. ","")&amp;IF(AND($AG62&lt;'How This Works &amp; Sources'!$C$7,$AG63&gt;='How This Works &amp; Sources'!$C$7),"★ Wages pass $200,000 — the 0.9% Additional Medicare Tax starts here. ","")&amp;IF(AND($BJ63&gt;0,$H63&gt;0,$BG62&lt;MIN($BJ63,'How This Works &amp; Sources'!$C$13),$BG62+$H63&gt;=MIN($BJ63,'How This Works &amp; Sources'!$C$13)),"★ Health FSA election is now fully deferred for the year. ",""))</f>
      </c>
      <c r="AE63" s="41" t="n"/>
      <c r="AF63" s="7">
        <f>IF(OR($B63="",$AE63=""),"",$AE63-$Y63)</f>
      </c>
      <c r="AG63" s="7">
        <f>IF($B63="","",$AG62+$N63)</f>
      </c>
      <c r="AH63" s="7">
        <f>IF($B63="","",MAX(0,($M63-$D63)*'Second Earner'!$C$8+$AP63-$AQ63-IF('Second Earner'!$C$13,0,IF('Second Earner'!$C$12="MFJ",'How This Works &amp; Sources'!$C$8,'How This Works &amp; Sources'!$C$9))))</f>
      </c>
      <c r="AI63" s="7">
        <f>IF($B63="","",$O63*'Second Earner'!$C$8)</f>
      </c>
      <c r="AJ63" s="7">
        <f>IF($B63="","",MAX(0,$AI63-VLOOKUP($AN63,StateTables!$A$6:$AB$56,12,FALSE)*$AT63-IF(($AS63+$AT63)&gt;=2,VLOOKUP($AN63,StateTables!$A$6:$AB$56,8,FALSE),VLOOKUP($AN63,StateTables!$A$6:$AB$56,7,FALSE))))</f>
      </c>
      <c r="AK63" s="7">
        <f>IF($B63="","",IFERROR(LOOKUP(2,1/(('Changes — Earner 2'!$C$6:$C$17="Salary change")*('Changes — Earner 2'!$B$6:$B$17&lt;=$B63)*('Changes — Earner 2'!$B$6:$B$17&lt;&gt;"")),'Changes — Earner 2'!$D$6:$D$17),IF('Second Earner'!$C$4="Annual salary",'Second Earner'!$C$5,'Second Earner'!$C$6)))</f>
      </c>
      <c r="AL63">
        <f>IF($B63="","",IFERROR(LOOKUP(2,1/(('Changes — Earner 2'!$C$6:$C$17="401(k) change")*('Changes — Earner 2'!$B$6:$B$17&lt;=$B63)*('Changes — Earner 2'!$B$6:$B$17&lt;&gt;"")),'Changes — Earner 2'!$D$6:$D$17),'Second Earner'!$C$30))</f>
      </c>
      <c r="AM63" s="7">
        <f>IF($B63="","",IFERROR(LOOKUP(2,1/(('Changes — Earner 2'!$C$6:$C$17="401(k) change")*('Changes — Earner 2'!$B$6:$B$17&lt;=$B63)*('Changes — Earner 2'!$B$6:$B$17&lt;&gt;"")),'Changes — Earner 2'!$E$6:$E$17),'Second Earner'!$D$31))</f>
      </c>
      <c r="AN63">
        <f>IF($B63="","",IFERROR(LOOKUP(2,1/(('Changes — Earner 2'!$C$6:$C$17="State move")*('Changes — Earner 2'!$B$6:$B$17&lt;=$B63)*('Changes — Earner 2'!$B$6:$B$17&lt;&gt;"")),'Changes — Earner 2'!$D$6:$D$17),'Second Earner'!$C$21))</f>
      </c>
      <c r="AO63" s="7">
        <f>IF($B63="","",IFERROR(LOOKUP(2,1/(('Changes — Earner 2'!$C$6:$C$17="W-4 change")*('Changes — Earner 2'!$B$6:$B$17&lt;=$B63)*('Changes — Earner 2'!$B$6:$B$17&lt;&gt;"")),'Changes — Earner 2'!$D$6:$D$17),'Second Earner'!$C$14))</f>
      </c>
      <c r="AP63" s="7">
        <f>IF($B63="","",IFERROR(LOOKUP(2,1/(('Changes — Earner 2'!$C$6:$C$17="W-4 change")*('Changes — Earner 2'!$B$6:$B$17&lt;=$B63)*('Changes — Earner 2'!$B$6:$B$17&lt;&gt;"")),'Changes — Earner 2'!$E$6:$E$17),'Second Earner'!$C$15))</f>
      </c>
      <c r="AQ63" s="7">
        <f>IF($B63="","",IFERROR(LOOKUP(2,1/(('Changes — Earner 2'!$C$6:$C$17="W-4 change")*('Changes — Earner 2'!$B$6:$B$17&lt;=$B63)*('Changes — Earner 2'!$B$6:$B$17&lt;&gt;"")),'Changes — Earner 2'!$F$6:$F$17),'Second Earner'!$C$16))</f>
      </c>
      <c r="AR63" s="7">
        <f>IF($B63="","",IFERROR(LOOKUP(2,1/(('Changes — Earner 2'!$C$6:$C$17="W-4 change")*('Changes — Earner 2'!$B$6:$B$17&lt;=$B63)*('Changes — Earner 2'!$B$6:$B$17&lt;&gt;"")),'Changes — Earner 2'!$G$6:$G$17),'Second Earner'!$C$17))</f>
      </c>
      <c r="AS63" s="6">
        <f>IF($B63="","",IFERROR(LOOKUP(2,1/((('Changes — Earner 2'!$C$6:$C$17="State move")+('Changes — Earner 2'!$C$6:$C$17="State cert change"))*('Changes — Earner 2'!$B$6:$B$17&lt;=$B63)*('Changes — Earner 2'!$B$6:$B$17&lt;&gt;"")),'Changes — Earner 2'!$F$6:$F$17),'Second Earner'!$C$23))</f>
      </c>
      <c r="AT63" s="6">
        <f>IF($B63="","",IFERROR(LOOKUP(2,1/((('Changes — Earner 2'!$C$6:$C$17="State move")+('Changes — Earner 2'!$C$6:$C$17="State cert change"))*('Changes — Earner 2'!$B$6:$B$17&lt;=$B63)*('Changes — Earner 2'!$B$6:$B$17&lt;&gt;"")),'Changes — Earner 2'!$G$6:$G$17),'Second Earner'!$C$24))</f>
      </c>
      <c r="AU63">
        <f>IF($B63="","",IFERROR(LOOKUP(2,1/(('Changes — Earner 2'!$C$6:$C$17="State move")*('Changes — Earner 2'!$B$6:$B$17&lt;=$B63)*('Changes — Earner 2'!$B$6:$B$17&lt;&gt;"")),'Changes — Earner 2'!$E$6:$E$17),'Second Earner'!$C$22))</f>
      </c>
      <c r="AV63" s="6">
        <f>IF($B63="","",1+COUNTIFS('Changes — Earner 2'!$C$6:$C$17,"Employer change",'Changes — Earner 2'!$B$6:$B$17,"&lt;="&amp;$B63,'Changes — Earner 2'!$B$6:$B$17,"&lt;&gt;"))</f>
      </c>
      <c r="AW63" s="7">
        <f>IF($B63="","",IF($AV63=1,'Second Earner'!$C$49,IF(IFERROR(MATCH(IFERROR(LOOKUP(2,1/(('Changes — Earner 2'!$C$6:$C$17="Employer change")*('Changes — Earner 2'!$B$6:$B$17&lt;=$B63)*('Changes — Earner 2'!$B$6:$B$17&lt;&gt;"")),'Changes — Earner 2'!$B$6:$B$17),""),$B$6:$B$68,1),1)&lt;=1,'Second Earner'!$C$49,INDEX($AB$6:$AB$68,MATCH(IFERROR(LOOKUP(2,1/(('Changes — Earner 2'!$C$6:$C$17="Employer change")*('Changes — Earner 2'!$B$6:$B$17&lt;=$B63)*('Changes — Earner 2'!$B$6:$B$17&lt;&gt;"")),'Changes — Earner 2'!$B$6:$B$17),""),$B$6:$B$68,1)-1))))</f>
      </c>
      <c r="AX63" s="7">
        <f>IF($B63="","",IF($AV63=1,'Second Earner'!$C$49,IFERROR(LOOKUP(2,1/(('Changes — Earner 2'!$C$6:$C$17="Employer change")*('Changes — Earner 2'!$B$6:$B$17&lt;=$B63)*('Changes — Earner 2'!$B$6:$B$17&lt;&gt;"")),'Changes — Earner 2'!$D$6:$D$17),0)))</f>
      </c>
      <c r="AY63" s="7">
        <f>IF($B63="","",($O63-$D63)*'Second Earner'!$C$8)</f>
      </c>
      <c r="AZ63" s="7">
        <f>IF($B63="","",IF($AN63="AL",MAX(0,$AY63-IF($AU63="Married",IF($AY63&lt;=25999,8500,MAX(5000,8500-175*CEILING(($AY63-25999)/500,1))),IF($AU63="Head of household",IF($AY63&lt;=25999,5200,MAX(2500,5200-135*CEILING(($AY63-25999)/500,1))),IF($AY63&lt;=25999,3000,MAX(2500,3000-25*CEILING(($AY63-25999)/500,1)))))-($P63-'How This Works &amp; Sources'!$C$10*$D63)*'Second Earner'!$C$8-IF(OR($AU63="Married",$AU63="Head of household"),3000,1500)-$AT63*IF($AY63&lt;=50000,1000,IF($AY63&lt;=100000,500,300))),IF($AN63="AR",IF(MAX(0,$AY63-2470)&lt;97701,INT(MAX(0,$AY63-2470)/100)*100+50,MAX(0,$AY63-2470)),IF($AN63="DE",MAX(0,$AI63-3250),IF($AN63="HI",MAX(0,$AI63-1144*$AS63-4350),IF($AN63="KS",MAX(0,$AI63-(9160*IF($AU63="Married",2,1)+2320*$AT63+IF($AU63="Head of household",2320,0))),IF($AN63="MD",MAX(0,$AI63-3400-3200*$AS63),IF($AN63="MN",MAX(0,$AY63-5300*$AS63),IF($AN63="MO",MAX(0,$AI63-IF($AU63="Head of household",24150,IF($AU63="Married",IF('Second Earner'!$C$83,16100,32200),16100))),IF($AN63="MT",$AY63,IF($AN63="ND",($C63+$L63)*'Second Earner'!$C$8,IF($AN63="NE",MAX(0,$AY63-2440*$AS63),IF($AN63="NJ",MAX(0,$AY63-1000*$AS63),IF($AN63="NY",MAX(0,$AY63-(IF($AU63="Married",7950,7400)+1000*$AS63)),IF($AN63="OH",MAX(0,$AY63-650*$AS63),IF($AN63="OK",MAX(0,$AY63-1000*$AS63),IF($AN63="RI",MAX(0,$AI63-1000*$AS63),IF($AN63="SC",MAX(0,$AI63-5000*$AS63-IF($AS63=0,0,MIN(0.1*$AI63,7500))),IF($AN63="VA",MAX(0,$AI63-IF($AU63="Married",17500,8750)-930*$AS63-800*$AT63),IF($AN63="VT",MAX(0,$AI63-5400*$AS63),IF($AN63="WI",MAX(0,$AI63-MAX(0,IF($AU63="Married",9461-0.2*MAX(0,$AI63-25727),6702-0.12*MAX(0,$AI63-17780)))-400*$AS63),IF($AN63="WV",MAX(0,$AI63-2000*$AS63),$AI63))))))))))))))))))))))</f>
      </c>
      <c r="BA63" s="7">
        <f>IF($B63="","",IF($BW63&lt;&gt;"",$BW63,IF($BX63&lt;&gt;"",$BX63,IF($BY63&lt;&gt;"",$BY63,0))))</f>
      </c>
      <c r="BB63" s="7">
        <f>IF($B63="","",IF($AN63="AR",-29*$AS63,IF($AN63="DE",-110*$AS63,IF($AN63="MD",$AZ63*'Second Earner'!$C$74,IF($AN63="AZ",'Second Earner'!$C$82*($M63-$D63)*'Second Earner'!$C$8,IF($AN63="CO",0.044*MAX(0,$AY63-IF($AU63="Married",10000,5000)),IF($AN63="IA",MAX(0,0.038*MAX(0,$AY63-IF($AU63="Head of household",19500,IF($AU63="Married",26000,13000)))-40*$AS63),IF($AN63="ID",0.053*MAX(0,$AY63-IF($AU63="Married",32000,16094)),IF($AN63="IL",0.0495*MAX(0,$AY63-(2925*$AS63+1000*$AT63)),IF($AN63="IN",(0.0295+'Second Earner'!$C$76)*MAX(0,$AY63-(1000*$AS63+1500*$AT63+3000*'Second Earner'!$C$86)),IF($AN63="KY",0.035*MAX(0,$AI63-3360),IF($AN63="LA",IF('Second Earner'!$C$84="0",0.0309*$AI63,0.0309*MAX(0,$AI63-IF('Second Earner'!$C$84="2",25750,12875))),IF($AN63="MA",0.05*MIN(MAX(0,$AY63-MIN(($BD62+$Q63+$R63+$S63),2000)-IF($AS63=0,0,IF($AS63=1,4400,1000*$AS63+3400))),1107750)+0.09*MAX(0,MAX(0,$AY63-MIN(($BD62+$Q63+$R63+$S63),2000)-IF($AS63=0,0,IF($AS63=1,4400,1000*$AS63+3400)))-1107750)-IF($AU63="Head of household",120,0)-110*'Second Earner'!$C$75,IF($AN63="MI",0.0425*MAX(0,$AY63-5900*$AS63),IF($AN63="MS",0.04*MAX(0,$AI63-IF($AU63="Head of household",3400,IF($AU63="Married",4600,2300))-'Second Earner'!$C$85-10000),IF($AN63="OR",IF(OR($AU63="Married",AND($AU63="Single",$AS63&gt;=3)),SUMPRODUCT((MAX(0,$AY63-MIN(($P63-'How This Works &amp; Sources'!$C$10*$D63)*'Second Earner'!$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Sources'!$B$211:$J$214,0,4))*(MAX(0,$AY63-MIN(($P63-'How This Works &amp; Sources'!$C$10*$D63)*'Second Earner'!$C$8,IF(OR($AU63="Married",AND($AU63="Single",$AS63&gt;=3)),IF($AY63&lt;250000,8750,IF($AY63&lt;260000,7000,IF($AY63&lt;270000,5250,IF($AY63&lt;280000,3500,IF($AY63&lt;290000,1750,0))))),IF($AY63&lt;125000,8750,IF($AY63&lt;130000,7000,IF($AY63&lt;135000,5250,IF($AY63&lt;140000,3500,IF($AY63&lt;145000,1750,0)))))))-IF(OR($AU63="Married",AND($AU63="Single",$AS63&gt;=3)),5820,2910))-INDEX('How This Works &amp; Sources'!$B$211:$J$214,0,4))*INDEX('How This Works &amp; Sources'!$B$211:$J$214,0,4+2)),SUMPRODUCT((MAX(0,$AY63-MIN(($P63-'How This Works &amp; Sources'!$C$10*$D63)*'Second Earner'!$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Sources'!$B$211:$J$214,0,1))*(MAX(0,$AY63-MIN(($P63-'How This Works &amp; Sources'!$C$10*$D63)*'Second Earner'!$C$8,IF(OR($AU63="Married",AND($AU63="Single",$AS63&gt;=3)),IF($AY63&lt;250000,8750,IF($AY63&lt;260000,7000,IF($AY63&lt;270000,5250,IF($AY63&lt;280000,3500,IF($AY63&lt;290000,1750,0))))),IF($AY63&lt;125000,8750,IF($AY63&lt;130000,7000,IF($AY63&lt;135000,5250,IF($AY63&lt;140000,3500,IF($AY63&lt;145000,1750,0)))))))-IF(OR($AU63="Married",AND($AU63="Single",$AS63&gt;=3)),5820,2910))-INDEX('How This Works &amp; Sources'!$B$211:$J$214,0,1))*INDEX('How This Works &amp; Sources'!$B$211:$J$214,0,1+2)))+263-263*IF(IF($AU63="Married",$AY63&gt;200000,$AY63&gt;100000),0,$AS63),IF($AN63="PA",0.0307*(($O63+$E63+$G63)*'Second Earner'!$C$8),IF($AN63="NY",IF($AU63="Married",IF($AZ63&gt;=2155350,0,IF($AZ63&gt;=1077550,0.48,IF($AZ63&gt;=373200,1.21,IF($AZ63&gt;=323200,0.21,IF($AZ63&gt;=211550,-0.19,IF($AZ63&gt;=157650,-2.8,IF($AZ63&gt;=107650,-0.8,IF($AZ63&gt;=96800,0.05,IF($AZ63&gt;=80650,-0.1,IF($AZ63&gt;=13900,0.4,IF($AZ63&gt;=11700,-0.3,IF($AZ63&gt;=8500,0.5,0)))))))))))),IF($AZ63&gt;=1077550,0,IF($AZ63&gt;=265400,4.29,IF($AZ63&gt;=215400,2.29,IF($AZ63&gt;=157650,2.29,IF($AZ63&gt;=107650,0.29,IF($AZ63&gt;=96800,0.05,IF($AZ63&gt;=80650,-0.1,IF($AZ63&gt;=13900,0.4,IF($AZ63&gt;=11700,-0.3,IF($AZ63&gt;=8500,0.5,0))))))))))),0))))))))))))))))))</f>
      </c>
      <c r="BC63" s="7">
        <f>IF($B63="","",IF($AN63="AL",0.05*$D63,IF($AN63="AR",0.039*$D63,IF($AN63="ID",0.053*$D63,IF($AN63="IN",(0.0295+'Second Earner'!$C$76)*$D63,IF($AN63="KS",0.05*$D63,IF($AN63="MA",0.09*MIN($D63,MAX(0,MAX(0,$AY63-MIN(($BD62+$Q63+$R63+$S63),2000)-IF($AS63=0,0,IF($AS63=1,4400,1000*$AS63+3400)))+$D63-1107750))+0.05*($D63-MIN($D63,MAX(0,MAX(0,$AY63-MIN(($BD62+$Q63+$R63+$S63),2000)-IF($AS63=0,0,IF($AS63=1,4400,1000*$AS63+3400)))+$D63-1107750))),IF($AN63="MD",(0.065+'Second Earner'!$C$74)*$D63,IF($AN63="MI",0.0425*$D63,IF($AN63="MN",0.0625*$D63,IF($AN63="MO",0.047*$D63,IF($AN63="MT",0.05*$D63,IF($AN63="ND",0.015*$D63,IF($AN63="NE",0.035*$D63,IF($AN63="NJ",IF('Second Earner'!$C$77="B",SUMPRODUCT(($D63*'Second Earner'!$C$8&gt;INDEX('How This Works &amp; Sources'!$B$155:$J$162,0,4))*($D63*'Second Earner'!$C$8-INDEX('How This Works &amp; Sources'!$B$155:$J$162,0,4))*INDEX('How This Works &amp; Sources'!$B$155:$J$162,0,4+2)),IF('Second Earner'!$C$77="C",SUMPRODUCT(($D63*'Second Earner'!$C$8&gt;INDEX('How This Works &amp; Sources'!$B$155:$J$162,0,7))*($D63*'Second Earner'!$C$8-INDEX('How This Works &amp; Sources'!$B$155:$J$162,0,7))*INDEX('How This Works &amp; Sources'!$B$155:$J$162,0,7+2)),IF('Second Earner'!$C$77="D",SUMPRODUCT(($D63*'Second Earner'!$C$8&gt;INDEX('How This Works &amp; Sources'!$B$167:$J$179,0,1))*($D63*'Second Earner'!$C$8-INDEX('How This Works &amp; Sources'!$B$167:$J$179,0,1))*INDEX('How This Works &amp; Sources'!$B$167:$J$179,0,1+2)),IF('Second Earner'!$C$77="E",SUMPRODUCT(($D63*'Second Earner'!$C$8&gt;INDEX('How This Works &amp; Sources'!$B$167:$J$179,0,4))*($D63*'Second Earner'!$C$8-INDEX('How This Works &amp; Sources'!$B$167:$J$179,0,4))*INDEX('How This Works &amp; Sources'!$B$167:$J$179,0,4+2)),SUMPRODUCT(($D63*'Second Earner'!$C$8&gt;INDEX('How This Works &amp; Sources'!$B$155:$J$162,0,1))*($D63*'Second Earner'!$C$8-INDEX('How This Works &amp; Sources'!$B$155:$J$162,0,1))*INDEX('How This Works &amp; Sources'!$B$155:$J$162,0,1+2))))))/'Second Earner'!$C$8,IF($AN63="NY",0.117*$D63,IF($AN63="OH",0.0275*$D63,IF($AN63="OK",0.045*$D63,IF($AN63="OR",0.08*$D63,IF($AN63="WI",IF($AY63&lt;12760,0.0354,IF($AY63&lt;25520,0.0465,IF($AY63&lt;280950,0.053,0.0765)))*$D63,0))))))))))))))))))))</f>
      </c>
      <c r="BD63" s="7">
        <f>IF($B63="","",$BD62+$Q63+$R63+$S63)</f>
      </c>
      <c r="BE63" s="6">
        <f>IF($B63="",$BE62,$BE62+$BF63)</f>
      </c>
      <c r="BF63" s="6">
        <f>IF($B63="","",IF(AND(IF(YEAR(IF('Second Earner'!$C$7="Weekly",'Second Earner'!$C$9+7*(($BE62+1)-1),IF('Second Earner'!$C$7="Biweekly",'Second Earner'!$C$9+14*(($BE62+1)-1),IF('Second Earner'!$C$7="Semimonthly",DATE(YEAR('Second Earner'!$C$9),MONTH('Second Earner'!$C$9)+INT((($BE62+1)-1)/2),MIN(DAY('Second Earner'!$C$9),DAY(EOMONTH(DATE(YEAR('Second Earner'!$C$9),MONTH('Second Earner'!$C$9)+INT((($BE62+1)-1)/2),1),0))))+IF(MOD(($BE62+1)-1,2)=1,15,0),EDATE('Second Earner'!$C$9,($BE62+1)-1)))))&lt;&gt;'Second Earner'!$C$10,"",IF('Second Earner'!$C$7="Weekly",'Second Earner'!$C$9+7*(($BE62+1)-1),IF('Second Earner'!$C$7="Biweekly",'Second Earner'!$C$9+14*(($BE62+1)-1),IF('Second Earner'!$C$7="Semimonthly",DATE(YEAR('Second Earner'!$C$9),MONTH('Second Earner'!$C$9)+INT((($BE62+1)-1)/2),MIN(DAY('Second Earner'!$C$9),DAY(EOMONTH(DATE(YEAR('Second Earner'!$C$9),MONTH('Second Earner'!$C$9)+INT((($BE62+1)-1)/2),1),0))))+IF(MOD(($BE62+1)-1,2)=1,15,0),EDATE('Second Earner'!$C$9,($BE62+1)-1)))))&lt;&gt;"",$B63=IF(YEAR(IF('Second Earner'!$C$7="Weekly",'Second Earner'!$C$9+7*(($BE62+1)-1),IF('Second Earner'!$C$7="Biweekly",'Second Earner'!$C$9+14*(($BE62+1)-1),IF('Second Earner'!$C$7="Semimonthly",DATE(YEAR('Second Earner'!$C$9),MONTH('Second Earner'!$C$9)+INT((($BE62+1)-1)/2),MIN(DAY('Second Earner'!$C$9),DAY(EOMONTH(DATE(YEAR('Second Earner'!$C$9),MONTH('Second Earner'!$C$9)+INT((($BE62+1)-1)/2),1),0))))+IF(MOD(($BE62+1)-1,2)=1,15,0),EDATE('Second Earner'!$C$9,($BE62+1)-1)))))&lt;&gt;'Second Earner'!$C$10,"",IF('Second Earner'!$C$7="Weekly",'Second Earner'!$C$9+7*(($BE62+1)-1),IF('Second Earner'!$C$7="Biweekly",'Second Earner'!$C$9+14*(($BE62+1)-1),IF('Second Earner'!$C$7="Semimonthly",DATE(YEAR('Second Earner'!$C$9),MONTH('Second Earner'!$C$9)+INT((($BE62+1)-1)/2),MIN(DAY('Second Earner'!$C$9),DAY(EOMONTH(DATE(YEAR('Second Earner'!$C$9),MONTH('Second Earner'!$C$9)+INT((($BE62+1)-1)/2),1),0))))+IF(MOD(($BE62+1)-1,2)=1,15,0),EDATE('Second Earner'!$C$9,($BE62+1)-1)))))),1,0))</f>
      </c>
      <c r="BG63" s="7">
        <f>IF($B63="","",$BG62+$H63)</f>
      </c>
      <c r="BH63" s="7">
        <f>IF($B63="","",$BH62+$I63)</f>
      </c>
      <c r="BI63" s="7">
        <f>IF($B63="","",$BI62+$G63)</f>
      </c>
      <c r="BJ63" s="7">
        <f>IF($B63="","",IFERROR(LOOKUP(2,1/(((('Changes — Earner 2'!$C$6:$C$17="Deduction start"))*('Changes — Earner 2'!$D$6:$D$17="Health FSA"))*('Changes — Earner 2'!$B$6:$B$17&lt;=$B63)*('Changes — Earner 2'!$B$6:$B$17&lt;&gt;"")),'Changes — Earner 2'!$E$6:$E$17),'Second Earner'!$D$38))</f>
      </c>
      <c r="BK63" s="7">
        <f>IF($B63="","",IFERROR(LOOKUP(2,1/(((('Changes — Earner 2'!$C$6:$C$17="Deduction start"))*('Changes — Earner 2'!$D$6:$D$17="Dependent-care FSA"))*('Changes — Earner 2'!$B$6:$B$17&lt;=$B63)*('Changes — Earner 2'!$B$6:$B$17&lt;&gt;"")),'Changes — Earner 2'!$E$6:$E$17),'Second Earner'!$D$39))</f>
      </c>
      <c r="BL63" s="7">
        <f>IF($B63="","",IFERROR(LOOKUP(2,1/(((('Changes — Earner 2'!$C$6:$C$17="Deduction start")+('Changes — Earner 2'!$C$6:$C$17="Deduction stop"))*('Changes — Earner 2'!$D$6:$D$17="HSA"))*('Changes — Earner 2'!$B$6:$B$17&lt;=$B63)*('Changes — Earner 2'!$B$6:$B$17&lt;&gt;"")),'Changes — Earner 2'!$I$6:$I$17),'Second Earner'!$D$35))</f>
      </c>
      <c r="BM63" s="7">
        <f>IF($B63="","",IFERROR(LOOKUP(2,1/(((('Changes — Earner 2'!$C$6:$C$17="Deduction start")+('Changes — Earner 2'!$C$6:$C$17="Deduction stop"))*('Changes — Earner 2'!$D$6:$D$17="Premiums"))*('Changes — Earner 2'!$B$6:$B$17&lt;=$B63)*('Changes — Earner 2'!$B$6:$B$17&lt;&gt;"")),'Changes — Earner 2'!$I$6:$I$17),'Second Earner'!$D$40+'Second Earner'!$D$41+'Second Earner'!$D$42))</f>
      </c>
      <c r="BN63" s="7">
        <f>IF($B63="","",IFERROR(LOOKUP(2,1/(((('Changes — Earner 2'!$C$6:$C$17="Deduction start")+('Changes — Earner 2'!$C$6:$C$17="Deduction stop"))*('Changes — Earner 2'!$D$6:$D$17="Commuter"))*('Changes — Earner 2'!$B$6:$B$17&lt;=$B63)*('Changes — Earner 2'!$B$6:$B$17&lt;&gt;"")),'Changes — Earner 2'!$I$6:$I$17),'Second Earner'!$D$43))</f>
      </c>
      <c r="BO63" s="7">
        <f>IF($B63="","",IFERROR(LOOKUP(2,1/(((('Changes — Earner 2'!$C$6:$C$17="Deduction start")+('Changes — Earner 2'!$C$6:$C$17="Deduction stop"))*('Changes — Earner 2'!$D$6:$D$17="Other pre-tax"))*('Changes — Earner 2'!$B$6:$B$17&lt;=$B63)*('Changes — Earner 2'!$B$6:$B$17&lt;&gt;"")),'Changes — Earner 2'!$I$6:$I$17),'Second Earner'!$D$44))</f>
      </c>
      <c r="BP63" s="7">
        <f>IF($B63="","",IFERROR(LOOKUP(2,1/(((('Changes — Earner 2'!$C$6:$C$17="Deduction start")+('Changes — Earner 2'!$C$6:$C$17="Deduction stop"))*('Changes — Earner 2'!$D$6:$D$17="Other post-tax"))*('Changes — Earner 2'!$B$6:$B$17&lt;=$B63)*('Changes — Earner 2'!$B$6:$B$17&lt;&gt;"")),'Changes — Earner 2'!$I$6:$I$17),'Second Earner'!$D$45))</f>
      </c>
      <c r="BQ63" s="6">
        <f>IF($B63="","",IFERROR(LOOKUP(2,1/(((('Changes — Earner 2'!$C$6:$C$17="Deduction start")+('Changes — Earner 2'!$C$6:$C$17="Deduction stop"))*('Changes — Earner 2'!$D$6:$D$17="Health FSA"))*('Changes — Earner 2'!$B$6:$B$17&lt;=$B63)*('Changes — Earner 2'!$B$6:$B$17&lt;&gt;"")),'Changes — Earner 2'!$J$6:$J$17),0))</f>
      </c>
      <c r="BR63" s="6">
        <f>IF($B63="","",IFERROR(LOOKUP(2,1/(((('Changes — Earner 2'!$C$6:$C$17="Deduction start")+('Changes — Earner 2'!$C$6:$C$17="Deduction stop"))*('Changes — Earner 2'!$D$6:$D$17="Dependent-care FSA"))*('Changes — Earner 2'!$B$6:$B$17&lt;=$B63)*('Changes — Earner 2'!$B$6:$B$17&lt;&gt;"")),'Changes — Earner 2'!$J$6:$J$17),0))</f>
      </c>
      <c r="BS63" s="6">
        <f>IF($B63="","",IF(SUMPRODUCT(('Changes — Earner 2'!$C$6:$C$17="Deduction start")*('Changes — Earner 2'!$B$6:$B$17&lt;=$B63)*('Changes — Earner 2'!$B$6:$B$17&lt;&gt;"")*('Changes — Earner 2'!$D$6:$D$17="Health FSA"))&gt;0,1,0))</f>
      </c>
      <c r="BT63" s="6">
        <f>IF($B63="","",IF(SUMPRODUCT(('Changes — Earner 2'!$C$6:$C$17="Deduction start")*('Changes — Earner 2'!$B$6:$B$17&lt;=$B63)*('Changes — Earner 2'!$B$6:$B$17&lt;&gt;"")*('Changes — Earner 2'!$D$6:$D$17="Dependent-care FSA"))&gt;0,1,0))</f>
      </c>
      <c r="BU63" s="24">
        <f>IF($B63="","",IF('Second Earner'!$C$13,SUMPRODUCT(($AH63&gt;=INDEX('How This Works &amp; Sources'!$B$29:$J$36,0,IF('Second Earner'!$C$12="MFJ",1,IF('Second Earner'!$C$12="HoH",7,4))))*INDEX('How This Works &amp; Sources'!$B$29:$J$36,0,IF('Second Earner'!$C$12="MFJ",1,IF('Second Earner'!$C$12="HoH",7,4))+2)),SUMPRODUCT(($AH63&gt;=INDEX('How This Works &amp; Sources'!$B$19:$J$26,0,IF('Second Earner'!$C$12="MFJ",1,IF('Second Earner'!$C$12="HoH",7,4))))*INDEX('How This Works &amp; Sources'!$B$19:$J$26,0,IF('Second Earner'!$C$12="MFJ",1,IF('Second Earner'!$C$12="HoH",7,4))+2))))</f>
      </c>
      <c r="BV63" s="24">
        <f>IF($B63="","",IF($BZ63&lt;&gt;"",$BZ63,IF($CA63&lt;&gt;"",$CA63,IF($CB63&lt;&gt;"",$CB63,IF($CC63&lt;&gt;"",$CC63,0)))))</f>
      </c>
      <c r="BW63" s="7">
        <f>IF($B63="","",IF($AN63="AR",SUMPRODUCT(($AZ63&gt;INDEX('How This Works &amp; Sources'!$B$82:$J$86,0,7))*($AZ63-INDEX('How This Works &amp; Sources'!$B$82:$J$86,0,7))*INDEX('How This Works &amp; Sources'!$B$82:$J$86,0,7+2)),IF($AN63="MD",IF(OR($AU63="Married",$AU63="Head of household"),SUMPRODUCT(($AZ63&gt;INDEX('How This Works &amp; Sources'!$B$114:$J$120,0,1))*($AZ63-INDEX('How This Works &amp; Sources'!$B$114:$J$120,0,1))*INDEX('How This Works &amp; Sources'!$B$114:$J$120,0,1+2)),SUMPRODUCT(($AZ63&gt;INDEX('How This Works &amp; Sources'!$B$103:$J$109,0,7))*($AZ63-INDEX('How This Works &amp; Sources'!$B$103:$J$109,0,7))*INDEX('How This Works &amp; Sources'!$B$103:$J$109,0,7+2))),IF($AN63="MT",IF($AU63="Head of household",SUMPRODUCT(($AZ63&gt;INDEX('How This Works &amp; Sources'!$B$137:$J$139,0,1))*($AZ63-INDEX('How This Works &amp; Sources'!$B$137:$J$139,0,1))*INDEX('How This Works &amp; Sources'!$B$137:$J$139,0,1+2)),IF($AU63="Married",SUMPRODUCT(($AZ63&gt;INDEX('How This Works &amp; Sources'!$B$125:$J$132,0,7))*($AZ63-INDEX('How This Works &amp; Sources'!$B$125:$J$132,0,7))*INDEX('How This Works &amp; Sources'!$B$125:$J$132,0,7+2)),SUMPRODUCT(($AZ63&gt;INDEX('How This Works &amp; Sources'!$B$125:$J$132,0,4))*($AZ63-INDEX('How This Works &amp; Sources'!$B$125:$J$132,0,4))*INDEX('How This Works &amp; Sources'!$B$125:$J$132,0,4+2)))),IF($AN63="ND",IF($AU63="Head of household",SUMPRODUCT(($AZ63&gt;INDEX('How This Works &amp; Sources'!$B$144:$J$150,0,1))*($AZ63-INDEX('How This Works &amp; Sources'!$B$144:$J$150,0,1))*INDEX('How This Works &amp; Sources'!$B$144:$J$150,0,1+2)),IF($AU63="Married",SUMPRODUCT(($AZ63&gt;INDEX('How This Works &amp; Sources'!$B$137:$J$139,0,7))*($AZ63-INDEX('How This Works &amp; Sources'!$B$137:$J$139,0,7))*INDEX('How This Works &amp; Sources'!$B$137:$J$139,0,7+2)),SUMPRODUCT(($AZ63&gt;INDEX('How This Works &amp; Sources'!$B$137:$J$139,0,4))*($AZ63-INDEX('How This Works &amp; Sources'!$B$137:$J$139,0,4))*INDEX('How This Works &amp; Sources'!$B$137:$J$139,0,4+2)))),IF($AN63="NJ",IF('Second Earner'!$C$77="B",SUMPRODUCT(($AZ63&gt;INDEX('How This Works &amp; Sources'!$B$155:$J$162,0,4))*($AZ63-INDEX('How This Works &amp; Sources'!$B$155:$J$162,0,4))*INDEX('How This Works &amp; Sources'!$B$155:$J$162,0,4+2)),IF('Second Earner'!$C$77="C",SUMPRODUCT(($AZ63&gt;INDEX('How This Works &amp; Sources'!$B$155:$J$162,0,7))*($AZ63-INDEX('How This Works &amp; Sources'!$B$155:$J$162,0,7))*INDEX('How This Works &amp; Sources'!$B$155:$J$162,0,7+2)),IF('Second Earner'!$C$77="D",SUMPRODUCT(($AZ63&gt;INDEX('How This Works &amp; Sources'!$B$167:$J$179,0,1))*($AZ63-INDEX('How This Works &amp; Sources'!$B$167:$J$179,0,1))*INDEX('How This Works &amp; Sources'!$B$167:$J$179,0,1+2)),IF('Second Earner'!$C$77="E",SUMPRODUCT(($AZ63&gt;INDEX('How This Works &amp; Sources'!$B$167:$J$179,0,4))*($AZ63-INDEX('How This Works &amp; Sources'!$B$167:$J$179,0,4))*INDEX('How This Works &amp; Sources'!$B$167:$J$179,0,4+2)),SUMPRODUCT(($AZ63&gt;INDEX('How This Works &amp; Sources'!$B$155:$J$162,0,1))*($AZ63-INDEX('How This Works &amp; Sources'!$B$155:$J$162,0,1))*INDEX('How This Works &amp; Sources'!$B$155:$J$162,0,1+2)))))),IF($AN63="NY",IF($AU63="Married",IF($AZ63&gt;=2155350,$AZ63*IF($AZ63&gt;25000000,0.117,IF($AZ63&gt;5000000,0.111,0.1045)),SUMPRODUCT(($AZ63&gt;INDEX('How This Works &amp; Sources'!$B$184:$J$198,0,1))*($AZ63-INDEX('How This Works &amp; Sources'!$B$184:$J$198,0,1))*INDEX('How This Works &amp; Sources'!$B$184:$J$198,0,1+2))),IF($AZ63&gt;=1077550,$AZ63*IF($AZ63&gt;25000000,0.117,IF($AZ63&gt;5000000,0.111,0.1045)),SUMPRODUCT(($AZ63&gt;INDEX('How This Works &amp; Sources'!$B$167:$J$179,0,7))*($AZ63-INDEX('How This Works &amp; Sources'!$B$167:$J$179,0,7))*INDEX('How This Works &amp; Sources'!$B$167:$J$179,0,7+2)))),"")))))))</f>
      </c>
      <c r="BX63" s="7">
        <f>IF($B63="","",IF($AN63="AL",IF(OR($AU63="Married",$AU63="Head of household"),SUMPRODUCT(($AZ63&gt;INDEX('How This Works &amp; Sources'!$B$82:$J$86,0,4))*($AZ63-INDEX('How This Works &amp; Sources'!$B$82:$J$86,0,4))*INDEX('How This Works &amp; Sources'!$B$82:$J$86,0,4+2)),SUMPRODUCT(($AZ63&gt;INDEX('How This Works &amp; Sources'!$B$82:$J$86,0,1))*($AZ63-INDEX('How This Works &amp; Sources'!$B$82:$J$86,0,1))*INDEX('How This Works &amp; Sources'!$B$82:$J$86,0,1+2))),IF($AN63="KS",IF($AU63="Married",SUMPRODUCT(($AZ63&gt;INDEX('How This Works &amp; Sources'!$B$103:$J$109,0,4))*($AZ63-INDEX('How This Works &amp; Sources'!$B$103:$J$109,0,4))*INDEX('How This Works &amp; Sources'!$B$103:$J$109,0,4+2)),SUMPRODUCT(($AZ63&gt;INDEX('How This Works &amp; Sources'!$B$103:$J$109,0,1))*($AZ63-INDEX('How This Works &amp; Sources'!$B$103:$J$109,0,1))*INDEX('How This Works &amp; Sources'!$B$103:$J$109,0,1+2))),IF($AN63="MN",IF($AU63="Married",SUMPRODUCT(($AZ63&gt;INDEX('How This Works &amp; Sources'!$B$114:$J$120,0,7))*($AZ63-INDEX('How This Works &amp; Sources'!$B$114:$J$120,0,7))*INDEX('How This Works &amp; Sources'!$B$114:$J$120,0,7+2)),SUMPRODUCT(($AZ63&gt;INDEX('How This Works &amp; Sources'!$B$114:$J$120,0,4))*($AZ63-INDEX('How This Works &amp; Sources'!$B$114:$J$120,0,4))*INDEX('How This Works &amp; Sources'!$B$114:$J$120,0,4+2))),IF($AN63="MO",SUMPRODUCT(($AZ63&gt;INDEX('How This Works &amp; Sources'!$B$125:$J$132,0,1))*($AZ63-INDEX('How This Works &amp; Sources'!$B$125:$J$132,0,1))*INDEX('How This Works &amp; Sources'!$B$125:$J$132,0,1+2)),IF($AN63="NE",MAX(IF($AU63="Married",SUMPRODUCT(($AZ63&gt;INDEX('How This Works &amp; Sources'!$B$144:$J$150,0,7))*($AZ63-INDEX('How This Works &amp; Sources'!$B$144:$J$150,0,7))*INDEX('How This Works &amp; Sources'!$B$144:$J$150,0,7+2)),SUMPRODUCT(($AZ63&gt;INDEX('How This Works &amp; Sources'!$B$144:$J$150,0,4))*($AZ63-INDEX('How This Works &amp; Sources'!$B$144:$J$150,0,4))*INDEX('How This Works &amp; Sources'!$B$144:$J$150,0,4+2))),0.015*$AZ63),IF($AN63="OH",IF($B63&gt;=DATE(2026,8,1),SUMPRODUCT(($AZ63&gt;INDEX('How This Works &amp; Sources'!$B$203:$J$206,0,1))*($AZ63-INDEX('How This Works &amp; Sources'!$B$203:$J$206,0,1))*INDEX('How This Works &amp; Sources'!$B$203:$J$206,0,1+2)),SUMPRODUCT(($AZ63&gt;INDEX('How This Works &amp; Sources'!$B$184:$J$198,0,7))*($AZ63-INDEX('How This Works &amp; Sources'!$B$184:$J$198,0,7))*INDEX('How This Works &amp; Sources'!$B$184:$J$198,0,7+2))),IF($AN63="OK",IF($AU63="Married",SUMPRODUCT(($AZ63&gt;INDEX('How This Works &amp; Sources'!$B$203:$J$206,0,7))*($AZ63-INDEX('How This Works &amp; Sources'!$B$203:$J$206,0,7))*INDEX('How This Works &amp; Sources'!$B$203:$J$206,0,7+2)),SUMPRODUCT(($AZ63&gt;INDEX('How This Works &amp; Sources'!$B$203:$J$206,0,4))*($AZ63-INDEX('How This Works &amp; Sources'!$B$203:$J$206,0,4))*INDEX('How This Works &amp; Sources'!$B$203:$J$206,0,4+2))),IF($AN63="VT",IF($AU63="Married",SUMPRODUCT(($AZ63&gt;INDEX('How This Works &amp; Sources'!$B$228:$J$232,0,1))*($AZ63-INDEX('How This Works &amp; Sources'!$B$228:$J$232,0,1))*INDEX('How This Works &amp; Sources'!$B$228:$J$232,0,1+2)),SUMPRODUCT(($AZ63&gt;INDEX('How This Works &amp; Sources'!$B$219:$J$223,0,7))*($AZ63-INDEX('How This Works &amp; Sources'!$B$219:$J$223,0,7))*INDEX('How This Works &amp; Sources'!$B$219:$J$223,0,7+2))),IF($AN63="WV",IF($AU63="Married",SUMPRODUCT(($AZ63&gt;INDEX('How This Works &amp; Sources'!$B$237:$J$241,0,7))*($AZ63-INDEX('How This Works &amp; Sources'!$B$237:$J$241,0,7))*INDEX('How This Works &amp; Sources'!$B$237:$J$241,0,7+2)),SUMPRODUCT(($AZ63&gt;INDEX('How This Works &amp; Sources'!$B$228:$J$232,0,7))*($AZ63-INDEX('How This Works &amp; Sources'!$B$228:$J$232,0,7))*INDEX('How This Works &amp; Sources'!$B$228:$J$232,0,7+2))),""))))))))))</f>
      </c>
      <c r="BY63" s="7">
        <f>IF($B63="","",IF($AN63="DE",SUMPRODUCT(($AZ63&gt;INDEX('How This Works &amp; Sources'!$B$91:$J$98,0,1))*($AZ63-INDEX('How This Works &amp; Sources'!$B$91:$J$98,0,1))*INDEX('How This Works &amp; Sources'!$B$91:$J$98,0,1+2)),IF($AN63="HI",IF($AU63="Married",SUMPRODUCT(($AZ63&gt;INDEX('How This Works &amp; Sources'!$B$91:$J$98,0,7))*($AZ63-INDEX('How This Works &amp; Sources'!$B$91:$J$98,0,7))*INDEX('How This Works &amp; Sources'!$B$91:$J$98,0,7+2)),SUMPRODUCT(($AZ63&gt;INDEX('How This Works &amp; Sources'!$B$91:$J$98,0,4))*($AZ63-INDEX('How This Works &amp; Sources'!$B$91:$J$98,0,4))*INDEX('How This Works &amp; Sources'!$B$91:$J$98,0,4+2))),IF($AN63="RI",SUMPRODUCT(($AZ63&gt;INDEX('How This Works &amp; Sources'!$B$211:$J$214,0,7))*($AZ63-INDEX('How This Works &amp; Sources'!$B$211:$J$214,0,7))*INDEX('How This Works &amp; Sources'!$B$211:$J$214,0,7+2)),IF($AN63="SC",SUMPRODUCT(($AZ63&gt;INDEX('How This Works &amp; Sources'!$B$219:$J$223,0,1))*($AZ63-INDEX('How This Works &amp; Sources'!$B$219:$J$223,0,1))*INDEX('How This Works &amp; Sources'!$B$219:$J$223,0,1+2)),IF($AN63="VA",SUMPRODUCT(($AZ63&gt;INDEX('How This Works &amp; Sources'!$B$219:$J$223,0,4))*($AZ63-INDEX('How This Works &amp; Sources'!$B$219:$J$223,0,4))*INDEX('How This Works &amp; Sources'!$B$219:$J$223,0,4+2)),IF($AN63="WI",SUMPRODUCT(($AZ63&gt;INDEX('How This Works &amp; Sources'!$B$228:$J$232,0,4))*($AZ63-INDEX('How This Works &amp; Sources'!$B$228:$J$232,0,4))*INDEX('How This Works &amp; Sources'!$B$228:$J$232,0,4+2)),"")))))))</f>
      </c>
      <c r="BZ63" s="24">
        <f>IF($B63="","",IF($AN63="KS",IF($AU63="Married",SUMPRODUCT(($AZ63&gt;=INDEX('How This Works &amp; Sources'!$B$103:$J$109,0,4))*INDEX('How This Works &amp; Sources'!$B$103:$J$109,0,4+2)),SUMPRODUCT(($AZ63&gt;=INDEX('How This Works &amp; Sources'!$B$103:$J$109,0,1))*INDEX('How This Works &amp; Sources'!$B$103:$J$109,0,1+2))),IF($AN63="MT",IF($AU63="Head of household",SUMPRODUCT(($AZ63&gt;=INDEX('How This Works &amp; Sources'!$B$137:$J$139,0,1))*INDEX('How This Works &amp; Sources'!$B$137:$J$139,0,1+2)),IF($AU63="Married",SUMPRODUCT(($AZ63&gt;=INDEX('How This Works &amp; Sources'!$B$125:$J$132,0,7))*INDEX('How This Works &amp; Sources'!$B$125:$J$132,0,7+2)),SUMPRODUCT(($AZ63&gt;=INDEX('How This Works &amp; Sources'!$B$125:$J$132,0,4))*INDEX('How This Works &amp; Sources'!$B$125:$J$132,0,4+2)))),IF($AN63="OR",IF(OR($AU63="Married",AND($AU63="Single",$AS63&gt;=3)),SUMPRODUCT((MAX(0,$AY63-MIN(($P63-'How This Works &amp; Sources'!$C$10*$D63)*'Second Earner'!$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Sources'!$B$211:$J$214,0,4))*INDEX('How This Works &amp; Sources'!$B$211:$J$214,0,4+2)),SUMPRODUCT((MAX(0,$AY63-MIN(($P63-'How This Works &amp; Sources'!$C$10*$D63)*'Second Earner'!$C$8,IF(OR($AU63="Married",AND($AU63="Single",$AS63&gt;=3)),IF($AY63&lt;250000,8750,IF($AY63&lt;260000,7000,IF($AY63&lt;270000,5250,IF($AY63&lt;280000,3500,IF($AY63&lt;290000,1750,0))))),IF($AY63&lt;125000,8750,IF($AY63&lt;130000,7000,IF($AY63&lt;135000,5250,IF($AY63&lt;140000,3500,IF($AY63&lt;145000,1750,0)))))))-IF(OR($AU63="Married",AND($AU63="Single",$AS63&gt;=3)),5820,2910))&gt;=INDEX('How This Works &amp; Sources'!$B$211:$J$214,0,1))*INDEX('How This Works &amp; Sources'!$B$211:$J$214,0,1+2)))*IF(($P63-'How This Works &amp; Sources'!$C$10*$D63)*'Second Earner'!$C$8&gt;=IF(OR($AU63="Married",AND($AU63="Single",$AS63&gt;=3)),IF($AY63&lt;250000,8750,IF($AY63&lt;260000,7000,IF($AY63&lt;270000,5250,IF($AY63&lt;280000,3500,IF($AY63&lt;290000,1750,0))))),IF($AY63&lt;125000,8750,IF($AY63&lt;130000,7000,IF($AY63&lt;135000,5250,IF($AY63&lt;140000,3500,IF($AY63&lt;145000,1750,0)))))),1,1-IF('Second Earner'!$C$13,SUMPRODUCT(($AH63&gt;=INDEX('How This Works &amp; Sources'!$B$29:$J$36,0,IF('Second Earner'!$C$12="MFJ",1,IF('Second Earner'!$C$12="HoH",7,4))))*INDEX('How This Works &amp; Sources'!$B$29:$J$36,0,IF('Second Earner'!$C$12="MFJ",1,IF('Second Earner'!$C$12="HoH",7,4))+2)),SUMPRODUCT(($AH63&gt;=INDEX('How This Works &amp; Sources'!$B$19:$J$26,0,IF('Second Earner'!$C$12="MFJ",1,IF('Second Earner'!$C$12="HoH",7,4))))*INDEX('How This Works &amp; Sources'!$B$19:$J$26,0,IF('Second Earner'!$C$12="MFJ",1,IF('Second Earner'!$C$12="HoH",7,4))+2)))),""))))</f>
      </c>
      <c r="CA63" s="24">
        <f>IF($B63="","",IF($AN63="CA",SUMPRODUCT(($AJ63&gt;=INDEX('How This Works &amp; Sources'!$B$39:$J$48,0,IF($AU63="Married",4,IF($AU63="Head of household",7,1))))*INDEX('How This Works &amp; Sources'!$B$39:$J$48,0,IF($AU63="Married",4,IF($AU63="Head of household",7,1))+2)),IF($AN63="AL",IF(OR($AU63="Married",$AU63="Head of household"),SUMPRODUCT(($AZ63&gt;=INDEX('How This Works &amp; Sources'!$B$82:$J$86,0,4))*INDEX('How This Works &amp; Sources'!$B$82:$J$86,0,4+2)),SUMPRODUCT(($AZ63&gt;=INDEX('How This Works &amp; Sources'!$B$82:$J$86,0,1))*INDEX('How This Works &amp; Sources'!$B$82:$J$86,0,1+2)))*(1-IF('Second Earner'!$C$13,SUMPRODUCT(($AH63&gt;=INDEX('How This Works &amp; Sources'!$B$29:$J$36,0,IF('Second Earner'!$C$12="MFJ",1,IF('Second Earner'!$C$12="HoH",7,4))))*INDEX('How This Works &amp; Sources'!$B$29:$J$36,0,IF('Second Earner'!$C$12="MFJ",1,IF('Second Earner'!$C$12="HoH",7,4))+2)),SUMPRODUCT(($AH63&gt;=INDEX('How This Works &amp; Sources'!$B$19:$J$26,0,IF('Second Earner'!$C$12="MFJ",1,IF('Second Earner'!$C$12="HoH",7,4))))*INDEX('How This Works &amp; Sources'!$B$19:$J$26,0,IF('Second Earner'!$C$12="MFJ",1,IF('Second Earner'!$C$12="HoH",7,4))+2)))),IF($AN63="ND",IF($AU63="Head of household",SUMPRODUCT(($AZ63&gt;=INDEX('How This Works &amp; Sources'!$B$144:$J$150,0,1))*INDEX('How This Works &amp; Sources'!$B$144:$J$150,0,1+2)),IF($AU63="Married",SUMPRODUCT(($AZ63&gt;=INDEX('How This Works &amp; Sources'!$B$137:$J$139,0,7))*INDEX('How This Works &amp; Sources'!$B$137:$J$139,0,7+2)),SUMPRODUCT(($AZ63&gt;=INDEX('How This Works &amp; Sources'!$B$137:$J$139,0,4))*INDEX('How This Works &amp; Sources'!$B$137:$J$139,0,4+2)))),IF($AN63="NJ",IF('Second Earner'!$C$77="B",SUMPRODUCT(($AZ63&gt;=INDEX('How This Works &amp; Sources'!$B$155:$J$162,0,4))*INDEX('How This Works &amp; Sources'!$B$155:$J$162,0,4+2)),IF('Second Earner'!$C$77="C",SUMPRODUCT(($AZ63&gt;=INDEX('How This Works &amp; Sources'!$B$155:$J$162,0,7))*INDEX('How This Works &amp; Sources'!$B$155:$J$162,0,7+2)),IF('Second Earner'!$C$77="D",SUMPRODUCT(($AZ63&gt;=INDEX('How This Works &amp; Sources'!$B$167:$J$179,0,1))*INDEX('How This Works &amp; Sources'!$B$167:$J$179,0,1+2)),IF('Second Earner'!$C$77="E",SUMPRODUCT(($AZ63&gt;=INDEX('How This Works &amp; Sources'!$B$167:$J$179,0,4))*INDEX('How This Works &amp; Sources'!$B$167:$J$179,0,4+2)),SUMPRODUCT(($AZ63&gt;=INDEX('How This Works &amp; Sources'!$B$155:$J$162,0,1))*INDEX('How This Works &amp; Sources'!$B$155:$J$162,0,1+2)))))),IF($AN63="NY",IF($AU63="Married",IF($AZ63&gt;=2155350,IF($AZ63&gt;25000000,0.117,IF($AZ63&gt;5000000,0.111,0.1045)),SUMPRODUCT(($AZ63&gt;=INDEX('How This Works &amp; Sources'!$B$184:$J$198,0,1))*INDEX('How This Works &amp; Sources'!$B$184:$J$198,0,1+2))),IF($AZ63&gt;=1077550,IF($AZ63&gt;25000000,0.117,IF($AZ63&gt;5000000,0.111,0.1045)),SUMPRODUCT(($AZ63&gt;=INDEX('How This Works &amp; Sources'!$B$167:$J$179,0,7))*INDEX('How This Works &amp; Sources'!$B$167:$J$179,0,7+2)))),IF($AN63="LA",0.0309,"")))))))</f>
      </c>
      <c r="CB63" s="24">
        <f>IF($B63="","",IF($AN63="HI",IF($AU63="Married",SUMPRODUCT(($AZ63&gt;=INDEX('How This Works &amp; Sources'!$B$91:$J$98,0,7))*INDEX('How This Works &amp; Sources'!$B$91:$J$98,0,7+2)),SUMPRODUCT(($AZ63&gt;=INDEX('How This Works &amp; Sources'!$B$91:$J$98,0,4))*INDEX('How This Works &amp; Sources'!$B$91:$J$98,0,4+2))),IF($AN63="MD",IF(OR($AU63="Married",$AU63="Head of household"),SUMPRODUCT(($AZ63&gt;=INDEX('How This Works &amp; Sources'!$B$114:$J$120,0,1))*INDEX('How This Works &amp; Sources'!$B$114:$J$120,0,1+2)),SUMPRODUCT(($AZ63&gt;=INDEX('How This Works &amp; Sources'!$B$103:$J$109,0,7))*INDEX('How This Works &amp; Sources'!$B$103:$J$109,0,7+2)))+'Second Earner'!$C$74,IF($AN63="MN",IF($AU63="Married",SUMPRODUCT(($AZ63&gt;=INDEX('How This Works &amp; Sources'!$B$114:$J$120,0,7))*INDEX('How This Works &amp; Sources'!$B$114:$J$120,0,7+2)),SUMPRODUCT(($AZ63&gt;=INDEX('How This Works &amp; Sources'!$B$114:$J$120,0,4))*INDEX('How This Works &amp; Sources'!$B$114:$J$120,0,4+2))),IF($AN63="MO",SUMPRODUCT(($AZ63&gt;=INDEX('How This Works &amp; Sources'!$B$125:$J$132,0,1))*INDEX('How This Works &amp; Sources'!$B$125:$J$132,0,1+2)),IF($AN63="NE",MAX(IF($AU63="Married",SUMPRODUCT(($AZ63&gt;=INDEX('How This Works &amp; Sources'!$B$144:$J$150,0,7))*INDEX('How This Works &amp; Sources'!$B$144:$J$150,0,7+2)),SUMPRODUCT(($AZ63&gt;=INDEX('How This Works &amp; Sources'!$B$144:$J$150,0,4))*INDEX('How This Works &amp; Sources'!$B$144:$J$150,0,4+2))),0.015),IF($AN63="OH",IF($B63&gt;=DATE(2026,8,1),SUMPRODUCT(($AZ63&gt;=INDEX('How This Works &amp; Sources'!$B$203:$J$206,0,1))*INDEX('How This Works &amp; Sources'!$B$203:$J$206,0,1+2)),SUMPRODUCT(($AZ63&gt;=INDEX('How This Works &amp; Sources'!$B$184:$J$198,0,7))*INDEX('How This Works &amp; Sources'!$B$184:$J$198,0,7+2))),IF($AN63="OK",IF($AU63="Married",SUMPRODUCT(($AZ63&gt;=INDEX('How This Works &amp; Sources'!$B$203:$J$206,0,7))*INDEX('How This Works &amp; Sources'!$B$203:$J$206,0,7+2)),SUMPRODUCT(($AZ63&gt;=INDEX('How This Works &amp; Sources'!$B$203:$J$206,0,4))*INDEX('How This Works &amp; Sources'!$B$203:$J$206,0,4+2))),IF($AN63="RI",SUMPRODUCT(($AZ63&gt;=INDEX('How This Works &amp; Sources'!$B$211:$J$214,0,7))*INDEX('How This Works &amp; Sources'!$B$211:$J$214,0,7+2)),IF($AN63="VT",IF($AU63="Married",SUMPRODUCT(($AZ63&gt;=INDEX('How This Works &amp; Sources'!$B$228:$J$232,0,1))*INDEX('How This Works &amp; Sources'!$B$228:$J$232,0,1+2)),SUMPRODUCT(($AZ63&gt;=INDEX('How This Works &amp; Sources'!$B$219:$J$223,0,7))*INDEX('How This Works &amp; Sources'!$B$219:$J$223,0,7+2))),IF($AN63="WV",IF($AU63="Married",SUMPRODUCT(($AZ63&gt;=INDEX('How This Works &amp; Sources'!$B$237:$J$241,0,7))*INDEX('How This Works &amp; Sources'!$B$237:$J$241,0,7+2)),SUMPRODUCT(($AZ63&gt;=INDEX('How This Works &amp; Sources'!$B$228:$J$232,0,7))*INDEX('How This Works &amp; Sources'!$B$228:$J$232,0,7+2))),IF($AN63="AZ",'Second Earner'!$C$82,IF($AN63="ID",IF($AY63&gt;IF($AU63="Married",32000,16094),0.053,0),"")))))))))))))</f>
      </c>
      <c r="CC63" s="24">
        <f>IF($B63="","",IF($AN63="AR",SUMPRODUCT(($AZ63&gt;=INDEX('How This Works &amp; Sources'!$B$82:$J$86,0,7))*INDEX('How This Works &amp; Sources'!$B$82:$J$86,0,7+2)),IF($AN63="DE",SUMPRODUCT(($AZ63&gt;=INDEX('How This Works &amp; Sources'!$B$91:$J$98,0,1))*INDEX('How This Works &amp; Sources'!$B$91:$J$98,0,1+2)),IF($AN63="SC",SUMPRODUCT(($AZ63&gt;=INDEX('How This Works &amp; Sources'!$B$219:$J$223,0,1))*INDEX('How This Works &amp; Sources'!$B$219:$J$223,0,1+2)),IF($AN63="VA",SUMPRODUCT(($AZ63&gt;=INDEX('How This Works &amp; Sources'!$B$219:$J$223,0,4))*INDEX('How This Works &amp; Sources'!$B$219:$J$223,0,4+2)),IF($AN63="WI",SUMPRODUCT(($AZ63&gt;=INDEX('How This Works &amp; Sources'!$B$228:$J$232,0,4))*INDEX('How This Works &amp; Sources'!$B$228:$J$232,0,4+2)),IF($AN63="CO",IF($AY63&gt;IF($AU63="Married",10000,5000),0.044,0),IF($AN63="IA",IF($AY63&gt;IF($AU63="Head of household",19500,IF($AU63="Married",26000,13000)),0.038,0),IF($AN63="IL",IF($AY63&gt;(2925*$AS63+1000*$AT63),0.0495,0),IF($AN63="IN",(0.0295+'Second Earner'!$C$76),IF($AN63="KY",IF($AI63&gt;3360,0.035,0),IF($AN63="MA",IF(MAX(0,$AY63-MIN(($BD62+$Q63+$R63+$S63),2000)-IF($AS63=0,0,IF($AS63=1,4400,1000*$AS63+3400)))&gt;=1107750,0.09,0.05),IF($AN63="MI",IF($AY63&gt;5900*$AS63,0.0425,0),IF($AN63="MS",IF($AI63-IF($AU63="Head of household",3400,IF($AU63="Married",4600,2300))-'Second Earner'!$C$85&gt;10000,0.04,0),IF($AN63="PA",0.0307,"")))))))))))))))</f>
      </c>
      <c r="CD63" s="21">
        <f>IF(YEAR(IF('Second Earner'!$C$7="Weekly",'Second Earner'!$C$9+7*(($BE62+1)-1),IF('Second Earner'!$C$7="Biweekly",'Second Earner'!$C$9+14*(($BE62+1)-1),IF('Second Earner'!$C$7="Semimonthly",DATE(YEAR('Second Earner'!$C$9),MONTH('Second Earner'!$C$9)+INT((($BE62+1)-1)/2),MIN(DAY('Second Earner'!$C$9),DAY(EOMONTH(DATE(YEAR('Second Earner'!$C$9),MONTH('Second Earner'!$C$9)+INT((($BE62+1)-1)/2),1),0))))+IF(MOD(($BE62+1)-1,2)=1,15,0),EDATE('Second Earner'!$C$9,($BE62+1)-1)))))&lt;&gt;'Second Earner'!$C$10,"",IF('Second Earner'!$C$7="Weekly",'Second Earner'!$C$9+7*(($BE62+1)-1),IF('Second Earner'!$C$7="Biweekly",'Second Earner'!$C$9+14*(($BE62+1)-1),IF('Second Earner'!$C$7="Semimonthly",DATE(YEAR('Second Earner'!$C$9),MONTH('Second Earner'!$C$9)+INT((($BE62+1)-1)/2),MIN(DAY('Second Earner'!$C$9),DAY(EOMONTH(DATE(YEAR('Second Earner'!$C$9),MONTH('Second Earner'!$C$9)+INT((($BE62+1)-1)/2),1),0))))+IF(MOD(($BE62+1)-1,2)=1,15,0),EDATE('Second Earner'!$C$9,($BE62+1)-1)))))</f>
      </c>
      <c r="CE63" s="21">
        <f>IF(MIN(IF(AND('Second Earner'!$C$58&gt;MAX($B$6:$B62),'Second Earner'!$C$58&gt;=DATE('Second Earner'!$C$10,1,1),'Second Earner'!$C$58&lt;=DATE('Second Earner'!$C$10,12,31)),'Second Earner'!$C$58,999999),IF(AND('Second Earner'!$C$59&gt;MAX($B$6:$B62),'Second Earner'!$C$59&gt;=DATE('Second Earner'!$C$10,1,1),'Second Earner'!$C$59&lt;=DATE('Second Earner'!$C$10,12,31)),'Second Earner'!$C$59,999999),IF(AND('Second Earner'!$C$60&gt;MAX($B$6:$B62),'Second Earner'!$C$60&gt;=DATE('Second Earner'!$C$10,1,1),'Second Earner'!$C$60&lt;=DATE('Second Earner'!$C$10,12,31)),'Second Earner'!$C$60,999999),IF(AND('Second Earner'!$C$61&gt;MAX($B$6:$B62),'Second Earner'!$C$61&gt;=DATE('Second Earner'!$C$10,1,1),'Second Earner'!$C$61&lt;=DATE('Second Earner'!$C$10,12,31)),'Second Earner'!$C$61,999999),IF(AND('Second Earner'!$C$62&gt;MAX($B$6:$B62),'Second Earner'!$C$62&gt;=DATE('Second Earner'!$C$10,1,1),'Second Earner'!$C$62&lt;=DATE('Second Earner'!$C$10,12,31)),'Second Earner'!$C$62,999999),IF(AND('Second Earner'!$C$63&gt;MAX($B$6:$B62),'Second Earner'!$C$63&gt;=DATE('Second Earner'!$C$10,1,1),'Second Earner'!$C$63&lt;=DATE('Second Earner'!$C$10,12,31)),'Second Earner'!$C$63,999999),IF(AND('Second Earner'!$C$64&gt;MAX($B$6:$B62),'Second Earner'!$C$64&gt;=DATE('Second Earner'!$C$10,1,1),'Second Earner'!$C$64&lt;=DATE('Second Earner'!$C$10,12,31)),'Second Earner'!$C$64,999999),IF(AND('Second Earner'!$C$65&gt;MAX($B$6:$B62),'Second Earner'!$C$65&gt;=DATE('Second Earner'!$C$10,1,1),'Second Earner'!$C$65&lt;=DATE('Second Earner'!$C$10,12,31)),'Second Earner'!$C$65,999999),IF(AND('Second Earner'!$C$66&gt;MAX($B$6:$B62),'Second Earner'!$C$66&gt;=DATE('Second Earner'!$C$10,1,1),'Second Earner'!$C$66&lt;=DATE('Second Earner'!$C$10,12,31)),'Second Earner'!$C$66,999999),IF(AND('Second Earner'!$C$67&gt;MAX($B$6:$B62),'Second Earner'!$C$67&gt;=DATE('Second Earner'!$C$10,1,1),'Second Earner'!$C$67&lt;=DATE('Second Earner'!$C$10,12,31)),'Second Earner'!$C$67,999999))=999999,"",MIN(IF(AND('Second Earner'!$C$58&gt;MAX($B$6:$B62),'Second Earner'!$C$58&gt;=DATE('Second Earner'!$C$10,1,1),'Second Earner'!$C$58&lt;=DATE('Second Earner'!$C$10,12,31)),'Second Earner'!$C$58,999999),IF(AND('Second Earner'!$C$59&gt;MAX($B$6:$B62),'Second Earner'!$C$59&gt;=DATE('Second Earner'!$C$10,1,1),'Second Earner'!$C$59&lt;=DATE('Second Earner'!$C$10,12,31)),'Second Earner'!$C$59,999999),IF(AND('Second Earner'!$C$60&gt;MAX($B$6:$B62),'Second Earner'!$C$60&gt;=DATE('Second Earner'!$C$10,1,1),'Second Earner'!$C$60&lt;=DATE('Second Earner'!$C$10,12,31)),'Second Earner'!$C$60,999999),IF(AND('Second Earner'!$C$61&gt;MAX($B$6:$B62),'Second Earner'!$C$61&gt;=DATE('Second Earner'!$C$10,1,1),'Second Earner'!$C$61&lt;=DATE('Second Earner'!$C$10,12,31)),'Second Earner'!$C$61,999999),IF(AND('Second Earner'!$C$62&gt;MAX($B$6:$B62),'Second Earner'!$C$62&gt;=DATE('Second Earner'!$C$10,1,1),'Second Earner'!$C$62&lt;=DATE('Second Earner'!$C$10,12,31)),'Second Earner'!$C$62,999999),IF(AND('Second Earner'!$C$63&gt;MAX($B$6:$B62),'Second Earner'!$C$63&gt;=DATE('Second Earner'!$C$10,1,1),'Second Earner'!$C$63&lt;=DATE('Second Earner'!$C$10,12,31)),'Second Earner'!$C$63,999999),IF(AND('Second Earner'!$C$64&gt;MAX($B$6:$B62),'Second Earner'!$C$64&gt;=DATE('Second Earner'!$C$10,1,1),'Second Earner'!$C$64&lt;=DATE('Second Earner'!$C$10,12,31)),'Second Earner'!$C$64,999999),IF(AND('Second Earner'!$C$65&gt;MAX($B$6:$B62),'Second Earner'!$C$65&gt;=DATE('Second Earner'!$C$10,1,1),'Second Earner'!$C$65&lt;=DATE('Second Earner'!$C$10,12,31)),'Second Earner'!$C$65,999999),IF(AND('Second Earner'!$C$66&gt;MAX($B$6:$B62),'Second Earner'!$C$66&gt;=DATE('Second Earner'!$C$10,1,1),'Second Earner'!$C$66&lt;=DATE('Second Earner'!$C$10,12,31)),'Second Earner'!$C$66,999999),IF(AND('Second Earner'!$C$67&gt;MAX($B$6:$B62),'Second Earner'!$C$67&gt;=DATE('Second Earner'!$C$10,1,1),'Second Earner'!$C$67&lt;=DATE('Second Earner'!$C$10,12,31)),'Second Earner'!$C$67,999999)))</f>
      </c>
      <c r="CF63">
        <f>IF($B63="","",IF($D63=0,$Y63,""))</f>
      </c>
    </row>
    <row r="64">
      <c r="A64" t="n">
        <v>59</v>
      </c>
      <c r="B64" s="21">
        <f>IF(AND($CD64="",$CE64=""),"",IF($CE64="",$CD64,IF($CD64="",$CE64,MIN($CD64,$CE64))))</f>
      </c>
      <c r="C64" s="7">
        <f>IF($B64="","",IF($BF64=0,0,IF('Second Earner'!$C$4="Annual salary",ROUND($AK64/IF(AND('Second Earner'!$C$88="Actual paydays",MONTH('Second Earner'!$C$9)=1),MAX(1,MAX($BE$6:$BE$68)),'Second Earner'!$C$8),2),$AK64)))</f>
      </c>
      <c r="D64" s="7">
        <f>IF($B64="","",SUMIF('Second Earner'!$C$58:$C$67,$B64,'Second Earner'!$D$58:$D$67))</f>
      </c>
      <c r="E64" s="7">
        <f>IF($B64="","",ROUND(MAX(0,MIN(IF($AL64="Percent",$AM64*($C64+$D64),$AM64),MAX(0,'Second Earner'!$C$34-$AC63))),2))</f>
      </c>
      <c r="F64" s="7">
        <f>IF($B64="","",ROUND(MAX(0,MIN(IF('Second Earner'!$C$32="Percent",'Second Earner'!$D$32*($C64+$D64),'Second Earner'!$D$32),MAX(0,'Second Earner'!$C$34-$AC63-$E64))),2))</f>
      </c>
      <c r="G64" s="7">
        <f>IF($B64="","",IF($BF64=0,0,ROUND(MAX(0,MIN($BL64,'Second Earner'!$C$37-'Second Earner'!$C$54-$BI63)),2)))</f>
      </c>
      <c r="H64" s="7">
        <f>IF($B64="","",IF(OR($BF64=0,$BQ64=1),0,ROUND(MAX(0,MIN(IF($BS64=1,ROUND(MAX(0,MIN($BJ64,'How This Works &amp; Sources'!$C$13)-$BG63)/MAX(1,MAX($BE$6:$BE$68)-($BE63)),2),ROUND(MIN($BJ64,'How This Works &amp; Sources'!$C$13)/'Second Earner'!$C$8,2)),MIN($BJ64,'How This Works &amp; Sources'!$C$13)-$BG63)),2)))</f>
      </c>
      <c r="I64" s="7">
        <f>IF($B64="","",IF(OR($BF64=0,$BR64=1),0,ROUND(MAX(0,MIN(IF($BT64=1,ROUND(MAX(0,MIN($BK64,IF('Second Earner'!$C$12="MFJ",'How This Works &amp; Sources'!$C$14,'How This Works &amp; Sources'!$C$15))-$BH63)/MAX(1,MAX($BE$6:$BE$68)-($BE63)),2),ROUND(MIN($BK64,IF('Second Earner'!$C$12="MFJ",'How This Works &amp; Sources'!$C$14,'How This Works &amp; Sources'!$C$15))/'Second Earner'!$C$8,2)),MIN($BK64,IF('Second Earner'!$C$12="MFJ",'How This Works &amp; Sources'!$C$14,'How This Works &amp; Sources'!$C$15))-$BH63)),2)))</f>
      </c>
      <c r="J64" s="7">
        <f>IF($B64="","",IF($BF64=0,0,$BM64))</f>
      </c>
      <c r="K64" s="7">
        <f>IF($B64="","",IF($BF64=0,0,$BN64+$BO64))</f>
      </c>
      <c r="L64" s="7">
        <f>IF($B64="","",IF($BF64=0,0,'Second Earner'!$D$46))</f>
      </c>
      <c r="M64" s="7">
        <f>IF($B64="","",$C64+$D64+$L64-$E64-$G64-$H64-$I64-$J64-$K64)</f>
      </c>
      <c r="N64" s="7">
        <f>IF($B64="","",$C64+$D64+$L64-$G64-$H64-$I64-$J64-$K64)</f>
      </c>
      <c r="O64" s="7">
        <f>IF($B64="","",$C64+$D64+$L64-$E64-$H64-$I64-$J64-$K64-IF(OR($AN64="CA",$AN64="NJ"),0,$G64))</f>
      </c>
      <c r="P64" s="7">
        <f>IF($B64="","",IF('Second Earner'!$C$18,0,ROUND(MAX(0,IF('Second Earner'!$C$13,SUMPRODUCT(($AH64&gt;INDEX('How This Works &amp; Sources'!$B$29:$J$36,0,IF('Second Earner'!$C$12="MFJ",1,IF('Second Earner'!$C$12="HoH",7,4))))*($AH64-INDEX('How This Works &amp; Sources'!$B$29:$J$36,0,IF('Second Earner'!$C$12="MFJ",1,IF('Second Earner'!$C$12="HoH",7,4))))*INDEX('How This Works &amp; Sources'!$B$29:$J$36,0,IF('Second Earner'!$C$12="MFJ",1,IF('Second Earner'!$C$12="HoH",7,4))+2)),SUMPRODUCT(($AH64&gt;INDEX('How This Works &amp; Sources'!$B$19:$J$26,0,IF('Second Earner'!$C$12="MFJ",1,IF('Second Earner'!$C$12="HoH",7,4))))*($AH64-INDEX('How This Works &amp; Sources'!$B$19:$J$26,0,IF('Second Earner'!$C$12="MFJ",1,IF('Second Earner'!$C$12="HoH",7,4))))*INDEX('How This Works &amp; Sources'!$B$19:$J$26,0,IF('Second Earner'!$C$12="MFJ",1,IF('Second Earner'!$C$12="HoH",7,4))+2)))/'Second Earner'!$C$8-$AO64/'Second Earner'!$C$8)+$AR64+IF('Second Earner'!$C$89="Aggregate",MAX(0,IF('Second Earner'!$C$13,SUMPRODUCT((($AH64+$D64)&gt;INDEX('How This Works &amp; Sources'!$B$29:$J$36,0,IF('Second Earner'!$C$12="MFJ",1,IF('Second Earner'!$C$12="HoH",7,4))))*(($AH64+$D64)-INDEX('How This Works &amp; Sources'!$B$29:$J$36,0,IF('Second Earner'!$C$12="MFJ",1,IF('Second Earner'!$C$12="HoH",7,4))))*INDEX('How This Works &amp; Sources'!$B$29:$J$36,0,IF('Second Earner'!$C$12="MFJ",1,IF('Second Earner'!$C$12="HoH",7,4))+2)),SUMPRODUCT((($AH64+$D64)&gt;INDEX('How This Works &amp; Sources'!$B$19:$J$26,0,IF('Second Earner'!$C$12="MFJ",1,IF('Second Earner'!$C$12="HoH",7,4))))*(($AH64+$D64)-INDEX('How This Works &amp; Sources'!$B$19:$J$26,0,IF('Second Earner'!$C$12="MFJ",1,IF('Second Earner'!$C$12="HoH",7,4))))*INDEX('How This Works &amp; Sources'!$B$19:$J$26,0,IF('Second Earner'!$C$12="MFJ",1,IF('Second Earner'!$C$12="HoH",7,4))+2)))-IF('Second Earner'!$C$13,SUMPRODUCT(($AH64&gt;INDEX('How This Works &amp; Sources'!$B$29:$J$36,0,IF('Second Earner'!$C$12="MFJ",1,IF('Second Earner'!$C$12="HoH",7,4))))*($AH64-INDEX('How This Works &amp; Sources'!$B$29:$J$36,0,IF('Second Earner'!$C$12="MFJ",1,IF('Second Earner'!$C$12="HoH",7,4))))*INDEX('How This Works &amp; Sources'!$B$29:$J$36,0,IF('Second Earner'!$C$12="MFJ",1,IF('Second Earner'!$C$12="HoH",7,4))+2)),SUMPRODUCT(($AH64&gt;INDEX('How This Works &amp; Sources'!$B$19:$J$26,0,IF('Second Earner'!$C$12="MFJ",1,IF('Second Earner'!$C$12="HoH",7,4))))*($AH64-INDEX('How This Works &amp; Sources'!$B$19:$J$26,0,IF('Second Earner'!$C$12="MFJ",1,IF('Second Earner'!$C$12="HoH",7,4))))*INDEX('How This Works &amp; Sources'!$B$19:$J$26,0,IF('Second Earner'!$C$12="MFJ",1,IF('Second Earner'!$C$12="HoH",7,4))+2)))),'How This Works &amp; Sources'!$C$10*$D64),2)))</f>
      </c>
      <c r="Q64" s="7">
        <f>IF($B64="","",ROUND('How This Works &amp; Sources'!$C$4*MIN($N64,MAX(0,'How This Works &amp; Sources'!$C$3-($AX64+$AB63-$AW64))),2))</f>
      </c>
      <c r="R64" s="7">
        <f>IF($B64="","",ROUND('How This Works &amp; Sources'!$C$5*$N64,2))</f>
      </c>
      <c r="S64" s="7">
        <f>IF($B64="","",ROUND('How This Works &amp; Sources'!$C$6*MAX(0,MIN($N64,$AG63+$N64-'How This Works &amp; Sources'!$C$7)),2))</f>
      </c>
      <c r="T64" s="7">
        <f>IF($B64="","",IF('Second Earner'!$C$26,0,IF($AN64="CA",ROUND(IF($AI64&lt;=IF(($AS64+$AT64)&gt;=2,VLOOKUP($AN64,StateTables!$A$6:$AB$56,10,FALSE),VLOOKUP($AN64,StateTables!$A$6:$AB$56,9,FALSE)),0,MAX(0,SUMPRODUCT(($AJ64&gt;INDEX('How This Works &amp; Sources'!$B$39:$J$48,0,IF($AU64="Married",4,IF($AU64="Head of household",7,1))))*($AJ64-INDEX('How This Works &amp; Sources'!$B$39:$J$48,0,IF($AU64="Married",4,IF($AU64="Head of household",7,1))))*INDEX('How This Works &amp; Sources'!$B$39:$J$48,0,IF($AU64="Married",4,IF($AU64="Head of household",7,1))+2))-VLOOKUP($AN64,StateTables!$A$6:$AB$56,11,FALSE)*$AS64)/'Second Earner'!$C$8)+'Second Earner'!$C$25+VLOOKUP($AN64,StateTables!$A$6:$AB$56,13,FALSE)*$D64,2),IF(VLOOKUP($AN64,StateTables!$A$6:$AB$56,4,FALSE)="None",0,IF(ISNUMBER(SEARCH("MANUAL",VLOOKUP($AN64,StateTables!$A$6:$AB$56,5,FALSE))),'Second Earner'!$C$28,ROUND(MAX(0,$BA64+$BB64)/'Second Earner'!$C$8+'Second Earner'!$C$25+$BC64,2))))))</f>
      </c>
      <c r="U64" s="7">
        <f>IF($B64="","",IF(VLOOKUP($AN64,StateTables!$A$6:$AB$56,24,FALSE)="flatq",IF(OR(MONTH($B64)=1,MONTH($B64)=4,MONTH($B64)=7,MONTH($B64)=10),VLOOKUP($AN64,StateTables!$A$6:$AB$56,25,FALSE),0),IF(VLOOKUP($AN64,StateTables!$A$6:$AB$56,24,FALSE)="dbl",MIN(ROUND(0.005*$N64,2),ROUND(0.6*52/'Second Earner'!$C$8,2)),IF(OR(VLOOKUP($AN64,StateTables!$A$6:$AB$56,15,FALSE)="",VLOOKUP($AN64,StateTables!$A$6:$AB$56,15,FALSE)=0),0,ROUND(VLOOKUP($AN64,StateTables!$A$6:$AB$56,15,FALSE)*IF(OR(VLOOKUP($AN64,StateTables!$A$6:$AB$56,16,FALSE)="",VLOOKUP($AN64,StateTables!$A$6:$AB$56,16,FALSE)=0),$N64,MIN($N64,MAX(0,VLOOKUP($AN64,StateTables!$A$6:$AB$56,16,FALSE)-($AX64+$AB63-$AW64)))),2))))+IF(VLOOKUP($AN64,StateTables!$A$6:$AB$56,27,FALSE)="flatq",IF(OR(MONTH($B64)=1,MONTH($B64)=4,MONTH($B64)=7,MONTH($B64)=10),VLOOKUP($AN64,StateTables!$A$6:$AB$56,28,FALSE),0),IF(VLOOKUP($AN64,StateTables!$A$6:$AB$56,27,FALSE)="dbl",MIN(ROUND(0.005*$N64,2),ROUND(0.6*52/'Second Earner'!$C$8,2)),IF(OR(VLOOKUP($AN64,StateTables!$A$6:$AB$56,18,FALSE)="",VLOOKUP($AN64,StateTables!$A$6:$AB$56,18,FALSE)=0),0,ROUND(VLOOKUP($AN64,StateTables!$A$6:$AB$56,18,FALSE)*IF(OR(VLOOKUP($AN64,StateTables!$A$6:$AB$56,19,FALSE)="",VLOOKUP($AN64,StateTables!$A$6:$AB$56,19,FALSE)=0),$N64,MIN($N64,MAX(0,VLOOKUP($AN64,StateTables!$A$6:$AB$56,19,FALSE)-($AX64+$AB63-$AW64)))),2)))))</f>
      </c>
      <c r="V64" s="7">
        <f>IF($B64="","",IF($AN64="NY",IF('Second Earner'!$C$78,ROUND(SUMPRODUCT((MAX(0,($O64-$D64)*'Second Earner'!$C$8-(IF($AU64="Married",5500,5000)+1000*$AS64))&gt;INDEX('How This Works &amp; Sources'!$B$184:$J$198,0,4))*(MAX(0,($O64-$D64)*'Second Earner'!$C$8-(IF($AU64="Married",5500,5000)+1000*$AS64))-INDEX('How This Works &amp; Sources'!$B$184:$J$198,0,4))*INDEX('How This Works &amp; Sources'!$B$184:$J$198,0,4+2))/'Second Earner'!$C$8+0.0425*$D64,2),0)+IF('Second Earner'!$C$79="Resident",ROUND(0.1675*$T64,2),IF('Second Earner'!$C$79="Nonresident",ROUND(0.005*MAX(0,($O64-$D64)-(IF($AU64="Married",7950,7400)+1000*$AS64)/'Second Earner'!$C$8),2),0)),IF($AN64="PA",IF('Second Earner'!$C$80="None",'Second Earner'!$C$27+ROUND('Second Earner'!$C$81*($C64+$D64),2),ROUND(IF('Second Earner'!$C$80="Resident",IF($B64&lt;DATE(2026,7,1),0.0374,0.03735),IF($B64&lt;DATE(2026,7,1),0.0343,0.03425))*($C64+$D64),2)),IF($BF64=0,ROUND('Second Earner'!$C$81*($C64+$D64),2),'Second Earner'!$C$27+ROUND('Second Earner'!$C$81*($C64+$D64),2)))))</f>
      </c>
      <c r="W64" s="7">
        <f>IF($B64="","",IF($BF64=0,0,$BP64))</f>
      </c>
      <c r="X64" s="7">
        <f>IF($B64="","",SUM($E64:$K64)+$P64+$Q64+$R64+$S64+$T64+$U64+$V64+$W64)</f>
      </c>
      <c r="Y64" s="22">
        <f>IF($B64="","",$C64+$D64-$X64)</f>
      </c>
      <c r="Z64" s="7">
        <f>IF($B64="","",$Z63+$C64+$D64)</f>
      </c>
      <c r="AA64" s="7">
        <f>IF($B64="","",$AA63+$Y64)</f>
      </c>
      <c r="AB64" s="7">
        <f>IF($B64="","",$AB63+MIN($N64,MAX(0,'How This Works &amp; Sources'!$C$3-($AX64+$AB63-$AW64))))</f>
      </c>
      <c r="AC64" s="7">
        <f>IF($B64="","",$AC63+$E64+$F64)</f>
      </c>
      <c r="AD64" s="3">
        <f>IF($B64="","",IF(AND($AB63&lt;'How This Works &amp; Sources'!$C$3,$AB64&gt;='How This Works &amp; Sources'!$C$3),"★ Social Security maxed on this check — from the next check your net rises by about $"&amp;TEXT(ROUND('How This Works &amp; Sources'!$C$4*$N64,2),"#,##0.00")&amp;". ","")&amp;IF(AND($AC63&lt;'Second Earner'!$C$34,$AC64&gt;='Second Earner'!$C$34),"★ 401(k) reaches the $"&amp;TEXT('Second Earner'!$C$34,"#,##0")&amp;" cap on this check — deferrals stop and net pay rises. ","")&amp;IF(AND($AG63&lt;'How This Works &amp; Sources'!$C$7,$AG64&gt;='How This Works &amp; Sources'!$C$7),"★ Wages pass $200,000 — the 0.9% Additional Medicare Tax starts here. ","")&amp;IF(AND($BJ64&gt;0,$H64&gt;0,$BG63&lt;MIN($BJ64,'How This Works &amp; Sources'!$C$13),$BG63+$H64&gt;=MIN($BJ64,'How This Works &amp; Sources'!$C$13)),"★ Health FSA election is now fully deferred for the year. ",""))</f>
      </c>
      <c r="AE64" s="41" t="n"/>
      <c r="AF64" s="7">
        <f>IF(OR($B64="",$AE64=""),"",$AE64-$Y64)</f>
      </c>
      <c r="AG64" s="7">
        <f>IF($B64="","",$AG63+$N64)</f>
      </c>
      <c r="AH64" s="7">
        <f>IF($B64="","",MAX(0,($M64-$D64)*'Second Earner'!$C$8+$AP64-$AQ64-IF('Second Earner'!$C$13,0,IF('Second Earner'!$C$12="MFJ",'How This Works &amp; Sources'!$C$8,'How This Works &amp; Sources'!$C$9))))</f>
      </c>
      <c r="AI64" s="7">
        <f>IF($B64="","",$O64*'Second Earner'!$C$8)</f>
      </c>
      <c r="AJ64" s="7">
        <f>IF($B64="","",MAX(0,$AI64-VLOOKUP($AN64,StateTables!$A$6:$AB$56,12,FALSE)*$AT64-IF(($AS64+$AT64)&gt;=2,VLOOKUP($AN64,StateTables!$A$6:$AB$56,8,FALSE),VLOOKUP($AN64,StateTables!$A$6:$AB$56,7,FALSE))))</f>
      </c>
      <c r="AK64" s="7">
        <f>IF($B64="","",IFERROR(LOOKUP(2,1/(('Changes — Earner 2'!$C$6:$C$17="Salary change")*('Changes — Earner 2'!$B$6:$B$17&lt;=$B64)*('Changes — Earner 2'!$B$6:$B$17&lt;&gt;"")),'Changes — Earner 2'!$D$6:$D$17),IF('Second Earner'!$C$4="Annual salary",'Second Earner'!$C$5,'Second Earner'!$C$6)))</f>
      </c>
      <c r="AL64">
        <f>IF($B64="","",IFERROR(LOOKUP(2,1/(('Changes — Earner 2'!$C$6:$C$17="401(k) change")*('Changes — Earner 2'!$B$6:$B$17&lt;=$B64)*('Changes — Earner 2'!$B$6:$B$17&lt;&gt;"")),'Changes — Earner 2'!$D$6:$D$17),'Second Earner'!$C$30))</f>
      </c>
      <c r="AM64" s="7">
        <f>IF($B64="","",IFERROR(LOOKUP(2,1/(('Changes — Earner 2'!$C$6:$C$17="401(k) change")*('Changes — Earner 2'!$B$6:$B$17&lt;=$B64)*('Changes — Earner 2'!$B$6:$B$17&lt;&gt;"")),'Changes — Earner 2'!$E$6:$E$17),'Second Earner'!$D$31))</f>
      </c>
      <c r="AN64">
        <f>IF($B64="","",IFERROR(LOOKUP(2,1/(('Changes — Earner 2'!$C$6:$C$17="State move")*('Changes — Earner 2'!$B$6:$B$17&lt;=$B64)*('Changes — Earner 2'!$B$6:$B$17&lt;&gt;"")),'Changes — Earner 2'!$D$6:$D$17),'Second Earner'!$C$21))</f>
      </c>
      <c r="AO64" s="7">
        <f>IF($B64="","",IFERROR(LOOKUP(2,1/(('Changes — Earner 2'!$C$6:$C$17="W-4 change")*('Changes — Earner 2'!$B$6:$B$17&lt;=$B64)*('Changes — Earner 2'!$B$6:$B$17&lt;&gt;"")),'Changes — Earner 2'!$D$6:$D$17),'Second Earner'!$C$14))</f>
      </c>
      <c r="AP64" s="7">
        <f>IF($B64="","",IFERROR(LOOKUP(2,1/(('Changes — Earner 2'!$C$6:$C$17="W-4 change")*('Changes — Earner 2'!$B$6:$B$17&lt;=$B64)*('Changes — Earner 2'!$B$6:$B$17&lt;&gt;"")),'Changes — Earner 2'!$E$6:$E$17),'Second Earner'!$C$15))</f>
      </c>
      <c r="AQ64" s="7">
        <f>IF($B64="","",IFERROR(LOOKUP(2,1/(('Changes — Earner 2'!$C$6:$C$17="W-4 change")*('Changes — Earner 2'!$B$6:$B$17&lt;=$B64)*('Changes — Earner 2'!$B$6:$B$17&lt;&gt;"")),'Changes — Earner 2'!$F$6:$F$17),'Second Earner'!$C$16))</f>
      </c>
      <c r="AR64" s="7">
        <f>IF($B64="","",IFERROR(LOOKUP(2,1/(('Changes — Earner 2'!$C$6:$C$17="W-4 change")*('Changes — Earner 2'!$B$6:$B$17&lt;=$B64)*('Changes — Earner 2'!$B$6:$B$17&lt;&gt;"")),'Changes — Earner 2'!$G$6:$G$17),'Second Earner'!$C$17))</f>
      </c>
      <c r="AS64" s="6">
        <f>IF($B64="","",IFERROR(LOOKUP(2,1/((('Changes — Earner 2'!$C$6:$C$17="State move")+('Changes — Earner 2'!$C$6:$C$17="State cert change"))*('Changes — Earner 2'!$B$6:$B$17&lt;=$B64)*('Changes — Earner 2'!$B$6:$B$17&lt;&gt;"")),'Changes — Earner 2'!$F$6:$F$17),'Second Earner'!$C$23))</f>
      </c>
      <c r="AT64" s="6">
        <f>IF($B64="","",IFERROR(LOOKUP(2,1/((('Changes — Earner 2'!$C$6:$C$17="State move")+('Changes — Earner 2'!$C$6:$C$17="State cert change"))*('Changes — Earner 2'!$B$6:$B$17&lt;=$B64)*('Changes — Earner 2'!$B$6:$B$17&lt;&gt;"")),'Changes — Earner 2'!$G$6:$G$17),'Second Earner'!$C$24))</f>
      </c>
      <c r="AU64">
        <f>IF($B64="","",IFERROR(LOOKUP(2,1/(('Changes — Earner 2'!$C$6:$C$17="State move")*('Changes — Earner 2'!$B$6:$B$17&lt;=$B64)*('Changes — Earner 2'!$B$6:$B$17&lt;&gt;"")),'Changes — Earner 2'!$E$6:$E$17),'Second Earner'!$C$22))</f>
      </c>
      <c r="AV64" s="6">
        <f>IF($B64="","",1+COUNTIFS('Changes — Earner 2'!$C$6:$C$17,"Employer change",'Changes — Earner 2'!$B$6:$B$17,"&lt;="&amp;$B64,'Changes — Earner 2'!$B$6:$B$17,"&lt;&gt;"))</f>
      </c>
      <c r="AW64" s="7">
        <f>IF($B64="","",IF($AV64=1,'Second Earner'!$C$49,IF(IFERROR(MATCH(IFERROR(LOOKUP(2,1/(('Changes — Earner 2'!$C$6:$C$17="Employer change")*('Changes — Earner 2'!$B$6:$B$17&lt;=$B64)*('Changes — Earner 2'!$B$6:$B$17&lt;&gt;"")),'Changes — Earner 2'!$B$6:$B$17),""),$B$6:$B$68,1),1)&lt;=1,'Second Earner'!$C$49,INDEX($AB$6:$AB$68,MATCH(IFERROR(LOOKUP(2,1/(('Changes — Earner 2'!$C$6:$C$17="Employer change")*('Changes — Earner 2'!$B$6:$B$17&lt;=$B64)*('Changes — Earner 2'!$B$6:$B$17&lt;&gt;"")),'Changes — Earner 2'!$B$6:$B$17),""),$B$6:$B$68,1)-1))))</f>
      </c>
      <c r="AX64" s="7">
        <f>IF($B64="","",IF($AV64=1,'Second Earner'!$C$49,IFERROR(LOOKUP(2,1/(('Changes — Earner 2'!$C$6:$C$17="Employer change")*('Changes — Earner 2'!$B$6:$B$17&lt;=$B64)*('Changes — Earner 2'!$B$6:$B$17&lt;&gt;"")),'Changes — Earner 2'!$D$6:$D$17),0)))</f>
      </c>
      <c r="AY64" s="7">
        <f>IF($B64="","",($O64-$D64)*'Second Earner'!$C$8)</f>
      </c>
      <c r="AZ64" s="7">
        <f>IF($B64="","",IF($AN64="AL",MAX(0,$AY64-IF($AU64="Married",IF($AY64&lt;=25999,8500,MAX(5000,8500-175*CEILING(($AY64-25999)/500,1))),IF($AU64="Head of household",IF($AY64&lt;=25999,5200,MAX(2500,5200-135*CEILING(($AY64-25999)/500,1))),IF($AY64&lt;=25999,3000,MAX(2500,3000-25*CEILING(($AY64-25999)/500,1)))))-($P64-'How This Works &amp; Sources'!$C$10*$D64)*'Second Earner'!$C$8-IF(OR($AU64="Married",$AU64="Head of household"),3000,1500)-$AT64*IF($AY64&lt;=50000,1000,IF($AY64&lt;=100000,500,300))),IF($AN64="AR",IF(MAX(0,$AY64-2470)&lt;97701,INT(MAX(0,$AY64-2470)/100)*100+50,MAX(0,$AY64-2470)),IF($AN64="DE",MAX(0,$AI64-3250),IF($AN64="HI",MAX(0,$AI64-1144*$AS64-4350),IF($AN64="KS",MAX(0,$AI64-(9160*IF($AU64="Married",2,1)+2320*$AT64+IF($AU64="Head of household",2320,0))),IF($AN64="MD",MAX(0,$AI64-3400-3200*$AS64),IF($AN64="MN",MAX(0,$AY64-5300*$AS64),IF($AN64="MO",MAX(0,$AI64-IF($AU64="Head of household",24150,IF($AU64="Married",IF('Second Earner'!$C$83,16100,32200),16100))),IF($AN64="MT",$AY64,IF($AN64="ND",($C64+$L64)*'Second Earner'!$C$8,IF($AN64="NE",MAX(0,$AY64-2440*$AS64),IF($AN64="NJ",MAX(0,$AY64-1000*$AS64),IF($AN64="NY",MAX(0,$AY64-(IF($AU64="Married",7950,7400)+1000*$AS64)),IF($AN64="OH",MAX(0,$AY64-650*$AS64),IF($AN64="OK",MAX(0,$AY64-1000*$AS64),IF($AN64="RI",MAX(0,$AI64-1000*$AS64),IF($AN64="SC",MAX(0,$AI64-5000*$AS64-IF($AS64=0,0,MIN(0.1*$AI64,7500))),IF($AN64="VA",MAX(0,$AI64-IF($AU64="Married",17500,8750)-930*$AS64-800*$AT64),IF($AN64="VT",MAX(0,$AI64-5400*$AS64),IF($AN64="WI",MAX(0,$AI64-MAX(0,IF($AU64="Married",9461-0.2*MAX(0,$AI64-25727),6702-0.12*MAX(0,$AI64-17780)))-400*$AS64),IF($AN64="WV",MAX(0,$AI64-2000*$AS64),$AI64))))))))))))))))))))))</f>
      </c>
      <c r="BA64" s="7">
        <f>IF($B64="","",IF($BW64&lt;&gt;"",$BW64,IF($BX64&lt;&gt;"",$BX64,IF($BY64&lt;&gt;"",$BY64,0))))</f>
      </c>
      <c r="BB64" s="7">
        <f>IF($B64="","",IF($AN64="AR",-29*$AS64,IF($AN64="DE",-110*$AS64,IF($AN64="MD",$AZ64*'Second Earner'!$C$74,IF($AN64="AZ",'Second Earner'!$C$82*($M64-$D64)*'Second Earner'!$C$8,IF($AN64="CO",0.044*MAX(0,$AY64-IF($AU64="Married",10000,5000)),IF($AN64="IA",MAX(0,0.038*MAX(0,$AY64-IF($AU64="Head of household",19500,IF($AU64="Married",26000,13000)))-40*$AS64),IF($AN64="ID",0.053*MAX(0,$AY64-IF($AU64="Married",32000,16094)),IF($AN64="IL",0.0495*MAX(0,$AY64-(2925*$AS64+1000*$AT64)),IF($AN64="IN",(0.0295+'Second Earner'!$C$76)*MAX(0,$AY64-(1000*$AS64+1500*$AT64+3000*'Second Earner'!$C$86)),IF($AN64="KY",0.035*MAX(0,$AI64-3360),IF($AN64="LA",IF('Second Earner'!$C$84="0",0.0309*$AI64,0.0309*MAX(0,$AI64-IF('Second Earner'!$C$84="2",25750,12875))),IF($AN64="MA",0.05*MIN(MAX(0,$AY64-MIN(($BD63+$Q64+$R64+$S64),2000)-IF($AS64=0,0,IF($AS64=1,4400,1000*$AS64+3400))),1107750)+0.09*MAX(0,MAX(0,$AY64-MIN(($BD63+$Q64+$R64+$S64),2000)-IF($AS64=0,0,IF($AS64=1,4400,1000*$AS64+3400)))-1107750)-IF($AU64="Head of household",120,0)-110*'Second Earner'!$C$75,IF($AN64="MI",0.0425*MAX(0,$AY64-5900*$AS64),IF($AN64="MS",0.04*MAX(0,$AI64-IF($AU64="Head of household",3400,IF($AU64="Married",4600,2300))-'Second Earner'!$C$85-10000),IF($AN64="OR",IF(OR($AU64="Married",AND($AU64="Single",$AS64&gt;=3)),SUMPRODUCT((MAX(0,$AY64-MIN(($P64-'How This Works &amp; Sources'!$C$10*$D64)*'Second Earner'!$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Sources'!$B$211:$J$214,0,4))*(MAX(0,$AY64-MIN(($P64-'How This Works &amp; Sources'!$C$10*$D64)*'Second Earner'!$C$8,IF(OR($AU64="Married",AND($AU64="Single",$AS64&gt;=3)),IF($AY64&lt;250000,8750,IF($AY64&lt;260000,7000,IF($AY64&lt;270000,5250,IF($AY64&lt;280000,3500,IF($AY64&lt;290000,1750,0))))),IF($AY64&lt;125000,8750,IF($AY64&lt;130000,7000,IF($AY64&lt;135000,5250,IF($AY64&lt;140000,3500,IF($AY64&lt;145000,1750,0)))))))-IF(OR($AU64="Married",AND($AU64="Single",$AS64&gt;=3)),5820,2910))-INDEX('How This Works &amp; Sources'!$B$211:$J$214,0,4))*INDEX('How This Works &amp; Sources'!$B$211:$J$214,0,4+2)),SUMPRODUCT((MAX(0,$AY64-MIN(($P64-'How This Works &amp; Sources'!$C$10*$D64)*'Second Earner'!$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Sources'!$B$211:$J$214,0,1))*(MAX(0,$AY64-MIN(($P64-'How This Works &amp; Sources'!$C$10*$D64)*'Second Earner'!$C$8,IF(OR($AU64="Married",AND($AU64="Single",$AS64&gt;=3)),IF($AY64&lt;250000,8750,IF($AY64&lt;260000,7000,IF($AY64&lt;270000,5250,IF($AY64&lt;280000,3500,IF($AY64&lt;290000,1750,0))))),IF($AY64&lt;125000,8750,IF($AY64&lt;130000,7000,IF($AY64&lt;135000,5250,IF($AY64&lt;140000,3500,IF($AY64&lt;145000,1750,0)))))))-IF(OR($AU64="Married",AND($AU64="Single",$AS64&gt;=3)),5820,2910))-INDEX('How This Works &amp; Sources'!$B$211:$J$214,0,1))*INDEX('How This Works &amp; Sources'!$B$211:$J$214,0,1+2)))+263-263*IF(IF($AU64="Married",$AY64&gt;200000,$AY64&gt;100000),0,$AS64),IF($AN64="PA",0.0307*(($O64+$E64+$G64)*'Second Earner'!$C$8),IF($AN64="NY",IF($AU64="Married",IF($AZ64&gt;=2155350,0,IF($AZ64&gt;=1077550,0.48,IF($AZ64&gt;=373200,1.21,IF($AZ64&gt;=323200,0.21,IF($AZ64&gt;=211550,-0.19,IF($AZ64&gt;=157650,-2.8,IF($AZ64&gt;=107650,-0.8,IF($AZ64&gt;=96800,0.05,IF($AZ64&gt;=80650,-0.1,IF($AZ64&gt;=13900,0.4,IF($AZ64&gt;=11700,-0.3,IF($AZ64&gt;=8500,0.5,0)))))))))))),IF($AZ64&gt;=1077550,0,IF($AZ64&gt;=265400,4.29,IF($AZ64&gt;=215400,2.29,IF($AZ64&gt;=157650,2.29,IF($AZ64&gt;=107650,0.29,IF($AZ64&gt;=96800,0.05,IF($AZ64&gt;=80650,-0.1,IF($AZ64&gt;=13900,0.4,IF($AZ64&gt;=11700,-0.3,IF($AZ64&gt;=8500,0.5,0))))))))))),0))))))))))))))))))</f>
      </c>
      <c r="BC64" s="7">
        <f>IF($B64="","",IF($AN64="AL",0.05*$D64,IF($AN64="AR",0.039*$D64,IF($AN64="ID",0.053*$D64,IF($AN64="IN",(0.0295+'Second Earner'!$C$76)*$D64,IF($AN64="KS",0.05*$D64,IF($AN64="MA",0.09*MIN($D64,MAX(0,MAX(0,$AY64-MIN(($BD63+$Q64+$R64+$S64),2000)-IF($AS64=0,0,IF($AS64=1,4400,1000*$AS64+3400)))+$D64-1107750))+0.05*($D64-MIN($D64,MAX(0,MAX(0,$AY64-MIN(($BD63+$Q64+$R64+$S64),2000)-IF($AS64=0,0,IF($AS64=1,4400,1000*$AS64+3400)))+$D64-1107750))),IF($AN64="MD",(0.065+'Second Earner'!$C$74)*$D64,IF($AN64="MI",0.0425*$D64,IF($AN64="MN",0.0625*$D64,IF($AN64="MO",0.047*$D64,IF($AN64="MT",0.05*$D64,IF($AN64="ND",0.015*$D64,IF($AN64="NE",0.035*$D64,IF($AN64="NJ",IF('Second Earner'!$C$77="B",SUMPRODUCT(($D64*'Second Earner'!$C$8&gt;INDEX('How This Works &amp; Sources'!$B$155:$J$162,0,4))*($D64*'Second Earner'!$C$8-INDEX('How This Works &amp; Sources'!$B$155:$J$162,0,4))*INDEX('How This Works &amp; Sources'!$B$155:$J$162,0,4+2)),IF('Second Earner'!$C$77="C",SUMPRODUCT(($D64*'Second Earner'!$C$8&gt;INDEX('How This Works &amp; Sources'!$B$155:$J$162,0,7))*($D64*'Second Earner'!$C$8-INDEX('How This Works &amp; Sources'!$B$155:$J$162,0,7))*INDEX('How This Works &amp; Sources'!$B$155:$J$162,0,7+2)),IF('Second Earner'!$C$77="D",SUMPRODUCT(($D64*'Second Earner'!$C$8&gt;INDEX('How This Works &amp; Sources'!$B$167:$J$179,0,1))*($D64*'Second Earner'!$C$8-INDEX('How This Works &amp; Sources'!$B$167:$J$179,0,1))*INDEX('How This Works &amp; Sources'!$B$167:$J$179,0,1+2)),IF('Second Earner'!$C$77="E",SUMPRODUCT(($D64*'Second Earner'!$C$8&gt;INDEX('How This Works &amp; Sources'!$B$167:$J$179,0,4))*($D64*'Second Earner'!$C$8-INDEX('How This Works &amp; Sources'!$B$167:$J$179,0,4))*INDEX('How This Works &amp; Sources'!$B$167:$J$179,0,4+2)),SUMPRODUCT(($D64*'Second Earner'!$C$8&gt;INDEX('How This Works &amp; Sources'!$B$155:$J$162,0,1))*($D64*'Second Earner'!$C$8-INDEX('How This Works &amp; Sources'!$B$155:$J$162,0,1))*INDEX('How This Works &amp; Sources'!$B$155:$J$162,0,1+2))))))/'Second Earner'!$C$8,IF($AN64="NY",0.117*$D64,IF($AN64="OH",0.0275*$D64,IF($AN64="OK",0.045*$D64,IF($AN64="OR",0.08*$D64,IF($AN64="WI",IF($AY64&lt;12760,0.0354,IF($AY64&lt;25520,0.0465,IF($AY64&lt;280950,0.053,0.0765)))*$D64,0))))))))))))))))))))</f>
      </c>
      <c r="BD64" s="7">
        <f>IF($B64="","",$BD63+$Q64+$R64+$S64)</f>
      </c>
      <c r="BE64" s="6">
        <f>IF($B64="",$BE63,$BE63+$BF64)</f>
      </c>
      <c r="BF64" s="6">
        <f>IF($B64="","",IF(AND(IF(YEAR(IF('Second Earner'!$C$7="Weekly",'Second Earner'!$C$9+7*(($BE63+1)-1),IF('Second Earner'!$C$7="Biweekly",'Second Earner'!$C$9+14*(($BE63+1)-1),IF('Second Earner'!$C$7="Semimonthly",DATE(YEAR('Second Earner'!$C$9),MONTH('Second Earner'!$C$9)+INT((($BE63+1)-1)/2),MIN(DAY('Second Earner'!$C$9),DAY(EOMONTH(DATE(YEAR('Second Earner'!$C$9),MONTH('Second Earner'!$C$9)+INT((($BE63+1)-1)/2),1),0))))+IF(MOD(($BE63+1)-1,2)=1,15,0),EDATE('Second Earner'!$C$9,($BE63+1)-1)))))&lt;&gt;'Second Earner'!$C$10,"",IF('Second Earner'!$C$7="Weekly",'Second Earner'!$C$9+7*(($BE63+1)-1),IF('Second Earner'!$C$7="Biweekly",'Second Earner'!$C$9+14*(($BE63+1)-1),IF('Second Earner'!$C$7="Semimonthly",DATE(YEAR('Second Earner'!$C$9),MONTH('Second Earner'!$C$9)+INT((($BE63+1)-1)/2),MIN(DAY('Second Earner'!$C$9),DAY(EOMONTH(DATE(YEAR('Second Earner'!$C$9),MONTH('Second Earner'!$C$9)+INT((($BE63+1)-1)/2),1),0))))+IF(MOD(($BE63+1)-1,2)=1,15,0),EDATE('Second Earner'!$C$9,($BE63+1)-1)))))&lt;&gt;"",$B64=IF(YEAR(IF('Second Earner'!$C$7="Weekly",'Second Earner'!$C$9+7*(($BE63+1)-1),IF('Second Earner'!$C$7="Biweekly",'Second Earner'!$C$9+14*(($BE63+1)-1),IF('Second Earner'!$C$7="Semimonthly",DATE(YEAR('Second Earner'!$C$9),MONTH('Second Earner'!$C$9)+INT((($BE63+1)-1)/2),MIN(DAY('Second Earner'!$C$9),DAY(EOMONTH(DATE(YEAR('Second Earner'!$C$9),MONTH('Second Earner'!$C$9)+INT((($BE63+1)-1)/2),1),0))))+IF(MOD(($BE63+1)-1,2)=1,15,0),EDATE('Second Earner'!$C$9,($BE63+1)-1)))))&lt;&gt;'Second Earner'!$C$10,"",IF('Second Earner'!$C$7="Weekly",'Second Earner'!$C$9+7*(($BE63+1)-1),IF('Second Earner'!$C$7="Biweekly",'Second Earner'!$C$9+14*(($BE63+1)-1),IF('Second Earner'!$C$7="Semimonthly",DATE(YEAR('Second Earner'!$C$9),MONTH('Second Earner'!$C$9)+INT((($BE63+1)-1)/2),MIN(DAY('Second Earner'!$C$9),DAY(EOMONTH(DATE(YEAR('Second Earner'!$C$9),MONTH('Second Earner'!$C$9)+INT((($BE63+1)-1)/2),1),0))))+IF(MOD(($BE63+1)-1,2)=1,15,0),EDATE('Second Earner'!$C$9,($BE63+1)-1)))))),1,0))</f>
      </c>
      <c r="BG64" s="7">
        <f>IF($B64="","",$BG63+$H64)</f>
      </c>
      <c r="BH64" s="7">
        <f>IF($B64="","",$BH63+$I64)</f>
      </c>
      <c r="BI64" s="7">
        <f>IF($B64="","",$BI63+$G64)</f>
      </c>
      <c r="BJ64" s="7">
        <f>IF($B64="","",IFERROR(LOOKUP(2,1/(((('Changes — Earner 2'!$C$6:$C$17="Deduction start"))*('Changes — Earner 2'!$D$6:$D$17="Health FSA"))*('Changes — Earner 2'!$B$6:$B$17&lt;=$B64)*('Changes — Earner 2'!$B$6:$B$17&lt;&gt;"")),'Changes — Earner 2'!$E$6:$E$17),'Second Earner'!$D$38))</f>
      </c>
      <c r="BK64" s="7">
        <f>IF($B64="","",IFERROR(LOOKUP(2,1/(((('Changes — Earner 2'!$C$6:$C$17="Deduction start"))*('Changes — Earner 2'!$D$6:$D$17="Dependent-care FSA"))*('Changes — Earner 2'!$B$6:$B$17&lt;=$B64)*('Changes — Earner 2'!$B$6:$B$17&lt;&gt;"")),'Changes — Earner 2'!$E$6:$E$17),'Second Earner'!$D$39))</f>
      </c>
      <c r="BL64" s="7">
        <f>IF($B64="","",IFERROR(LOOKUP(2,1/(((('Changes — Earner 2'!$C$6:$C$17="Deduction start")+('Changes — Earner 2'!$C$6:$C$17="Deduction stop"))*('Changes — Earner 2'!$D$6:$D$17="HSA"))*('Changes — Earner 2'!$B$6:$B$17&lt;=$B64)*('Changes — Earner 2'!$B$6:$B$17&lt;&gt;"")),'Changes — Earner 2'!$I$6:$I$17),'Second Earner'!$D$35))</f>
      </c>
      <c r="BM64" s="7">
        <f>IF($B64="","",IFERROR(LOOKUP(2,1/(((('Changes — Earner 2'!$C$6:$C$17="Deduction start")+('Changes — Earner 2'!$C$6:$C$17="Deduction stop"))*('Changes — Earner 2'!$D$6:$D$17="Premiums"))*('Changes — Earner 2'!$B$6:$B$17&lt;=$B64)*('Changes — Earner 2'!$B$6:$B$17&lt;&gt;"")),'Changes — Earner 2'!$I$6:$I$17),'Second Earner'!$D$40+'Second Earner'!$D$41+'Second Earner'!$D$42))</f>
      </c>
      <c r="BN64" s="7">
        <f>IF($B64="","",IFERROR(LOOKUP(2,1/(((('Changes — Earner 2'!$C$6:$C$17="Deduction start")+('Changes — Earner 2'!$C$6:$C$17="Deduction stop"))*('Changes — Earner 2'!$D$6:$D$17="Commuter"))*('Changes — Earner 2'!$B$6:$B$17&lt;=$B64)*('Changes — Earner 2'!$B$6:$B$17&lt;&gt;"")),'Changes — Earner 2'!$I$6:$I$17),'Second Earner'!$D$43))</f>
      </c>
      <c r="BO64" s="7">
        <f>IF($B64="","",IFERROR(LOOKUP(2,1/(((('Changes — Earner 2'!$C$6:$C$17="Deduction start")+('Changes — Earner 2'!$C$6:$C$17="Deduction stop"))*('Changes — Earner 2'!$D$6:$D$17="Other pre-tax"))*('Changes — Earner 2'!$B$6:$B$17&lt;=$B64)*('Changes — Earner 2'!$B$6:$B$17&lt;&gt;"")),'Changes — Earner 2'!$I$6:$I$17),'Second Earner'!$D$44))</f>
      </c>
      <c r="BP64" s="7">
        <f>IF($B64="","",IFERROR(LOOKUP(2,1/(((('Changes — Earner 2'!$C$6:$C$17="Deduction start")+('Changes — Earner 2'!$C$6:$C$17="Deduction stop"))*('Changes — Earner 2'!$D$6:$D$17="Other post-tax"))*('Changes — Earner 2'!$B$6:$B$17&lt;=$B64)*('Changes — Earner 2'!$B$6:$B$17&lt;&gt;"")),'Changes — Earner 2'!$I$6:$I$17),'Second Earner'!$D$45))</f>
      </c>
      <c r="BQ64" s="6">
        <f>IF($B64="","",IFERROR(LOOKUP(2,1/(((('Changes — Earner 2'!$C$6:$C$17="Deduction start")+('Changes — Earner 2'!$C$6:$C$17="Deduction stop"))*('Changes — Earner 2'!$D$6:$D$17="Health FSA"))*('Changes — Earner 2'!$B$6:$B$17&lt;=$B64)*('Changes — Earner 2'!$B$6:$B$17&lt;&gt;"")),'Changes — Earner 2'!$J$6:$J$17),0))</f>
      </c>
      <c r="BR64" s="6">
        <f>IF($B64="","",IFERROR(LOOKUP(2,1/(((('Changes — Earner 2'!$C$6:$C$17="Deduction start")+('Changes — Earner 2'!$C$6:$C$17="Deduction stop"))*('Changes — Earner 2'!$D$6:$D$17="Dependent-care FSA"))*('Changes — Earner 2'!$B$6:$B$17&lt;=$B64)*('Changes — Earner 2'!$B$6:$B$17&lt;&gt;"")),'Changes — Earner 2'!$J$6:$J$17),0))</f>
      </c>
      <c r="BS64" s="6">
        <f>IF($B64="","",IF(SUMPRODUCT(('Changes — Earner 2'!$C$6:$C$17="Deduction start")*('Changes — Earner 2'!$B$6:$B$17&lt;=$B64)*('Changes — Earner 2'!$B$6:$B$17&lt;&gt;"")*('Changes — Earner 2'!$D$6:$D$17="Health FSA"))&gt;0,1,0))</f>
      </c>
      <c r="BT64" s="6">
        <f>IF($B64="","",IF(SUMPRODUCT(('Changes — Earner 2'!$C$6:$C$17="Deduction start")*('Changes — Earner 2'!$B$6:$B$17&lt;=$B64)*('Changes — Earner 2'!$B$6:$B$17&lt;&gt;"")*('Changes — Earner 2'!$D$6:$D$17="Dependent-care FSA"))&gt;0,1,0))</f>
      </c>
      <c r="BU64" s="24">
        <f>IF($B64="","",IF('Second Earner'!$C$13,SUMPRODUCT(($AH64&gt;=INDEX('How This Works &amp; Sources'!$B$29:$J$36,0,IF('Second Earner'!$C$12="MFJ",1,IF('Second Earner'!$C$12="HoH",7,4))))*INDEX('How This Works &amp; Sources'!$B$29:$J$36,0,IF('Second Earner'!$C$12="MFJ",1,IF('Second Earner'!$C$12="HoH",7,4))+2)),SUMPRODUCT(($AH64&gt;=INDEX('How This Works &amp; Sources'!$B$19:$J$26,0,IF('Second Earner'!$C$12="MFJ",1,IF('Second Earner'!$C$12="HoH",7,4))))*INDEX('How This Works &amp; Sources'!$B$19:$J$26,0,IF('Second Earner'!$C$12="MFJ",1,IF('Second Earner'!$C$12="HoH",7,4))+2))))</f>
      </c>
      <c r="BV64" s="24">
        <f>IF($B64="","",IF($BZ64&lt;&gt;"",$BZ64,IF($CA64&lt;&gt;"",$CA64,IF($CB64&lt;&gt;"",$CB64,IF($CC64&lt;&gt;"",$CC64,0)))))</f>
      </c>
      <c r="BW64" s="7">
        <f>IF($B64="","",IF($AN64="AR",SUMPRODUCT(($AZ64&gt;INDEX('How This Works &amp; Sources'!$B$82:$J$86,0,7))*($AZ64-INDEX('How This Works &amp; Sources'!$B$82:$J$86,0,7))*INDEX('How This Works &amp; Sources'!$B$82:$J$86,0,7+2)),IF($AN64="MD",IF(OR($AU64="Married",$AU64="Head of household"),SUMPRODUCT(($AZ64&gt;INDEX('How This Works &amp; Sources'!$B$114:$J$120,0,1))*($AZ64-INDEX('How This Works &amp; Sources'!$B$114:$J$120,0,1))*INDEX('How This Works &amp; Sources'!$B$114:$J$120,0,1+2)),SUMPRODUCT(($AZ64&gt;INDEX('How This Works &amp; Sources'!$B$103:$J$109,0,7))*($AZ64-INDEX('How This Works &amp; Sources'!$B$103:$J$109,0,7))*INDEX('How This Works &amp; Sources'!$B$103:$J$109,0,7+2))),IF($AN64="MT",IF($AU64="Head of household",SUMPRODUCT(($AZ64&gt;INDEX('How This Works &amp; Sources'!$B$137:$J$139,0,1))*($AZ64-INDEX('How This Works &amp; Sources'!$B$137:$J$139,0,1))*INDEX('How This Works &amp; Sources'!$B$137:$J$139,0,1+2)),IF($AU64="Married",SUMPRODUCT(($AZ64&gt;INDEX('How This Works &amp; Sources'!$B$125:$J$132,0,7))*($AZ64-INDEX('How This Works &amp; Sources'!$B$125:$J$132,0,7))*INDEX('How This Works &amp; Sources'!$B$125:$J$132,0,7+2)),SUMPRODUCT(($AZ64&gt;INDEX('How This Works &amp; Sources'!$B$125:$J$132,0,4))*($AZ64-INDEX('How This Works &amp; Sources'!$B$125:$J$132,0,4))*INDEX('How This Works &amp; Sources'!$B$125:$J$132,0,4+2)))),IF($AN64="ND",IF($AU64="Head of household",SUMPRODUCT(($AZ64&gt;INDEX('How This Works &amp; Sources'!$B$144:$J$150,0,1))*($AZ64-INDEX('How This Works &amp; Sources'!$B$144:$J$150,0,1))*INDEX('How This Works &amp; Sources'!$B$144:$J$150,0,1+2)),IF($AU64="Married",SUMPRODUCT(($AZ64&gt;INDEX('How This Works &amp; Sources'!$B$137:$J$139,0,7))*($AZ64-INDEX('How This Works &amp; Sources'!$B$137:$J$139,0,7))*INDEX('How This Works &amp; Sources'!$B$137:$J$139,0,7+2)),SUMPRODUCT(($AZ64&gt;INDEX('How This Works &amp; Sources'!$B$137:$J$139,0,4))*($AZ64-INDEX('How This Works &amp; Sources'!$B$137:$J$139,0,4))*INDEX('How This Works &amp; Sources'!$B$137:$J$139,0,4+2)))),IF($AN64="NJ",IF('Second Earner'!$C$77="B",SUMPRODUCT(($AZ64&gt;INDEX('How This Works &amp; Sources'!$B$155:$J$162,0,4))*($AZ64-INDEX('How This Works &amp; Sources'!$B$155:$J$162,0,4))*INDEX('How This Works &amp; Sources'!$B$155:$J$162,0,4+2)),IF('Second Earner'!$C$77="C",SUMPRODUCT(($AZ64&gt;INDEX('How This Works &amp; Sources'!$B$155:$J$162,0,7))*($AZ64-INDEX('How This Works &amp; Sources'!$B$155:$J$162,0,7))*INDEX('How This Works &amp; Sources'!$B$155:$J$162,0,7+2)),IF('Second Earner'!$C$77="D",SUMPRODUCT(($AZ64&gt;INDEX('How This Works &amp; Sources'!$B$167:$J$179,0,1))*($AZ64-INDEX('How This Works &amp; Sources'!$B$167:$J$179,0,1))*INDEX('How This Works &amp; Sources'!$B$167:$J$179,0,1+2)),IF('Second Earner'!$C$77="E",SUMPRODUCT(($AZ64&gt;INDEX('How This Works &amp; Sources'!$B$167:$J$179,0,4))*($AZ64-INDEX('How This Works &amp; Sources'!$B$167:$J$179,0,4))*INDEX('How This Works &amp; Sources'!$B$167:$J$179,0,4+2)),SUMPRODUCT(($AZ64&gt;INDEX('How This Works &amp; Sources'!$B$155:$J$162,0,1))*($AZ64-INDEX('How This Works &amp; Sources'!$B$155:$J$162,0,1))*INDEX('How This Works &amp; Sources'!$B$155:$J$162,0,1+2)))))),IF($AN64="NY",IF($AU64="Married",IF($AZ64&gt;=2155350,$AZ64*IF($AZ64&gt;25000000,0.117,IF($AZ64&gt;5000000,0.111,0.1045)),SUMPRODUCT(($AZ64&gt;INDEX('How This Works &amp; Sources'!$B$184:$J$198,0,1))*($AZ64-INDEX('How This Works &amp; Sources'!$B$184:$J$198,0,1))*INDEX('How This Works &amp; Sources'!$B$184:$J$198,0,1+2))),IF($AZ64&gt;=1077550,$AZ64*IF($AZ64&gt;25000000,0.117,IF($AZ64&gt;5000000,0.111,0.1045)),SUMPRODUCT(($AZ64&gt;INDEX('How This Works &amp; Sources'!$B$167:$J$179,0,7))*($AZ64-INDEX('How This Works &amp; Sources'!$B$167:$J$179,0,7))*INDEX('How This Works &amp; Sources'!$B$167:$J$179,0,7+2)))),"")))))))</f>
      </c>
      <c r="BX64" s="7">
        <f>IF($B64="","",IF($AN64="AL",IF(OR($AU64="Married",$AU64="Head of household"),SUMPRODUCT(($AZ64&gt;INDEX('How This Works &amp; Sources'!$B$82:$J$86,0,4))*($AZ64-INDEX('How This Works &amp; Sources'!$B$82:$J$86,0,4))*INDEX('How This Works &amp; Sources'!$B$82:$J$86,0,4+2)),SUMPRODUCT(($AZ64&gt;INDEX('How This Works &amp; Sources'!$B$82:$J$86,0,1))*($AZ64-INDEX('How This Works &amp; Sources'!$B$82:$J$86,0,1))*INDEX('How This Works &amp; Sources'!$B$82:$J$86,0,1+2))),IF($AN64="KS",IF($AU64="Married",SUMPRODUCT(($AZ64&gt;INDEX('How This Works &amp; Sources'!$B$103:$J$109,0,4))*($AZ64-INDEX('How This Works &amp; Sources'!$B$103:$J$109,0,4))*INDEX('How This Works &amp; Sources'!$B$103:$J$109,0,4+2)),SUMPRODUCT(($AZ64&gt;INDEX('How This Works &amp; Sources'!$B$103:$J$109,0,1))*($AZ64-INDEX('How This Works &amp; Sources'!$B$103:$J$109,0,1))*INDEX('How This Works &amp; Sources'!$B$103:$J$109,0,1+2))),IF($AN64="MN",IF($AU64="Married",SUMPRODUCT(($AZ64&gt;INDEX('How This Works &amp; Sources'!$B$114:$J$120,0,7))*($AZ64-INDEX('How This Works &amp; Sources'!$B$114:$J$120,0,7))*INDEX('How This Works &amp; Sources'!$B$114:$J$120,0,7+2)),SUMPRODUCT(($AZ64&gt;INDEX('How This Works &amp; Sources'!$B$114:$J$120,0,4))*($AZ64-INDEX('How This Works &amp; Sources'!$B$114:$J$120,0,4))*INDEX('How This Works &amp; Sources'!$B$114:$J$120,0,4+2))),IF($AN64="MO",SUMPRODUCT(($AZ64&gt;INDEX('How This Works &amp; Sources'!$B$125:$J$132,0,1))*($AZ64-INDEX('How This Works &amp; Sources'!$B$125:$J$132,0,1))*INDEX('How This Works &amp; Sources'!$B$125:$J$132,0,1+2)),IF($AN64="NE",MAX(IF($AU64="Married",SUMPRODUCT(($AZ64&gt;INDEX('How This Works &amp; Sources'!$B$144:$J$150,0,7))*($AZ64-INDEX('How This Works &amp; Sources'!$B$144:$J$150,0,7))*INDEX('How This Works &amp; Sources'!$B$144:$J$150,0,7+2)),SUMPRODUCT(($AZ64&gt;INDEX('How This Works &amp; Sources'!$B$144:$J$150,0,4))*($AZ64-INDEX('How This Works &amp; Sources'!$B$144:$J$150,0,4))*INDEX('How This Works &amp; Sources'!$B$144:$J$150,0,4+2))),0.015*$AZ64),IF($AN64="OH",IF($B64&gt;=DATE(2026,8,1),SUMPRODUCT(($AZ64&gt;INDEX('How This Works &amp; Sources'!$B$203:$J$206,0,1))*($AZ64-INDEX('How This Works &amp; Sources'!$B$203:$J$206,0,1))*INDEX('How This Works &amp; Sources'!$B$203:$J$206,0,1+2)),SUMPRODUCT(($AZ64&gt;INDEX('How This Works &amp; Sources'!$B$184:$J$198,0,7))*($AZ64-INDEX('How This Works &amp; Sources'!$B$184:$J$198,0,7))*INDEX('How This Works &amp; Sources'!$B$184:$J$198,0,7+2))),IF($AN64="OK",IF($AU64="Married",SUMPRODUCT(($AZ64&gt;INDEX('How This Works &amp; Sources'!$B$203:$J$206,0,7))*($AZ64-INDEX('How This Works &amp; Sources'!$B$203:$J$206,0,7))*INDEX('How This Works &amp; Sources'!$B$203:$J$206,0,7+2)),SUMPRODUCT(($AZ64&gt;INDEX('How This Works &amp; Sources'!$B$203:$J$206,0,4))*($AZ64-INDEX('How This Works &amp; Sources'!$B$203:$J$206,0,4))*INDEX('How This Works &amp; Sources'!$B$203:$J$206,0,4+2))),IF($AN64="VT",IF($AU64="Married",SUMPRODUCT(($AZ64&gt;INDEX('How This Works &amp; Sources'!$B$228:$J$232,0,1))*($AZ64-INDEX('How This Works &amp; Sources'!$B$228:$J$232,0,1))*INDEX('How This Works &amp; Sources'!$B$228:$J$232,0,1+2)),SUMPRODUCT(($AZ64&gt;INDEX('How This Works &amp; Sources'!$B$219:$J$223,0,7))*($AZ64-INDEX('How This Works &amp; Sources'!$B$219:$J$223,0,7))*INDEX('How This Works &amp; Sources'!$B$219:$J$223,0,7+2))),IF($AN64="WV",IF($AU64="Married",SUMPRODUCT(($AZ64&gt;INDEX('How This Works &amp; Sources'!$B$237:$J$241,0,7))*($AZ64-INDEX('How This Works &amp; Sources'!$B$237:$J$241,0,7))*INDEX('How This Works &amp; Sources'!$B$237:$J$241,0,7+2)),SUMPRODUCT(($AZ64&gt;INDEX('How This Works &amp; Sources'!$B$228:$J$232,0,7))*($AZ64-INDEX('How This Works &amp; Sources'!$B$228:$J$232,0,7))*INDEX('How This Works &amp; Sources'!$B$228:$J$232,0,7+2))),""))))))))))</f>
      </c>
      <c r="BY64" s="7">
        <f>IF($B64="","",IF($AN64="DE",SUMPRODUCT(($AZ64&gt;INDEX('How This Works &amp; Sources'!$B$91:$J$98,0,1))*($AZ64-INDEX('How This Works &amp; Sources'!$B$91:$J$98,0,1))*INDEX('How This Works &amp; Sources'!$B$91:$J$98,0,1+2)),IF($AN64="HI",IF($AU64="Married",SUMPRODUCT(($AZ64&gt;INDEX('How This Works &amp; Sources'!$B$91:$J$98,0,7))*($AZ64-INDEX('How This Works &amp; Sources'!$B$91:$J$98,0,7))*INDEX('How This Works &amp; Sources'!$B$91:$J$98,0,7+2)),SUMPRODUCT(($AZ64&gt;INDEX('How This Works &amp; Sources'!$B$91:$J$98,0,4))*($AZ64-INDEX('How This Works &amp; Sources'!$B$91:$J$98,0,4))*INDEX('How This Works &amp; Sources'!$B$91:$J$98,0,4+2))),IF($AN64="RI",SUMPRODUCT(($AZ64&gt;INDEX('How This Works &amp; Sources'!$B$211:$J$214,0,7))*($AZ64-INDEX('How This Works &amp; Sources'!$B$211:$J$214,0,7))*INDEX('How This Works &amp; Sources'!$B$211:$J$214,0,7+2)),IF($AN64="SC",SUMPRODUCT(($AZ64&gt;INDEX('How This Works &amp; Sources'!$B$219:$J$223,0,1))*($AZ64-INDEX('How This Works &amp; Sources'!$B$219:$J$223,0,1))*INDEX('How This Works &amp; Sources'!$B$219:$J$223,0,1+2)),IF($AN64="VA",SUMPRODUCT(($AZ64&gt;INDEX('How This Works &amp; Sources'!$B$219:$J$223,0,4))*($AZ64-INDEX('How This Works &amp; Sources'!$B$219:$J$223,0,4))*INDEX('How This Works &amp; Sources'!$B$219:$J$223,0,4+2)),IF($AN64="WI",SUMPRODUCT(($AZ64&gt;INDEX('How This Works &amp; Sources'!$B$228:$J$232,0,4))*($AZ64-INDEX('How This Works &amp; Sources'!$B$228:$J$232,0,4))*INDEX('How This Works &amp; Sources'!$B$228:$J$232,0,4+2)),"")))))))</f>
      </c>
      <c r="BZ64" s="24">
        <f>IF($B64="","",IF($AN64="KS",IF($AU64="Married",SUMPRODUCT(($AZ64&gt;=INDEX('How This Works &amp; Sources'!$B$103:$J$109,0,4))*INDEX('How This Works &amp; Sources'!$B$103:$J$109,0,4+2)),SUMPRODUCT(($AZ64&gt;=INDEX('How This Works &amp; Sources'!$B$103:$J$109,0,1))*INDEX('How This Works &amp; Sources'!$B$103:$J$109,0,1+2))),IF($AN64="MT",IF($AU64="Head of household",SUMPRODUCT(($AZ64&gt;=INDEX('How This Works &amp; Sources'!$B$137:$J$139,0,1))*INDEX('How This Works &amp; Sources'!$B$137:$J$139,0,1+2)),IF($AU64="Married",SUMPRODUCT(($AZ64&gt;=INDEX('How This Works &amp; Sources'!$B$125:$J$132,0,7))*INDEX('How This Works &amp; Sources'!$B$125:$J$132,0,7+2)),SUMPRODUCT(($AZ64&gt;=INDEX('How This Works &amp; Sources'!$B$125:$J$132,0,4))*INDEX('How This Works &amp; Sources'!$B$125:$J$132,0,4+2)))),IF($AN64="OR",IF(OR($AU64="Married",AND($AU64="Single",$AS64&gt;=3)),SUMPRODUCT((MAX(0,$AY64-MIN(($P64-'How This Works &amp; Sources'!$C$10*$D64)*'Second Earner'!$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Sources'!$B$211:$J$214,0,4))*INDEX('How This Works &amp; Sources'!$B$211:$J$214,0,4+2)),SUMPRODUCT((MAX(0,$AY64-MIN(($P64-'How This Works &amp; Sources'!$C$10*$D64)*'Second Earner'!$C$8,IF(OR($AU64="Married",AND($AU64="Single",$AS64&gt;=3)),IF($AY64&lt;250000,8750,IF($AY64&lt;260000,7000,IF($AY64&lt;270000,5250,IF($AY64&lt;280000,3500,IF($AY64&lt;290000,1750,0))))),IF($AY64&lt;125000,8750,IF($AY64&lt;130000,7000,IF($AY64&lt;135000,5250,IF($AY64&lt;140000,3500,IF($AY64&lt;145000,1750,0)))))))-IF(OR($AU64="Married",AND($AU64="Single",$AS64&gt;=3)),5820,2910))&gt;=INDEX('How This Works &amp; Sources'!$B$211:$J$214,0,1))*INDEX('How This Works &amp; Sources'!$B$211:$J$214,0,1+2)))*IF(($P64-'How This Works &amp; Sources'!$C$10*$D64)*'Second Earner'!$C$8&gt;=IF(OR($AU64="Married",AND($AU64="Single",$AS64&gt;=3)),IF($AY64&lt;250000,8750,IF($AY64&lt;260000,7000,IF($AY64&lt;270000,5250,IF($AY64&lt;280000,3500,IF($AY64&lt;290000,1750,0))))),IF($AY64&lt;125000,8750,IF($AY64&lt;130000,7000,IF($AY64&lt;135000,5250,IF($AY64&lt;140000,3500,IF($AY64&lt;145000,1750,0)))))),1,1-IF('Second Earner'!$C$13,SUMPRODUCT(($AH64&gt;=INDEX('How This Works &amp; Sources'!$B$29:$J$36,0,IF('Second Earner'!$C$12="MFJ",1,IF('Second Earner'!$C$12="HoH",7,4))))*INDEX('How This Works &amp; Sources'!$B$29:$J$36,0,IF('Second Earner'!$C$12="MFJ",1,IF('Second Earner'!$C$12="HoH",7,4))+2)),SUMPRODUCT(($AH64&gt;=INDEX('How This Works &amp; Sources'!$B$19:$J$26,0,IF('Second Earner'!$C$12="MFJ",1,IF('Second Earner'!$C$12="HoH",7,4))))*INDEX('How This Works &amp; Sources'!$B$19:$J$26,0,IF('Second Earner'!$C$12="MFJ",1,IF('Second Earner'!$C$12="HoH",7,4))+2)))),""))))</f>
      </c>
      <c r="CA64" s="24">
        <f>IF($B64="","",IF($AN64="CA",SUMPRODUCT(($AJ64&gt;=INDEX('How This Works &amp; Sources'!$B$39:$J$48,0,IF($AU64="Married",4,IF($AU64="Head of household",7,1))))*INDEX('How This Works &amp; Sources'!$B$39:$J$48,0,IF($AU64="Married",4,IF($AU64="Head of household",7,1))+2)),IF($AN64="AL",IF(OR($AU64="Married",$AU64="Head of household"),SUMPRODUCT(($AZ64&gt;=INDEX('How This Works &amp; Sources'!$B$82:$J$86,0,4))*INDEX('How This Works &amp; Sources'!$B$82:$J$86,0,4+2)),SUMPRODUCT(($AZ64&gt;=INDEX('How This Works &amp; Sources'!$B$82:$J$86,0,1))*INDEX('How This Works &amp; Sources'!$B$82:$J$86,0,1+2)))*(1-IF('Second Earner'!$C$13,SUMPRODUCT(($AH64&gt;=INDEX('How This Works &amp; Sources'!$B$29:$J$36,0,IF('Second Earner'!$C$12="MFJ",1,IF('Second Earner'!$C$12="HoH",7,4))))*INDEX('How This Works &amp; Sources'!$B$29:$J$36,0,IF('Second Earner'!$C$12="MFJ",1,IF('Second Earner'!$C$12="HoH",7,4))+2)),SUMPRODUCT(($AH64&gt;=INDEX('How This Works &amp; Sources'!$B$19:$J$26,0,IF('Second Earner'!$C$12="MFJ",1,IF('Second Earner'!$C$12="HoH",7,4))))*INDEX('How This Works &amp; Sources'!$B$19:$J$26,0,IF('Second Earner'!$C$12="MFJ",1,IF('Second Earner'!$C$12="HoH",7,4))+2)))),IF($AN64="ND",IF($AU64="Head of household",SUMPRODUCT(($AZ64&gt;=INDEX('How This Works &amp; Sources'!$B$144:$J$150,0,1))*INDEX('How This Works &amp; Sources'!$B$144:$J$150,0,1+2)),IF($AU64="Married",SUMPRODUCT(($AZ64&gt;=INDEX('How This Works &amp; Sources'!$B$137:$J$139,0,7))*INDEX('How This Works &amp; Sources'!$B$137:$J$139,0,7+2)),SUMPRODUCT(($AZ64&gt;=INDEX('How This Works &amp; Sources'!$B$137:$J$139,0,4))*INDEX('How This Works &amp; Sources'!$B$137:$J$139,0,4+2)))),IF($AN64="NJ",IF('Second Earner'!$C$77="B",SUMPRODUCT(($AZ64&gt;=INDEX('How This Works &amp; Sources'!$B$155:$J$162,0,4))*INDEX('How This Works &amp; Sources'!$B$155:$J$162,0,4+2)),IF('Second Earner'!$C$77="C",SUMPRODUCT(($AZ64&gt;=INDEX('How This Works &amp; Sources'!$B$155:$J$162,0,7))*INDEX('How This Works &amp; Sources'!$B$155:$J$162,0,7+2)),IF('Second Earner'!$C$77="D",SUMPRODUCT(($AZ64&gt;=INDEX('How This Works &amp; Sources'!$B$167:$J$179,0,1))*INDEX('How This Works &amp; Sources'!$B$167:$J$179,0,1+2)),IF('Second Earner'!$C$77="E",SUMPRODUCT(($AZ64&gt;=INDEX('How This Works &amp; Sources'!$B$167:$J$179,0,4))*INDEX('How This Works &amp; Sources'!$B$167:$J$179,0,4+2)),SUMPRODUCT(($AZ64&gt;=INDEX('How This Works &amp; Sources'!$B$155:$J$162,0,1))*INDEX('How This Works &amp; Sources'!$B$155:$J$162,0,1+2)))))),IF($AN64="NY",IF($AU64="Married",IF($AZ64&gt;=2155350,IF($AZ64&gt;25000000,0.117,IF($AZ64&gt;5000000,0.111,0.1045)),SUMPRODUCT(($AZ64&gt;=INDEX('How This Works &amp; Sources'!$B$184:$J$198,0,1))*INDEX('How This Works &amp; Sources'!$B$184:$J$198,0,1+2))),IF($AZ64&gt;=1077550,IF($AZ64&gt;25000000,0.117,IF($AZ64&gt;5000000,0.111,0.1045)),SUMPRODUCT(($AZ64&gt;=INDEX('How This Works &amp; Sources'!$B$167:$J$179,0,7))*INDEX('How This Works &amp; Sources'!$B$167:$J$179,0,7+2)))),IF($AN64="LA",0.0309,"")))))))</f>
      </c>
      <c r="CB64" s="24">
        <f>IF($B64="","",IF($AN64="HI",IF($AU64="Married",SUMPRODUCT(($AZ64&gt;=INDEX('How This Works &amp; Sources'!$B$91:$J$98,0,7))*INDEX('How This Works &amp; Sources'!$B$91:$J$98,0,7+2)),SUMPRODUCT(($AZ64&gt;=INDEX('How This Works &amp; Sources'!$B$91:$J$98,0,4))*INDEX('How This Works &amp; Sources'!$B$91:$J$98,0,4+2))),IF($AN64="MD",IF(OR($AU64="Married",$AU64="Head of household"),SUMPRODUCT(($AZ64&gt;=INDEX('How This Works &amp; Sources'!$B$114:$J$120,0,1))*INDEX('How This Works &amp; Sources'!$B$114:$J$120,0,1+2)),SUMPRODUCT(($AZ64&gt;=INDEX('How This Works &amp; Sources'!$B$103:$J$109,0,7))*INDEX('How This Works &amp; Sources'!$B$103:$J$109,0,7+2)))+'Second Earner'!$C$74,IF($AN64="MN",IF($AU64="Married",SUMPRODUCT(($AZ64&gt;=INDEX('How This Works &amp; Sources'!$B$114:$J$120,0,7))*INDEX('How This Works &amp; Sources'!$B$114:$J$120,0,7+2)),SUMPRODUCT(($AZ64&gt;=INDEX('How This Works &amp; Sources'!$B$114:$J$120,0,4))*INDEX('How This Works &amp; Sources'!$B$114:$J$120,0,4+2))),IF($AN64="MO",SUMPRODUCT(($AZ64&gt;=INDEX('How This Works &amp; Sources'!$B$125:$J$132,0,1))*INDEX('How This Works &amp; Sources'!$B$125:$J$132,0,1+2)),IF($AN64="NE",MAX(IF($AU64="Married",SUMPRODUCT(($AZ64&gt;=INDEX('How This Works &amp; Sources'!$B$144:$J$150,0,7))*INDEX('How This Works &amp; Sources'!$B$144:$J$150,0,7+2)),SUMPRODUCT(($AZ64&gt;=INDEX('How This Works &amp; Sources'!$B$144:$J$150,0,4))*INDEX('How This Works &amp; Sources'!$B$144:$J$150,0,4+2))),0.015),IF($AN64="OH",IF($B64&gt;=DATE(2026,8,1),SUMPRODUCT(($AZ64&gt;=INDEX('How This Works &amp; Sources'!$B$203:$J$206,0,1))*INDEX('How This Works &amp; Sources'!$B$203:$J$206,0,1+2)),SUMPRODUCT(($AZ64&gt;=INDEX('How This Works &amp; Sources'!$B$184:$J$198,0,7))*INDEX('How This Works &amp; Sources'!$B$184:$J$198,0,7+2))),IF($AN64="OK",IF($AU64="Married",SUMPRODUCT(($AZ64&gt;=INDEX('How This Works &amp; Sources'!$B$203:$J$206,0,7))*INDEX('How This Works &amp; Sources'!$B$203:$J$206,0,7+2)),SUMPRODUCT(($AZ64&gt;=INDEX('How This Works &amp; Sources'!$B$203:$J$206,0,4))*INDEX('How This Works &amp; Sources'!$B$203:$J$206,0,4+2))),IF($AN64="RI",SUMPRODUCT(($AZ64&gt;=INDEX('How This Works &amp; Sources'!$B$211:$J$214,0,7))*INDEX('How This Works &amp; Sources'!$B$211:$J$214,0,7+2)),IF($AN64="VT",IF($AU64="Married",SUMPRODUCT(($AZ64&gt;=INDEX('How This Works &amp; Sources'!$B$228:$J$232,0,1))*INDEX('How This Works &amp; Sources'!$B$228:$J$232,0,1+2)),SUMPRODUCT(($AZ64&gt;=INDEX('How This Works &amp; Sources'!$B$219:$J$223,0,7))*INDEX('How This Works &amp; Sources'!$B$219:$J$223,0,7+2))),IF($AN64="WV",IF($AU64="Married",SUMPRODUCT(($AZ64&gt;=INDEX('How This Works &amp; Sources'!$B$237:$J$241,0,7))*INDEX('How This Works &amp; Sources'!$B$237:$J$241,0,7+2)),SUMPRODUCT(($AZ64&gt;=INDEX('How This Works &amp; Sources'!$B$228:$J$232,0,7))*INDEX('How This Works &amp; Sources'!$B$228:$J$232,0,7+2))),IF($AN64="AZ",'Second Earner'!$C$82,IF($AN64="ID",IF($AY64&gt;IF($AU64="Married",32000,16094),0.053,0),"")))))))))))))</f>
      </c>
      <c r="CC64" s="24">
        <f>IF($B64="","",IF($AN64="AR",SUMPRODUCT(($AZ64&gt;=INDEX('How This Works &amp; Sources'!$B$82:$J$86,0,7))*INDEX('How This Works &amp; Sources'!$B$82:$J$86,0,7+2)),IF($AN64="DE",SUMPRODUCT(($AZ64&gt;=INDEX('How This Works &amp; Sources'!$B$91:$J$98,0,1))*INDEX('How This Works &amp; Sources'!$B$91:$J$98,0,1+2)),IF($AN64="SC",SUMPRODUCT(($AZ64&gt;=INDEX('How This Works &amp; Sources'!$B$219:$J$223,0,1))*INDEX('How This Works &amp; Sources'!$B$219:$J$223,0,1+2)),IF($AN64="VA",SUMPRODUCT(($AZ64&gt;=INDEX('How This Works &amp; Sources'!$B$219:$J$223,0,4))*INDEX('How This Works &amp; Sources'!$B$219:$J$223,0,4+2)),IF($AN64="WI",SUMPRODUCT(($AZ64&gt;=INDEX('How This Works &amp; Sources'!$B$228:$J$232,0,4))*INDEX('How This Works &amp; Sources'!$B$228:$J$232,0,4+2)),IF($AN64="CO",IF($AY64&gt;IF($AU64="Married",10000,5000),0.044,0),IF($AN64="IA",IF($AY64&gt;IF($AU64="Head of household",19500,IF($AU64="Married",26000,13000)),0.038,0),IF($AN64="IL",IF($AY64&gt;(2925*$AS64+1000*$AT64),0.0495,0),IF($AN64="IN",(0.0295+'Second Earner'!$C$76),IF($AN64="KY",IF($AI64&gt;3360,0.035,0),IF($AN64="MA",IF(MAX(0,$AY64-MIN(($BD63+$Q64+$R64+$S64),2000)-IF($AS64=0,0,IF($AS64=1,4400,1000*$AS64+3400)))&gt;=1107750,0.09,0.05),IF($AN64="MI",IF($AY64&gt;5900*$AS64,0.0425,0),IF($AN64="MS",IF($AI64-IF($AU64="Head of household",3400,IF($AU64="Married",4600,2300))-'Second Earner'!$C$85&gt;10000,0.04,0),IF($AN64="PA",0.0307,"")))))))))))))))</f>
      </c>
      <c r="CD64" s="21">
        <f>IF(YEAR(IF('Second Earner'!$C$7="Weekly",'Second Earner'!$C$9+7*(($BE63+1)-1),IF('Second Earner'!$C$7="Biweekly",'Second Earner'!$C$9+14*(($BE63+1)-1),IF('Second Earner'!$C$7="Semimonthly",DATE(YEAR('Second Earner'!$C$9),MONTH('Second Earner'!$C$9)+INT((($BE63+1)-1)/2),MIN(DAY('Second Earner'!$C$9),DAY(EOMONTH(DATE(YEAR('Second Earner'!$C$9),MONTH('Second Earner'!$C$9)+INT((($BE63+1)-1)/2),1),0))))+IF(MOD(($BE63+1)-1,2)=1,15,0),EDATE('Second Earner'!$C$9,($BE63+1)-1)))))&lt;&gt;'Second Earner'!$C$10,"",IF('Second Earner'!$C$7="Weekly",'Second Earner'!$C$9+7*(($BE63+1)-1),IF('Second Earner'!$C$7="Biweekly",'Second Earner'!$C$9+14*(($BE63+1)-1),IF('Second Earner'!$C$7="Semimonthly",DATE(YEAR('Second Earner'!$C$9),MONTH('Second Earner'!$C$9)+INT((($BE63+1)-1)/2),MIN(DAY('Second Earner'!$C$9),DAY(EOMONTH(DATE(YEAR('Second Earner'!$C$9),MONTH('Second Earner'!$C$9)+INT((($BE63+1)-1)/2),1),0))))+IF(MOD(($BE63+1)-1,2)=1,15,0),EDATE('Second Earner'!$C$9,($BE63+1)-1)))))</f>
      </c>
      <c r="CE64" s="21">
        <f>IF(MIN(IF(AND('Second Earner'!$C$58&gt;MAX($B$6:$B63),'Second Earner'!$C$58&gt;=DATE('Second Earner'!$C$10,1,1),'Second Earner'!$C$58&lt;=DATE('Second Earner'!$C$10,12,31)),'Second Earner'!$C$58,999999),IF(AND('Second Earner'!$C$59&gt;MAX($B$6:$B63),'Second Earner'!$C$59&gt;=DATE('Second Earner'!$C$10,1,1),'Second Earner'!$C$59&lt;=DATE('Second Earner'!$C$10,12,31)),'Second Earner'!$C$59,999999),IF(AND('Second Earner'!$C$60&gt;MAX($B$6:$B63),'Second Earner'!$C$60&gt;=DATE('Second Earner'!$C$10,1,1),'Second Earner'!$C$60&lt;=DATE('Second Earner'!$C$10,12,31)),'Second Earner'!$C$60,999999),IF(AND('Second Earner'!$C$61&gt;MAX($B$6:$B63),'Second Earner'!$C$61&gt;=DATE('Second Earner'!$C$10,1,1),'Second Earner'!$C$61&lt;=DATE('Second Earner'!$C$10,12,31)),'Second Earner'!$C$61,999999),IF(AND('Second Earner'!$C$62&gt;MAX($B$6:$B63),'Second Earner'!$C$62&gt;=DATE('Second Earner'!$C$10,1,1),'Second Earner'!$C$62&lt;=DATE('Second Earner'!$C$10,12,31)),'Second Earner'!$C$62,999999),IF(AND('Second Earner'!$C$63&gt;MAX($B$6:$B63),'Second Earner'!$C$63&gt;=DATE('Second Earner'!$C$10,1,1),'Second Earner'!$C$63&lt;=DATE('Second Earner'!$C$10,12,31)),'Second Earner'!$C$63,999999),IF(AND('Second Earner'!$C$64&gt;MAX($B$6:$B63),'Second Earner'!$C$64&gt;=DATE('Second Earner'!$C$10,1,1),'Second Earner'!$C$64&lt;=DATE('Second Earner'!$C$10,12,31)),'Second Earner'!$C$64,999999),IF(AND('Second Earner'!$C$65&gt;MAX($B$6:$B63),'Second Earner'!$C$65&gt;=DATE('Second Earner'!$C$10,1,1),'Second Earner'!$C$65&lt;=DATE('Second Earner'!$C$10,12,31)),'Second Earner'!$C$65,999999),IF(AND('Second Earner'!$C$66&gt;MAX($B$6:$B63),'Second Earner'!$C$66&gt;=DATE('Second Earner'!$C$10,1,1),'Second Earner'!$C$66&lt;=DATE('Second Earner'!$C$10,12,31)),'Second Earner'!$C$66,999999),IF(AND('Second Earner'!$C$67&gt;MAX($B$6:$B63),'Second Earner'!$C$67&gt;=DATE('Second Earner'!$C$10,1,1),'Second Earner'!$C$67&lt;=DATE('Second Earner'!$C$10,12,31)),'Second Earner'!$C$67,999999))=999999,"",MIN(IF(AND('Second Earner'!$C$58&gt;MAX($B$6:$B63),'Second Earner'!$C$58&gt;=DATE('Second Earner'!$C$10,1,1),'Second Earner'!$C$58&lt;=DATE('Second Earner'!$C$10,12,31)),'Second Earner'!$C$58,999999),IF(AND('Second Earner'!$C$59&gt;MAX($B$6:$B63),'Second Earner'!$C$59&gt;=DATE('Second Earner'!$C$10,1,1),'Second Earner'!$C$59&lt;=DATE('Second Earner'!$C$10,12,31)),'Second Earner'!$C$59,999999),IF(AND('Second Earner'!$C$60&gt;MAX($B$6:$B63),'Second Earner'!$C$60&gt;=DATE('Second Earner'!$C$10,1,1),'Second Earner'!$C$60&lt;=DATE('Second Earner'!$C$10,12,31)),'Second Earner'!$C$60,999999),IF(AND('Second Earner'!$C$61&gt;MAX($B$6:$B63),'Second Earner'!$C$61&gt;=DATE('Second Earner'!$C$10,1,1),'Second Earner'!$C$61&lt;=DATE('Second Earner'!$C$10,12,31)),'Second Earner'!$C$61,999999),IF(AND('Second Earner'!$C$62&gt;MAX($B$6:$B63),'Second Earner'!$C$62&gt;=DATE('Second Earner'!$C$10,1,1),'Second Earner'!$C$62&lt;=DATE('Second Earner'!$C$10,12,31)),'Second Earner'!$C$62,999999),IF(AND('Second Earner'!$C$63&gt;MAX($B$6:$B63),'Second Earner'!$C$63&gt;=DATE('Second Earner'!$C$10,1,1),'Second Earner'!$C$63&lt;=DATE('Second Earner'!$C$10,12,31)),'Second Earner'!$C$63,999999),IF(AND('Second Earner'!$C$64&gt;MAX($B$6:$B63),'Second Earner'!$C$64&gt;=DATE('Second Earner'!$C$10,1,1),'Second Earner'!$C$64&lt;=DATE('Second Earner'!$C$10,12,31)),'Second Earner'!$C$64,999999),IF(AND('Second Earner'!$C$65&gt;MAX($B$6:$B63),'Second Earner'!$C$65&gt;=DATE('Second Earner'!$C$10,1,1),'Second Earner'!$C$65&lt;=DATE('Second Earner'!$C$10,12,31)),'Second Earner'!$C$65,999999),IF(AND('Second Earner'!$C$66&gt;MAX($B$6:$B63),'Second Earner'!$C$66&gt;=DATE('Second Earner'!$C$10,1,1),'Second Earner'!$C$66&lt;=DATE('Second Earner'!$C$10,12,31)),'Second Earner'!$C$66,999999),IF(AND('Second Earner'!$C$67&gt;MAX($B$6:$B63),'Second Earner'!$C$67&gt;=DATE('Second Earner'!$C$10,1,1),'Second Earner'!$C$67&lt;=DATE('Second Earner'!$C$10,12,31)),'Second Earner'!$C$67,999999)))</f>
      </c>
      <c r="CF64">
        <f>IF($B64="","",IF($D64=0,$Y64,""))</f>
      </c>
    </row>
    <row r="65">
      <c r="A65" t="n">
        <v>60</v>
      </c>
      <c r="B65" s="21">
        <f>IF(AND($CD65="",$CE65=""),"",IF($CE65="",$CD65,IF($CD65="",$CE65,MIN($CD65,$CE65))))</f>
      </c>
      <c r="C65" s="7">
        <f>IF($B65="","",IF($BF65=0,0,IF('Second Earner'!$C$4="Annual salary",ROUND($AK65/IF(AND('Second Earner'!$C$88="Actual paydays",MONTH('Second Earner'!$C$9)=1),MAX(1,MAX($BE$6:$BE$68)),'Second Earner'!$C$8),2),$AK65)))</f>
      </c>
      <c r="D65" s="7">
        <f>IF($B65="","",SUMIF('Second Earner'!$C$58:$C$67,$B65,'Second Earner'!$D$58:$D$67))</f>
      </c>
      <c r="E65" s="7">
        <f>IF($B65="","",ROUND(MAX(0,MIN(IF($AL65="Percent",$AM65*($C65+$D65),$AM65),MAX(0,'Second Earner'!$C$34-$AC64))),2))</f>
      </c>
      <c r="F65" s="7">
        <f>IF($B65="","",ROUND(MAX(0,MIN(IF('Second Earner'!$C$32="Percent",'Second Earner'!$D$32*($C65+$D65),'Second Earner'!$D$32),MAX(0,'Second Earner'!$C$34-$AC64-$E65))),2))</f>
      </c>
      <c r="G65" s="7">
        <f>IF($B65="","",IF($BF65=0,0,ROUND(MAX(0,MIN($BL65,'Second Earner'!$C$37-'Second Earner'!$C$54-$BI64)),2)))</f>
      </c>
      <c r="H65" s="7">
        <f>IF($B65="","",IF(OR($BF65=0,$BQ65=1),0,ROUND(MAX(0,MIN(IF($BS65=1,ROUND(MAX(0,MIN($BJ65,'How This Works &amp; Sources'!$C$13)-$BG64)/MAX(1,MAX($BE$6:$BE$68)-($BE64)),2),ROUND(MIN($BJ65,'How This Works &amp; Sources'!$C$13)/'Second Earner'!$C$8,2)),MIN($BJ65,'How This Works &amp; Sources'!$C$13)-$BG64)),2)))</f>
      </c>
      <c r="I65" s="7">
        <f>IF($B65="","",IF(OR($BF65=0,$BR65=1),0,ROUND(MAX(0,MIN(IF($BT65=1,ROUND(MAX(0,MIN($BK65,IF('Second Earner'!$C$12="MFJ",'How This Works &amp; Sources'!$C$14,'How This Works &amp; Sources'!$C$15))-$BH64)/MAX(1,MAX($BE$6:$BE$68)-($BE64)),2),ROUND(MIN($BK65,IF('Second Earner'!$C$12="MFJ",'How This Works &amp; Sources'!$C$14,'How This Works &amp; Sources'!$C$15))/'Second Earner'!$C$8,2)),MIN($BK65,IF('Second Earner'!$C$12="MFJ",'How This Works &amp; Sources'!$C$14,'How This Works &amp; Sources'!$C$15))-$BH64)),2)))</f>
      </c>
      <c r="J65" s="7">
        <f>IF($B65="","",IF($BF65=0,0,$BM65))</f>
      </c>
      <c r="K65" s="7">
        <f>IF($B65="","",IF($BF65=0,0,$BN65+$BO65))</f>
      </c>
      <c r="L65" s="7">
        <f>IF($B65="","",IF($BF65=0,0,'Second Earner'!$D$46))</f>
      </c>
      <c r="M65" s="7">
        <f>IF($B65="","",$C65+$D65+$L65-$E65-$G65-$H65-$I65-$J65-$K65)</f>
      </c>
      <c r="N65" s="7">
        <f>IF($B65="","",$C65+$D65+$L65-$G65-$H65-$I65-$J65-$K65)</f>
      </c>
      <c r="O65" s="7">
        <f>IF($B65="","",$C65+$D65+$L65-$E65-$H65-$I65-$J65-$K65-IF(OR($AN65="CA",$AN65="NJ"),0,$G65))</f>
      </c>
      <c r="P65" s="7">
        <f>IF($B65="","",IF('Second Earner'!$C$18,0,ROUND(MAX(0,IF('Second Earner'!$C$13,SUMPRODUCT(($AH65&gt;INDEX('How This Works &amp; Sources'!$B$29:$J$36,0,IF('Second Earner'!$C$12="MFJ",1,IF('Second Earner'!$C$12="HoH",7,4))))*($AH65-INDEX('How This Works &amp; Sources'!$B$29:$J$36,0,IF('Second Earner'!$C$12="MFJ",1,IF('Second Earner'!$C$12="HoH",7,4))))*INDEX('How This Works &amp; Sources'!$B$29:$J$36,0,IF('Second Earner'!$C$12="MFJ",1,IF('Second Earner'!$C$12="HoH",7,4))+2)),SUMPRODUCT(($AH65&gt;INDEX('How This Works &amp; Sources'!$B$19:$J$26,0,IF('Second Earner'!$C$12="MFJ",1,IF('Second Earner'!$C$12="HoH",7,4))))*($AH65-INDEX('How This Works &amp; Sources'!$B$19:$J$26,0,IF('Second Earner'!$C$12="MFJ",1,IF('Second Earner'!$C$12="HoH",7,4))))*INDEX('How This Works &amp; Sources'!$B$19:$J$26,0,IF('Second Earner'!$C$12="MFJ",1,IF('Second Earner'!$C$12="HoH",7,4))+2)))/'Second Earner'!$C$8-$AO65/'Second Earner'!$C$8)+$AR65+IF('Second Earner'!$C$89="Aggregate",MAX(0,IF('Second Earner'!$C$13,SUMPRODUCT((($AH65+$D65)&gt;INDEX('How This Works &amp; Sources'!$B$29:$J$36,0,IF('Second Earner'!$C$12="MFJ",1,IF('Second Earner'!$C$12="HoH",7,4))))*(($AH65+$D65)-INDEX('How This Works &amp; Sources'!$B$29:$J$36,0,IF('Second Earner'!$C$12="MFJ",1,IF('Second Earner'!$C$12="HoH",7,4))))*INDEX('How This Works &amp; Sources'!$B$29:$J$36,0,IF('Second Earner'!$C$12="MFJ",1,IF('Second Earner'!$C$12="HoH",7,4))+2)),SUMPRODUCT((($AH65+$D65)&gt;INDEX('How This Works &amp; Sources'!$B$19:$J$26,0,IF('Second Earner'!$C$12="MFJ",1,IF('Second Earner'!$C$12="HoH",7,4))))*(($AH65+$D65)-INDEX('How This Works &amp; Sources'!$B$19:$J$26,0,IF('Second Earner'!$C$12="MFJ",1,IF('Second Earner'!$C$12="HoH",7,4))))*INDEX('How This Works &amp; Sources'!$B$19:$J$26,0,IF('Second Earner'!$C$12="MFJ",1,IF('Second Earner'!$C$12="HoH",7,4))+2)))-IF('Second Earner'!$C$13,SUMPRODUCT(($AH65&gt;INDEX('How This Works &amp; Sources'!$B$29:$J$36,0,IF('Second Earner'!$C$12="MFJ",1,IF('Second Earner'!$C$12="HoH",7,4))))*($AH65-INDEX('How This Works &amp; Sources'!$B$29:$J$36,0,IF('Second Earner'!$C$12="MFJ",1,IF('Second Earner'!$C$12="HoH",7,4))))*INDEX('How This Works &amp; Sources'!$B$29:$J$36,0,IF('Second Earner'!$C$12="MFJ",1,IF('Second Earner'!$C$12="HoH",7,4))+2)),SUMPRODUCT(($AH65&gt;INDEX('How This Works &amp; Sources'!$B$19:$J$26,0,IF('Second Earner'!$C$12="MFJ",1,IF('Second Earner'!$C$12="HoH",7,4))))*($AH65-INDEX('How This Works &amp; Sources'!$B$19:$J$26,0,IF('Second Earner'!$C$12="MFJ",1,IF('Second Earner'!$C$12="HoH",7,4))))*INDEX('How This Works &amp; Sources'!$B$19:$J$26,0,IF('Second Earner'!$C$12="MFJ",1,IF('Second Earner'!$C$12="HoH",7,4))+2)))),'How This Works &amp; Sources'!$C$10*$D65),2)))</f>
      </c>
      <c r="Q65" s="7">
        <f>IF($B65="","",ROUND('How This Works &amp; Sources'!$C$4*MIN($N65,MAX(0,'How This Works &amp; Sources'!$C$3-($AX65+$AB64-$AW65))),2))</f>
      </c>
      <c r="R65" s="7">
        <f>IF($B65="","",ROUND('How This Works &amp; Sources'!$C$5*$N65,2))</f>
      </c>
      <c r="S65" s="7">
        <f>IF($B65="","",ROUND('How This Works &amp; Sources'!$C$6*MAX(0,MIN($N65,$AG64+$N65-'How This Works &amp; Sources'!$C$7)),2))</f>
      </c>
      <c r="T65" s="7">
        <f>IF($B65="","",IF('Second Earner'!$C$26,0,IF($AN65="CA",ROUND(IF($AI65&lt;=IF(($AS65+$AT65)&gt;=2,VLOOKUP($AN65,StateTables!$A$6:$AB$56,10,FALSE),VLOOKUP($AN65,StateTables!$A$6:$AB$56,9,FALSE)),0,MAX(0,SUMPRODUCT(($AJ65&gt;INDEX('How This Works &amp; Sources'!$B$39:$J$48,0,IF($AU65="Married",4,IF($AU65="Head of household",7,1))))*($AJ65-INDEX('How This Works &amp; Sources'!$B$39:$J$48,0,IF($AU65="Married",4,IF($AU65="Head of household",7,1))))*INDEX('How This Works &amp; Sources'!$B$39:$J$48,0,IF($AU65="Married",4,IF($AU65="Head of household",7,1))+2))-VLOOKUP($AN65,StateTables!$A$6:$AB$56,11,FALSE)*$AS65)/'Second Earner'!$C$8)+'Second Earner'!$C$25+VLOOKUP($AN65,StateTables!$A$6:$AB$56,13,FALSE)*$D65,2),IF(VLOOKUP($AN65,StateTables!$A$6:$AB$56,4,FALSE)="None",0,IF(ISNUMBER(SEARCH("MANUAL",VLOOKUP($AN65,StateTables!$A$6:$AB$56,5,FALSE))),'Second Earner'!$C$28,ROUND(MAX(0,$BA65+$BB65)/'Second Earner'!$C$8+'Second Earner'!$C$25+$BC65,2))))))</f>
      </c>
      <c r="U65" s="7">
        <f>IF($B65="","",IF(VLOOKUP($AN65,StateTables!$A$6:$AB$56,24,FALSE)="flatq",IF(OR(MONTH($B65)=1,MONTH($B65)=4,MONTH($B65)=7,MONTH($B65)=10),VLOOKUP($AN65,StateTables!$A$6:$AB$56,25,FALSE),0),IF(VLOOKUP($AN65,StateTables!$A$6:$AB$56,24,FALSE)="dbl",MIN(ROUND(0.005*$N65,2),ROUND(0.6*52/'Second Earner'!$C$8,2)),IF(OR(VLOOKUP($AN65,StateTables!$A$6:$AB$56,15,FALSE)="",VLOOKUP($AN65,StateTables!$A$6:$AB$56,15,FALSE)=0),0,ROUND(VLOOKUP($AN65,StateTables!$A$6:$AB$56,15,FALSE)*IF(OR(VLOOKUP($AN65,StateTables!$A$6:$AB$56,16,FALSE)="",VLOOKUP($AN65,StateTables!$A$6:$AB$56,16,FALSE)=0),$N65,MIN($N65,MAX(0,VLOOKUP($AN65,StateTables!$A$6:$AB$56,16,FALSE)-($AX65+$AB64-$AW65)))),2))))+IF(VLOOKUP($AN65,StateTables!$A$6:$AB$56,27,FALSE)="flatq",IF(OR(MONTH($B65)=1,MONTH($B65)=4,MONTH($B65)=7,MONTH($B65)=10),VLOOKUP($AN65,StateTables!$A$6:$AB$56,28,FALSE),0),IF(VLOOKUP($AN65,StateTables!$A$6:$AB$56,27,FALSE)="dbl",MIN(ROUND(0.005*$N65,2),ROUND(0.6*52/'Second Earner'!$C$8,2)),IF(OR(VLOOKUP($AN65,StateTables!$A$6:$AB$56,18,FALSE)="",VLOOKUP($AN65,StateTables!$A$6:$AB$56,18,FALSE)=0),0,ROUND(VLOOKUP($AN65,StateTables!$A$6:$AB$56,18,FALSE)*IF(OR(VLOOKUP($AN65,StateTables!$A$6:$AB$56,19,FALSE)="",VLOOKUP($AN65,StateTables!$A$6:$AB$56,19,FALSE)=0),$N65,MIN($N65,MAX(0,VLOOKUP($AN65,StateTables!$A$6:$AB$56,19,FALSE)-($AX65+$AB64-$AW65)))),2)))))</f>
      </c>
      <c r="V65" s="7">
        <f>IF($B65="","",IF($AN65="NY",IF('Second Earner'!$C$78,ROUND(SUMPRODUCT((MAX(0,($O65-$D65)*'Second Earner'!$C$8-(IF($AU65="Married",5500,5000)+1000*$AS65))&gt;INDEX('How This Works &amp; Sources'!$B$184:$J$198,0,4))*(MAX(0,($O65-$D65)*'Second Earner'!$C$8-(IF($AU65="Married",5500,5000)+1000*$AS65))-INDEX('How This Works &amp; Sources'!$B$184:$J$198,0,4))*INDEX('How This Works &amp; Sources'!$B$184:$J$198,0,4+2))/'Second Earner'!$C$8+0.0425*$D65,2),0)+IF('Second Earner'!$C$79="Resident",ROUND(0.1675*$T65,2),IF('Second Earner'!$C$79="Nonresident",ROUND(0.005*MAX(0,($O65-$D65)-(IF($AU65="Married",7950,7400)+1000*$AS65)/'Second Earner'!$C$8),2),0)),IF($AN65="PA",IF('Second Earner'!$C$80="None",'Second Earner'!$C$27+ROUND('Second Earner'!$C$81*($C65+$D65),2),ROUND(IF('Second Earner'!$C$80="Resident",IF($B65&lt;DATE(2026,7,1),0.0374,0.03735),IF($B65&lt;DATE(2026,7,1),0.0343,0.03425))*($C65+$D65),2)),IF($BF65=0,ROUND('Second Earner'!$C$81*($C65+$D65),2),'Second Earner'!$C$27+ROUND('Second Earner'!$C$81*($C65+$D65),2)))))</f>
      </c>
      <c r="W65" s="7">
        <f>IF($B65="","",IF($BF65=0,0,$BP65))</f>
      </c>
      <c r="X65" s="7">
        <f>IF($B65="","",SUM($E65:$K65)+$P65+$Q65+$R65+$S65+$T65+$U65+$V65+$W65)</f>
      </c>
      <c r="Y65" s="22">
        <f>IF($B65="","",$C65+$D65-$X65)</f>
      </c>
      <c r="Z65" s="7">
        <f>IF($B65="","",$Z64+$C65+$D65)</f>
      </c>
      <c r="AA65" s="7">
        <f>IF($B65="","",$AA64+$Y65)</f>
      </c>
      <c r="AB65" s="7">
        <f>IF($B65="","",$AB64+MIN($N65,MAX(0,'How This Works &amp; Sources'!$C$3-($AX65+$AB64-$AW65))))</f>
      </c>
      <c r="AC65" s="7">
        <f>IF($B65="","",$AC64+$E65+$F65)</f>
      </c>
      <c r="AD65" s="3">
        <f>IF($B65="","",IF(AND($AB64&lt;'How This Works &amp; Sources'!$C$3,$AB65&gt;='How This Works &amp; Sources'!$C$3),"★ Social Security maxed on this check — from the next check your net rises by about $"&amp;TEXT(ROUND('How This Works &amp; Sources'!$C$4*$N65,2),"#,##0.00")&amp;". ","")&amp;IF(AND($AC64&lt;'Second Earner'!$C$34,$AC65&gt;='Second Earner'!$C$34),"★ 401(k) reaches the $"&amp;TEXT('Second Earner'!$C$34,"#,##0")&amp;" cap on this check — deferrals stop and net pay rises. ","")&amp;IF(AND($AG64&lt;'How This Works &amp; Sources'!$C$7,$AG65&gt;='How This Works &amp; Sources'!$C$7),"★ Wages pass $200,000 — the 0.9% Additional Medicare Tax starts here. ","")&amp;IF(AND($BJ65&gt;0,$H65&gt;0,$BG64&lt;MIN($BJ65,'How This Works &amp; Sources'!$C$13),$BG64+$H65&gt;=MIN($BJ65,'How This Works &amp; Sources'!$C$13)),"★ Health FSA election is now fully deferred for the year. ",""))</f>
      </c>
      <c r="AE65" s="41" t="n"/>
      <c r="AF65" s="7">
        <f>IF(OR($B65="",$AE65=""),"",$AE65-$Y65)</f>
      </c>
      <c r="AG65" s="7">
        <f>IF($B65="","",$AG64+$N65)</f>
      </c>
      <c r="AH65" s="7">
        <f>IF($B65="","",MAX(0,($M65-$D65)*'Second Earner'!$C$8+$AP65-$AQ65-IF('Second Earner'!$C$13,0,IF('Second Earner'!$C$12="MFJ",'How This Works &amp; Sources'!$C$8,'How This Works &amp; Sources'!$C$9))))</f>
      </c>
      <c r="AI65" s="7">
        <f>IF($B65="","",$O65*'Second Earner'!$C$8)</f>
      </c>
      <c r="AJ65" s="7">
        <f>IF($B65="","",MAX(0,$AI65-VLOOKUP($AN65,StateTables!$A$6:$AB$56,12,FALSE)*$AT65-IF(($AS65+$AT65)&gt;=2,VLOOKUP($AN65,StateTables!$A$6:$AB$56,8,FALSE),VLOOKUP($AN65,StateTables!$A$6:$AB$56,7,FALSE))))</f>
      </c>
      <c r="AK65" s="7">
        <f>IF($B65="","",IFERROR(LOOKUP(2,1/(('Changes — Earner 2'!$C$6:$C$17="Salary change")*('Changes — Earner 2'!$B$6:$B$17&lt;=$B65)*('Changes — Earner 2'!$B$6:$B$17&lt;&gt;"")),'Changes — Earner 2'!$D$6:$D$17),IF('Second Earner'!$C$4="Annual salary",'Second Earner'!$C$5,'Second Earner'!$C$6)))</f>
      </c>
      <c r="AL65">
        <f>IF($B65="","",IFERROR(LOOKUP(2,1/(('Changes — Earner 2'!$C$6:$C$17="401(k) change")*('Changes — Earner 2'!$B$6:$B$17&lt;=$B65)*('Changes — Earner 2'!$B$6:$B$17&lt;&gt;"")),'Changes — Earner 2'!$D$6:$D$17),'Second Earner'!$C$30))</f>
      </c>
      <c r="AM65" s="7">
        <f>IF($B65="","",IFERROR(LOOKUP(2,1/(('Changes — Earner 2'!$C$6:$C$17="401(k) change")*('Changes — Earner 2'!$B$6:$B$17&lt;=$B65)*('Changes — Earner 2'!$B$6:$B$17&lt;&gt;"")),'Changes — Earner 2'!$E$6:$E$17),'Second Earner'!$D$31))</f>
      </c>
      <c r="AN65">
        <f>IF($B65="","",IFERROR(LOOKUP(2,1/(('Changes — Earner 2'!$C$6:$C$17="State move")*('Changes — Earner 2'!$B$6:$B$17&lt;=$B65)*('Changes — Earner 2'!$B$6:$B$17&lt;&gt;"")),'Changes — Earner 2'!$D$6:$D$17),'Second Earner'!$C$21))</f>
      </c>
      <c r="AO65" s="7">
        <f>IF($B65="","",IFERROR(LOOKUP(2,1/(('Changes — Earner 2'!$C$6:$C$17="W-4 change")*('Changes — Earner 2'!$B$6:$B$17&lt;=$B65)*('Changes — Earner 2'!$B$6:$B$17&lt;&gt;"")),'Changes — Earner 2'!$D$6:$D$17),'Second Earner'!$C$14))</f>
      </c>
      <c r="AP65" s="7">
        <f>IF($B65="","",IFERROR(LOOKUP(2,1/(('Changes — Earner 2'!$C$6:$C$17="W-4 change")*('Changes — Earner 2'!$B$6:$B$17&lt;=$B65)*('Changes — Earner 2'!$B$6:$B$17&lt;&gt;"")),'Changes — Earner 2'!$E$6:$E$17),'Second Earner'!$C$15))</f>
      </c>
      <c r="AQ65" s="7">
        <f>IF($B65="","",IFERROR(LOOKUP(2,1/(('Changes — Earner 2'!$C$6:$C$17="W-4 change")*('Changes — Earner 2'!$B$6:$B$17&lt;=$B65)*('Changes — Earner 2'!$B$6:$B$17&lt;&gt;"")),'Changes — Earner 2'!$F$6:$F$17),'Second Earner'!$C$16))</f>
      </c>
      <c r="AR65" s="7">
        <f>IF($B65="","",IFERROR(LOOKUP(2,1/(('Changes — Earner 2'!$C$6:$C$17="W-4 change")*('Changes — Earner 2'!$B$6:$B$17&lt;=$B65)*('Changes — Earner 2'!$B$6:$B$17&lt;&gt;"")),'Changes — Earner 2'!$G$6:$G$17),'Second Earner'!$C$17))</f>
      </c>
      <c r="AS65" s="6">
        <f>IF($B65="","",IFERROR(LOOKUP(2,1/((('Changes — Earner 2'!$C$6:$C$17="State move")+('Changes — Earner 2'!$C$6:$C$17="State cert change"))*('Changes — Earner 2'!$B$6:$B$17&lt;=$B65)*('Changes — Earner 2'!$B$6:$B$17&lt;&gt;"")),'Changes — Earner 2'!$F$6:$F$17),'Second Earner'!$C$23))</f>
      </c>
      <c r="AT65" s="6">
        <f>IF($B65="","",IFERROR(LOOKUP(2,1/((('Changes — Earner 2'!$C$6:$C$17="State move")+('Changes — Earner 2'!$C$6:$C$17="State cert change"))*('Changes — Earner 2'!$B$6:$B$17&lt;=$B65)*('Changes — Earner 2'!$B$6:$B$17&lt;&gt;"")),'Changes — Earner 2'!$G$6:$G$17),'Second Earner'!$C$24))</f>
      </c>
      <c r="AU65">
        <f>IF($B65="","",IFERROR(LOOKUP(2,1/(('Changes — Earner 2'!$C$6:$C$17="State move")*('Changes — Earner 2'!$B$6:$B$17&lt;=$B65)*('Changes — Earner 2'!$B$6:$B$17&lt;&gt;"")),'Changes — Earner 2'!$E$6:$E$17),'Second Earner'!$C$22))</f>
      </c>
      <c r="AV65" s="6">
        <f>IF($B65="","",1+COUNTIFS('Changes — Earner 2'!$C$6:$C$17,"Employer change",'Changes — Earner 2'!$B$6:$B$17,"&lt;="&amp;$B65,'Changes — Earner 2'!$B$6:$B$17,"&lt;&gt;"))</f>
      </c>
      <c r="AW65" s="7">
        <f>IF($B65="","",IF($AV65=1,'Second Earner'!$C$49,IF(IFERROR(MATCH(IFERROR(LOOKUP(2,1/(('Changes — Earner 2'!$C$6:$C$17="Employer change")*('Changes — Earner 2'!$B$6:$B$17&lt;=$B65)*('Changes — Earner 2'!$B$6:$B$17&lt;&gt;"")),'Changes — Earner 2'!$B$6:$B$17),""),$B$6:$B$68,1),1)&lt;=1,'Second Earner'!$C$49,INDEX($AB$6:$AB$68,MATCH(IFERROR(LOOKUP(2,1/(('Changes — Earner 2'!$C$6:$C$17="Employer change")*('Changes — Earner 2'!$B$6:$B$17&lt;=$B65)*('Changes — Earner 2'!$B$6:$B$17&lt;&gt;"")),'Changes — Earner 2'!$B$6:$B$17),""),$B$6:$B$68,1)-1))))</f>
      </c>
      <c r="AX65" s="7">
        <f>IF($B65="","",IF($AV65=1,'Second Earner'!$C$49,IFERROR(LOOKUP(2,1/(('Changes — Earner 2'!$C$6:$C$17="Employer change")*('Changes — Earner 2'!$B$6:$B$17&lt;=$B65)*('Changes — Earner 2'!$B$6:$B$17&lt;&gt;"")),'Changes — Earner 2'!$D$6:$D$17),0)))</f>
      </c>
      <c r="AY65" s="7">
        <f>IF($B65="","",($O65-$D65)*'Second Earner'!$C$8)</f>
      </c>
      <c r="AZ65" s="7">
        <f>IF($B65="","",IF($AN65="AL",MAX(0,$AY65-IF($AU65="Married",IF($AY65&lt;=25999,8500,MAX(5000,8500-175*CEILING(($AY65-25999)/500,1))),IF($AU65="Head of household",IF($AY65&lt;=25999,5200,MAX(2500,5200-135*CEILING(($AY65-25999)/500,1))),IF($AY65&lt;=25999,3000,MAX(2500,3000-25*CEILING(($AY65-25999)/500,1)))))-($P65-'How This Works &amp; Sources'!$C$10*$D65)*'Second Earner'!$C$8-IF(OR($AU65="Married",$AU65="Head of household"),3000,1500)-$AT65*IF($AY65&lt;=50000,1000,IF($AY65&lt;=100000,500,300))),IF($AN65="AR",IF(MAX(0,$AY65-2470)&lt;97701,INT(MAX(0,$AY65-2470)/100)*100+50,MAX(0,$AY65-2470)),IF($AN65="DE",MAX(0,$AI65-3250),IF($AN65="HI",MAX(0,$AI65-1144*$AS65-4350),IF($AN65="KS",MAX(0,$AI65-(9160*IF($AU65="Married",2,1)+2320*$AT65+IF($AU65="Head of household",2320,0))),IF($AN65="MD",MAX(0,$AI65-3400-3200*$AS65),IF($AN65="MN",MAX(0,$AY65-5300*$AS65),IF($AN65="MO",MAX(0,$AI65-IF($AU65="Head of household",24150,IF($AU65="Married",IF('Second Earner'!$C$83,16100,32200),16100))),IF($AN65="MT",$AY65,IF($AN65="ND",($C65+$L65)*'Second Earner'!$C$8,IF($AN65="NE",MAX(0,$AY65-2440*$AS65),IF($AN65="NJ",MAX(0,$AY65-1000*$AS65),IF($AN65="NY",MAX(0,$AY65-(IF($AU65="Married",7950,7400)+1000*$AS65)),IF($AN65="OH",MAX(0,$AY65-650*$AS65),IF($AN65="OK",MAX(0,$AY65-1000*$AS65),IF($AN65="RI",MAX(0,$AI65-1000*$AS65),IF($AN65="SC",MAX(0,$AI65-5000*$AS65-IF($AS65=0,0,MIN(0.1*$AI65,7500))),IF($AN65="VA",MAX(0,$AI65-IF($AU65="Married",17500,8750)-930*$AS65-800*$AT65),IF($AN65="VT",MAX(0,$AI65-5400*$AS65),IF($AN65="WI",MAX(0,$AI65-MAX(0,IF($AU65="Married",9461-0.2*MAX(0,$AI65-25727),6702-0.12*MAX(0,$AI65-17780)))-400*$AS65),IF($AN65="WV",MAX(0,$AI65-2000*$AS65),$AI65))))))))))))))))))))))</f>
      </c>
      <c r="BA65" s="7">
        <f>IF($B65="","",IF($BW65&lt;&gt;"",$BW65,IF($BX65&lt;&gt;"",$BX65,IF($BY65&lt;&gt;"",$BY65,0))))</f>
      </c>
      <c r="BB65" s="7">
        <f>IF($B65="","",IF($AN65="AR",-29*$AS65,IF($AN65="DE",-110*$AS65,IF($AN65="MD",$AZ65*'Second Earner'!$C$74,IF($AN65="AZ",'Second Earner'!$C$82*($M65-$D65)*'Second Earner'!$C$8,IF($AN65="CO",0.044*MAX(0,$AY65-IF($AU65="Married",10000,5000)),IF($AN65="IA",MAX(0,0.038*MAX(0,$AY65-IF($AU65="Head of household",19500,IF($AU65="Married",26000,13000)))-40*$AS65),IF($AN65="ID",0.053*MAX(0,$AY65-IF($AU65="Married",32000,16094)),IF($AN65="IL",0.0495*MAX(0,$AY65-(2925*$AS65+1000*$AT65)),IF($AN65="IN",(0.0295+'Second Earner'!$C$76)*MAX(0,$AY65-(1000*$AS65+1500*$AT65+3000*'Second Earner'!$C$86)),IF($AN65="KY",0.035*MAX(0,$AI65-3360),IF($AN65="LA",IF('Second Earner'!$C$84="0",0.0309*$AI65,0.0309*MAX(0,$AI65-IF('Second Earner'!$C$84="2",25750,12875))),IF($AN65="MA",0.05*MIN(MAX(0,$AY65-MIN(($BD64+$Q65+$R65+$S65),2000)-IF($AS65=0,0,IF($AS65=1,4400,1000*$AS65+3400))),1107750)+0.09*MAX(0,MAX(0,$AY65-MIN(($BD64+$Q65+$R65+$S65),2000)-IF($AS65=0,0,IF($AS65=1,4400,1000*$AS65+3400)))-1107750)-IF($AU65="Head of household",120,0)-110*'Second Earner'!$C$75,IF($AN65="MI",0.0425*MAX(0,$AY65-5900*$AS65),IF($AN65="MS",0.04*MAX(0,$AI65-IF($AU65="Head of household",3400,IF($AU65="Married",4600,2300))-'Second Earner'!$C$85-10000),IF($AN65="OR",IF(OR($AU65="Married",AND($AU65="Single",$AS65&gt;=3)),SUMPRODUCT((MAX(0,$AY65-MIN(($P65-'How This Works &amp; Sources'!$C$10*$D65)*'Second Earner'!$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Sources'!$B$211:$J$214,0,4))*(MAX(0,$AY65-MIN(($P65-'How This Works &amp; Sources'!$C$10*$D65)*'Second Earner'!$C$8,IF(OR($AU65="Married",AND($AU65="Single",$AS65&gt;=3)),IF($AY65&lt;250000,8750,IF($AY65&lt;260000,7000,IF($AY65&lt;270000,5250,IF($AY65&lt;280000,3500,IF($AY65&lt;290000,1750,0))))),IF($AY65&lt;125000,8750,IF($AY65&lt;130000,7000,IF($AY65&lt;135000,5250,IF($AY65&lt;140000,3500,IF($AY65&lt;145000,1750,0)))))))-IF(OR($AU65="Married",AND($AU65="Single",$AS65&gt;=3)),5820,2910))-INDEX('How This Works &amp; Sources'!$B$211:$J$214,0,4))*INDEX('How This Works &amp; Sources'!$B$211:$J$214,0,4+2)),SUMPRODUCT((MAX(0,$AY65-MIN(($P65-'How This Works &amp; Sources'!$C$10*$D65)*'Second Earner'!$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Sources'!$B$211:$J$214,0,1))*(MAX(0,$AY65-MIN(($P65-'How This Works &amp; Sources'!$C$10*$D65)*'Second Earner'!$C$8,IF(OR($AU65="Married",AND($AU65="Single",$AS65&gt;=3)),IF($AY65&lt;250000,8750,IF($AY65&lt;260000,7000,IF($AY65&lt;270000,5250,IF($AY65&lt;280000,3500,IF($AY65&lt;290000,1750,0))))),IF($AY65&lt;125000,8750,IF($AY65&lt;130000,7000,IF($AY65&lt;135000,5250,IF($AY65&lt;140000,3500,IF($AY65&lt;145000,1750,0)))))))-IF(OR($AU65="Married",AND($AU65="Single",$AS65&gt;=3)),5820,2910))-INDEX('How This Works &amp; Sources'!$B$211:$J$214,0,1))*INDEX('How This Works &amp; Sources'!$B$211:$J$214,0,1+2)))+263-263*IF(IF($AU65="Married",$AY65&gt;200000,$AY65&gt;100000),0,$AS65),IF($AN65="PA",0.0307*(($O65+$E65+$G65)*'Second Earner'!$C$8),IF($AN65="NY",IF($AU65="Married",IF($AZ65&gt;=2155350,0,IF($AZ65&gt;=1077550,0.48,IF($AZ65&gt;=373200,1.21,IF($AZ65&gt;=323200,0.21,IF($AZ65&gt;=211550,-0.19,IF($AZ65&gt;=157650,-2.8,IF($AZ65&gt;=107650,-0.8,IF($AZ65&gt;=96800,0.05,IF($AZ65&gt;=80650,-0.1,IF($AZ65&gt;=13900,0.4,IF($AZ65&gt;=11700,-0.3,IF($AZ65&gt;=8500,0.5,0)))))))))))),IF($AZ65&gt;=1077550,0,IF($AZ65&gt;=265400,4.29,IF($AZ65&gt;=215400,2.29,IF($AZ65&gt;=157650,2.29,IF($AZ65&gt;=107650,0.29,IF($AZ65&gt;=96800,0.05,IF($AZ65&gt;=80650,-0.1,IF($AZ65&gt;=13900,0.4,IF($AZ65&gt;=11700,-0.3,IF($AZ65&gt;=8500,0.5,0))))))))))),0))))))))))))))))))</f>
      </c>
      <c r="BC65" s="7">
        <f>IF($B65="","",IF($AN65="AL",0.05*$D65,IF($AN65="AR",0.039*$D65,IF($AN65="ID",0.053*$D65,IF($AN65="IN",(0.0295+'Second Earner'!$C$76)*$D65,IF($AN65="KS",0.05*$D65,IF($AN65="MA",0.09*MIN($D65,MAX(0,MAX(0,$AY65-MIN(($BD64+$Q65+$R65+$S65),2000)-IF($AS65=0,0,IF($AS65=1,4400,1000*$AS65+3400)))+$D65-1107750))+0.05*($D65-MIN($D65,MAX(0,MAX(0,$AY65-MIN(($BD64+$Q65+$R65+$S65),2000)-IF($AS65=0,0,IF($AS65=1,4400,1000*$AS65+3400)))+$D65-1107750))),IF($AN65="MD",(0.065+'Second Earner'!$C$74)*$D65,IF($AN65="MI",0.0425*$D65,IF($AN65="MN",0.0625*$D65,IF($AN65="MO",0.047*$D65,IF($AN65="MT",0.05*$D65,IF($AN65="ND",0.015*$D65,IF($AN65="NE",0.035*$D65,IF($AN65="NJ",IF('Second Earner'!$C$77="B",SUMPRODUCT(($D65*'Second Earner'!$C$8&gt;INDEX('How This Works &amp; Sources'!$B$155:$J$162,0,4))*($D65*'Second Earner'!$C$8-INDEX('How This Works &amp; Sources'!$B$155:$J$162,0,4))*INDEX('How This Works &amp; Sources'!$B$155:$J$162,0,4+2)),IF('Second Earner'!$C$77="C",SUMPRODUCT(($D65*'Second Earner'!$C$8&gt;INDEX('How This Works &amp; Sources'!$B$155:$J$162,0,7))*($D65*'Second Earner'!$C$8-INDEX('How This Works &amp; Sources'!$B$155:$J$162,0,7))*INDEX('How This Works &amp; Sources'!$B$155:$J$162,0,7+2)),IF('Second Earner'!$C$77="D",SUMPRODUCT(($D65*'Second Earner'!$C$8&gt;INDEX('How This Works &amp; Sources'!$B$167:$J$179,0,1))*($D65*'Second Earner'!$C$8-INDEX('How This Works &amp; Sources'!$B$167:$J$179,0,1))*INDEX('How This Works &amp; Sources'!$B$167:$J$179,0,1+2)),IF('Second Earner'!$C$77="E",SUMPRODUCT(($D65*'Second Earner'!$C$8&gt;INDEX('How This Works &amp; Sources'!$B$167:$J$179,0,4))*($D65*'Second Earner'!$C$8-INDEX('How This Works &amp; Sources'!$B$167:$J$179,0,4))*INDEX('How This Works &amp; Sources'!$B$167:$J$179,0,4+2)),SUMPRODUCT(($D65*'Second Earner'!$C$8&gt;INDEX('How This Works &amp; Sources'!$B$155:$J$162,0,1))*($D65*'Second Earner'!$C$8-INDEX('How This Works &amp; Sources'!$B$155:$J$162,0,1))*INDEX('How This Works &amp; Sources'!$B$155:$J$162,0,1+2))))))/'Second Earner'!$C$8,IF($AN65="NY",0.117*$D65,IF($AN65="OH",0.0275*$D65,IF($AN65="OK",0.045*$D65,IF($AN65="OR",0.08*$D65,IF($AN65="WI",IF($AY65&lt;12760,0.0354,IF($AY65&lt;25520,0.0465,IF($AY65&lt;280950,0.053,0.0765)))*$D65,0))))))))))))))))))))</f>
      </c>
      <c r="BD65" s="7">
        <f>IF($B65="","",$BD64+$Q65+$R65+$S65)</f>
      </c>
      <c r="BE65" s="6">
        <f>IF($B65="",$BE64,$BE64+$BF65)</f>
      </c>
      <c r="BF65" s="6">
        <f>IF($B65="","",IF(AND(IF(YEAR(IF('Second Earner'!$C$7="Weekly",'Second Earner'!$C$9+7*(($BE64+1)-1),IF('Second Earner'!$C$7="Biweekly",'Second Earner'!$C$9+14*(($BE64+1)-1),IF('Second Earner'!$C$7="Semimonthly",DATE(YEAR('Second Earner'!$C$9),MONTH('Second Earner'!$C$9)+INT((($BE64+1)-1)/2),MIN(DAY('Second Earner'!$C$9),DAY(EOMONTH(DATE(YEAR('Second Earner'!$C$9),MONTH('Second Earner'!$C$9)+INT((($BE64+1)-1)/2),1),0))))+IF(MOD(($BE64+1)-1,2)=1,15,0),EDATE('Second Earner'!$C$9,($BE64+1)-1)))))&lt;&gt;'Second Earner'!$C$10,"",IF('Second Earner'!$C$7="Weekly",'Second Earner'!$C$9+7*(($BE64+1)-1),IF('Second Earner'!$C$7="Biweekly",'Second Earner'!$C$9+14*(($BE64+1)-1),IF('Second Earner'!$C$7="Semimonthly",DATE(YEAR('Second Earner'!$C$9),MONTH('Second Earner'!$C$9)+INT((($BE64+1)-1)/2),MIN(DAY('Second Earner'!$C$9),DAY(EOMONTH(DATE(YEAR('Second Earner'!$C$9),MONTH('Second Earner'!$C$9)+INT((($BE64+1)-1)/2),1),0))))+IF(MOD(($BE64+1)-1,2)=1,15,0),EDATE('Second Earner'!$C$9,($BE64+1)-1)))))&lt;&gt;"",$B65=IF(YEAR(IF('Second Earner'!$C$7="Weekly",'Second Earner'!$C$9+7*(($BE64+1)-1),IF('Second Earner'!$C$7="Biweekly",'Second Earner'!$C$9+14*(($BE64+1)-1),IF('Second Earner'!$C$7="Semimonthly",DATE(YEAR('Second Earner'!$C$9),MONTH('Second Earner'!$C$9)+INT((($BE64+1)-1)/2),MIN(DAY('Second Earner'!$C$9),DAY(EOMONTH(DATE(YEAR('Second Earner'!$C$9),MONTH('Second Earner'!$C$9)+INT((($BE64+1)-1)/2),1),0))))+IF(MOD(($BE64+1)-1,2)=1,15,0),EDATE('Second Earner'!$C$9,($BE64+1)-1)))))&lt;&gt;'Second Earner'!$C$10,"",IF('Second Earner'!$C$7="Weekly",'Second Earner'!$C$9+7*(($BE64+1)-1),IF('Second Earner'!$C$7="Biweekly",'Second Earner'!$C$9+14*(($BE64+1)-1),IF('Second Earner'!$C$7="Semimonthly",DATE(YEAR('Second Earner'!$C$9),MONTH('Second Earner'!$C$9)+INT((($BE64+1)-1)/2),MIN(DAY('Second Earner'!$C$9),DAY(EOMONTH(DATE(YEAR('Second Earner'!$C$9),MONTH('Second Earner'!$C$9)+INT((($BE64+1)-1)/2),1),0))))+IF(MOD(($BE64+1)-1,2)=1,15,0),EDATE('Second Earner'!$C$9,($BE64+1)-1)))))),1,0))</f>
      </c>
      <c r="BG65" s="7">
        <f>IF($B65="","",$BG64+$H65)</f>
      </c>
      <c r="BH65" s="7">
        <f>IF($B65="","",$BH64+$I65)</f>
      </c>
      <c r="BI65" s="7">
        <f>IF($B65="","",$BI64+$G65)</f>
      </c>
      <c r="BJ65" s="7">
        <f>IF($B65="","",IFERROR(LOOKUP(2,1/(((('Changes — Earner 2'!$C$6:$C$17="Deduction start"))*('Changes — Earner 2'!$D$6:$D$17="Health FSA"))*('Changes — Earner 2'!$B$6:$B$17&lt;=$B65)*('Changes — Earner 2'!$B$6:$B$17&lt;&gt;"")),'Changes — Earner 2'!$E$6:$E$17),'Second Earner'!$D$38))</f>
      </c>
      <c r="BK65" s="7">
        <f>IF($B65="","",IFERROR(LOOKUP(2,1/(((('Changes — Earner 2'!$C$6:$C$17="Deduction start"))*('Changes — Earner 2'!$D$6:$D$17="Dependent-care FSA"))*('Changes — Earner 2'!$B$6:$B$17&lt;=$B65)*('Changes — Earner 2'!$B$6:$B$17&lt;&gt;"")),'Changes — Earner 2'!$E$6:$E$17),'Second Earner'!$D$39))</f>
      </c>
      <c r="BL65" s="7">
        <f>IF($B65="","",IFERROR(LOOKUP(2,1/(((('Changes — Earner 2'!$C$6:$C$17="Deduction start")+('Changes — Earner 2'!$C$6:$C$17="Deduction stop"))*('Changes — Earner 2'!$D$6:$D$17="HSA"))*('Changes — Earner 2'!$B$6:$B$17&lt;=$B65)*('Changes — Earner 2'!$B$6:$B$17&lt;&gt;"")),'Changes — Earner 2'!$I$6:$I$17),'Second Earner'!$D$35))</f>
      </c>
      <c r="BM65" s="7">
        <f>IF($B65="","",IFERROR(LOOKUP(2,1/(((('Changes — Earner 2'!$C$6:$C$17="Deduction start")+('Changes — Earner 2'!$C$6:$C$17="Deduction stop"))*('Changes — Earner 2'!$D$6:$D$17="Premiums"))*('Changes — Earner 2'!$B$6:$B$17&lt;=$B65)*('Changes — Earner 2'!$B$6:$B$17&lt;&gt;"")),'Changes — Earner 2'!$I$6:$I$17),'Second Earner'!$D$40+'Second Earner'!$D$41+'Second Earner'!$D$42))</f>
      </c>
      <c r="BN65" s="7">
        <f>IF($B65="","",IFERROR(LOOKUP(2,1/(((('Changes — Earner 2'!$C$6:$C$17="Deduction start")+('Changes — Earner 2'!$C$6:$C$17="Deduction stop"))*('Changes — Earner 2'!$D$6:$D$17="Commuter"))*('Changes — Earner 2'!$B$6:$B$17&lt;=$B65)*('Changes — Earner 2'!$B$6:$B$17&lt;&gt;"")),'Changes — Earner 2'!$I$6:$I$17),'Second Earner'!$D$43))</f>
      </c>
      <c r="BO65" s="7">
        <f>IF($B65="","",IFERROR(LOOKUP(2,1/(((('Changes — Earner 2'!$C$6:$C$17="Deduction start")+('Changes — Earner 2'!$C$6:$C$17="Deduction stop"))*('Changes — Earner 2'!$D$6:$D$17="Other pre-tax"))*('Changes — Earner 2'!$B$6:$B$17&lt;=$B65)*('Changes — Earner 2'!$B$6:$B$17&lt;&gt;"")),'Changes — Earner 2'!$I$6:$I$17),'Second Earner'!$D$44))</f>
      </c>
      <c r="BP65" s="7">
        <f>IF($B65="","",IFERROR(LOOKUP(2,1/(((('Changes — Earner 2'!$C$6:$C$17="Deduction start")+('Changes — Earner 2'!$C$6:$C$17="Deduction stop"))*('Changes — Earner 2'!$D$6:$D$17="Other post-tax"))*('Changes — Earner 2'!$B$6:$B$17&lt;=$B65)*('Changes — Earner 2'!$B$6:$B$17&lt;&gt;"")),'Changes — Earner 2'!$I$6:$I$17),'Second Earner'!$D$45))</f>
      </c>
      <c r="BQ65" s="6">
        <f>IF($B65="","",IFERROR(LOOKUP(2,1/(((('Changes — Earner 2'!$C$6:$C$17="Deduction start")+('Changes — Earner 2'!$C$6:$C$17="Deduction stop"))*('Changes — Earner 2'!$D$6:$D$17="Health FSA"))*('Changes — Earner 2'!$B$6:$B$17&lt;=$B65)*('Changes — Earner 2'!$B$6:$B$17&lt;&gt;"")),'Changes — Earner 2'!$J$6:$J$17),0))</f>
      </c>
      <c r="BR65" s="6">
        <f>IF($B65="","",IFERROR(LOOKUP(2,1/(((('Changes — Earner 2'!$C$6:$C$17="Deduction start")+('Changes — Earner 2'!$C$6:$C$17="Deduction stop"))*('Changes — Earner 2'!$D$6:$D$17="Dependent-care FSA"))*('Changes — Earner 2'!$B$6:$B$17&lt;=$B65)*('Changes — Earner 2'!$B$6:$B$17&lt;&gt;"")),'Changes — Earner 2'!$J$6:$J$17),0))</f>
      </c>
      <c r="BS65" s="6">
        <f>IF($B65="","",IF(SUMPRODUCT(('Changes — Earner 2'!$C$6:$C$17="Deduction start")*('Changes — Earner 2'!$B$6:$B$17&lt;=$B65)*('Changes — Earner 2'!$B$6:$B$17&lt;&gt;"")*('Changes — Earner 2'!$D$6:$D$17="Health FSA"))&gt;0,1,0))</f>
      </c>
      <c r="BT65" s="6">
        <f>IF($B65="","",IF(SUMPRODUCT(('Changes — Earner 2'!$C$6:$C$17="Deduction start")*('Changes — Earner 2'!$B$6:$B$17&lt;=$B65)*('Changes — Earner 2'!$B$6:$B$17&lt;&gt;"")*('Changes — Earner 2'!$D$6:$D$17="Dependent-care FSA"))&gt;0,1,0))</f>
      </c>
      <c r="BU65" s="24">
        <f>IF($B65="","",IF('Second Earner'!$C$13,SUMPRODUCT(($AH65&gt;=INDEX('How This Works &amp; Sources'!$B$29:$J$36,0,IF('Second Earner'!$C$12="MFJ",1,IF('Second Earner'!$C$12="HoH",7,4))))*INDEX('How This Works &amp; Sources'!$B$29:$J$36,0,IF('Second Earner'!$C$12="MFJ",1,IF('Second Earner'!$C$12="HoH",7,4))+2)),SUMPRODUCT(($AH65&gt;=INDEX('How This Works &amp; Sources'!$B$19:$J$26,0,IF('Second Earner'!$C$12="MFJ",1,IF('Second Earner'!$C$12="HoH",7,4))))*INDEX('How This Works &amp; Sources'!$B$19:$J$26,0,IF('Second Earner'!$C$12="MFJ",1,IF('Second Earner'!$C$12="HoH",7,4))+2))))</f>
      </c>
      <c r="BV65" s="24">
        <f>IF($B65="","",IF($BZ65&lt;&gt;"",$BZ65,IF($CA65&lt;&gt;"",$CA65,IF($CB65&lt;&gt;"",$CB65,IF($CC65&lt;&gt;"",$CC65,0)))))</f>
      </c>
      <c r="BW65" s="7">
        <f>IF($B65="","",IF($AN65="AR",SUMPRODUCT(($AZ65&gt;INDEX('How This Works &amp; Sources'!$B$82:$J$86,0,7))*($AZ65-INDEX('How This Works &amp; Sources'!$B$82:$J$86,0,7))*INDEX('How This Works &amp; Sources'!$B$82:$J$86,0,7+2)),IF($AN65="MD",IF(OR($AU65="Married",$AU65="Head of household"),SUMPRODUCT(($AZ65&gt;INDEX('How This Works &amp; Sources'!$B$114:$J$120,0,1))*($AZ65-INDEX('How This Works &amp; Sources'!$B$114:$J$120,0,1))*INDEX('How This Works &amp; Sources'!$B$114:$J$120,0,1+2)),SUMPRODUCT(($AZ65&gt;INDEX('How This Works &amp; Sources'!$B$103:$J$109,0,7))*($AZ65-INDEX('How This Works &amp; Sources'!$B$103:$J$109,0,7))*INDEX('How This Works &amp; Sources'!$B$103:$J$109,0,7+2))),IF($AN65="MT",IF($AU65="Head of household",SUMPRODUCT(($AZ65&gt;INDEX('How This Works &amp; Sources'!$B$137:$J$139,0,1))*($AZ65-INDEX('How This Works &amp; Sources'!$B$137:$J$139,0,1))*INDEX('How This Works &amp; Sources'!$B$137:$J$139,0,1+2)),IF($AU65="Married",SUMPRODUCT(($AZ65&gt;INDEX('How This Works &amp; Sources'!$B$125:$J$132,0,7))*($AZ65-INDEX('How This Works &amp; Sources'!$B$125:$J$132,0,7))*INDEX('How This Works &amp; Sources'!$B$125:$J$132,0,7+2)),SUMPRODUCT(($AZ65&gt;INDEX('How This Works &amp; Sources'!$B$125:$J$132,0,4))*($AZ65-INDEX('How This Works &amp; Sources'!$B$125:$J$132,0,4))*INDEX('How This Works &amp; Sources'!$B$125:$J$132,0,4+2)))),IF($AN65="ND",IF($AU65="Head of household",SUMPRODUCT(($AZ65&gt;INDEX('How This Works &amp; Sources'!$B$144:$J$150,0,1))*($AZ65-INDEX('How This Works &amp; Sources'!$B$144:$J$150,0,1))*INDEX('How This Works &amp; Sources'!$B$144:$J$150,0,1+2)),IF($AU65="Married",SUMPRODUCT(($AZ65&gt;INDEX('How This Works &amp; Sources'!$B$137:$J$139,0,7))*($AZ65-INDEX('How This Works &amp; Sources'!$B$137:$J$139,0,7))*INDEX('How This Works &amp; Sources'!$B$137:$J$139,0,7+2)),SUMPRODUCT(($AZ65&gt;INDEX('How This Works &amp; Sources'!$B$137:$J$139,0,4))*($AZ65-INDEX('How This Works &amp; Sources'!$B$137:$J$139,0,4))*INDEX('How This Works &amp; Sources'!$B$137:$J$139,0,4+2)))),IF($AN65="NJ",IF('Second Earner'!$C$77="B",SUMPRODUCT(($AZ65&gt;INDEX('How This Works &amp; Sources'!$B$155:$J$162,0,4))*($AZ65-INDEX('How This Works &amp; Sources'!$B$155:$J$162,0,4))*INDEX('How This Works &amp; Sources'!$B$155:$J$162,0,4+2)),IF('Second Earner'!$C$77="C",SUMPRODUCT(($AZ65&gt;INDEX('How This Works &amp; Sources'!$B$155:$J$162,0,7))*($AZ65-INDEX('How This Works &amp; Sources'!$B$155:$J$162,0,7))*INDEX('How This Works &amp; Sources'!$B$155:$J$162,0,7+2)),IF('Second Earner'!$C$77="D",SUMPRODUCT(($AZ65&gt;INDEX('How This Works &amp; Sources'!$B$167:$J$179,0,1))*($AZ65-INDEX('How This Works &amp; Sources'!$B$167:$J$179,0,1))*INDEX('How This Works &amp; Sources'!$B$167:$J$179,0,1+2)),IF('Second Earner'!$C$77="E",SUMPRODUCT(($AZ65&gt;INDEX('How This Works &amp; Sources'!$B$167:$J$179,0,4))*($AZ65-INDEX('How This Works &amp; Sources'!$B$167:$J$179,0,4))*INDEX('How This Works &amp; Sources'!$B$167:$J$179,0,4+2)),SUMPRODUCT(($AZ65&gt;INDEX('How This Works &amp; Sources'!$B$155:$J$162,0,1))*($AZ65-INDEX('How This Works &amp; Sources'!$B$155:$J$162,0,1))*INDEX('How This Works &amp; Sources'!$B$155:$J$162,0,1+2)))))),IF($AN65="NY",IF($AU65="Married",IF($AZ65&gt;=2155350,$AZ65*IF($AZ65&gt;25000000,0.117,IF($AZ65&gt;5000000,0.111,0.1045)),SUMPRODUCT(($AZ65&gt;INDEX('How This Works &amp; Sources'!$B$184:$J$198,0,1))*($AZ65-INDEX('How This Works &amp; Sources'!$B$184:$J$198,0,1))*INDEX('How This Works &amp; Sources'!$B$184:$J$198,0,1+2))),IF($AZ65&gt;=1077550,$AZ65*IF($AZ65&gt;25000000,0.117,IF($AZ65&gt;5000000,0.111,0.1045)),SUMPRODUCT(($AZ65&gt;INDEX('How This Works &amp; Sources'!$B$167:$J$179,0,7))*($AZ65-INDEX('How This Works &amp; Sources'!$B$167:$J$179,0,7))*INDEX('How This Works &amp; Sources'!$B$167:$J$179,0,7+2)))),"")))))))</f>
      </c>
      <c r="BX65" s="7">
        <f>IF($B65="","",IF($AN65="AL",IF(OR($AU65="Married",$AU65="Head of household"),SUMPRODUCT(($AZ65&gt;INDEX('How This Works &amp; Sources'!$B$82:$J$86,0,4))*($AZ65-INDEX('How This Works &amp; Sources'!$B$82:$J$86,0,4))*INDEX('How This Works &amp; Sources'!$B$82:$J$86,0,4+2)),SUMPRODUCT(($AZ65&gt;INDEX('How This Works &amp; Sources'!$B$82:$J$86,0,1))*($AZ65-INDEX('How This Works &amp; Sources'!$B$82:$J$86,0,1))*INDEX('How This Works &amp; Sources'!$B$82:$J$86,0,1+2))),IF($AN65="KS",IF($AU65="Married",SUMPRODUCT(($AZ65&gt;INDEX('How This Works &amp; Sources'!$B$103:$J$109,0,4))*($AZ65-INDEX('How This Works &amp; Sources'!$B$103:$J$109,0,4))*INDEX('How This Works &amp; Sources'!$B$103:$J$109,0,4+2)),SUMPRODUCT(($AZ65&gt;INDEX('How This Works &amp; Sources'!$B$103:$J$109,0,1))*($AZ65-INDEX('How This Works &amp; Sources'!$B$103:$J$109,0,1))*INDEX('How This Works &amp; Sources'!$B$103:$J$109,0,1+2))),IF($AN65="MN",IF($AU65="Married",SUMPRODUCT(($AZ65&gt;INDEX('How This Works &amp; Sources'!$B$114:$J$120,0,7))*($AZ65-INDEX('How This Works &amp; Sources'!$B$114:$J$120,0,7))*INDEX('How This Works &amp; Sources'!$B$114:$J$120,0,7+2)),SUMPRODUCT(($AZ65&gt;INDEX('How This Works &amp; Sources'!$B$114:$J$120,0,4))*($AZ65-INDEX('How This Works &amp; Sources'!$B$114:$J$120,0,4))*INDEX('How This Works &amp; Sources'!$B$114:$J$120,0,4+2))),IF($AN65="MO",SUMPRODUCT(($AZ65&gt;INDEX('How This Works &amp; Sources'!$B$125:$J$132,0,1))*($AZ65-INDEX('How This Works &amp; Sources'!$B$125:$J$132,0,1))*INDEX('How This Works &amp; Sources'!$B$125:$J$132,0,1+2)),IF($AN65="NE",MAX(IF($AU65="Married",SUMPRODUCT(($AZ65&gt;INDEX('How This Works &amp; Sources'!$B$144:$J$150,0,7))*($AZ65-INDEX('How This Works &amp; Sources'!$B$144:$J$150,0,7))*INDEX('How This Works &amp; Sources'!$B$144:$J$150,0,7+2)),SUMPRODUCT(($AZ65&gt;INDEX('How This Works &amp; Sources'!$B$144:$J$150,0,4))*($AZ65-INDEX('How This Works &amp; Sources'!$B$144:$J$150,0,4))*INDEX('How This Works &amp; Sources'!$B$144:$J$150,0,4+2))),0.015*$AZ65),IF($AN65="OH",IF($B65&gt;=DATE(2026,8,1),SUMPRODUCT(($AZ65&gt;INDEX('How This Works &amp; Sources'!$B$203:$J$206,0,1))*($AZ65-INDEX('How This Works &amp; Sources'!$B$203:$J$206,0,1))*INDEX('How This Works &amp; Sources'!$B$203:$J$206,0,1+2)),SUMPRODUCT(($AZ65&gt;INDEX('How This Works &amp; Sources'!$B$184:$J$198,0,7))*($AZ65-INDEX('How This Works &amp; Sources'!$B$184:$J$198,0,7))*INDEX('How This Works &amp; Sources'!$B$184:$J$198,0,7+2))),IF($AN65="OK",IF($AU65="Married",SUMPRODUCT(($AZ65&gt;INDEX('How This Works &amp; Sources'!$B$203:$J$206,0,7))*($AZ65-INDEX('How This Works &amp; Sources'!$B$203:$J$206,0,7))*INDEX('How This Works &amp; Sources'!$B$203:$J$206,0,7+2)),SUMPRODUCT(($AZ65&gt;INDEX('How This Works &amp; Sources'!$B$203:$J$206,0,4))*($AZ65-INDEX('How This Works &amp; Sources'!$B$203:$J$206,0,4))*INDEX('How This Works &amp; Sources'!$B$203:$J$206,0,4+2))),IF($AN65="VT",IF($AU65="Married",SUMPRODUCT(($AZ65&gt;INDEX('How This Works &amp; Sources'!$B$228:$J$232,0,1))*($AZ65-INDEX('How This Works &amp; Sources'!$B$228:$J$232,0,1))*INDEX('How This Works &amp; Sources'!$B$228:$J$232,0,1+2)),SUMPRODUCT(($AZ65&gt;INDEX('How This Works &amp; Sources'!$B$219:$J$223,0,7))*($AZ65-INDEX('How This Works &amp; Sources'!$B$219:$J$223,0,7))*INDEX('How This Works &amp; Sources'!$B$219:$J$223,0,7+2))),IF($AN65="WV",IF($AU65="Married",SUMPRODUCT(($AZ65&gt;INDEX('How This Works &amp; Sources'!$B$237:$J$241,0,7))*($AZ65-INDEX('How This Works &amp; Sources'!$B$237:$J$241,0,7))*INDEX('How This Works &amp; Sources'!$B$237:$J$241,0,7+2)),SUMPRODUCT(($AZ65&gt;INDEX('How This Works &amp; Sources'!$B$228:$J$232,0,7))*($AZ65-INDEX('How This Works &amp; Sources'!$B$228:$J$232,0,7))*INDEX('How This Works &amp; Sources'!$B$228:$J$232,0,7+2))),""))))))))))</f>
      </c>
      <c r="BY65" s="7">
        <f>IF($B65="","",IF($AN65="DE",SUMPRODUCT(($AZ65&gt;INDEX('How This Works &amp; Sources'!$B$91:$J$98,0,1))*($AZ65-INDEX('How This Works &amp; Sources'!$B$91:$J$98,0,1))*INDEX('How This Works &amp; Sources'!$B$91:$J$98,0,1+2)),IF($AN65="HI",IF($AU65="Married",SUMPRODUCT(($AZ65&gt;INDEX('How This Works &amp; Sources'!$B$91:$J$98,0,7))*($AZ65-INDEX('How This Works &amp; Sources'!$B$91:$J$98,0,7))*INDEX('How This Works &amp; Sources'!$B$91:$J$98,0,7+2)),SUMPRODUCT(($AZ65&gt;INDEX('How This Works &amp; Sources'!$B$91:$J$98,0,4))*($AZ65-INDEX('How This Works &amp; Sources'!$B$91:$J$98,0,4))*INDEX('How This Works &amp; Sources'!$B$91:$J$98,0,4+2))),IF($AN65="RI",SUMPRODUCT(($AZ65&gt;INDEX('How This Works &amp; Sources'!$B$211:$J$214,0,7))*($AZ65-INDEX('How This Works &amp; Sources'!$B$211:$J$214,0,7))*INDEX('How This Works &amp; Sources'!$B$211:$J$214,0,7+2)),IF($AN65="SC",SUMPRODUCT(($AZ65&gt;INDEX('How This Works &amp; Sources'!$B$219:$J$223,0,1))*($AZ65-INDEX('How This Works &amp; Sources'!$B$219:$J$223,0,1))*INDEX('How This Works &amp; Sources'!$B$219:$J$223,0,1+2)),IF($AN65="VA",SUMPRODUCT(($AZ65&gt;INDEX('How This Works &amp; Sources'!$B$219:$J$223,0,4))*($AZ65-INDEX('How This Works &amp; Sources'!$B$219:$J$223,0,4))*INDEX('How This Works &amp; Sources'!$B$219:$J$223,0,4+2)),IF($AN65="WI",SUMPRODUCT(($AZ65&gt;INDEX('How This Works &amp; Sources'!$B$228:$J$232,0,4))*($AZ65-INDEX('How This Works &amp; Sources'!$B$228:$J$232,0,4))*INDEX('How This Works &amp; Sources'!$B$228:$J$232,0,4+2)),"")))))))</f>
      </c>
      <c r="BZ65" s="24">
        <f>IF($B65="","",IF($AN65="KS",IF($AU65="Married",SUMPRODUCT(($AZ65&gt;=INDEX('How This Works &amp; Sources'!$B$103:$J$109,0,4))*INDEX('How This Works &amp; Sources'!$B$103:$J$109,0,4+2)),SUMPRODUCT(($AZ65&gt;=INDEX('How This Works &amp; Sources'!$B$103:$J$109,0,1))*INDEX('How This Works &amp; Sources'!$B$103:$J$109,0,1+2))),IF($AN65="MT",IF($AU65="Head of household",SUMPRODUCT(($AZ65&gt;=INDEX('How This Works &amp; Sources'!$B$137:$J$139,0,1))*INDEX('How This Works &amp; Sources'!$B$137:$J$139,0,1+2)),IF($AU65="Married",SUMPRODUCT(($AZ65&gt;=INDEX('How This Works &amp; Sources'!$B$125:$J$132,0,7))*INDEX('How This Works &amp; Sources'!$B$125:$J$132,0,7+2)),SUMPRODUCT(($AZ65&gt;=INDEX('How This Works &amp; Sources'!$B$125:$J$132,0,4))*INDEX('How This Works &amp; Sources'!$B$125:$J$132,0,4+2)))),IF($AN65="OR",IF(OR($AU65="Married",AND($AU65="Single",$AS65&gt;=3)),SUMPRODUCT((MAX(0,$AY65-MIN(($P65-'How This Works &amp; Sources'!$C$10*$D65)*'Second Earner'!$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Sources'!$B$211:$J$214,0,4))*INDEX('How This Works &amp; Sources'!$B$211:$J$214,0,4+2)),SUMPRODUCT((MAX(0,$AY65-MIN(($P65-'How This Works &amp; Sources'!$C$10*$D65)*'Second Earner'!$C$8,IF(OR($AU65="Married",AND($AU65="Single",$AS65&gt;=3)),IF($AY65&lt;250000,8750,IF($AY65&lt;260000,7000,IF($AY65&lt;270000,5250,IF($AY65&lt;280000,3500,IF($AY65&lt;290000,1750,0))))),IF($AY65&lt;125000,8750,IF($AY65&lt;130000,7000,IF($AY65&lt;135000,5250,IF($AY65&lt;140000,3500,IF($AY65&lt;145000,1750,0)))))))-IF(OR($AU65="Married",AND($AU65="Single",$AS65&gt;=3)),5820,2910))&gt;=INDEX('How This Works &amp; Sources'!$B$211:$J$214,0,1))*INDEX('How This Works &amp; Sources'!$B$211:$J$214,0,1+2)))*IF(($P65-'How This Works &amp; Sources'!$C$10*$D65)*'Second Earner'!$C$8&gt;=IF(OR($AU65="Married",AND($AU65="Single",$AS65&gt;=3)),IF($AY65&lt;250000,8750,IF($AY65&lt;260000,7000,IF($AY65&lt;270000,5250,IF($AY65&lt;280000,3500,IF($AY65&lt;290000,1750,0))))),IF($AY65&lt;125000,8750,IF($AY65&lt;130000,7000,IF($AY65&lt;135000,5250,IF($AY65&lt;140000,3500,IF($AY65&lt;145000,1750,0)))))),1,1-IF('Second Earner'!$C$13,SUMPRODUCT(($AH65&gt;=INDEX('How This Works &amp; Sources'!$B$29:$J$36,0,IF('Second Earner'!$C$12="MFJ",1,IF('Second Earner'!$C$12="HoH",7,4))))*INDEX('How This Works &amp; Sources'!$B$29:$J$36,0,IF('Second Earner'!$C$12="MFJ",1,IF('Second Earner'!$C$12="HoH",7,4))+2)),SUMPRODUCT(($AH65&gt;=INDEX('How This Works &amp; Sources'!$B$19:$J$26,0,IF('Second Earner'!$C$12="MFJ",1,IF('Second Earner'!$C$12="HoH",7,4))))*INDEX('How This Works &amp; Sources'!$B$19:$J$26,0,IF('Second Earner'!$C$12="MFJ",1,IF('Second Earner'!$C$12="HoH",7,4))+2)))),""))))</f>
      </c>
      <c r="CA65" s="24">
        <f>IF($B65="","",IF($AN65="CA",SUMPRODUCT(($AJ65&gt;=INDEX('How This Works &amp; Sources'!$B$39:$J$48,0,IF($AU65="Married",4,IF($AU65="Head of household",7,1))))*INDEX('How This Works &amp; Sources'!$B$39:$J$48,0,IF($AU65="Married",4,IF($AU65="Head of household",7,1))+2)),IF($AN65="AL",IF(OR($AU65="Married",$AU65="Head of household"),SUMPRODUCT(($AZ65&gt;=INDEX('How This Works &amp; Sources'!$B$82:$J$86,0,4))*INDEX('How This Works &amp; Sources'!$B$82:$J$86,0,4+2)),SUMPRODUCT(($AZ65&gt;=INDEX('How This Works &amp; Sources'!$B$82:$J$86,0,1))*INDEX('How This Works &amp; Sources'!$B$82:$J$86,0,1+2)))*(1-IF('Second Earner'!$C$13,SUMPRODUCT(($AH65&gt;=INDEX('How This Works &amp; Sources'!$B$29:$J$36,0,IF('Second Earner'!$C$12="MFJ",1,IF('Second Earner'!$C$12="HoH",7,4))))*INDEX('How This Works &amp; Sources'!$B$29:$J$36,0,IF('Second Earner'!$C$12="MFJ",1,IF('Second Earner'!$C$12="HoH",7,4))+2)),SUMPRODUCT(($AH65&gt;=INDEX('How This Works &amp; Sources'!$B$19:$J$26,0,IF('Second Earner'!$C$12="MFJ",1,IF('Second Earner'!$C$12="HoH",7,4))))*INDEX('How This Works &amp; Sources'!$B$19:$J$26,0,IF('Second Earner'!$C$12="MFJ",1,IF('Second Earner'!$C$12="HoH",7,4))+2)))),IF($AN65="ND",IF($AU65="Head of household",SUMPRODUCT(($AZ65&gt;=INDEX('How This Works &amp; Sources'!$B$144:$J$150,0,1))*INDEX('How This Works &amp; Sources'!$B$144:$J$150,0,1+2)),IF($AU65="Married",SUMPRODUCT(($AZ65&gt;=INDEX('How This Works &amp; Sources'!$B$137:$J$139,0,7))*INDEX('How This Works &amp; Sources'!$B$137:$J$139,0,7+2)),SUMPRODUCT(($AZ65&gt;=INDEX('How This Works &amp; Sources'!$B$137:$J$139,0,4))*INDEX('How This Works &amp; Sources'!$B$137:$J$139,0,4+2)))),IF($AN65="NJ",IF('Second Earner'!$C$77="B",SUMPRODUCT(($AZ65&gt;=INDEX('How This Works &amp; Sources'!$B$155:$J$162,0,4))*INDEX('How This Works &amp; Sources'!$B$155:$J$162,0,4+2)),IF('Second Earner'!$C$77="C",SUMPRODUCT(($AZ65&gt;=INDEX('How This Works &amp; Sources'!$B$155:$J$162,0,7))*INDEX('How This Works &amp; Sources'!$B$155:$J$162,0,7+2)),IF('Second Earner'!$C$77="D",SUMPRODUCT(($AZ65&gt;=INDEX('How This Works &amp; Sources'!$B$167:$J$179,0,1))*INDEX('How This Works &amp; Sources'!$B$167:$J$179,0,1+2)),IF('Second Earner'!$C$77="E",SUMPRODUCT(($AZ65&gt;=INDEX('How This Works &amp; Sources'!$B$167:$J$179,0,4))*INDEX('How This Works &amp; Sources'!$B$167:$J$179,0,4+2)),SUMPRODUCT(($AZ65&gt;=INDEX('How This Works &amp; Sources'!$B$155:$J$162,0,1))*INDEX('How This Works &amp; Sources'!$B$155:$J$162,0,1+2)))))),IF($AN65="NY",IF($AU65="Married",IF($AZ65&gt;=2155350,IF($AZ65&gt;25000000,0.117,IF($AZ65&gt;5000000,0.111,0.1045)),SUMPRODUCT(($AZ65&gt;=INDEX('How This Works &amp; Sources'!$B$184:$J$198,0,1))*INDEX('How This Works &amp; Sources'!$B$184:$J$198,0,1+2))),IF($AZ65&gt;=1077550,IF($AZ65&gt;25000000,0.117,IF($AZ65&gt;5000000,0.111,0.1045)),SUMPRODUCT(($AZ65&gt;=INDEX('How This Works &amp; Sources'!$B$167:$J$179,0,7))*INDEX('How This Works &amp; Sources'!$B$167:$J$179,0,7+2)))),IF($AN65="LA",0.0309,"")))))))</f>
      </c>
      <c r="CB65" s="24">
        <f>IF($B65="","",IF($AN65="HI",IF($AU65="Married",SUMPRODUCT(($AZ65&gt;=INDEX('How This Works &amp; Sources'!$B$91:$J$98,0,7))*INDEX('How This Works &amp; Sources'!$B$91:$J$98,0,7+2)),SUMPRODUCT(($AZ65&gt;=INDEX('How This Works &amp; Sources'!$B$91:$J$98,0,4))*INDEX('How This Works &amp; Sources'!$B$91:$J$98,0,4+2))),IF($AN65="MD",IF(OR($AU65="Married",$AU65="Head of household"),SUMPRODUCT(($AZ65&gt;=INDEX('How This Works &amp; Sources'!$B$114:$J$120,0,1))*INDEX('How This Works &amp; Sources'!$B$114:$J$120,0,1+2)),SUMPRODUCT(($AZ65&gt;=INDEX('How This Works &amp; Sources'!$B$103:$J$109,0,7))*INDEX('How This Works &amp; Sources'!$B$103:$J$109,0,7+2)))+'Second Earner'!$C$74,IF($AN65="MN",IF($AU65="Married",SUMPRODUCT(($AZ65&gt;=INDEX('How This Works &amp; Sources'!$B$114:$J$120,0,7))*INDEX('How This Works &amp; Sources'!$B$114:$J$120,0,7+2)),SUMPRODUCT(($AZ65&gt;=INDEX('How This Works &amp; Sources'!$B$114:$J$120,0,4))*INDEX('How This Works &amp; Sources'!$B$114:$J$120,0,4+2))),IF($AN65="MO",SUMPRODUCT(($AZ65&gt;=INDEX('How This Works &amp; Sources'!$B$125:$J$132,0,1))*INDEX('How This Works &amp; Sources'!$B$125:$J$132,0,1+2)),IF($AN65="NE",MAX(IF($AU65="Married",SUMPRODUCT(($AZ65&gt;=INDEX('How This Works &amp; Sources'!$B$144:$J$150,0,7))*INDEX('How This Works &amp; Sources'!$B$144:$J$150,0,7+2)),SUMPRODUCT(($AZ65&gt;=INDEX('How This Works &amp; Sources'!$B$144:$J$150,0,4))*INDEX('How This Works &amp; Sources'!$B$144:$J$150,0,4+2))),0.015),IF($AN65="OH",IF($B65&gt;=DATE(2026,8,1),SUMPRODUCT(($AZ65&gt;=INDEX('How This Works &amp; Sources'!$B$203:$J$206,0,1))*INDEX('How This Works &amp; Sources'!$B$203:$J$206,0,1+2)),SUMPRODUCT(($AZ65&gt;=INDEX('How This Works &amp; Sources'!$B$184:$J$198,0,7))*INDEX('How This Works &amp; Sources'!$B$184:$J$198,0,7+2))),IF($AN65="OK",IF($AU65="Married",SUMPRODUCT(($AZ65&gt;=INDEX('How This Works &amp; Sources'!$B$203:$J$206,0,7))*INDEX('How This Works &amp; Sources'!$B$203:$J$206,0,7+2)),SUMPRODUCT(($AZ65&gt;=INDEX('How This Works &amp; Sources'!$B$203:$J$206,0,4))*INDEX('How This Works &amp; Sources'!$B$203:$J$206,0,4+2))),IF($AN65="RI",SUMPRODUCT(($AZ65&gt;=INDEX('How This Works &amp; Sources'!$B$211:$J$214,0,7))*INDEX('How This Works &amp; Sources'!$B$211:$J$214,0,7+2)),IF($AN65="VT",IF($AU65="Married",SUMPRODUCT(($AZ65&gt;=INDEX('How This Works &amp; Sources'!$B$228:$J$232,0,1))*INDEX('How This Works &amp; Sources'!$B$228:$J$232,0,1+2)),SUMPRODUCT(($AZ65&gt;=INDEX('How This Works &amp; Sources'!$B$219:$J$223,0,7))*INDEX('How This Works &amp; Sources'!$B$219:$J$223,0,7+2))),IF($AN65="WV",IF($AU65="Married",SUMPRODUCT(($AZ65&gt;=INDEX('How This Works &amp; Sources'!$B$237:$J$241,0,7))*INDEX('How This Works &amp; Sources'!$B$237:$J$241,0,7+2)),SUMPRODUCT(($AZ65&gt;=INDEX('How This Works &amp; Sources'!$B$228:$J$232,0,7))*INDEX('How This Works &amp; Sources'!$B$228:$J$232,0,7+2))),IF($AN65="AZ",'Second Earner'!$C$82,IF($AN65="ID",IF($AY65&gt;IF($AU65="Married",32000,16094),0.053,0),"")))))))))))))</f>
      </c>
      <c r="CC65" s="24">
        <f>IF($B65="","",IF($AN65="AR",SUMPRODUCT(($AZ65&gt;=INDEX('How This Works &amp; Sources'!$B$82:$J$86,0,7))*INDEX('How This Works &amp; Sources'!$B$82:$J$86,0,7+2)),IF($AN65="DE",SUMPRODUCT(($AZ65&gt;=INDEX('How This Works &amp; Sources'!$B$91:$J$98,0,1))*INDEX('How This Works &amp; Sources'!$B$91:$J$98,0,1+2)),IF($AN65="SC",SUMPRODUCT(($AZ65&gt;=INDEX('How This Works &amp; Sources'!$B$219:$J$223,0,1))*INDEX('How This Works &amp; Sources'!$B$219:$J$223,0,1+2)),IF($AN65="VA",SUMPRODUCT(($AZ65&gt;=INDEX('How This Works &amp; Sources'!$B$219:$J$223,0,4))*INDEX('How This Works &amp; Sources'!$B$219:$J$223,0,4+2)),IF($AN65="WI",SUMPRODUCT(($AZ65&gt;=INDEX('How This Works &amp; Sources'!$B$228:$J$232,0,4))*INDEX('How This Works &amp; Sources'!$B$228:$J$232,0,4+2)),IF($AN65="CO",IF($AY65&gt;IF($AU65="Married",10000,5000),0.044,0),IF($AN65="IA",IF($AY65&gt;IF($AU65="Head of household",19500,IF($AU65="Married",26000,13000)),0.038,0),IF($AN65="IL",IF($AY65&gt;(2925*$AS65+1000*$AT65),0.0495,0),IF($AN65="IN",(0.0295+'Second Earner'!$C$76),IF($AN65="KY",IF($AI65&gt;3360,0.035,0),IF($AN65="MA",IF(MAX(0,$AY65-MIN(($BD64+$Q65+$R65+$S65),2000)-IF($AS65=0,0,IF($AS65=1,4400,1000*$AS65+3400)))&gt;=1107750,0.09,0.05),IF($AN65="MI",IF($AY65&gt;5900*$AS65,0.0425,0),IF($AN65="MS",IF($AI65-IF($AU65="Head of household",3400,IF($AU65="Married",4600,2300))-'Second Earner'!$C$85&gt;10000,0.04,0),IF($AN65="PA",0.0307,"")))))))))))))))</f>
      </c>
      <c r="CD65" s="21">
        <f>IF(YEAR(IF('Second Earner'!$C$7="Weekly",'Second Earner'!$C$9+7*(($BE64+1)-1),IF('Second Earner'!$C$7="Biweekly",'Second Earner'!$C$9+14*(($BE64+1)-1),IF('Second Earner'!$C$7="Semimonthly",DATE(YEAR('Second Earner'!$C$9),MONTH('Second Earner'!$C$9)+INT((($BE64+1)-1)/2),MIN(DAY('Second Earner'!$C$9),DAY(EOMONTH(DATE(YEAR('Second Earner'!$C$9),MONTH('Second Earner'!$C$9)+INT((($BE64+1)-1)/2),1),0))))+IF(MOD(($BE64+1)-1,2)=1,15,0),EDATE('Second Earner'!$C$9,($BE64+1)-1)))))&lt;&gt;'Second Earner'!$C$10,"",IF('Second Earner'!$C$7="Weekly",'Second Earner'!$C$9+7*(($BE64+1)-1),IF('Second Earner'!$C$7="Biweekly",'Second Earner'!$C$9+14*(($BE64+1)-1),IF('Second Earner'!$C$7="Semimonthly",DATE(YEAR('Second Earner'!$C$9),MONTH('Second Earner'!$C$9)+INT((($BE64+1)-1)/2),MIN(DAY('Second Earner'!$C$9),DAY(EOMONTH(DATE(YEAR('Second Earner'!$C$9),MONTH('Second Earner'!$C$9)+INT((($BE64+1)-1)/2),1),0))))+IF(MOD(($BE64+1)-1,2)=1,15,0),EDATE('Second Earner'!$C$9,($BE64+1)-1)))))</f>
      </c>
      <c r="CE65" s="21">
        <f>IF(MIN(IF(AND('Second Earner'!$C$58&gt;MAX($B$6:$B64),'Second Earner'!$C$58&gt;=DATE('Second Earner'!$C$10,1,1),'Second Earner'!$C$58&lt;=DATE('Second Earner'!$C$10,12,31)),'Second Earner'!$C$58,999999),IF(AND('Second Earner'!$C$59&gt;MAX($B$6:$B64),'Second Earner'!$C$59&gt;=DATE('Second Earner'!$C$10,1,1),'Second Earner'!$C$59&lt;=DATE('Second Earner'!$C$10,12,31)),'Second Earner'!$C$59,999999),IF(AND('Second Earner'!$C$60&gt;MAX($B$6:$B64),'Second Earner'!$C$60&gt;=DATE('Second Earner'!$C$10,1,1),'Second Earner'!$C$60&lt;=DATE('Second Earner'!$C$10,12,31)),'Second Earner'!$C$60,999999),IF(AND('Second Earner'!$C$61&gt;MAX($B$6:$B64),'Second Earner'!$C$61&gt;=DATE('Second Earner'!$C$10,1,1),'Second Earner'!$C$61&lt;=DATE('Second Earner'!$C$10,12,31)),'Second Earner'!$C$61,999999),IF(AND('Second Earner'!$C$62&gt;MAX($B$6:$B64),'Second Earner'!$C$62&gt;=DATE('Second Earner'!$C$10,1,1),'Second Earner'!$C$62&lt;=DATE('Second Earner'!$C$10,12,31)),'Second Earner'!$C$62,999999),IF(AND('Second Earner'!$C$63&gt;MAX($B$6:$B64),'Second Earner'!$C$63&gt;=DATE('Second Earner'!$C$10,1,1),'Second Earner'!$C$63&lt;=DATE('Second Earner'!$C$10,12,31)),'Second Earner'!$C$63,999999),IF(AND('Second Earner'!$C$64&gt;MAX($B$6:$B64),'Second Earner'!$C$64&gt;=DATE('Second Earner'!$C$10,1,1),'Second Earner'!$C$64&lt;=DATE('Second Earner'!$C$10,12,31)),'Second Earner'!$C$64,999999),IF(AND('Second Earner'!$C$65&gt;MAX($B$6:$B64),'Second Earner'!$C$65&gt;=DATE('Second Earner'!$C$10,1,1),'Second Earner'!$C$65&lt;=DATE('Second Earner'!$C$10,12,31)),'Second Earner'!$C$65,999999),IF(AND('Second Earner'!$C$66&gt;MAX($B$6:$B64),'Second Earner'!$C$66&gt;=DATE('Second Earner'!$C$10,1,1),'Second Earner'!$C$66&lt;=DATE('Second Earner'!$C$10,12,31)),'Second Earner'!$C$66,999999),IF(AND('Second Earner'!$C$67&gt;MAX($B$6:$B64),'Second Earner'!$C$67&gt;=DATE('Second Earner'!$C$10,1,1),'Second Earner'!$C$67&lt;=DATE('Second Earner'!$C$10,12,31)),'Second Earner'!$C$67,999999))=999999,"",MIN(IF(AND('Second Earner'!$C$58&gt;MAX($B$6:$B64),'Second Earner'!$C$58&gt;=DATE('Second Earner'!$C$10,1,1),'Second Earner'!$C$58&lt;=DATE('Second Earner'!$C$10,12,31)),'Second Earner'!$C$58,999999),IF(AND('Second Earner'!$C$59&gt;MAX($B$6:$B64),'Second Earner'!$C$59&gt;=DATE('Second Earner'!$C$10,1,1),'Second Earner'!$C$59&lt;=DATE('Second Earner'!$C$10,12,31)),'Second Earner'!$C$59,999999),IF(AND('Second Earner'!$C$60&gt;MAX($B$6:$B64),'Second Earner'!$C$60&gt;=DATE('Second Earner'!$C$10,1,1),'Second Earner'!$C$60&lt;=DATE('Second Earner'!$C$10,12,31)),'Second Earner'!$C$60,999999),IF(AND('Second Earner'!$C$61&gt;MAX($B$6:$B64),'Second Earner'!$C$61&gt;=DATE('Second Earner'!$C$10,1,1),'Second Earner'!$C$61&lt;=DATE('Second Earner'!$C$10,12,31)),'Second Earner'!$C$61,999999),IF(AND('Second Earner'!$C$62&gt;MAX($B$6:$B64),'Second Earner'!$C$62&gt;=DATE('Second Earner'!$C$10,1,1),'Second Earner'!$C$62&lt;=DATE('Second Earner'!$C$10,12,31)),'Second Earner'!$C$62,999999),IF(AND('Second Earner'!$C$63&gt;MAX($B$6:$B64),'Second Earner'!$C$63&gt;=DATE('Second Earner'!$C$10,1,1),'Second Earner'!$C$63&lt;=DATE('Second Earner'!$C$10,12,31)),'Second Earner'!$C$63,999999),IF(AND('Second Earner'!$C$64&gt;MAX($B$6:$B64),'Second Earner'!$C$64&gt;=DATE('Second Earner'!$C$10,1,1),'Second Earner'!$C$64&lt;=DATE('Second Earner'!$C$10,12,31)),'Second Earner'!$C$64,999999),IF(AND('Second Earner'!$C$65&gt;MAX($B$6:$B64),'Second Earner'!$C$65&gt;=DATE('Second Earner'!$C$10,1,1),'Second Earner'!$C$65&lt;=DATE('Second Earner'!$C$10,12,31)),'Second Earner'!$C$65,999999),IF(AND('Second Earner'!$C$66&gt;MAX($B$6:$B64),'Second Earner'!$C$66&gt;=DATE('Second Earner'!$C$10,1,1),'Second Earner'!$C$66&lt;=DATE('Second Earner'!$C$10,12,31)),'Second Earner'!$C$66,999999),IF(AND('Second Earner'!$C$67&gt;MAX($B$6:$B64),'Second Earner'!$C$67&gt;=DATE('Second Earner'!$C$10,1,1),'Second Earner'!$C$67&lt;=DATE('Second Earner'!$C$10,12,31)),'Second Earner'!$C$67,999999)))</f>
      </c>
      <c r="CF65">
        <f>IF($B65="","",IF($D65=0,$Y65,""))</f>
      </c>
    </row>
    <row r="66">
      <c r="A66" t="n">
        <v>61</v>
      </c>
      <c r="B66" s="21">
        <f>IF(AND($CD66="",$CE66=""),"",IF($CE66="",$CD66,IF($CD66="",$CE66,MIN($CD66,$CE66))))</f>
      </c>
      <c r="C66" s="7">
        <f>IF($B66="","",IF($BF66=0,0,IF('Second Earner'!$C$4="Annual salary",ROUND($AK66/IF(AND('Second Earner'!$C$88="Actual paydays",MONTH('Second Earner'!$C$9)=1),MAX(1,MAX($BE$6:$BE$68)),'Second Earner'!$C$8),2),$AK66)))</f>
      </c>
      <c r="D66" s="7">
        <f>IF($B66="","",SUMIF('Second Earner'!$C$58:$C$67,$B66,'Second Earner'!$D$58:$D$67))</f>
      </c>
      <c r="E66" s="7">
        <f>IF($B66="","",ROUND(MAX(0,MIN(IF($AL66="Percent",$AM66*($C66+$D66),$AM66),MAX(0,'Second Earner'!$C$34-$AC65))),2))</f>
      </c>
      <c r="F66" s="7">
        <f>IF($B66="","",ROUND(MAX(0,MIN(IF('Second Earner'!$C$32="Percent",'Second Earner'!$D$32*($C66+$D66),'Second Earner'!$D$32),MAX(0,'Second Earner'!$C$34-$AC65-$E66))),2))</f>
      </c>
      <c r="G66" s="7">
        <f>IF($B66="","",IF($BF66=0,0,ROUND(MAX(0,MIN($BL66,'Second Earner'!$C$37-'Second Earner'!$C$54-$BI65)),2)))</f>
      </c>
      <c r="H66" s="7">
        <f>IF($B66="","",IF(OR($BF66=0,$BQ66=1),0,ROUND(MAX(0,MIN(IF($BS66=1,ROUND(MAX(0,MIN($BJ66,'How This Works &amp; Sources'!$C$13)-$BG65)/MAX(1,MAX($BE$6:$BE$68)-($BE65)),2),ROUND(MIN($BJ66,'How This Works &amp; Sources'!$C$13)/'Second Earner'!$C$8,2)),MIN($BJ66,'How This Works &amp; Sources'!$C$13)-$BG65)),2)))</f>
      </c>
      <c r="I66" s="7">
        <f>IF($B66="","",IF(OR($BF66=0,$BR66=1),0,ROUND(MAX(0,MIN(IF($BT66=1,ROUND(MAX(0,MIN($BK66,IF('Second Earner'!$C$12="MFJ",'How This Works &amp; Sources'!$C$14,'How This Works &amp; Sources'!$C$15))-$BH65)/MAX(1,MAX($BE$6:$BE$68)-($BE65)),2),ROUND(MIN($BK66,IF('Second Earner'!$C$12="MFJ",'How This Works &amp; Sources'!$C$14,'How This Works &amp; Sources'!$C$15))/'Second Earner'!$C$8,2)),MIN($BK66,IF('Second Earner'!$C$12="MFJ",'How This Works &amp; Sources'!$C$14,'How This Works &amp; Sources'!$C$15))-$BH65)),2)))</f>
      </c>
      <c r="J66" s="7">
        <f>IF($B66="","",IF($BF66=0,0,$BM66))</f>
      </c>
      <c r="K66" s="7">
        <f>IF($B66="","",IF($BF66=0,0,$BN66+$BO66))</f>
      </c>
      <c r="L66" s="7">
        <f>IF($B66="","",IF($BF66=0,0,'Second Earner'!$D$46))</f>
      </c>
      <c r="M66" s="7">
        <f>IF($B66="","",$C66+$D66+$L66-$E66-$G66-$H66-$I66-$J66-$K66)</f>
      </c>
      <c r="N66" s="7">
        <f>IF($B66="","",$C66+$D66+$L66-$G66-$H66-$I66-$J66-$K66)</f>
      </c>
      <c r="O66" s="7">
        <f>IF($B66="","",$C66+$D66+$L66-$E66-$H66-$I66-$J66-$K66-IF(OR($AN66="CA",$AN66="NJ"),0,$G66))</f>
      </c>
      <c r="P66" s="7">
        <f>IF($B66="","",IF('Second Earner'!$C$18,0,ROUND(MAX(0,IF('Second Earner'!$C$13,SUMPRODUCT(($AH66&gt;INDEX('How This Works &amp; Sources'!$B$29:$J$36,0,IF('Second Earner'!$C$12="MFJ",1,IF('Second Earner'!$C$12="HoH",7,4))))*($AH66-INDEX('How This Works &amp; Sources'!$B$29:$J$36,0,IF('Second Earner'!$C$12="MFJ",1,IF('Second Earner'!$C$12="HoH",7,4))))*INDEX('How This Works &amp; Sources'!$B$29:$J$36,0,IF('Second Earner'!$C$12="MFJ",1,IF('Second Earner'!$C$12="HoH",7,4))+2)),SUMPRODUCT(($AH66&gt;INDEX('How This Works &amp; Sources'!$B$19:$J$26,0,IF('Second Earner'!$C$12="MFJ",1,IF('Second Earner'!$C$12="HoH",7,4))))*($AH66-INDEX('How This Works &amp; Sources'!$B$19:$J$26,0,IF('Second Earner'!$C$12="MFJ",1,IF('Second Earner'!$C$12="HoH",7,4))))*INDEX('How This Works &amp; Sources'!$B$19:$J$26,0,IF('Second Earner'!$C$12="MFJ",1,IF('Second Earner'!$C$12="HoH",7,4))+2)))/'Second Earner'!$C$8-$AO66/'Second Earner'!$C$8)+$AR66+IF('Second Earner'!$C$89="Aggregate",MAX(0,IF('Second Earner'!$C$13,SUMPRODUCT((($AH66+$D66)&gt;INDEX('How This Works &amp; Sources'!$B$29:$J$36,0,IF('Second Earner'!$C$12="MFJ",1,IF('Second Earner'!$C$12="HoH",7,4))))*(($AH66+$D66)-INDEX('How This Works &amp; Sources'!$B$29:$J$36,0,IF('Second Earner'!$C$12="MFJ",1,IF('Second Earner'!$C$12="HoH",7,4))))*INDEX('How This Works &amp; Sources'!$B$29:$J$36,0,IF('Second Earner'!$C$12="MFJ",1,IF('Second Earner'!$C$12="HoH",7,4))+2)),SUMPRODUCT((($AH66+$D66)&gt;INDEX('How This Works &amp; Sources'!$B$19:$J$26,0,IF('Second Earner'!$C$12="MFJ",1,IF('Second Earner'!$C$12="HoH",7,4))))*(($AH66+$D66)-INDEX('How This Works &amp; Sources'!$B$19:$J$26,0,IF('Second Earner'!$C$12="MFJ",1,IF('Second Earner'!$C$12="HoH",7,4))))*INDEX('How This Works &amp; Sources'!$B$19:$J$26,0,IF('Second Earner'!$C$12="MFJ",1,IF('Second Earner'!$C$12="HoH",7,4))+2)))-IF('Second Earner'!$C$13,SUMPRODUCT(($AH66&gt;INDEX('How This Works &amp; Sources'!$B$29:$J$36,0,IF('Second Earner'!$C$12="MFJ",1,IF('Second Earner'!$C$12="HoH",7,4))))*($AH66-INDEX('How This Works &amp; Sources'!$B$29:$J$36,0,IF('Second Earner'!$C$12="MFJ",1,IF('Second Earner'!$C$12="HoH",7,4))))*INDEX('How This Works &amp; Sources'!$B$29:$J$36,0,IF('Second Earner'!$C$12="MFJ",1,IF('Second Earner'!$C$12="HoH",7,4))+2)),SUMPRODUCT(($AH66&gt;INDEX('How This Works &amp; Sources'!$B$19:$J$26,0,IF('Second Earner'!$C$12="MFJ",1,IF('Second Earner'!$C$12="HoH",7,4))))*($AH66-INDEX('How This Works &amp; Sources'!$B$19:$J$26,0,IF('Second Earner'!$C$12="MFJ",1,IF('Second Earner'!$C$12="HoH",7,4))))*INDEX('How This Works &amp; Sources'!$B$19:$J$26,0,IF('Second Earner'!$C$12="MFJ",1,IF('Second Earner'!$C$12="HoH",7,4))+2)))),'How This Works &amp; Sources'!$C$10*$D66),2)))</f>
      </c>
      <c r="Q66" s="7">
        <f>IF($B66="","",ROUND('How This Works &amp; Sources'!$C$4*MIN($N66,MAX(0,'How This Works &amp; Sources'!$C$3-($AX66+$AB65-$AW66))),2))</f>
      </c>
      <c r="R66" s="7">
        <f>IF($B66="","",ROUND('How This Works &amp; Sources'!$C$5*$N66,2))</f>
      </c>
      <c r="S66" s="7">
        <f>IF($B66="","",ROUND('How This Works &amp; Sources'!$C$6*MAX(0,MIN($N66,$AG65+$N66-'How This Works &amp; Sources'!$C$7)),2))</f>
      </c>
      <c r="T66" s="7">
        <f>IF($B66="","",IF('Second Earner'!$C$26,0,IF($AN66="CA",ROUND(IF($AI66&lt;=IF(($AS66+$AT66)&gt;=2,VLOOKUP($AN66,StateTables!$A$6:$AB$56,10,FALSE),VLOOKUP($AN66,StateTables!$A$6:$AB$56,9,FALSE)),0,MAX(0,SUMPRODUCT(($AJ66&gt;INDEX('How This Works &amp; Sources'!$B$39:$J$48,0,IF($AU66="Married",4,IF($AU66="Head of household",7,1))))*($AJ66-INDEX('How This Works &amp; Sources'!$B$39:$J$48,0,IF($AU66="Married",4,IF($AU66="Head of household",7,1))))*INDEX('How This Works &amp; Sources'!$B$39:$J$48,0,IF($AU66="Married",4,IF($AU66="Head of household",7,1))+2))-VLOOKUP($AN66,StateTables!$A$6:$AB$56,11,FALSE)*$AS66)/'Second Earner'!$C$8)+'Second Earner'!$C$25+VLOOKUP($AN66,StateTables!$A$6:$AB$56,13,FALSE)*$D66,2),IF(VLOOKUP($AN66,StateTables!$A$6:$AB$56,4,FALSE)="None",0,IF(ISNUMBER(SEARCH("MANUAL",VLOOKUP($AN66,StateTables!$A$6:$AB$56,5,FALSE))),'Second Earner'!$C$28,ROUND(MAX(0,$BA66+$BB66)/'Second Earner'!$C$8+'Second Earner'!$C$25+$BC66,2))))))</f>
      </c>
      <c r="U66" s="7">
        <f>IF($B66="","",IF(VLOOKUP($AN66,StateTables!$A$6:$AB$56,24,FALSE)="flatq",IF(OR(MONTH($B66)=1,MONTH($B66)=4,MONTH($B66)=7,MONTH($B66)=10),VLOOKUP($AN66,StateTables!$A$6:$AB$56,25,FALSE),0),IF(VLOOKUP($AN66,StateTables!$A$6:$AB$56,24,FALSE)="dbl",MIN(ROUND(0.005*$N66,2),ROUND(0.6*52/'Second Earner'!$C$8,2)),IF(OR(VLOOKUP($AN66,StateTables!$A$6:$AB$56,15,FALSE)="",VLOOKUP($AN66,StateTables!$A$6:$AB$56,15,FALSE)=0),0,ROUND(VLOOKUP($AN66,StateTables!$A$6:$AB$56,15,FALSE)*IF(OR(VLOOKUP($AN66,StateTables!$A$6:$AB$56,16,FALSE)="",VLOOKUP($AN66,StateTables!$A$6:$AB$56,16,FALSE)=0),$N66,MIN($N66,MAX(0,VLOOKUP($AN66,StateTables!$A$6:$AB$56,16,FALSE)-($AX66+$AB65-$AW66)))),2))))+IF(VLOOKUP($AN66,StateTables!$A$6:$AB$56,27,FALSE)="flatq",IF(OR(MONTH($B66)=1,MONTH($B66)=4,MONTH($B66)=7,MONTH($B66)=10),VLOOKUP($AN66,StateTables!$A$6:$AB$56,28,FALSE),0),IF(VLOOKUP($AN66,StateTables!$A$6:$AB$56,27,FALSE)="dbl",MIN(ROUND(0.005*$N66,2),ROUND(0.6*52/'Second Earner'!$C$8,2)),IF(OR(VLOOKUP($AN66,StateTables!$A$6:$AB$56,18,FALSE)="",VLOOKUP($AN66,StateTables!$A$6:$AB$56,18,FALSE)=0),0,ROUND(VLOOKUP($AN66,StateTables!$A$6:$AB$56,18,FALSE)*IF(OR(VLOOKUP($AN66,StateTables!$A$6:$AB$56,19,FALSE)="",VLOOKUP($AN66,StateTables!$A$6:$AB$56,19,FALSE)=0),$N66,MIN($N66,MAX(0,VLOOKUP($AN66,StateTables!$A$6:$AB$56,19,FALSE)-($AX66+$AB65-$AW66)))),2)))))</f>
      </c>
      <c r="V66" s="7">
        <f>IF($B66="","",IF($AN66="NY",IF('Second Earner'!$C$78,ROUND(SUMPRODUCT((MAX(0,($O66-$D66)*'Second Earner'!$C$8-(IF($AU66="Married",5500,5000)+1000*$AS66))&gt;INDEX('How This Works &amp; Sources'!$B$184:$J$198,0,4))*(MAX(0,($O66-$D66)*'Second Earner'!$C$8-(IF($AU66="Married",5500,5000)+1000*$AS66))-INDEX('How This Works &amp; Sources'!$B$184:$J$198,0,4))*INDEX('How This Works &amp; Sources'!$B$184:$J$198,0,4+2))/'Second Earner'!$C$8+0.0425*$D66,2),0)+IF('Second Earner'!$C$79="Resident",ROUND(0.1675*$T66,2),IF('Second Earner'!$C$79="Nonresident",ROUND(0.005*MAX(0,($O66-$D66)-(IF($AU66="Married",7950,7400)+1000*$AS66)/'Second Earner'!$C$8),2),0)),IF($AN66="PA",IF('Second Earner'!$C$80="None",'Second Earner'!$C$27+ROUND('Second Earner'!$C$81*($C66+$D66),2),ROUND(IF('Second Earner'!$C$80="Resident",IF($B66&lt;DATE(2026,7,1),0.0374,0.03735),IF($B66&lt;DATE(2026,7,1),0.0343,0.03425))*($C66+$D66),2)),IF($BF66=0,ROUND('Second Earner'!$C$81*($C66+$D66),2),'Second Earner'!$C$27+ROUND('Second Earner'!$C$81*($C66+$D66),2)))))</f>
      </c>
      <c r="W66" s="7">
        <f>IF($B66="","",IF($BF66=0,0,$BP66))</f>
      </c>
      <c r="X66" s="7">
        <f>IF($B66="","",SUM($E66:$K66)+$P66+$Q66+$R66+$S66+$T66+$U66+$V66+$W66)</f>
      </c>
      <c r="Y66" s="22">
        <f>IF($B66="","",$C66+$D66-$X66)</f>
      </c>
      <c r="Z66" s="7">
        <f>IF($B66="","",$Z65+$C66+$D66)</f>
      </c>
      <c r="AA66" s="7">
        <f>IF($B66="","",$AA65+$Y66)</f>
      </c>
      <c r="AB66" s="7">
        <f>IF($B66="","",$AB65+MIN($N66,MAX(0,'How This Works &amp; Sources'!$C$3-($AX66+$AB65-$AW66))))</f>
      </c>
      <c r="AC66" s="7">
        <f>IF($B66="","",$AC65+$E66+$F66)</f>
      </c>
      <c r="AD66" s="3">
        <f>IF($B66="","",IF(AND($AB65&lt;'How This Works &amp; Sources'!$C$3,$AB66&gt;='How This Works &amp; Sources'!$C$3),"★ Social Security maxed on this check — from the next check your net rises by about $"&amp;TEXT(ROUND('How This Works &amp; Sources'!$C$4*$N66,2),"#,##0.00")&amp;". ","")&amp;IF(AND($AC65&lt;'Second Earner'!$C$34,$AC66&gt;='Second Earner'!$C$34),"★ 401(k) reaches the $"&amp;TEXT('Second Earner'!$C$34,"#,##0")&amp;" cap on this check — deferrals stop and net pay rises. ","")&amp;IF(AND($AG65&lt;'How This Works &amp; Sources'!$C$7,$AG66&gt;='How This Works &amp; Sources'!$C$7),"★ Wages pass $200,000 — the 0.9% Additional Medicare Tax starts here. ","")&amp;IF(AND($BJ66&gt;0,$H66&gt;0,$BG65&lt;MIN($BJ66,'How This Works &amp; Sources'!$C$13),$BG65+$H66&gt;=MIN($BJ66,'How This Works &amp; Sources'!$C$13)),"★ Health FSA election is now fully deferred for the year. ",""))</f>
      </c>
      <c r="AE66" s="41" t="n"/>
      <c r="AF66" s="7">
        <f>IF(OR($B66="",$AE66=""),"",$AE66-$Y66)</f>
      </c>
      <c r="AG66" s="7">
        <f>IF($B66="","",$AG65+$N66)</f>
      </c>
      <c r="AH66" s="7">
        <f>IF($B66="","",MAX(0,($M66-$D66)*'Second Earner'!$C$8+$AP66-$AQ66-IF('Second Earner'!$C$13,0,IF('Second Earner'!$C$12="MFJ",'How This Works &amp; Sources'!$C$8,'How This Works &amp; Sources'!$C$9))))</f>
      </c>
      <c r="AI66" s="7">
        <f>IF($B66="","",$O66*'Second Earner'!$C$8)</f>
      </c>
      <c r="AJ66" s="7">
        <f>IF($B66="","",MAX(0,$AI66-VLOOKUP($AN66,StateTables!$A$6:$AB$56,12,FALSE)*$AT66-IF(($AS66+$AT66)&gt;=2,VLOOKUP($AN66,StateTables!$A$6:$AB$56,8,FALSE),VLOOKUP($AN66,StateTables!$A$6:$AB$56,7,FALSE))))</f>
      </c>
      <c r="AK66" s="7">
        <f>IF($B66="","",IFERROR(LOOKUP(2,1/(('Changes — Earner 2'!$C$6:$C$17="Salary change")*('Changes — Earner 2'!$B$6:$B$17&lt;=$B66)*('Changes — Earner 2'!$B$6:$B$17&lt;&gt;"")),'Changes — Earner 2'!$D$6:$D$17),IF('Second Earner'!$C$4="Annual salary",'Second Earner'!$C$5,'Second Earner'!$C$6)))</f>
      </c>
      <c r="AL66">
        <f>IF($B66="","",IFERROR(LOOKUP(2,1/(('Changes — Earner 2'!$C$6:$C$17="401(k) change")*('Changes — Earner 2'!$B$6:$B$17&lt;=$B66)*('Changes — Earner 2'!$B$6:$B$17&lt;&gt;"")),'Changes — Earner 2'!$D$6:$D$17),'Second Earner'!$C$30))</f>
      </c>
      <c r="AM66" s="7">
        <f>IF($B66="","",IFERROR(LOOKUP(2,1/(('Changes — Earner 2'!$C$6:$C$17="401(k) change")*('Changes — Earner 2'!$B$6:$B$17&lt;=$B66)*('Changes — Earner 2'!$B$6:$B$17&lt;&gt;"")),'Changes — Earner 2'!$E$6:$E$17),'Second Earner'!$D$31))</f>
      </c>
      <c r="AN66">
        <f>IF($B66="","",IFERROR(LOOKUP(2,1/(('Changes — Earner 2'!$C$6:$C$17="State move")*('Changes — Earner 2'!$B$6:$B$17&lt;=$B66)*('Changes — Earner 2'!$B$6:$B$17&lt;&gt;"")),'Changes — Earner 2'!$D$6:$D$17),'Second Earner'!$C$21))</f>
      </c>
      <c r="AO66" s="7">
        <f>IF($B66="","",IFERROR(LOOKUP(2,1/(('Changes — Earner 2'!$C$6:$C$17="W-4 change")*('Changes — Earner 2'!$B$6:$B$17&lt;=$B66)*('Changes — Earner 2'!$B$6:$B$17&lt;&gt;"")),'Changes — Earner 2'!$D$6:$D$17),'Second Earner'!$C$14))</f>
      </c>
      <c r="AP66" s="7">
        <f>IF($B66="","",IFERROR(LOOKUP(2,1/(('Changes — Earner 2'!$C$6:$C$17="W-4 change")*('Changes — Earner 2'!$B$6:$B$17&lt;=$B66)*('Changes — Earner 2'!$B$6:$B$17&lt;&gt;"")),'Changes — Earner 2'!$E$6:$E$17),'Second Earner'!$C$15))</f>
      </c>
      <c r="AQ66" s="7">
        <f>IF($B66="","",IFERROR(LOOKUP(2,1/(('Changes — Earner 2'!$C$6:$C$17="W-4 change")*('Changes — Earner 2'!$B$6:$B$17&lt;=$B66)*('Changes — Earner 2'!$B$6:$B$17&lt;&gt;"")),'Changes — Earner 2'!$F$6:$F$17),'Second Earner'!$C$16))</f>
      </c>
      <c r="AR66" s="7">
        <f>IF($B66="","",IFERROR(LOOKUP(2,1/(('Changes — Earner 2'!$C$6:$C$17="W-4 change")*('Changes — Earner 2'!$B$6:$B$17&lt;=$B66)*('Changes — Earner 2'!$B$6:$B$17&lt;&gt;"")),'Changes — Earner 2'!$G$6:$G$17),'Second Earner'!$C$17))</f>
      </c>
      <c r="AS66" s="6">
        <f>IF($B66="","",IFERROR(LOOKUP(2,1/((('Changes — Earner 2'!$C$6:$C$17="State move")+('Changes — Earner 2'!$C$6:$C$17="State cert change"))*('Changes — Earner 2'!$B$6:$B$17&lt;=$B66)*('Changes — Earner 2'!$B$6:$B$17&lt;&gt;"")),'Changes — Earner 2'!$F$6:$F$17),'Second Earner'!$C$23))</f>
      </c>
      <c r="AT66" s="6">
        <f>IF($B66="","",IFERROR(LOOKUP(2,1/((('Changes — Earner 2'!$C$6:$C$17="State move")+('Changes — Earner 2'!$C$6:$C$17="State cert change"))*('Changes — Earner 2'!$B$6:$B$17&lt;=$B66)*('Changes — Earner 2'!$B$6:$B$17&lt;&gt;"")),'Changes — Earner 2'!$G$6:$G$17),'Second Earner'!$C$24))</f>
      </c>
      <c r="AU66">
        <f>IF($B66="","",IFERROR(LOOKUP(2,1/(('Changes — Earner 2'!$C$6:$C$17="State move")*('Changes — Earner 2'!$B$6:$B$17&lt;=$B66)*('Changes — Earner 2'!$B$6:$B$17&lt;&gt;"")),'Changes — Earner 2'!$E$6:$E$17),'Second Earner'!$C$22))</f>
      </c>
      <c r="AV66" s="6">
        <f>IF($B66="","",1+COUNTIFS('Changes — Earner 2'!$C$6:$C$17,"Employer change",'Changes — Earner 2'!$B$6:$B$17,"&lt;="&amp;$B66,'Changes — Earner 2'!$B$6:$B$17,"&lt;&gt;"))</f>
      </c>
      <c r="AW66" s="7">
        <f>IF($B66="","",IF($AV66=1,'Second Earner'!$C$49,IF(IFERROR(MATCH(IFERROR(LOOKUP(2,1/(('Changes — Earner 2'!$C$6:$C$17="Employer change")*('Changes — Earner 2'!$B$6:$B$17&lt;=$B66)*('Changes — Earner 2'!$B$6:$B$17&lt;&gt;"")),'Changes — Earner 2'!$B$6:$B$17),""),$B$6:$B$68,1),1)&lt;=1,'Second Earner'!$C$49,INDEX($AB$6:$AB$68,MATCH(IFERROR(LOOKUP(2,1/(('Changes — Earner 2'!$C$6:$C$17="Employer change")*('Changes — Earner 2'!$B$6:$B$17&lt;=$B66)*('Changes — Earner 2'!$B$6:$B$17&lt;&gt;"")),'Changes — Earner 2'!$B$6:$B$17),""),$B$6:$B$68,1)-1))))</f>
      </c>
      <c r="AX66" s="7">
        <f>IF($B66="","",IF($AV66=1,'Second Earner'!$C$49,IFERROR(LOOKUP(2,1/(('Changes — Earner 2'!$C$6:$C$17="Employer change")*('Changes — Earner 2'!$B$6:$B$17&lt;=$B66)*('Changes — Earner 2'!$B$6:$B$17&lt;&gt;"")),'Changes — Earner 2'!$D$6:$D$17),0)))</f>
      </c>
      <c r="AY66" s="7">
        <f>IF($B66="","",($O66-$D66)*'Second Earner'!$C$8)</f>
      </c>
      <c r="AZ66" s="7">
        <f>IF($B66="","",IF($AN66="AL",MAX(0,$AY66-IF($AU66="Married",IF($AY66&lt;=25999,8500,MAX(5000,8500-175*CEILING(($AY66-25999)/500,1))),IF($AU66="Head of household",IF($AY66&lt;=25999,5200,MAX(2500,5200-135*CEILING(($AY66-25999)/500,1))),IF($AY66&lt;=25999,3000,MAX(2500,3000-25*CEILING(($AY66-25999)/500,1)))))-($P66-'How This Works &amp; Sources'!$C$10*$D66)*'Second Earner'!$C$8-IF(OR($AU66="Married",$AU66="Head of household"),3000,1500)-$AT66*IF($AY66&lt;=50000,1000,IF($AY66&lt;=100000,500,300))),IF($AN66="AR",IF(MAX(0,$AY66-2470)&lt;97701,INT(MAX(0,$AY66-2470)/100)*100+50,MAX(0,$AY66-2470)),IF($AN66="DE",MAX(0,$AI66-3250),IF($AN66="HI",MAX(0,$AI66-1144*$AS66-4350),IF($AN66="KS",MAX(0,$AI66-(9160*IF($AU66="Married",2,1)+2320*$AT66+IF($AU66="Head of household",2320,0))),IF($AN66="MD",MAX(0,$AI66-3400-3200*$AS66),IF($AN66="MN",MAX(0,$AY66-5300*$AS66),IF($AN66="MO",MAX(0,$AI66-IF($AU66="Head of household",24150,IF($AU66="Married",IF('Second Earner'!$C$83,16100,32200),16100))),IF($AN66="MT",$AY66,IF($AN66="ND",($C66+$L66)*'Second Earner'!$C$8,IF($AN66="NE",MAX(0,$AY66-2440*$AS66),IF($AN66="NJ",MAX(0,$AY66-1000*$AS66),IF($AN66="NY",MAX(0,$AY66-(IF($AU66="Married",7950,7400)+1000*$AS66)),IF($AN66="OH",MAX(0,$AY66-650*$AS66),IF($AN66="OK",MAX(0,$AY66-1000*$AS66),IF($AN66="RI",MAX(0,$AI66-1000*$AS66),IF($AN66="SC",MAX(0,$AI66-5000*$AS66-IF($AS66=0,0,MIN(0.1*$AI66,7500))),IF($AN66="VA",MAX(0,$AI66-IF($AU66="Married",17500,8750)-930*$AS66-800*$AT66),IF($AN66="VT",MAX(0,$AI66-5400*$AS66),IF($AN66="WI",MAX(0,$AI66-MAX(0,IF($AU66="Married",9461-0.2*MAX(0,$AI66-25727),6702-0.12*MAX(0,$AI66-17780)))-400*$AS66),IF($AN66="WV",MAX(0,$AI66-2000*$AS66),$AI66))))))))))))))))))))))</f>
      </c>
      <c r="BA66" s="7">
        <f>IF($B66="","",IF($BW66&lt;&gt;"",$BW66,IF($BX66&lt;&gt;"",$BX66,IF($BY66&lt;&gt;"",$BY66,0))))</f>
      </c>
      <c r="BB66" s="7">
        <f>IF($B66="","",IF($AN66="AR",-29*$AS66,IF($AN66="DE",-110*$AS66,IF($AN66="MD",$AZ66*'Second Earner'!$C$74,IF($AN66="AZ",'Second Earner'!$C$82*($M66-$D66)*'Second Earner'!$C$8,IF($AN66="CO",0.044*MAX(0,$AY66-IF($AU66="Married",10000,5000)),IF($AN66="IA",MAX(0,0.038*MAX(0,$AY66-IF($AU66="Head of household",19500,IF($AU66="Married",26000,13000)))-40*$AS66),IF($AN66="ID",0.053*MAX(0,$AY66-IF($AU66="Married",32000,16094)),IF($AN66="IL",0.0495*MAX(0,$AY66-(2925*$AS66+1000*$AT66)),IF($AN66="IN",(0.0295+'Second Earner'!$C$76)*MAX(0,$AY66-(1000*$AS66+1500*$AT66+3000*'Second Earner'!$C$86)),IF($AN66="KY",0.035*MAX(0,$AI66-3360),IF($AN66="LA",IF('Second Earner'!$C$84="0",0.0309*$AI66,0.0309*MAX(0,$AI66-IF('Second Earner'!$C$84="2",25750,12875))),IF($AN66="MA",0.05*MIN(MAX(0,$AY66-MIN(($BD65+$Q66+$R66+$S66),2000)-IF($AS66=0,0,IF($AS66=1,4400,1000*$AS66+3400))),1107750)+0.09*MAX(0,MAX(0,$AY66-MIN(($BD65+$Q66+$R66+$S66),2000)-IF($AS66=0,0,IF($AS66=1,4400,1000*$AS66+3400)))-1107750)-IF($AU66="Head of household",120,0)-110*'Second Earner'!$C$75,IF($AN66="MI",0.0425*MAX(0,$AY66-5900*$AS66),IF($AN66="MS",0.04*MAX(0,$AI66-IF($AU66="Head of household",3400,IF($AU66="Married",4600,2300))-'Second Earner'!$C$85-10000),IF($AN66="OR",IF(OR($AU66="Married",AND($AU66="Single",$AS66&gt;=3)),SUMPRODUCT((MAX(0,$AY66-MIN(($P66-'How This Works &amp; Sources'!$C$10*$D66)*'Second Earner'!$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Sources'!$B$211:$J$214,0,4))*(MAX(0,$AY66-MIN(($P66-'How This Works &amp; Sources'!$C$10*$D66)*'Second Earner'!$C$8,IF(OR($AU66="Married",AND($AU66="Single",$AS66&gt;=3)),IF($AY66&lt;250000,8750,IF($AY66&lt;260000,7000,IF($AY66&lt;270000,5250,IF($AY66&lt;280000,3500,IF($AY66&lt;290000,1750,0))))),IF($AY66&lt;125000,8750,IF($AY66&lt;130000,7000,IF($AY66&lt;135000,5250,IF($AY66&lt;140000,3500,IF($AY66&lt;145000,1750,0)))))))-IF(OR($AU66="Married",AND($AU66="Single",$AS66&gt;=3)),5820,2910))-INDEX('How This Works &amp; Sources'!$B$211:$J$214,0,4))*INDEX('How This Works &amp; Sources'!$B$211:$J$214,0,4+2)),SUMPRODUCT((MAX(0,$AY66-MIN(($P66-'How This Works &amp; Sources'!$C$10*$D66)*'Second Earner'!$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Sources'!$B$211:$J$214,0,1))*(MAX(0,$AY66-MIN(($P66-'How This Works &amp; Sources'!$C$10*$D66)*'Second Earner'!$C$8,IF(OR($AU66="Married",AND($AU66="Single",$AS66&gt;=3)),IF($AY66&lt;250000,8750,IF($AY66&lt;260000,7000,IF($AY66&lt;270000,5250,IF($AY66&lt;280000,3500,IF($AY66&lt;290000,1750,0))))),IF($AY66&lt;125000,8750,IF($AY66&lt;130000,7000,IF($AY66&lt;135000,5250,IF($AY66&lt;140000,3500,IF($AY66&lt;145000,1750,0)))))))-IF(OR($AU66="Married",AND($AU66="Single",$AS66&gt;=3)),5820,2910))-INDEX('How This Works &amp; Sources'!$B$211:$J$214,0,1))*INDEX('How This Works &amp; Sources'!$B$211:$J$214,0,1+2)))+263-263*IF(IF($AU66="Married",$AY66&gt;200000,$AY66&gt;100000),0,$AS66),IF($AN66="PA",0.0307*(($O66+$E66+$G66)*'Second Earner'!$C$8),IF($AN66="NY",IF($AU66="Married",IF($AZ66&gt;=2155350,0,IF($AZ66&gt;=1077550,0.48,IF($AZ66&gt;=373200,1.21,IF($AZ66&gt;=323200,0.21,IF($AZ66&gt;=211550,-0.19,IF($AZ66&gt;=157650,-2.8,IF($AZ66&gt;=107650,-0.8,IF($AZ66&gt;=96800,0.05,IF($AZ66&gt;=80650,-0.1,IF($AZ66&gt;=13900,0.4,IF($AZ66&gt;=11700,-0.3,IF($AZ66&gt;=8500,0.5,0)))))))))))),IF($AZ66&gt;=1077550,0,IF($AZ66&gt;=265400,4.29,IF($AZ66&gt;=215400,2.29,IF($AZ66&gt;=157650,2.29,IF($AZ66&gt;=107650,0.29,IF($AZ66&gt;=96800,0.05,IF($AZ66&gt;=80650,-0.1,IF($AZ66&gt;=13900,0.4,IF($AZ66&gt;=11700,-0.3,IF($AZ66&gt;=8500,0.5,0))))))))))),0))))))))))))))))))</f>
      </c>
      <c r="BC66" s="7">
        <f>IF($B66="","",IF($AN66="AL",0.05*$D66,IF($AN66="AR",0.039*$D66,IF($AN66="ID",0.053*$D66,IF($AN66="IN",(0.0295+'Second Earner'!$C$76)*$D66,IF($AN66="KS",0.05*$D66,IF($AN66="MA",0.09*MIN($D66,MAX(0,MAX(0,$AY66-MIN(($BD65+$Q66+$R66+$S66),2000)-IF($AS66=0,0,IF($AS66=1,4400,1000*$AS66+3400)))+$D66-1107750))+0.05*($D66-MIN($D66,MAX(0,MAX(0,$AY66-MIN(($BD65+$Q66+$R66+$S66),2000)-IF($AS66=0,0,IF($AS66=1,4400,1000*$AS66+3400)))+$D66-1107750))),IF($AN66="MD",(0.065+'Second Earner'!$C$74)*$D66,IF($AN66="MI",0.0425*$D66,IF($AN66="MN",0.0625*$D66,IF($AN66="MO",0.047*$D66,IF($AN66="MT",0.05*$D66,IF($AN66="ND",0.015*$D66,IF($AN66="NE",0.035*$D66,IF($AN66="NJ",IF('Second Earner'!$C$77="B",SUMPRODUCT(($D66*'Second Earner'!$C$8&gt;INDEX('How This Works &amp; Sources'!$B$155:$J$162,0,4))*($D66*'Second Earner'!$C$8-INDEX('How This Works &amp; Sources'!$B$155:$J$162,0,4))*INDEX('How This Works &amp; Sources'!$B$155:$J$162,0,4+2)),IF('Second Earner'!$C$77="C",SUMPRODUCT(($D66*'Second Earner'!$C$8&gt;INDEX('How This Works &amp; Sources'!$B$155:$J$162,0,7))*($D66*'Second Earner'!$C$8-INDEX('How This Works &amp; Sources'!$B$155:$J$162,0,7))*INDEX('How This Works &amp; Sources'!$B$155:$J$162,0,7+2)),IF('Second Earner'!$C$77="D",SUMPRODUCT(($D66*'Second Earner'!$C$8&gt;INDEX('How This Works &amp; Sources'!$B$167:$J$179,0,1))*($D66*'Second Earner'!$C$8-INDEX('How This Works &amp; Sources'!$B$167:$J$179,0,1))*INDEX('How This Works &amp; Sources'!$B$167:$J$179,0,1+2)),IF('Second Earner'!$C$77="E",SUMPRODUCT(($D66*'Second Earner'!$C$8&gt;INDEX('How This Works &amp; Sources'!$B$167:$J$179,0,4))*($D66*'Second Earner'!$C$8-INDEX('How This Works &amp; Sources'!$B$167:$J$179,0,4))*INDEX('How This Works &amp; Sources'!$B$167:$J$179,0,4+2)),SUMPRODUCT(($D66*'Second Earner'!$C$8&gt;INDEX('How This Works &amp; Sources'!$B$155:$J$162,0,1))*($D66*'Second Earner'!$C$8-INDEX('How This Works &amp; Sources'!$B$155:$J$162,0,1))*INDEX('How This Works &amp; Sources'!$B$155:$J$162,0,1+2))))))/'Second Earner'!$C$8,IF($AN66="NY",0.117*$D66,IF($AN66="OH",0.0275*$D66,IF($AN66="OK",0.045*$D66,IF($AN66="OR",0.08*$D66,IF($AN66="WI",IF($AY66&lt;12760,0.0354,IF($AY66&lt;25520,0.0465,IF($AY66&lt;280950,0.053,0.0765)))*$D66,0))))))))))))))))))))</f>
      </c>
      <c r="BD66" s="7">
        <f>IF($B66="","",$BD65+$Q66+$R66+$S66)</f>
      </c>
      <c r="BE66" s="6">
        <f>IF($B66="",$BE65,$BE65+$BF66)</f>
      </c>
      <c r="BF66" s="6">
        <f>IF($B66="","",IF(AND(IF(YEAR(IF('Second Earner'!$C$7="Weekly",'Second Earner'!$C$9+7*(($BE65+1)-1),IF('Second Earner'!$C$7="Biweekly",'Second Earner'!$C$9+14*(($BE65+1)-1),IF('Second Earner'!$C$7="Semimonthly",DATE(YEAR('Second Earner'!$C$9),MONTH('Second Earner'!$C$9)+INT((($BE65+1)-1)/2),MIN(DAY('Second Earner'!$C$9),DAY(EOMONTH(DATE(YEAR('Second Earner'!$C$9),MONTH('Second Earner'!$C$9)+INT((($BE65+1)-1)/2),1),0))))+IF(MOD(($BE65+1)-1,2)=1,15,0),EDATE('Second Earner'!$C$9,($BE65+1)-1)))))&lt;&gt;'Second Earner'!$C$10,"",IF('Second Earner'!$C$7="Weekly",'Second Earner'!$C$9+7*(($BE65+1)-1),IF('Second Earner'!$C$7="Biweekly",'Second Earner'!$C$9+14*(($BE65+1)-1),IF('Second Earner'!$C$7="Semimonthly",DATE(YEAR('Second Earner'!$C$9),MONTH('Second Earner'!$C$9)+INT((($BE65+1)-1)/2),MIN(DAY('Second Earner'!$C$9),DAY(EOMONTH(DATE(YEAR('Second Earner'!$C$9),MONTH('Second Earner'!$C$9)+INT((($BE65+1)-1)/2),1),0))))+IF(MOD(($BE65+1)-1,2)=1,15,0),EDATE('Second Earner'!$C$9,($BE65+1)-1)))))&lt;&gt;"",$B66=IF(YEAR(IF('Second Earner'!$C$7="Weekly",'Second Earner'!$C$9+7*(($BE65+1)-1),IF('Second Earner'!$C$7="Biweekly",'Second Earner'!$C$9+14*(($BE65+1)-1),IF('Second Earner'!$C$7="Semimonthly",DATE(YEAR('Second Earner'!$C$9),MONTH('Second Earner'!$C$9)+INT((($BE65+1)-1)/2),MIN(DAY('Second Earner'!$C$9),DAY(EOMONTH(DATE(YEAR('Second Earner'!$C$9),MONTH('Second Earner'!$C$9)+INT((($BE65+1)-1)/2),1),0))))+IF(MOD(($BE65+1)-1,2)=1,15,0),EDATE('Second Earner'!$C$9,($BE65+1)-1)))))&lt;&gt;'Second Earner'!$C$10,"",IF('Second Earner'!$C$7="Weekly",'Second Earner'!$C$9+7*(($BE65+1)-1),IF('Second Earner'!$C$7="Biweekly",'Second Earner'!$C$9+14*(($BE65+1)-1),IF('Second Earner'!$C$7="Semimonthly",DATE(YEAR('Second Earner'!$C$9),MONTH('Second Earner'!$C$9)+INT((($BE65+1)-1)/2),MIN(DAY('Second Earner'!$C$9),DAY(EOMONTH(DATE(YEAR('Second Earner'!$C$9),MONTH('Second Earner'!$C$9)+INT((($BE65+1)-1)/2),1),0))))+IF(MOD(($BE65+1)-1,2)=1,15,0),EDATE('Second Earner'!$C$9,($BE65+1)-1)))))),1,0))</f>
      </c>
      <c r="BG66" s="7">
        <f>IF($B66="","",$BG65+$H66)</f>
      </c>
      <c r="BH66" s="7">
        <f>IF($B66="","",$BH65+$I66)</f>
      </c>
      <c r="BI66" s="7">
        <f>IF($B66="","",$BI65+$G66)</f>
      </c>
      <c r="BJ66" s="7">
        <f>IF($B66="","",IFERROR(LOOKUP(2,1/(((('Changes — Earner 2'!$C$6:$C$17="Deduction start"))*('Changes — Earner 2'!$D$6:$D$17="Health FSA"))*('Changes — Earner 2'!$B$6:$B$17&lt;=$B66)*('Changes — Earner 2'!$B$6:$B$17&lt;&gt;"")),'Changes — Earner 2'!$E$6:$E$17),'Second Earner'!$D$38))</f>
      </c>
      <c r="BK66" s="7">
        <f>IF($B66="","",IFERROR(LOOKUP(2,1/(((('Changes — Earner 2'!$C$6:$C$17="Deduction start"))*('Changes — Earner 2'!$D$6:$D$17="Dependent-care FSA"))*('Changes — Earner 2'!$B$6:$B$17&lt;=$B66)*('Changes — Earner 2'!$B$6:$B$17&lt;&gt;"")),'Changes — Earner 2'!$E$6:$E$17),'Second Earner'!$D$39))</f>
      </c>
      <c r="BL66" s="7">
        <f>IF($B66="","",IFERROR(LOOKUP(2,1/(((('Changes — Earner 2'!$C$6:$C$17="Deduction start")+('Changes — Earner 2'!$C$6:$C$17="Deduction stop"))*('Changes — Earner 2'!$D$6:$D$17="HSA"))*('Changes — Earner 2'!$B$6:$B$17&lt;=$B66)*('Changes — Earner 2'!$B$6:$B$17&lt;&gt;"")),'Changes — Earner 2'!$I$6:$I$17),'Second Earner'!$D$35))</f>
      </c>
      <c r="BM66" s="7">
        <f>IF($B66="","",IFERROR(LOOKUP(2,1/(((('Changes — Earner 2'!$C$6:$C$17="Deduction start")+('Changes — Earner 2'!$C$6:$C$17="Deduction stop"))*('Changes — Earner 2'!$D$6:$D$17="Premiums"))*('Changes — Earner 2'!$B$6:$B$17&lt;=$B66)*('Changes — Earner 2'!$B$6:$B$17&lt;&gt;"")),'Changes — Earner 2'!$I$6:$I$17),'Second Earner'!$D$40+'Second Earner'!$D$41+'Second Earner'!$D$42))</f>
      </c>
      <c r="BN66" s="7">
        <f>IF($B66="","",IFERROR(LOOKUP(2,1/(((('Changes — Earner 2'!$C$6:$C$17="Deduction start")+('Changes — Earner 2'!$C$6:$C$17="Deduction stop"))*('Changes — Earner 2'!$D$6:$D$17="Commuter"))*('Changes — Earner 2'!$B$6:$B$17&lt;=$B66)*('Changes — Earner 2'!$B$6:$B$17&lt;&gt;"")),'Changes — Earner 2'!$I$6:$I$17),'Second Earner'!$D$43))</f>
      </c>
      <c r="BO66" s="7">
        <f>IF($B66="","",IFERROR(LOOKUP(2,1/(((('Changes — Earner 2'!$C$6:$C$17="Deduction start")+('Changes — Earner 2'!$C$6:$C$17="Deduction stop"))*('Changes — Earner 2'!$D$6:$D$17="Other pre-tax"))*('Changes — Earner 2'!$B$6:$B$17&lt;=$B66)*('Changes — Earner 2'!$B$6:$B$17&lt;&gt;"")),'Changes — Earner 2'!$I$6:$I$17),'Second Earner'!$D$44))</f>
      </c>
      <c r="BP66" s="7">
        <f>IF($B66="","",IFERROR(LOOKUP(2,1/(((('Changes — Earner 2'!$C$6:$C$17="Deduction start")+('Changes — Earner 2'!$C$6:$C$17="Deduction stop"))*('Changes — Earner 2'!$D$6:$D$17="Other post-tax"))*('Changes — Earner 2'!$B$6:$B$17&lt;=$B66)*('Changes — Earner 2'!$B$6:$B$17&lt;&gt;"")),'Changes — Earner 2'!$I$6:$I$17),'Second Earner'!$D$45))</f>
      </c>
      <c r="BQ66" s="6">
        <f>IF($B66="","",IFERROR(LOOKUP(2,1/(((('Changes — Earner 2'!$C$6:$C$17="Deduction start")+('Changes — Earner 2'!$C$6:$C$17="Deduction stop"))*('Changes — Earner 2'!$D$6:$D$17="Health FSA"))*('Changes — Earner 2'!$B$6:$B$17&lt;=$B66)*('Changes — Earner 2'!$B$6:$B$17&lt;&gt;"")),'Changes — Earner 2'!$J$6:$J$17),0))</f>
      </c>
      <c r="BR66" s="6">
        <f>IF($B66="","",IFERROR(LOOKUP(2,1/(((('Changes — Earner 2'!$C$6:$C$17="Deduction start")+('Changes — Earner 2'!$C$6:$C$17="Deduction stop"))*('Changes — Earner 2'!$D$6:$D$17="Dependent-care FSA"))*('Changes — Earner 2'!$B$6:$B$17&lt;=$B66)*('Changes — Earner 2'!$B$6:$B$17&lt;&gt;"")),'Changes — Earner 2'!$J$6:$J$17),0))</f>
      </c>
      <c r="BS66" s="6">
        <f>IF($B66="","",IF(SUMPRODUCT(('Changes — Earner 2'!$C$6:$C$17="Deduction start")*('Changes — Earner 2'!$B$6:$B$17&lt;=$B66)*('Changes — Earner 2'!$B$6:$B$17&lt;&gt;"")*('Changes — Earner 2'!$D$6:$D$17="Health FSA"))&gt;0,1,0))</f>
      </c>
      <c r="BT66" s="6">
        <f>IF($B66="","",IF(SUMPRODUCT(('Changes — Earner 2'!$C$6:$C$17="Deduction start")*('Changes — Earner 2'!$B$6:$B$17&lt;=$B66)*('Changes — Earner 2'!$B$6:$B$17&lt;&gt;"")*('Changes — Earner 2'!$D$6:$D$17="Dependent-care FSA"))&gt;0,1,0))</f>
      </c>
      <c r="BU66" s="24">
        <f>IF($B66="","",IF('Second Earner'!$C$13,SUMPRODUCT(($AH66&gt;=INDEX('How This Works &amp; Sources'!$B$29:$J$36,0,IF('Second Earner'!$C$12="MFJ",1,IF('Second Earner'!$C$12="HoH",7,4))))*INDEX('How This Works &amp; Sources'!$B$29:$J$36,0,IF('Second Earner'!$C$12="MFJ",1,IF('Second Earner'!$C$12="HoH",7,4))+2)),SUMPRODUCT(($AH66&gt;=INDEX('How This Works &amp; Sources'!$B$19:$J$26,0,IF('Second Earner'!$C$12="MFJ",1,IF('Second Earner'!$C$12="HoH",7,4))))*INDEX('How This Works &amp; Sources'!$B$19:$J$26,0,IF('Second Earner'!$C$12="MFJ",1,IF('Second Earner'!$C$12="HoH",7,4))+2))))</f>
      </c>
      <c r="BV66" s="24">
        <f>IF($B66="","",IF($BZ66&lt;&gt;"",$BZ66,IF($CA66&lt;&gt;"",$CA66,IF($CB66&lt;&gt;"",$CB66,IF($CC66&lt;&gt;"",$CC66,0)))))</f>
      </c>
      <c r="BW66" s="7">
        <f>IF($B66="","",IF($AN66="AR",SUMPRODUCT(($AZ66&gt;INDEX('How This Works &amp; Sources'!$B$82:$J$86,0,7))*($AZ66-INDEX('How This Works &amp; Sources'!$B$82:$J$86,0,7))*INDEX('How This Works &amp; Sources'!$B$82:$J$86,0,7+2)),IF($AN66="MD",IF(OR($AU66="Married",$AU66="Head of household"),SUMPRODUCT(($AZ66&gt;INDEX('How This Works &amp; Sources'!$B$114:$J$120,0,1))*($AZ66-INDEX('How This Works &amp; Sources'!$B$114:$J$120,0,1))*INDEX('How This Works &amp; Sources'!$B$114:$J$120,0,1+2)),SUMPRODUCT(($AZ66&gt;INDEX('How This Works &amp; Sources'!$B$103:$J$109,0,7))*($AZ66-INDEX('How This Works &amp; Sources'!$B$103:$J$109,0,7))*INDEX('How This Works &amp; Sources'!$B$103:$J$109,0,7+2))),IF($AN66="MT",IF($AU66="Head of household",SUMPRODUCT(($AZ66&gt;INDEX('How This Works &amp; Sources'!$B$137:$J$139,0,1))*($AZ66-INDEX('How This Works &amp; Sources'!$B$137:$J$139,0,1))*INDEX('How This Works &amp; Sources'!$B$137:$J$139,0,1+2)),IF($AU66="Married",SUMPRODUCT(($AZ66&gt;INDEX('How This Works &amp; Sources'!$B$125:$J$132,0,7))*($AZ66-INDEX('How This Works &amp; Sources'!$B$125:$J$132,0,7))*INDEX('How This Works &amp; Sources'!$B$125:$J$132,0,7+2)),SUMPRODUCT(($AZ66&gt;INDEX('How This Works &amp; Sources'!$B$125:$J$132,0,4))*($AZ66-INDEX('How This Works &amp; Sources'!$B$125:$J$132,0,4))*INDEX('How This Works &amp; Sources'!$B$125:$J$132,0,4+2)))),IF($AN66="ND",IF($AU66="Head of household",SUMPRODUCT(($AZ66&gt;INDEX('How This Works &amp; Sources'!$B$144:$J$150,0,1))*($AZ66-INDEX('How This Works &amp; Sources'!$B$144:$J$150,0,1))*INDEX('How This Works &amp; Sources'!$B$144:$J$150,0,1+2)),IF($AU66="Married",SUMPRODUCT(($AZ66&gt;INDEX('How This Works &amp; Sources'!$B$137:$J$139,0,7))*($AZ66-INDEX('How This Works &amp; Sources'!$B$137:$J$139,0,7))*INDEX('How This Works &amp; Sources'!$B$137:$J$139,0,7+2)),SUMPRODUCT(($AZ66&gt;INDEX('How This Works &amp; Sources'!$B$137:$J$139,0,4))*($AZ66-INDEX('How This Works &amp; Sources'!$B$137:$J$139,0,4))*INDEX('How This Works &amp; Sources'!$B$137:$J$139,0,4+2)))),IF($AN66="NJ",IF('Second Earner'!$C$77="B",SUMPRODUCT(($AZ66&gt;INDEX('How This Works &amp; Sources'!$B$155:$J$162,0,4))*($AZ66-INDEX('How This Works &amp; Sources'!$B$155:$J$162,0,4))*INDEX('How This Works &amp; Sources'!$B$155:$J$162,0,4+2)),IF('Second Earner'!$C$77="C",SUMPRODUCT(($AZ66&gt;INDEX('How This Works &amp; Sources'!$B$155:$J$162,0,7))*($AZ66-INDEX('How This Works &amp; Sources'!$B$155:$J$162,0,7))*INDEX('How This Works &amp; Sources'!$B$155:$J$162,0,7+2)),IF('Second Earner'!$C$77="D",SUMPRODUCT(($AZ66&gt;INDEX('How This Works &amp; Sources'!$B$167:$J$179,0,1))*($AZ66-INDEX('How This Works &amp; Sources'!$B$167:$J$179,0,1))*INDEX('How This Works &amp; Sources'!$B$167:$J$179,0,1+2)),IF('Second Earner'!$C$77="E",SUMPRODUCT(($AZ66&gt;INDEX('How This Works &amp; Sources'!$B$167:$J$179,0,4))*($AZ66-INDEX('How This Works &amp; Sources'!$B$167:$J$179,0,4))*INDEX('How This Works &amp; Sources'!$B$167:$J$179,0,4+2)),SUMPRODUCT(($AZ66&gt;INDEX('How This Works &amp; Sources'!$B$155:$J$162,0,1))*($AZ66-INDEX('How This Works &amp; Sources'!$B$155:$J$162,0,1))*INDEX('How This Works &amp; Sources'!$B$155:$J$162,0,1+2)))))),IF($AN66="NY",IF($AU66="Married",IF($AZ66&gt;=2155350,$AZ66*IF($AZ66&gt;25000000,0.117,IF($AZ66&gt;5000000,0.111,0.1045)),SUMPRODUCT(($AZ66&gt;INDEX('How This Works &amp; Sources'!$B$184:$J$198,0,1))*($AZ66-INDEX('How This Works &amp; Sources'!$B$184:$J$198,0,1))*INDEX('How This Works &amp; Sources'!$B$184:$J$198,0,1+2))),IF($AZ66&gt;=1077550,$AZ66*IF($AZ66&gt;25000000,0.117,IF($AZ66&gt;5000000,0.111,0.1045)),SUMPRODUCT(($AZ66&gt;INDEX('How This Works &amp; Sources'!$B$167:$J$179,0,7))*($AZ66-INDEX('How This Works &amp; Sources'!$B$167:$J$179,0,7))*INDEX('How This Works &amp; Sources'!$B$167:$J$179,0,7+2)))),"")))))))</f>
      </c>
      <c r="BX66" s="7">
        <f>IF($B66="","",IF($AN66="AL",IF(OR($AU66="Married",$AU66="Head of household"),SUMPRODUCT(($AZ66&gt;INDEX('How This Works &amp; Sources'!$B$82:$J$86,0,4))*($AZ66-INDEX('How This Works &amp; Sources'!$B$82:$J$86,0,4))*INDEX('How This Works &amp; Sources'!$B$82:$J$86,0,4+2)),SUMPRODUCT(($AZ66&gt;INDEX('How This Works &amp; Sources'!$B$82:$J$86,0,1))*($AZ66-INDEX('How This Works &amp; Sources'!$B$82:$J$86,0,1))*INDEX('How This Works &amp; Sources'!$B$82:$J$86,0,1+2))),IF($AN66="KS",IF($AU66="Married",SUMPRODUCT(($AZ66&gt;INDEX('How This Works &amp; Sources'!$B$103:$J$109,0,4))*($AZ66-INDEX('How This Works &amp; Sources'!$B$103:$J$109,0,4))*INDEX('How This Works &amp; Sources'!$B$103:$J$109,0,4+2)),SUMPRODUCT(($AZ66&gt;INDEX('How This Works &amp; Sources'!$B$103:$J$109,0,1))*($AZ66-INDEX('How This Works &amp; Sources'!$B$103:$J$109,0,1))*INDEX('How This Works &amp; Sources'!$B$103:$J$109,0,1+2))),IF($AN66="MN",IF($AU66="Married",SUMPRODUCT(($AZ66&gt;INDEX('How This Works &amp; Sources'!$B$114:$J$120,0,7))*($AZ66-INDEX('How This Works &amp; Sources'!$B$114:$J$120,0,7))*INDEX('How This Works &amp; Sources'!$B$114:$J$120,0,7+2)),SUMPRODUCT(($AZ66&gt;INDEX('How This Works &amp; Sources'!$B$114:$J$120,0,4))*($AZ66-INDEX('How This Works &amp; Sources'!$B$114:$J$120,0,4))*INDEX('How This Works &amp; Sources'!$B$114:$J$120,0,4+2))),IF($AN66="MO",SUMPRODUCT(($AZ66&gt;INDEX('How This Works &amp; Sources'!$B$125:$J$132,0,1))*($AZ66-INDEX('How This Works &amp; Sources'!$B$125:$J$132,0,1))*INDEX('How This Works &amp; Sources'!$B$125:$J$132,0,1+2)),IF($AN66="NE",MAX(IF($AU66="Married",SUMPRODUCT(($AZ66&gt;INDEX('How This Works &amp; Sources'!$B$144:$J$150,0,7))*($AZ66-INDEX('How This Works &amp; Sources'!$B$144:$J$150,0,7))*INDEX('How This Works &amp; Sources'!$B$144:$J$150,0,7+2)),SUMPRODUCT(($AZ66&gt;INDEX('How This Works &amp; Sources'!$B$144:$J$150,0,4))*($AZ66-INDEX('How This Works &amp; Sources'!$B$144:$J$150,0,4))*INDEX('How This Works &amp; Sources'!$B$144:$J$150,0,4+2))),0.015*$AZ66),IF($AN66="OH",IF($B66&gt;=DATE(2026,8,1),SUMPRODUCT(($AZ66&gt;INDEX('How This Works &amp; Sources'!$B$203:$J$206,0,1))*($AZ66-INDEX('How This Works &amp; Sources'!$B$203:$J$206,0,1))*INDEX('How This Works &amp; Sources'!$B$203:$J$206,0,1+2)),SUMPRODUCT(($AZ66&gt;INDEX('How This Works &amp; Sources'!$B$184:$J$198,0,7))*($AZ66-INDEX('How This Works &amp; Sources'!$B$184:$J$198,0,7))*INDEX('How This Works &amp; Sources'!$B$184:$J$198,0,7+2))),IF($AN66="OK",IF($AU66="Married",SUMPRODUCT(($AZ66&gt;INDEX('How This Works &amp; Sources'!$B$203:$J$206,0,7))*($AZ66-INDEX('How This Works &amp; Sources'!$B$203:$J$206,0,7))*INDEX('How This Works &amp; Sources'!$B$203:$J$206,0,7+2)),SUMPRODUCT(($AZ66&gt;INDEX('How This Works &amp; Sources'!$B$203:$J$206,0,4))*($AZ66-INDEX('How This Works &amp; Sources'!$B$203:$J$206,0,4))*INDEX('How This Works &amp; Sources'!$B$203:$J$206,0,4+2))),IF($AN66="VT",IF($AU66="Married",SUMPRODUCT(($AZ66&gt;INDEX('How This Works &amp; Sources'!$B$228:$J$232,0,1))*($AZ66-INDEX('How This Works &amp; Sources'!$B$228:$J$232,0,1))*INDEX('How This Works &amp; Sources'!$B$228:$J$232,0,1+2)),SUMPRODUCT(($AZ66&gt;INDEX('How This Works &amp; Sources'!$B$219:$J$223,0,7))*($AZ66-INDEX('How This Works &amp; Sources'!$B$219:$J$223,0,7))*INDEX('How This Works &amp; Sources'!$B$219:$J$223,0,7+2))),IF($AN66="WV",IF($AU66="Married",SUMPRODUCT(($AZ66&gt;INDEX('How This Works &amp; Sources'!$B$237:$J$241,0,7))*($AZ66-INDEX('How This Works &amp; Sources'!$B$237:$J$241,0,7))*INDEX('How This Works &amp; Sources'!$B$237:$J$241,0,7+2)),SUMPRODUCT(($AZ66&gt;INDEX('How This Works &amp; Sources'!$B$228:$J$232,0,7))*($AZ66-INDEX('How This Works &amp; Sources'!$B$228:$J$232,0,7))*INDEX('How This Works &amp; Sources'!$B$228:$J$232,0,7+2))),""))))))))))</f>
      </c>
      <c r="BY66" s="7">
        <f>IF($B66="","",IF($AN66="DE",SUMPRODUCT(($AZ66&gt;INDEX('How This Works &amp; Sources'!$B$91:$J$98,0,1))*($AZ66-INDEX('How This Works &amp; Sources'!$B$91:$J$98,0,1))*INDEX('How This Works &amp; Sources'!$B$91:$J$98,0,1+2)),IF($AN66="HI",IF($AU66="Married",SUMPRODUCT(($AZ66&gt;INDEX('How This Works &amp; Sources'!$B$91:$J$98,0,7))*($AZ66-INDEX('How This Works &amp; Sources'!$B$91:$J$98,0,7))*INDEX('How This Works &amp; Sources'!$B$91:$J$98,0,7+2)),SUMPRODUCT(($AZ66&gt;INDEX('How This Works &amp; Sources'!$B$91:$J$98,0,4))*($AZ66-INDEX('How This Works &amp; Sources'!$B$91:$J$98,0,4))*INDEX('How This Works &amp; Sources'!$B$91:$J$98,0,4+2))),IF($AN66="RI",SUMPRODUCT(($AZ66&gt;INDEX('How This Works &amp; Sources'!$B$211:$J$214,0,7))*($AZ66-INDEX('How This Works &amp; Sources'!$B$211:$J$214,0,7))*INDEX('How This Works &amp; Sources'!$B$211:$J$214,0,7+2)),IF($AN66="SC",SUMPRODUCT(($AZ66&gt;INDEX('How This Works &amp; Sources'!$B$219:$J$223,0,1))*($AZ66-INDEX('How This Works &amp; Sources'!$B$219:$J$223,0,1))*INDEX('How This Works &amp; Sources'!$B$219:$J$223,0,1+2)),IF($AN66="VA",SUMPRODUCT(($AZ66&gt;INDEX('How This Works &amp; Sources'!$B$219:$J$223,0,4))*($AZ66-INDEX('How This Works &amp; Sources'!$B$219:$J$223,0,4))*INDEX('How This Works &amp; Sources'!$B$219:$J$223,0,4+2)),IF($AN66="WI",SUMPRODUCT(($AZ66&gt;INDEX('How This Works &amp; Sources'!$B$228:$J$232,0,4))*($AZ66-INDEX('How This Works &amp; Sources'!$B$228:$J$232,0,4))*INDEX('How This Works &amp; Sources'!$B$228:$J$232,0,4+2)),"")))))))</f>
      </c>
      <c r="BZ66" s="24">
        <f>IF($B66="","",IF($AN66="KS",IF($AU66="Married",SUMPRODUCT(($AZ66&gt;=INDEX('How This Works &amp; Sources'!$B$103:$J$109,0,4))*INDEX('How This Works &amp; Sources'!$B$103:$J$109,0,4+2)),SUMPRODUCT(($AZ66&gt;=INDEX('How This Works &amp; Sources'!$B$103:$J$109,0,1))*INDEX('How This Works &amp; Sources'!$B$103:$J$109,0,1+2))),IF($AN66="MT",IF($AU66="Head of household",SUMPRODUCT(($AZ66&gt;=INDEX('How This Works &amp; Sources'!$B$137:$J$139,0,1))*INDEX('How This Works &amp; Sources'!$B$137:$J$139,0,1+2)),IF($AU66="Married",SUMPRODUCT(($AZ66&gt;=INDEX('How This Works &amp; Sources'!$B$125:$J$132,0,7))*INDEX('How This Works &amp; Sources'!$B$125:$J$132,0,7+2)),SUMPRODUCT(($AZ66&gt;=INDEX('How This Works &amp; Sources'!$B$125:$J$132,0,4))*INDEX('How This Works &amp; Sources'!$B$125:$J$132,0,4+2)))),IF($AN66="OR",IF(OR($AU66="Married",AND($AU66="Single",$AS66&gt;=3)),SUMPRODUCT((MAX(0,$AY66-MIN(($P66-'How This Works &amp; Sources'!$C$10*$D66)*'Second Earner'!$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Sources'!$B$211:$J$214,0,4))*INDEX('How This Works &amp; Sources'!$B$211:$J$214,0,4+2)),SUMPRODUCT((MAX(0,$AY66-MIN(($P66-'How This Works &amp; Sources'!$C$10*$D66)*'Second Earner'!$C$8,IF(OR($AU66="Married",AND($AU66="Single",$AS66&gt;=3)),IF($AY66&lt;250000,8750,IF($AY66&lt;260000,7000,IF($AY66&lt;270000,5250,IF($AY66&lt;280000,3500,IF($AY66&lt;290000,1750,0))))),IF($AY66&lt;125000,8750,IF($AY66&lt;130000,7000,IF($AY66&lt;135000,5250,IF($AY66&lt;140000,3500,IF($AY66&lt;145000,1750,0)))))))-IF(OR($AU66="Married",AND($AU66="Single",$AS66&gt;=3)),5820,2910))&gt;=INDEX('How This Works &amp; Sources'!$B$211:$J$214,0,1))*INDEX('How This Works &amp; Sources'!$B$211:$J$214,0,1+2)))*IF(($P66-'How This Works &amp; Sources'!$C$10*$D66)*'Second Earner'!$C$8&gt;=IF(OR($AU66="Married",AND($AU66="Single",$AS66&gt;=3)),IF($AY66&lt;250000,8750,IF($AY66&lt;260000,7000,IF($AY66&lt;270000,5250,IF($AY66&lt;280000,3500,IF($AY66&lt;290000,1750,0))))),IF($AY66&lt;125000,8750,IF($AY66&lt;130000,7000,IF($AY66&lt;135000,5250,IF($AY66&lt;140000,3500,IF($AY66&lt;145000,1750,0)))))),1,1-IF('Second Earner'!$C$13,SUMPRODUCT(($AH66&gt;=INDEX('How This Works &amp; Sources'!$B$29:$J$36,0,IF('Second Earner'!$C$12="MFJ",1,IF('Second Earner'!$C$12="HoH",7,4))))*INDEX('How This Works &amp; Sources'!$B$29:$J$36,0,IF('Second Earner'!$C$12="MFJ",1,IF('Second Earner'!$C$12="HoH",7,4))+2)),SUMPRODUCT(($AH66&gt;=INDEX('How This Works &amp; Sources'!$B$19:$J$26,0,IF('Second Earner'!$C$12="MFJ",1,IF('Second Earner'!$C$12="HoH",7,4))))*INDEX('How This Works &amp; Sources'!$B$19:$J$26,0,IF('Second Earner'!$C$12="MFJ",1,IF('Second Earner'!$C$12="HoH",7,4))+2)))),""))))</f>
      </c>
      <c r="CA66" s="24">
        <f>IF($B66="","",IF($AN66="CA",SUMPRODUCT(($AJ66&gt;=INDEX('How This Works &amp; Sources'!$B$39:$J$48,0,IF($AU66="Married",4,IF($AU66="Head of household",7,1))))*INDEX('How This Works &amp; Sources'!$B$39:$J$48,0,IF($AU66="Married",4,IF($AU66="Head of household",7,1))+2)),IF($AN66="AL",IF(OR($AU66="Married",$AU66="Head of household"),SUMPRODUCT(($AZ66&gt;=INDEX('How This Works &amp; Sources'!$B$82:$J$86,0,4))*INDEX('How This Works &amp; Sources'!$B$82:$J$86,0,4+2)),SUMPRODUCT(($AZ66&gt;=INDEX('How This Works &amp; Sources'!$B$82:$J$86,0,1))*INDEX('How This Works &amp; Sources'!$B$82:$J$86,0,1+2)))*(1-IF('Second Earner'!$C$13,SUMPRODUCT(($AH66&gt;=INDEX('How This Works &amp; Sources'!$B$29:$J$36,0,IF('Second Earner'!$C$12="MFJ",1,IF('Second Earner'!$C$12="HoH",7,4))))*INDEX('How This Works &amp; Sources'!$B$29:$J$36,0,IF('Second Earner'!$C$12="MFJ",1,IF('Second Earner'!$C$12="HoH",7,4))+2)),SUMPRODUCT(($AH66&gt;=INDEX('How This Works &amp; Sources'!$B$19:$J$26,0,IF('Second Earner'!$C$12="MFJ",1,IF('Second Earner'!$C$12="HoH",7,4))))*INDEX('How This Works &amp; Sources'!$B$19:$J$26,0,IF('Second Earner'!$C$12="MFJ",1,IF('Second Earner'!$C$12="HoH",7,4))+2)))),IF($AN66="ND",IF($AU66="Head of household",SUMPRODUCT(($AZ66&gt;=INDEX('How This Works &amp; Sources'!$B$144:$J$150,0,1))*INDEX('How This Works &amp; Sources'!$B$144:$J$150,0,1+2)),IF($AU66="Married",SUMPRODUCT(($AZ66&gt;=INDEX('How This Works &amp; Sources'!$B$137:$J$139,0,7))*INDEX('How This Works &amp; Sources'!$B$137:$J$139,0,7+2)),SUMPRODUCT(($AZ66&gt;=INDEX('How This Works &amp; Sources'!$B$137:$J$139,0,4))*INDEX('How This Works &amp; Sources'!$B$137:$J$139,0,4+2)))),IF($AN66="NJ",IF('Second Earner'!$C$77="B",SUMPRODUCT(($AZ66&gt;=INDEX('How This Works &amp; Sources'!$B$155:$J$162,0,4))*INDEX('How This Works &amp; Sources'!$B$155:$J$162,0,4+2)),IF('Second Earner'!$C$77="C",SUMPRODUCT(($AZ66&gt;=INDEX('How This Works &amp; Sources'!$B$155:$J$162,0,7))*INDEX('How This Works &amp; Sources'!$B$155:$J$162,0,7+2)),IF('Second Earner'!$C$77="D",SUMPRODUCT(($AZ66&gt;=INDEX('How This Works &amp; Sources'!$B$167:$J$179,0,1))*INDEX('How This Works &amp; Sources'!$B$167:$J$179,0,1+2)),IF('Second Earner'!$C$77="E",SUMPRODUCT(($AZ66&gt;=INDEX('How This Works &amp; Sources'!$B$167:$J$179,0,4))*INDEX('How This Works &amp; Sources'!$B$167:$J$179,0,4+2)),SUMPRODUCT(($AZ66&gt;=INDEX('How This Works &amp; Sources'!$B$155:$J$162,0,1))*INDEX('How This Works &amp; Sources'!$B$155:$J$162,0,1+2)))))),IF($AN66="NY",IF($AU66="Married",IF($AZ66&gt;=2155350,IF($AZ66&gt;25000000,0.117,IF($AZ66&gt;5000000,0.111,0.1045)),SUMPRODUCT(($AZ66&gt;=INDEX('How This Works &amp; Sources'!$B$184:$J$198,0,1))*INDEX('How This Works &amp; Sources'!$B$184:$J$198,0,1+2))),IF($AZ66&gt;=1077550,IF($AZ66&gt;25000000,0.117,IF($AZ66&gt;5000000,0.111,0.1045)),SUMPRODUCT(($AZ66&gt;=INDEX('How This Works &amp; Sources'!$B$167:$J$179,0,7))*INDEX('How This Works &amp; Sources'!$B$167:$J$179,0,7+2)))),IF($AN66="LA",0.0309,"")))))))</f>
      </c>
      <c r="CB66" s="24">
        <f>IF($B66="","",IF($AN66="HI",IF($AU66="Married",SUMPRODUCT(($AZ66&gt;=INDEX('How This Works &amp; Sources'!$B$91:$J$98,0,7))*INDEX('How This Works &amp; Sources'!$B$91:$J$98,0,7+2)),SUMPRODUCT(($AZ66&gt;=INDEX('How This Works &amp; Sources'!$B$91:$J$98,0,4))*INDEX('How This Works &amp; Sources'!$B$91:$J$98,0,4+2))),IF($AN66="MD",IF(OR($AU66="Married",$AU66="Head of household"),SUMPRODUCT(($AZ66&gt;=INDEX('How This Works &amp; Sources'!$B$114:$J$120,0,1))*INDEX('How This Works &amp; Sources'!$B$114:$J$120,0,1+2)),SUMPRODUCT(($AZ66&gt;=INDEX('How This Works &amp; Sources'!$B$103:$J$109,0,7))*INDEX('How This Works &amp; Sources'!$B$103:$J$109,0,7+2)))+'Second Earner'!$C$74,IF($AN66="MN",IF($AU66="Married",SUMPRODUCT(($AZ66&gt;=INDEX('How This Works &amp; Sources'!$B$114:$J$120,0,7))*INDEX('How This Works &amp; Sources'!$B$114:$J$120,0,7+2)),SUMPRODUCT(($AZ66&gt;=INDEX('How This Works &amp; Sources'!$B$114:$J$120,0,4))*INDEX('How This Works &amp; Sources'!$B$114:$J$120,0,4+2))),IF($AN66="MO",SUMPRODUCT(($AZ66&gt;=INDEX('How This Works &amp; Sources'!$B$125:$J$132,0,1))*INDEX('How This Works &amp; Sources'!$B$125:$J$132,0,1+2)),IF($AN66="NE",MAX(IF($AU66="Married",SUMPRODUCT(($AZ66&gt;=INDEX('How This Works &amp; Sources'!$B$144:$J$150,0,7))*INDEX('How This Works &amp; Sources'!$B$144:$J$150,0,7+2)),SUMPRODUCT(($AZ66&gt;=INDEX('How This Works &amp; Sources'!$B$144:$J$150,0,4))*INDEX('How This Works &amp; Sources'!$B$144:$J$150,0,4+2))),0.015),IF($AN66="OH",IF($B66&gt;=DATE(2026,8,1),SUMPRODUCT(($AZ66&gt;=INDEX('How This Works &amp; Sources'!$B$203:$J$206,0,1))*INDEX('How This Works &amp; Sources'!$B$203:$J$206,0,1+2)),SUMPRODUCT(($AZ66&gt;=INDEX('How This Works &amp; Sources'!$B$184:$J$198,0,7))*INDEX('How This Works &amp; Sources'!$B$184:$J$198,0,7+2))),IF($AN66="OK",IF($AU66="Married",SUMPRODUCT(($AZ66&gt;=INDEX('How This Works &amp; Sources'!$B$203:$J$206,0,7))*INDEX('How This Works &amp; Sources'!$B$203:$J$206,0,7+2)),SUMPRODUCT(($AZ66&gt;=INDEX('How This Works &amp; Sources'!$B$203:$J$206,0,4))*INDEX('How This Works &amp; Sources'!$B$203:$J$206,0,4+2))),IF($AN66="RI",SUMPRODUCT(($AZ66&gt;=INDEX('How This Works &amp; Sources'!$B$211:$J$214,0,7))*INDEX('How This Works &amp; Sources'!$B$211:$J$214,0,7+2)),IF($AN66="VT",IF($AU66="Married",SUMPRODUCT(($AZ66&gt;=INDEX('How This Works &amp; Sources'!$B$228:$J$232,0,1))*INDEX('How This Works &amp; Sources'!$B$228:$J$232,0,1+2)),SUMPRODUCT(($AZ66&gt;=INDEX('How This Works &amp; Sources'!$B$219:$J$223,0,7))*INDEX('How This Works &amp; Sources'!$B$219:$J$223,0,7+2))),IF($AN66="WV",IF($AU66="Married",SUMPRODUCT(($AZ66&gt;=INDEX('How This Works &amp; Sources'!$B$237:$J$241,0,7))*INDEX('How This Works &amp; Sources'!$B$237:$J$241,0,7+2)),SUMPRODUCT(($AZ66&gt;=INDEX('How This Works &amp; Sources'!$B$228:$J$232,0,7))*INDEX('How This Works &amp; Sources'!$B$228:$J$232,0,7+2))),IF($AN66="AZ",'Second Earner'!$C$82,IF($AN66="ID",IF($AY66&gt;IF($AU66="Married",32000,16094),0.053,0),"")))))))))))))</f>
      </c>
      <c r="CC66" s="24">
        <f>IF($B66="","",IF($AN66="AR",SUMPRODUCT(($AZ66&gt;=INDEX('How This Works &amp; Sources'!$B$82:$J$86,0,7))*INDEX('How This Works &amp; Sources'!$B$82:$J$86,0,7+2)),IF($AN66="DE",SUMPRODUCT(($AZ66&gt;=INDEX('How This Works &amp; Sources'!$B$91:$J$98,0,1))*INDEX('How This Works &amp; Sources'!$B$91:$J$98,0,1+2)),IF($AN66="SC",SUMPRODUCT(($AZ66&gt;=INDEX('How This Works &amp; Sources'!$B$219:$J$223,0,1))*INDEX('How This Works &amp; Sources'!$B$219:$J$223,0,1+2)),IF($AN66="VA",SUMPRODUCT(($AZ66&gt;=INDEX('How This Works &amp; Sources'!$B$219:$J$223,0,4))*INDEX('How This Works &amp; Sources'!$B$219:$J$223,0,4+2)),IF($AN66="WI",SUMPRODUCT(($AZ66&gt;=INDEX('How This Works &amp; Sources'!$B$228:$J$232,0,4))*INDEX('How This Works &amp; Sources'!$B$228:$J$232,0,4+2)),IF($AN66="CO",IF($AY66&gt;IF($AU66="Married",10000,5000),0.044,0),IF($AN66="IA",IF($AY66&gt;IF($AU66="Head of household",19500,IF($AU66="Married",26000,13000)),0.038,0),IF($AN66="IL",IF($AY66&gt;(2925*$AS66+1000*$AT66),0.0495,0),IF($AN66="IN",(0.0295+'Second Earner'!$C$76),IF($AN66="KY",IF($AI66&gt;3360,0.035,0),IF($AN66="MA",IF(MAX(0,$AY66-MIN(($BD65+$Q66+$R66+$S66),2000)-IF($AS66=0,0,IF($AS66=1,4400,1000*$AS66+3400)))&gt;=1107750,0.09,0.05),IF($AN66="MI",IF($AY66&gt;5900*$AS66,0.0425,0),IF($AN66="MS",IF($AI66-IF($AU66="Head of household",3400,IF($AU66="Married",4600,2300))-'Second Earner'!$C$85&gt;10000,0.04,0),IF($AN66="PA",0.0307,"")))))))))))))))</f>
      </c>
      <c r="CD66" s="21">
        <f>IF(YEAR(IF('Second Earner'!$C$7="Weekly",'Second Earner'!$C$9+7*(($BE65+1)-1),IF('Second Earner'!$C$7="Biweekly",'Second Earner'!$C$9+14*(($BE65+1)-1),IF('Second Earner'!$C$7="Semimonthly",DATE(YEAR('Second Earner'!$C$9),MONTH('Second Earner'!$C$9)+INT((($BE65+1)-1)/2),MIN(DAY('Second Earner'!$C$9),DAY(EOMONTH(DATE(YEAR('Second Earner'!$C$9),MONTH('Second Earner'!$C$9)+INT((($BE65+1)-1)/2),1),0))))+IF(MOD(($BE65+1)-1,2)=1,15,0),EDATE('Second Earner'!$C$9,($BE65+1)-1)))))&lt;&gt;'Second Earner'!$C$10,"",IF('Second Earner'!$C$7="Weekly",'Second Earner'!$C$9+7*(($BE65+1)-1),IF('Second Earner'!$C$7="Biweekly",'Second Earner'!$C$9+14*(($BE65+1)-1),IF('Second Earner'!$C$7="Semimonthly",DATE(YEAR('Second Earner'!$C$9),MONTH('Second Earner'!$C$9)+INT((($BE65+1)-1)/2),MIN(DAY('Second Earner'!$C$9),DAY(EOMONTH(DATE(YEAR('Second Earner'!$C$9),MONTH('Second Earner'!$C$9)+INT((($BE65+1)-1)/2),1),0))))+IF(MOD(($BE65+1)-1,2)=1,15,0),EDATE('Second Earner'!$C$9,($BE65+1)-1)))))</f>
      </c>
      <c r="CE66" s="21">
        <f>IF(MIN(IF(AND('Second Earner'!$C$58&gt;MAX($B$6:$B65),'Second Earner'!$C$58&gt;=DATE('Second Earner'!$C$10,1,1),'Second Earner'!$C$58&lt;=DATE('Second Earner'!$C$10,12,31)),'Second Earner'!$C$58,999999),IF(AND('Second Earner'!$C$59&gt;MAX($B$6:$B65),'Second Earner'!$C$59&gt;=DATE('Second Earner'!$C$10,1,1),'Second Earner'!$C$59&lt;=DATE('Second Earner'!$C$10,12,31)),'Second Earner'!$C$59,999999),IF(AND('Second Earner'!$C$60&gt;MAX($B$6:$B65),'Second Earner'!$C$60&gt;=DATE('Second Earner'!$C$10,1,1),'Second Earner'!$C$60&lt;=DATE('Second Earner'!$C$10,12,31)),'Second Earner'!$C$60,999999),IF(AND('Second Earner'!$C$61&gt;MAX($B$6:$B65),'Second Earner'!$C$61&gt;=DATE('Second Earner'!$C$10,1,1),'Second Earner'!$C$61&lt;=DATE('Second Earner'!$C$10,12,31)),'Second Earner'!$C$61,999999),IF(AND('Second Earner'!$C$62&gt;MAX($B$6:$B65),'Second Earner'!$C$62&gt;=DATE('Second Earner'!$C$10,1,1),'Second Earner'!$C$62&lt;=DATE('Second Earner'!$C$10,12,31)),'Second Earner'!$C$62,999999),IF(AND('Second Earner'!$C$63&gt;MAX($B$6:$B65),'Second Earner'!$C$63&gt;=DATE('Second Earner'!$C$10,1,1),'Second Earner'!$C$63&lt;=DATE('Second Earner'!$C$10,12,31)),'Second Earner'!$C$63,999999),IF(AND('Second Earner'!$C$64&gt;MAX($B$6:$B65),'Second Earner'!$C$64&gt;=DATE('Second Earner'!$C$10,1,1),'Second Earner'!$C$64&lt;=DATE('Second Earner'!$C$10,12,31)),'Second Earner'!$C$64,999999),IF(AND('Second Earner'!$C$65&gt;MAX($B$6:$B65),'Second Earner'!$C$65&gt;=DATE('Second Earner'!$C$10,1,1),'Second Earner'!$C$65&lt;=DATE('Second Earner'!$C$10,12,31)),'Second Earner'!$C$65,999999),IF(AND('Second Earner'!$C$66&gt;MAX($B$6:$B65),'Second Earner'!$C$66&gt;=DATE('Second Earner'!$C$10,1,1),'Second Earner'!$C$66&lt;=DATE('Second Earner'!$C$10,12,31)),'Second Earner'!$C$66,999999),IF(AND('Second Earner'!$C$67&gt;MAX($B$6:$B65),'Second Earner'!$C$67&gt;=DATE('Second Earner'!$C$10,1,1),'Second Earner'!$C$67&lt;=DATE('Second Earner'!$C$10,12,31)),'Second Earner'!$C$67,999999))=999999,"",MIN(IF(AND('Second Earner'!$C$58&gt;MAX($B$6:$B65),'Second Earner'!$C$58&gt;=DATE('Second Earner'!$C$10,1,1),'Second Earner'!$C$58&lt;=DATE('Second Earner'!$C$10,12,31)),'Second Earner'!$C$58,999999),IF(AND('Second Earner'!$C$59&gt;MAX($B$6:$B65),'Second Earner'!$C$59&gt;=DATE('Second Earner'!$C$10,1,1),'Second Earner'!$C$59&lt;=DATE('Second Earner'!$C$10,12,31)),'Second Earner'!$C$59,999999),IF(AND('Second Earner'!$C$60&gt;MAX($B$6:$B65),'Second Earner'!$C$60&gt;=DATE('Second Earner'!$C$10,1,1),'Second Earner'!$C$60&lt;=DATE('Second Earner'!$C$10,12,31)),'Second Earner'!$C$60,999999),IF(AND('Second Earner'!$C$61&gt;MAX($B$6:$B65),'Second Earner'!$C$61&gt;=DATE('Second Earner'!$C$10,1,1),'Second Earner'!$C$61&lt;=DATE('Second Earner'!$C$10,12,31)),'Second Earner'!$C$61,999999),IF(AND('Second Earner'!$C$62&gt;MAX($B$6:$B65),'Second Earner'!$C$62&gt;=DATE('Second Earner'!$C$10,1,1),'Second Earner'!$C$62&lt;=DATE('Second Earner'!$C$10,12,31)),'Second Earner'!$C$62,999999),IF(AND('Second Earner'!$C$63&gt;MAX($B$6:$B65),'Second Earner'!$C$63&gt;=DATE('Second Earner'!$C$10,1,1),'Second Earner'!$C$63&lt;=DATE('Second Earner'!$C$10,12,31)),'Second Earner'!$C$63,999999),IF(AND('Second Earner'!$C$64&gt;MAX($B$6:$B65),'Second Earner'!$C$64&gt;=DATE('Second Earner'!$C$10,1,1),'Second Earner'!$C$64&lt;=DATE('Second Earner'!$C$10,12,31)),'Second Earner'!$C$64,999999),IF(AND('Second Earner'!$C$65&gt;MAX($B$6:$B65),'Second Earner'!$C$65&gt;=DATE('Second Earner'!$C$10,1,1),'Second Earner'!$C$65&lt;=DATE('Second Earner'!$C$10,12,31)),'Second Earner'!$C$65,999999),IF(AND('Second Earner'!$C$66&gt;MAX($B$6:$B65),'Second Earner'!$C$66&gt;=DATE('Second Earner'!$C$10,1,1),'Second Earner'!$C$66&lt;=DATE('Second Earner'!$C$10,12,31)),'Second Earner'!$C$66,999999),IF(AND('Second Earner'!$C$67&gt;MAX($B$6:$B65),'Second Earner'!$C$67&gt;=DATE('Second Earner'!$C$10,1,1),'Second Earner'!$C$67&lt;=DATE('Second Earner'!$C$10,12,31)),'Second Earner'!$C$67,999999)))</f>
      </c>
      <c r="CF66">
        <f>IF($B66="","",IF($D66=0,$Y66,""))</f>
      </c>
    </row>
    <row r="67">
      <c r="A67" t="n">
        <v>62</v>
      </c>
      <c r="B67" s="21">
        <f>IF(AND($CD67="",$CE67=""),"",IF($CE67="",$CD67,IF($CD67="",$CE67,MIN($CD67,$CE67))))</f>
      </c>
      <c r="C67" s="7">
        <f>IF($B67="","",IF($BF67=0,0,IF('Second Earner'!$C$4="Annual salary",ROUND($AK67/IF(AND('Second Earner'!$C$88="Actual paydays",MONTH('Second Earner'!$C$9)=1),MAX(1,MAX($BE$6:$BE$68)),'Second Earner'!$C$8),2),$AK67)))</f>
      </c>
      <c r="D67" s="7">
        <f>IF($B67="","",SUMIF('Second Earner'!$C$58:$C$67,$B67,'Second Earner'!$D$58:$D$67))</f>
      </c>
      <c r="E67" s="7">
        <f>IF($B67="","",ROUND(MAX(0,MIN(IF($AL67="Percent",$AM67*($C67+$D67),$AM67),MAX(0,'Second Earner'!$C$34-$AC66))),2))</f>
      </c>
      <c r="F67" s="7">
        <f>IF($B67="","",ROUND(MAX(0,MIN(IF('Second Earner'!$C$32="Percent",'Second Earner'!$D$32*($C67+$D67),'Second Earner'!$D$32),MAX(0,'Second Earner'!$C$34-$AC66-$E67))),2))</f>
      </c>
      <c r="G67" s="7">
        <f>IF($B67="","",IF($BF67=0,0,ROUND(MAX(0,MIN($BL67,'Second Earner'!$C$37-'Second Earner'!$C$54-$BI66)),2)))</f>
      </c>
      <c r="H67" s="7">
        <f>IF($B67="","",IF(OR($BF67=0,$BQ67=1),0,ROUND(MAX(0,MIN(IF($BS67=1,ROUND(MAX(0,MIN($BJ67,'How This Works &amp; Sources'!$C$13)-$BG66)/MAX(1,MAX($BE$6:$BE$68)-($BE66)),2),ROUND(MIN($BJ67,'How This Works &amp; Sources'!$C$13)/'Second Earner'!$C$8,2)),MIN($BJ67,'How This Works &amp; Sources'!$C$13)-$BG66)),2)))</f>
      </c>
      <c r="I67" s="7">
        <f>IF($B67="","",IF(OR($BF67=0,$BR67=1),0,ROUND(MAX(0,MIN(IF($BT67=1,ROUND(MAX(0,MIN($BK67,IF('Second Earner'!$C$12="MFJ",'How This Works &amp; Sources'!$C$14,'How This Works &amp; Sources'!$C$15))-$BH66)/MAX(1,MAX($BE$6:$BE$68)-($BE66)),2),ROUND(MIN($BK67,IF('Second Earner'!$C$12="MFJ",'How This Works &amp; Sources'!$C$14,'How This Works &amp; Sources'!$C$15))/'Second Earner'!$C$8,2)),MIN($BK67,IF('Second Earner'!$C$12="MFJ",'How This Works &amp; Sources'!$C$14,'How This Works &amp; Sources'!$C$15))-$BH66)),2)))</f>
      </c>
      <c r="J67" s="7">
        <f>IF($B67="","",IF($BF67=0,0,$BM67))</f>
      </c>
      <c r="K67" s="7">
        <f>IF($B67="","",IF($BF67=0,0,$BN67+$BO67))</f>
      </c>
      <c r="L67" s="7">
        <f>IF($B67="","",IF($BF67=0,0,'Second Earner'!$D$46))</f>
      </c>
      <c r="M67" s="7">
        <f>IF($B67="","",$C67+$D67+$L67-$E67-$G67-$H67-$I67-$J67-$K67)</f>
      </c>
      <c r="N67" s="7">
        <f>IF($B67="","",$C67+$D67+$L67-$G67-$H67-$I67-$J67-$K67)</f>
      </c>
      <c r="O67" s="7">
        <f>IF($B67="","",$C67+$D67+$L67-$E67-$H67-$I67-$J67-$K67-IF(OR($AN67="CA",$AN67="NJ"),0,$G67))</f>
      </c>
      <c r="P67" s="7">
        <f>IF($B67="","",IF('Second Earner'!$C$18,0,ROUND(MAX(0,IF('Second Earner'!$C$13,SUMPRODUCT(($AH67&gt;INDEX('How This Works &amp; Sources'!$B$29:$J$36,0,IF('Second Earner'!$C$12="MFJ",1,IF('Second Earner'!$C$12="HoH",7,4))))*($AH67-INDEX('How This Works &amp; Sources'!$B$29:$J$36,0,IF('Second Earner'!$C$12="MFJ",1,IF('Second Earner'!$C$12="HoH",7,4))))*INDEX('How This Works &amp; Sources'!$B$29:$J$36,0,IF('Second Earner'!$C$12="MFJ",1,IF('Second Earner'!$C$12="HoH",7,4))+2)),SUMPRODUCT(($AH67&gt;INDEX('How This Works &amp; Sources'!$B$19:$J$26,0,IF('Second Earner'!$C$12="MFJ",1,IF('Second Earner'!$C$12="HoH",7,4))))*($AH67-INDEX('How This Works &amp; Sources'!$B$19:$J$26,0,IF('Second Earner'!$C$12="MFJ",1,IF('Second Earner'!$C$12="HoH",7,4))))*INDEX('How This Works &amp; Sources'!$B$19:$J$26,0,IF('Second Earner'!$C$12="MFJ",1,IF('Second Earner'!$C$12="HoH",7,4))+2)))/'Second Earner'!$C$8-$AO67/'Second Earner'!$C$8)+$AR67+IF('Second Earner'!$C$89="Aggregate",MAX(0,IF('Second Earner'!$C$13,SUMPRODUCT((($AH67+$D67)&gt;INDEX('How This Works &amp; Sources'!$B$29:$J$36,0,IF('Second Earner'!$C$12="MFJ",1,IF('Second Earner'!$C$12="HoH",7,4))))*(($AH67+$D67)-INDEX('How This Works &amp; Sources'!$B$29:$J$36,0,IF('Second Earner'!$C$12="MFJ",1,IF('Second Earner'!$C$12="HoH",7,4))))*INDEX('How This Works &amp; Sources'!$B$29:$J$36,0,IF('Second Earner'!$C$12="MFJ",1,IF('Second Earner'!$C$12="HoH",7,4))+2)),SUMPRODUCT((($AH67+$D67)&gt;INDEX('How This Works &amp; Sources'!$B$19:$J$26,0,IF('Second Earner'!$C$12="MFJ",1,IF('Second Earner'!$C$12="HoH",7,4))))*(($AH67+$D67)-INDEX('How This Works &amp; Sources'!$B$19:$J$26,0,IF('Second Earner'!$C$12="MFJ",1,IF('Second Earner'!$C$12="HoH",7,4))))*INDEX('How This Works &amp; Sources'!$B$19:$J$26,0,IF('Second Earner'!$C$12="MFJ",1,IF('Second Earner'!$C$12="HoH",7,4))+2)))-IF('Second Earner'!$C$13,SUMPRODUCT(($AH67&gt;INDEX('How This Works &amp; Sources'!$B$29:$J$36,0,IF('Second Earner'!$C$12="MFJ",1,IF('Second Earner'!$C$12="HoH",7,4))))*($AH67-INDEX('How This Works &amp; Sources'!$B$29:$J$36,0,IF('Second Earner'!$C$12="MFJ",1,IF('Second Earner'!$C$12="HoH",7,4))))*INDEX('How This Works &amp; Sources'!$B$29:$J$36,0,IF('Second Earner'!$C$12="MFJ",1,IF('Second Earner'!$C$12="HoH",7,4))+2)),SUMPRODUCT(($AH67&gt;INDEX('How This Works &amp; Sources'!$B$19:$J$26,0,IF('Second Earner'!$C$12="MFJ",1,IF('Second Earner'!$C$12="HoH",7,4))))*($AH67-INDEX('How This Works &amp; Sources'!$B$19:$J$26,0,IF('Second Earner'!$C$12="MFJ",1,IF('Second Earner'!$C$12="HoH",7,4))))*INDEX('How This Works &amp; Sources'!$B$19:$J$26,0,IF('Second Earner'!$C$12="MFJ",1,IF('Second Earner'!$C$12="HoH",7,4))+2)))),'How This Works &amp; Sources'!$C$10*$D67),2)))</f>
      </c>
      <c r="Q67" s="7">
        <f>IF($B67="","",ROUND('How This Works &amp; Sources'!$C$4*MIN($N67,MAX(0,'How This Works &amp; Sources'!$C$3-($AX67+$AB66-$AW67))),2))</f>
      </c>
      <c r="R67" s="7">
        <f>IF($B67="","",ROUND('How This Works &amp; Sources'!$C$5*$N67,2))</f>
      </c>
      <c r="S67" s="7">
        <f>IF($B67="","",ROUND('How This Works &amp; Sources'!$C$6*MAX(0,MIN($N67,$AG66+$N67-'How This Works &amp; Sources'!$C$7)),2))</f>
      </c>
      <c r="T67" s="7">
        <f>IF($B67="","",IF('Second Earner'!$C$26,0,IF($AN67="CA",ROUND(IF($AI67&lt;=IF(($AS67+$AT67)&gt;=2,VLOOKUP($AN67,StateTables!$A$6:$AB$56,10,FALSE),VLOOKUP($AN67,StateTables!$A$6:$AB$56,9,FALSE)),0,MAX(0,SUMPRODUCT(($AJ67&gt;INDEX('How This Works &amp; Sources'!$B$39:$J$48,0,IF($AU67="Married",4,IF($AU67="Head of household",7,1))))*($AJ67-INDEX('How This Works &amp; Sources'!$B$39:$J$48,0,IF($AU67="Married",4,IF($AU67="Head of household",7,1))))*INDEX('How This Works &amp; Sources'!$B$39:$J$48,0,IF($AU67="Married",4,IF($AU67="Head of household",7,1))+2))-VLOOKUP($AN67,StateTables!$A$6:$AB$56,11,FALSE)*$AS67)/'Second Earner'!$C$8)+'Second Earner'!$C$25+VLOOKUP($AN67,StateTables!$A$6:$AB$56,13,FALSE)*$D67,2),IF(VLOOKUP($AN67,StateTables!$A$6:$AB$56,4,FALSE)="None",0,IF(ISNUMBER(SEARCH("MANUAL",VLOOKUP($AN67,StateTables!$A$6:$AB$56,5,FALSE))),'Second Earner'!$C$28,ROUND(MAX(0,$BA67+$BB67)/'Second Earner'!$C$8+'Second Earner'!$C$25+$BC67,2))))))</f>
      </c>
      <c r="U67" s="7">
        <f>IF($B67="","",IF(VLOOKUP($AN67,StateTables!$A$6:$AB$56,24,FALSE)="flatq",IF(OR(MONTH($B67)=1,MONTH($B67)=4,MONTH($B67)=7,MONTH($B67)=10),VLOOKUP($AN67,StateTables!$A$6:$AB$56,25,FALSE),0),IF(VLOOKUP($AN67,StateTables!$A$6:$AB$56,24,FALSE)="dbl",MIN(ROUND(0.005*$N67,2),ROUND(0.6*52/'Second Earner'!$C$8,2)),IF(OR(VLOOKUP($AN67,StateTables!$A$6:$AB$56,15,FALSE)="",VLOOKUP($AN67,StateTables!$A$6:$AB$56,15,FALSE)=0),0,ROUND(VLOOKUP($AN67,StateTables!$A$6:$AB$56,15,FALSE)*IF(OR(VLOOKUP($AN67,StateTables!$A$6:$AB$56,16,FALSE)="",VLOOKUP($AN67,StateTables!$A$6:$AB$56,16,FALSE)=0),$N67,MIN($N67,MAX(0,VLOOKUP($AN67,StateTables!$A$6:$AB$56,16,FALSE)-($AX67+$AB66-$AW67)))),2))))+IF(VLOOKUP($AN67,StateTables!$A$6:$AB$56,27,FALSE)="flatq",IF(OR(MONTH($B67)=1,MONTH($B67)=4,MONTH($B67)=7,MONTH($B67)=10),VLOOKUP($AN67,StateTables!$A$6:$AB$56,28,FALSE),0),IF(VLOOKUP($AN67,StateTables!$A$6:$AB$56,27,FALSE)="dbl",MIN(ROUND(0.005*$N67,2),ROUND(0.6*52/'Second Earner'!$C$8,2)),IF(OR(VLOOKUP($AN67,StateTables!$A$6:$AB$56,18,FALSE)="",VLOOKUP($AN67,StateTables!$A$6:$AB$56,18,FALSE)=0),0,ROUND(VLOOKUP($AN67,StateTables!$A$6:$AB$56,18,FALSE)*IF(OR(VLOOKUP($AN67,StateTables!$A$6:$AB$56,19,FALSE)="",VLOOKUP($AN67,StateTables!$A$6:$AB$56,19,FALSE)=0),$N67,MIN($N67,MAX(0,VLOOKUP($AN67,StateTables!$A$6:$AB$56,19,FALSE)-($AX67+$AB66-$AW67)))),2)))))</f>
      </c>
      <c r="V67" s="7">
        <f>IF($B67="","",IF($AN67="NY",IF('Second Earner'!$C$78,ROUND(SUMPRODUCT((MAX(0,($O67-$D67)*'Second Earner'!$C$8-(IF($AU67="Married",5500,5000)+1000*$AS67))&gt;INDEX('How This Works &amp; Sources'!$B$184:$J$198,0,4))*(MAX(0,($O67-$D67)*'Second Earner'!$C$8-(IF($AU67="Married",5500,5000)+1000*$AS67))-INDEX('How This Works &amp; Sources'!$B$184:$J$198,0,4))*INDEX('How This Works &amp; Sources'!$B$184:$J$198,0,4+2))/'Second Earner'!$C$8+0.0425*$D67,2),0)+IF('Second Earner'!$C$79="Resident",ROUND(0.1675*$T67,2),IF('Second Earner'!$C$79="Nonresident",ROUND(0.005*MAX(0,($O67-$D67)-(IF($AU67="Married",7950,7400)+1000*$AS67)/'Second Earner'!$C$8),2),0)),IF($AN67="PA",IF('Second Earner'!$C$80="None",'Second Earner'!$C$27+ROUND('Second Earner'!$C$81*($C67+$D67),2),ROUND(IF('Second Earner'!$C$80="Resident",IF($B67&lt;DATE(2026,7,1),0.0374,0.03735),IF($B67&lt;DATE(2026,7,1),0.0343,0.03425))*($C67+$D67),2)),IF($BF67=0,ROUND('Second Earner'!$C$81*($C67+$D67),2),'Second Earner'!$C$27+ROUND('Second Earner'!$C$81*($C67+$D67),2)))))</f>
      </c>
      <c r="W67" s="7">
        <f>IF($B67="","",IF($BF67=0,0,$BP67))</f>
      </c>
      <c r="X67" s="7">
        <f>IF($B67="","",SUM($E67:$K67)+$P67+$Q67+$R67+$S67+$T67+$U67+$V67+$W67)</f>
      </c>
      <c r="Y67" s="22">
        <f>IF($B67="","",$C67+$D67-$X67)</f>
      </c>
      <c r="Z67" s="7">
        <f>IF($B67="","",$Z66+$C67+$D67)</f>
      </c>
      <c r="AA67" s="7">
        <f>IF($B67="","",$AA66+$Y67)</f>
      </c>
      <c r="AB67" s="7">
        <f>IF($B67="","",$AB66+MIN($N67,MAX(0,'How This Works &amp; Sources'!$C$3-($AX67+$AB66-$AW67))))</f>
      </c>
      <c r="AC67" s="7">
        <f>IF($B67="","",$AC66+$E67+$F67)</f>
      </c>
      <c r="AD67" s="3">
        <f>IF($B67="","",IF(AND($AB66&lt;'How This Works &amp; Sources'!$C$3,$AB67&gt;='How This Works &amp; Sources'!$C$3),"★ Social Security maxed on this check — from the next check your net rises by about $"&amp;TEXT(ROUND('How This Works &amp; Sources'!$C$4*$N67,2),"#,##0.00")&amp;". ","")&amp;IF(AND($AC66&lt;'Second Earner'!$C$34,$AC67&gt;='Second Earner'!$C$34),"★ 401(k) reaches the $"&amp;TEXT('Second Earner'!$C$34,"#,##0")&amp;" cap on this check — deferrals stop and net pay rises. ","")&amp;IF(AND($AG66&lt;'How This Works &amp; Sources'!$C$7,$AG67&gt;='How This Works &amp; Sources'!$C$7),"★ Wages pass $200,000 — the 0.9% Additional Medicare Tax starts here. ","")&amp;IF(AND($BJ67&gt;0,$H67&gt;0,$BG66&lt;MIN($BJ67,'How This Works &amp; Sources'!$C$13),$BG66+$H67&gt;=MIN($BJ67,'How This Works &amp; Sources'!$C$13)),"★ Health FSA election is now fully deferred for the year. ",""))</f>
      </c>
      <c r="AE67" s="41" t="n"/>
      <c r="AF67" s="7">
        <f>IF(OR($B67="",$AE67=""),"",$AE67-$Y67)</f>
      </c>
      <c r="AG67" s="7">
        <f>IF($B67="","",$AG66+$N67)</f>
      </c>
      <c r="AH67" s="7">
        <f>IF($B67="","",MAX(0,($M67-$D67)*'Second Earner'!$C$8+$AP67-$AQ67-IF('Second Earner'!$C$13,0,IF('Second Earner'!$C$12="MFJ",'How This Works &amp; Sources'!$C$8,'How This Works &amp; Sources'!$C$9))))</f>
      </c>
      <c r="AI67" s="7">
        <f>IF($B67="","",$O67*'Second Earner'!$C$8)</f>
      </c>
      <c r="AJ67" s="7">
        <f>IF($B67="","",MAX(0,$AI67-VLOOKUP($AN67,StateTables!$A$6:$AB$56,12,FALSE)*$AT67-IF(($AS67+$AT67)&gt;=2,VLOOKUP($AN67,StateTables!$A$6:$AB$56,8,FALSE),VLOOKUP($AN67,StateTables!$A$6:$AB$56,7,FALSE))))</f>
      </c>
      <c r="AK67" s="7">
        <f>IF($B67="","",IFERROR(LOOKUP(2,1/(('Changes — Earner 2'!$C$6:$C$17="Salary change")*('Changes — Earner 2'!$B$6:$B$17&lt;=$B67)*('Changes — Earner 2'!$B$6:$B$17&lt;&gt;"")),'Changes — Earner 2'!$D$6:$D$17),IF('Second Earner'!$C$4="Annual salary",'Second Earner'!$C$5,'Second Earner'!$C$6)))</f>
      </c>
      <c r="AL67">
        <f>IF($B67="","",IFERROR(LOOKUP(2,1/(('Changes — Earner 2'!$C$6:$C$17="401(k) change")*('Changes — Earner 2'!$B$6:$B$17&lt;=$B67)*('Changes — Earner 2'!$B$6:$B$17&lt;&gt;"")),'Changes — Earner 2'!$D$6:$D$17),'Second Earner'!$C$30))</f>
      </c>
      <c r="AM67" s="7">
        <f>IF($B67="","",IFERROR(LOOKUP(2,1/(('Changes — Earner 2'!$C$6:$C$17="401(k) change")*('Changes — Earner 2'!$B$6:$B$17&lt;=$B67)*('Changes — Earner 2'!$B$6:$B$17&lt;&gt;"")),'Changes — Earner 2'!$E$6:$E$17),'Second Earner'!$D$31))</f>
      </c>
      <c r="AN67">
        <f>IF($B67="","",IFERROR(LOOKUP(2,1/(('Changes — Earner 2'!$C$6:$C$17="State move")*('Changes — Earner 2'!$B$6:$B$17&lt;=$B67)*('Changes — Earner 2'!$B$6:$B$17&lt;&gt;"")),'Changes — Earner 2'!$D$6:$D$17),'Second Earner'!$C$21))</f>
      </c>
      <c r="AO67" s="7">
        <f>IF($B67="","",IFERROR(LOOKUP(2,1/(('Changes — Earner 2'!$C$6:$C$17="W-4 change")*('Changes — Earner 2'!$B$6:$B$17&lt;=$B67)*('Changes — Earner 2'!$B$6:$B$17&lt;&gt;"")),'Changes — Earner 2'!$D$6:$D$17),'Second Earner'!$C$14))</f>
      </c>
      <c r="AP67" s="7">
        <f>IF($B67="","",IFERROR(LOOKUP(2,1/(('Changes — Earner 2'!$C$6:$C$17="W-4 change")*('Changes — Earner 2'!$B$6:$B$17&lt;=$B67)*('Changes — Earner 2'!$B$6:$B$17&lt;&gt;"")),'Changes — Earner 2'!$E$6:$E$17),'Second Earner'!$C$15))</f>
      </c>
      <c r="AQ67" s="7">
        <f>IF($B67="","",IFERROR(LOOKUP(2,1/(('Changes — Earner 2'!$C$6:$C$17="W-4 change")*('Changes — Earner 2'!$B$6:$B$17&lt;=$B67)*('Changes — Earner 2'!$B$6:$B$17&lt;&gt;"")),'Changes — Earner 2'!$F$6:$F$17),'Second Earner'!$C$16))</f>
      </c>
      <c r="AR67" s="7">
        <f>IF($B67="","",IFERROR(LOOKUP(2,1/(('Changes — Earner 2'!$C$6:$C$17="W-4 change")*('Changes — Earner 2'!$B$6:$B$17&lt;=$B67)*('Changes — Earner 2'!$B$6:$B$17&lt;&gt;"")),'Changes — Earner 2'!$G$6:$G$17),'Second Earner'!$C$17))</f>
      </c>
      <c r="AS67" s="6">
        <f>IF($B67="","",IFERROR(LOOKUP(2,1/((('Changes — Earner 2'!$C$6:$C$17="State move")+('Changes — Earner 2'!$C$6:$C$17="State cert change"))*('Changes — Earner 2'!$B$6:$B$17&lt;=$B67)*('Changes — Earner 2'!$B$6:$B$17&lt;&gt;"")),'Changes — Earner 2'!$F$6:$F$17),'Second Earner'!$C$23))</f>
      </c>
      <c r="AT67" s="6">
        <f>IF($B67="","",IFERROR(LOOKUP(2,1/((('Changes — Earner 2'!$C$6:$C$17="State move")+('Changes — Earner 2'!$C$6:$C$17="State cert change"))*('Changes — Earner 2'!$B$6:$B$17&lt;=$B67)*('Changes — Earner 2'!$B$6:$B$17&lt;&gt;"")),'Changes — Earner 2'!$G$6:$G$17),'Second Earner'!$C$24))</f>
      </c>
      <c r="AU67">
        <f>IF($B67="","",IFERROR(LOOKUP(2,1/(('Changes — Earner 2'!$C$6:$C$17="State move")*('Changes — Earner 2'!$B$6:$B$17&lt;=$B67)*('Changes — Earner 2'!$B$6:$B$17&lt;&gt;"")),'Changes — Earner 2'!$E$6:$E$17),'Second Earner'!$C$22))</f>
      </c>
      <c r="AV67" s="6">
        <f>IF($B67="","",1+COUNTIFS('Changes — Earner 2'!$C$6:$C$17,"Employer change",'Changes — Earner 2'!$B$6:$B$17,"&lt;="&amp;$B67,'Changes — Earner 2'!$B$6:$B$17,"&lt;&gt;"))</f>
      </c>
      <c r="AW67" s="7">
        <f>IF($B67="","",IF($AV67=1,'Second Earner'!$C$49,IF(IFERROR(MATCH(IFERROR(LOOKUP(2,1/(('Changes — Earner 2'!$C$6:$C$17="Employer change")*('Changes — Earner 2'!$B$6:$B$17&lt;=$B67)*('Changes — Earner 2'!$B$6:$B$17&lt;&gt;"")),'Changes — Earner 2'!$B$6:$B$17),""),$B$6:$B$68,1),1)&lt;=1,'Second Earner'!$C$49,INDEX($AB$6:$AB$68,MATCH(IFERROR(LOOKUP(2,1/(('Changes — Earner 2'!$C$6:$C$17="Employer change")*('Changes — Earner 2'!$B$6:$B$17&lt;=$B67)*('Changes — Earner 2'!$B$6:$B$17&lt;&gt;"")),'Changes — Earner 2'!$B$6:$B$17),""),$B$6:$B$68,1)-1))))</f>
      </c>
      <c r="AX67" s="7">
        <f>IF($B67="","",IF($AV67=1,'Second Earner'!$C$49,IFERROR(LOOKUP(2,1/(('Changes — Earner 2'!$C$6:$C$17="Employer change")*('Changes — Earner 2'!$B$6:$B$17&lt;=$B67)*('Changes — Earner 2'!$B$6:$B$17&lt;&gt;"")),'Changes — Earner 2'!$D$6:$D$17),0)))</f>
      </c>
      <c r="AY67" s="7">
        <f>IF($B67="","",($O67-$D67)*'Second Earner'!$C$8)</f>
      </c>
      <c r="AZ67" s="7">
        <f>IF($B67="","",IF($AN67="AL",MAX(0,$AY67-IF($AU67="Married",IF($AY67&lt;=25999,8500,MAX(5000,8500-175*CEILING(($AY67-25999)/500,1))),IF($AU67="Head of household",IF($AY67&lt;=25999,5200,MAX(2500,5200-135*CEILING(($AY67-25999)/500,1))),IF($AY67&lt;=25999,3000,MAX(2500,3000-25*CEILING(($AY67-25999)/500,1)))))-($P67-'How This Works &amp; Sources'!$C$10*$D67)*'Second Earner'!$C$8-IF(OR($AU67="Married",$AU67="Head of household"),3000,1500)-$AT67*IF($AY67&lt;=50000,1000,IF($AY67&lt;=100000,500,300))),IF($AN67="AR",IF(MAX(0,$AY67-2470)&lt;97701,INT(MAX(0,$AY67-2470)/100)*100+50,MAX(0,$AY67-2470)),IF($AN67="DE",MAX(0,$AI67-3250),IF($AN67="HI",MAX(0,$AI67-1144*$AS67-4350),IF($AN67="KS",MAX(0,$AI67-(9160*IF($AU67="Married",2,1)+2320*$AT67+IF($AU67="Head of household",2320,0))),IF($AN67="MD",MAX(0,$AI67-3400-3200*$AS67),IF($AN67="MN",MAX(0,$AY67-5300*$AS67),IF($AN67="MO",MAX(0,$AI67-IF($AU67="Head of household",24150,IF($AU67="Married",IF('Second Earner'!$C$83,16100,32200),16100))),IF($AN67="MT",$AY67,IF($AN67="ND",($C67+$L67)*'Second Earner'!$C$8,IF($AN67="NE",MAX(0,$AY67-2440*$AS67),IF($AN67="NJ",MAX(0,$AY67-1000*$AS67),IF($AN67="NY",MAX(0,$AY67-(IF($AU67="Married",7950,7400)+1000*$AS67)),IF($AN67="OH",MAX(0,$AY67-650*$AS67),IF($AN67="OK",MAX(0,$AY67-1000*$AS67),IF($AN67="RI",MAX(0,$AI67-1000*$AS67),IF($AN67="SC",MAX(0,$AI67-5000*$AS67-IF($AS67=0,0,MIN(0.1*$AI67,7500))),IF($AN67="VA",MAX(0,$AI67-IF($AU67="Married",17500,8750)-930*$AS67-800*$AT67),IF($AN67="VT",MAX(0,$AI67-5400*$AS67),IF($AN67="WI",MAX(0,$AI67-MAX(0,IF($AU67="Married",9461-0.2*MAX(0,$AI67-25727),6702-0.12*MAX(0,$AI67-17780)))-400*$AS67),IF($AN67="WV",MAX(0,$AI67-2000*$AS67),$AI67))))))))))))))))))))))</f>
      </c>
      <c r="BA67" s="7">
        <f>IF($B67="","",IF($BW67&lt;&gt;"",$BW67,IF($BX67&lt;&gt;"",$BX67,IF($BY67&lt;&gt;"",$BY67,0))))</f>
      </c>
      <c r="BB67" s="7">
        <f>IF($B67="","",IF($AN67="AR",-29*$AS67,IF($AN67="DE",-110*$AS67,IF($AN67="MD",$AZ67*'Second Earner'!$C$74,IF($AN67="AZ",'Second Earner'!$C$82*($M67-$D67)*'Second Earner'!$C$8,IF($AN67="CO",0.044*MAX(0,$AY67-IF($AU67="Married",10000,5000)),IF($AN67="IA",MAX(0,0.038*MAX(0,$AY67-IF($AU67="Head of household",19500,IF($AU67="Married",26000,13000)))-40*$AS67),IF($AN67="ID",0.053*MAX(0,$AY67-IF($AU67="Married",32000,16094)),IF($AN67="IL",0.0495*MAX(0,$AY67-(2925*$AS67+1000*$AT67)),IF($AN67="IN",(0.0295+'Second Earner'!$C$76)*MAX(0,$AY67-(1000*$AS67+1500*$AT67+3000*'Second Earner'!$C$86)),IF($AN67="KY",0.035*MAX(0,$AI67-3360),IF($AN67="LA",IF('Second Earner'!$C$84="0",0.0309*$AI67,0.0309*MAX(0,$AI67-IF('Second Earner'!$C$84="2",25750,12875))),IF($AN67="MA",0.05*MIN(MAX(0,$AY67-MIN(($BD66+$Q67+$R67+$S67),2000)-IF($AS67=0,0,IF($AS67=1,4400,1000*$AS67+3400))),1107750)+0.09*MAX(0,MAX(0,$AY67-MIN(($BD66+$Q67+$R67+$S67),2000)-IF($AS67=0,0,IF($AS67=1,4400,1000*$AS67+3400)))-1107750)-IF($AU67="Head of household",120,0)-110*'Second Earner'!$C$75,IF($AN67="MI",0.0425*MAX(0,$AY67-5900*$AS67),IF($AN67="MS",0.04*MAX(0,$AI67-IF($AU67="Head of household",3400,IF($AU67="Married",4600,2300))-'Second Earner'!$C$85-10000),IF($AN67="OR",IF(OR($AU67="Married",AND($AU67="Single",$AS67&gt;=3)),SUMPRODUCT((MAX(0,$AY67-MIN(($P67-'How This Works &amp; Sources'!$C$10*$D67)*'Second Earner'!$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Sources'!$B$211:$J$214,0,4))*(MAX(0,$AY67-MIN(($P67-'How This Works &amp; Sources'!$C$10*$D67)*'Second Earner'!$C$8,IF(OR($AU67="Married",AND($AU67="Single",$AS67&gt;=3)),IF($AY67&lt;250000,8750,IF($AY67&lt;260000,7000,IF($AY67&lt;270000,5250,IF($AY67&lt;280000,3500,IF($AY67&lt;290000,1750,0))))),IF($AY67&lt;125000,8750,IF($AY67&lt;130000,7000,IF($AY67&lt;135000,5250,IF($AY67&lt;140000,3500,IF($AY67&lt;145000,1750,0)))))))-IF(OR($AU67="Married",AND($AU67="Single",$AS67&gt;=3)),5820,2910))-INDEX('How This Works &amp; Sources'!$B$211:$J$214,0,4))*INDEX('How This Works &amp; Sources'!$B$211:$J$214,0,4+2)),SUMPRODUCT((MAX(0,$AY67-MIN(($P67-'How This Works &amp; Sources'!$C$10*$D67)*'Second Earner'!$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Sources'!$B$211:$J$214,0,1))*(MAX(0,$AY67-MIN(($P67-'How This Works &amp; Sources'!$C$10*$D67)*'Second Earner'!$C$8,IF(OR($AU67="Married",AND($AU67="Single",$AS67&gt;=3)),IF($AY67&lt;250000,8750,IF($AY67&lt;260000,7000,IF($AY67&lt;270000,5250,IF($AY67&lt;280000,3500,IF($AY67&lt;290000,1750,0))))),IF($AY67&lt;125000,8750,IF($AY67&lt;130000,7000,IF($AY67&lt;135000,5250,IF($AY67&lt;140000,3500,IF($AY67&lt;145000,1750,0)))))))-IF(OR($AU67="Married",AND($AU67="Single",$AS67&gt;=3)),5820,2910))-INDEX('How This Works &amp; Sources'!$B$211:$J$214,0,1))*INDEX('How This Works &amp; Sources'!$B$211:$J$214,0,1+2)))+263-263*IF(IF($AU67="Married",$AY67&gt;200000,$AY67&gt;100000),0,$AS67),IF($AN67="PA",0.0307*(($O67+$E67+$G67)*'Second Earner'!$C$8),IF($AN67="NY",IF($AU67="Married",IF($AZ67&gt;=2155350,0,IF($AZ67&gt;=1077550,0.48,IF($AZ67&gt;=373200,1.21,IF($AZ67&gt;=323200,0.21,IF($AZ67&gt;=211550,-0.19,IF($AZ67&gt;=157650,-2.8,IF($AZ67&gt;=107650,-0.8,IF($AZ67&gt;=96800,0.05,IF($AZ67&gt;=80650,-0.1,IF($AZ67&gt;=13900,0.4,IF($AZ67&gt;=11700,-0.3,IF($AZ67&gt;=8500,0.5,0)))))))))))),IF($AZ67&gt;=1077550,0,IF($AZ67&gt;=265400,4.29,IF($AZ67&gt;=215400,2.29,IF($AZ67&gt;=157650,2.29,IF($AZ67&gt;=107650,0.29,IF($AZ67&gt;=96800,0.05,IF($AZ67&gt;=80650,-0.1,IF($AZ67&gt;=13900,0.4,IF($AZ67&gt;=11700,-0.3,IF($AZ67&gt;=8500,0.5,0))))))))))),0))))))))))))))))))</f>
      </c>
      <c r="BC67" s="7">
        <f>IF($B67="","",IF($AN67="AL",0.05*$D67,IF($AN67="AR",0.039*$D67,IF($AN67="ID",0.053*$D67,IF($AN67="IN",(0.0295+'Second Earner'!$C$76)*$D67,IF($AN67="KS",0.05*$D67,IF($AN67="MA",0.09*MIN($D67,MAX(0,MAX(0,$AY67-MIN(($BD66+$Q67+$R67+$S67),2000)-IF($AS67=0,0,IF($AS67=1,4400,1000*$AS67+3400)))+$D67-1107750))+0.05*($D67-MIN($D67,MAX(0,MAX(0,$AY67-MIN(($BD66+$Q67+$R67+$S67),2000)-IF($AS67=0,0,IF($AS67=1,4400,1000*$AS67+3400)))+$D67-1107750))),IF($AN67="MD",(0.065+'Second Earner'!$C$74)*$D67,IF($AN67="MI",0.0425*$D67,IF($AN67="MN",0.0625*$D67,IF($AN67="MO",0.047*$D67,IF($AN67="MT",0.05*$D67,IF($AN67="ND",0.015*$D67,IF($AN67="NE",0.035*$D67,IF($AN67="NJ",IF('Second Earner'!$C$77="B",SUMPRODUCT(($D67*'Second Earner'!$C$8&gt;INDEX('How This Works &amp; Sources'!$B$155:$J$162,0,4))*($D67*'Second Earner'!$C$8-INDEX('How This Works &amp; Sources'!$B$155:$J$162,0,4))*INDEX('How This Works &amp; Sources'!$B$155:$J$162,0,4+2)),IF('Second Earner'!$C$77="C",SUMPRODUCT(($D67*'Second Earner'!$C$8&gt;INDEX('How This Works &amp; Sources'!$B$155:$J$162,0,7))*($D67*'Second Earner'!$C$8-INDEX('How This Works &amp; Sources'!$B$155:$J$162,0,7))*INDEX('How This Works &amp; Sources'!$B$155:$J$162,0,7+2)),IF('Second Earner'!$C$77="D",SUMPRODUCT(($D67*'Second Earner'!$C$8&gt;INDEX('How This Works &amp; Sources'!$B$167:$J$179,0,1))*($D67*'Second Earner'!$C$8-INDEX('How This Works &amp; Sources'!$B$167:$J$179,0,1))*INDEX('How This Works &amp; Sources'!$B$167:$J$179,0,1+2)),IF('Second Earner'!$C$77="E",SUMPRODUCT(($D67*'Second Earner'!$C$8&gt;INDEX('How This Works &amp; Sources'!$B$167:$J$179,0,4))*($D67*'Second Earner'!$C$8-INDEX('How This Works &amp; Sources'!$B$167:$J$179,0,4))*INDEX('How This Works &amp; Sources'!$B$167:$J$179,0,4+2)),SUMPRODUCT(($D67*'Second Earner'!$C$8&gt;INDEX('How This Works &amp; Sources'!$B$155:$J$162,0,1))*($D67*'Second Earner'!$C$8-INDEX('How This Works &amp; Sources'!$B$155:$J$162,0,1))*INDEX('How This Works &amp; Sources'!$B$155:$J$162,0,1+2))))))/'Second Earner'!$C$8,IF($AN67="NY",0.117*$D67,IF($AN67="OH",0.0275*$D67,IF($AN67="OK",0.045*$D67,IF($AN67="OR",0.08*$D67,IF($AN67="WI",IF($AY67&lt;12760,0.0354,IF($AY67&lt;25520,0.0465,IF($AY67&lt;280950,0.053,0.0765)))*$D67,0))))))))))))))))))))</f>
      </c>
      <c r="BD67" s="7">
        <f>IF($B67="","",$BD66+$Q67+$R67+$S67)</f>
      </c>
      <c r="BE67" s="6">
        <f>IF($B67="",$BE66,$BE66+$BF67)</f>
      </c>
      <c r="BF67" s="6">
        <f>IF($B67="","",IF(AND(IF(YEAR(IF('Second Earner'!$C$7="Weekly",'Second Earner'!$C$9+7*(($BE66+1)-1),IF('Second Earner'!$C$7="Biweekly",'Second Earner'!$C$9+14*(($BE66+1)-1),IF('Second Earner'!$C$7="Semimonthly",DATE(YEAR('Second Earner'!$C$9),MONTH('Second Earner'!$C$9)+INT((($BE66+1)-1)/2),MIN(DAY('Second Earner'!$C$9),DAY(EOMONTH(DATE(YEAR('Second Earner'!$C$9),MONTH('Second Earner'!$C$9)+INT((($BE66+1)-1)/2),1),0))))+IF(MOD(($BE66+1)-1,2)=1,15,0),EDATE('Second Earner'!$C$9,($BE66+1)-1)))))&lt;&gt;'Second Earner'!$C$10,"",IF('Second Earner'!$C$7="Weekly",'Second Earner'!$C$9+7*(($BE66+1)-1),IF('Second Earner'!$C$7="Biweekly",'Second Earner'!$C$9+14*(($BE66+1)-1),IF('Second Earner'!$C$7="Semimonthly",DATE(YEAR('Second Earner'!$C$9),MONTH('Second Earner'!$C$9)+INT((($BE66+1)-1)/2),MIN(DAY('Second Earner'!$C$9),DAY(EOMONTH(DATE(YEAR('Second Earner'!$C$9),MONTH('Second Earner'!$C$9)+INT((($BE66+1)-1)/2),1),0))))+IF(MOD(($BE66+1)-1,2)=1,15,0),EDATE('Second Earner'!$C$9,($BE66+1)-1)))))&lt;&gt;"",$B67=IF(YEAR(IF('Second Earner'!$C$7="Weekly",'Second Earner'!$C$9+7*(($BE66+1)-1),IF('Second Earner'!$C$7="Biweekly",'Second Earner'!$C$9+14*(($BE66+1)-1),IF('Second Earner'!$C$7="Semimonthly",DATE(YEAR('Second Earner'!$C$9),MONTH('Second Earner'!$C$9)+INT((($BE66+1)-1)/2),MIN(DAY('Second Earner'!$C$9),DAY(EOMONTH(DATE(YEAR('Second Earner'!$C$9),MONTH('Second Earner'!$C$9)+INT((($BE66+1)-1)/2),1),0))))+IF(MOD(($BE66+1)-1,2)=1,15,0),EDATE('Second Earner'!$C$9,($BE66+1)-1)))))&lt;&gt;'Second Earner'!$C$10,"",IF('Second Earner'!$C$7="Weekly",'Second Earner'!$C$9+7*(($BE66+1)-1),IF('Second Earner'!$C$7="Biweekly",'Second Earner'!$C$9+14*(($BE66+1)-1),IF('Second Earner'!$C$7="Semimonthly",DATE(YEAR('Second Earner'!$C$9),MONTH('Second Earner'!$C$9)+INT((($BE66+1)-1)/2),MIN(DAY('Second Earner'!$C$9),DAY(EOMONTH(DATE(YEAR('Second Earner'!$C$9),MONTH('Second Earner'!$C$9)+INT((($BE66+1)-1)/2),1),0))))+IF(MOD(($BE66+1)-1,2)=1,15,0),EDATE('Second Earner'!$C$9,($BE66+1)-1)))))),1,0))</f>
      </c>
      <c r="BG67" s="7">
        <f>IF($B67="","",$BG66+$H67)</f>
      </c>
      <c r="BH67" s="7">
        <f>IF($B67="","",$BH66+$I67)</f>
      </c>
      <c r="BI67" s="7">
        <f>IF($B67="","",$BI66+$G67)</f>
      </c>
      <c r="BJ67" s="7">
        <f>IF($B67="","",IFERROR(LOOKUP(2,1/(((('Changes — Earner 2'!$C$6:$C$17="Deduction start"))*('Changes — Earner 2'!$D$6:$D$17="Health FSA"))*('Changes — Earner 2'!$B$6:$B$17&lt;=$B67)*('Changes — Earner 2'!$B$6:$B$17&lt;&gt;"")),'Changes — Earner 2'!$E$6:$E$17),'Second Earner'!$D$38))</f>
      </c>
      <c r="BK67" s="7">
        <f>IF($B67="","",IFERROR(LOOKUP(2,1/(((('Changes — Earner 2'!$C$6:$C$17="Deduction start"))*('Changes — Earner 2'!$D$6:$D$17="Dependent-care FSA"))*('Changes — Earner 2'!$B$6:$B$17&lt;=$B67)*('Changes — Earner 2'!$B$6:$B$17&lt;&gt;"")),'Changes — Earner 2'!$E$6:$E$17),'Second Earner'!$D$39))</f>
      </c>
      <c r="BL67" s="7">
        <f>IF($B67="","",IFERROR(LOOKUP(2,1/(((('Changes — Earner 2'!$C$6:$C$17="Deduction start")+('Changes — Earner 2'!$C$6:$C$17="Deduction stop"))*('Changes — Earner 2'!$D$6:$D$17="HSA"))*('Changes — Earner 2'!$B$6:$B$17&lt;=$B67)*('Changes — Earner 2'!$B$6:$B$17&lt;&gt;"")),'Changes — Earner 2'!$I$6:$I$17),'Second Earner'!$D$35))</f>
      </c>
      <c r="BM67" s="7">
        <f>IF($B67="","",IFERROR(LOOKUP(2,1/(((('Changes — Earner 2'!$C$6:$C$17="Deduction start")+('Changes — Earner 2'!$C$6:$C$17="Deduction stop"))*('Changes — Earner 2'!$D$6:$D$17="Premiums"))*('Changes — Earner 2'!$B$6:$B$17&lt;=$B67)*('Changes — Earner 2'!$B$6:$B$17&lt;&gt;"")),'Changes — Earner 2'!$I$6:$I$17),'Second Earner'!$D$40+'Second Earner'!$D$41+'Second Earner'!$D$42))</f>
      </c>
      <c r="BN67" s="7">
        <f>IF($B67="","",IFERROR(LOOKUP(2,1/(((('Changes — Earner 2'!$C$6:$C$17="Deduction start")+('Changes — Earner 2'!$C$6:$C$17="Deduction stop"))*('Changes — Earner 2'!$D$6:$D$17="Commuter"))*('Changes — Earner 2'!$B$6:$B$17&lt;=$B67)*('Changes — Earner 2'!$B$6:$B$17&lt;&gt;"")),'Changes — Earner 2'!$I$6:$I$17),'Second Earner'!$D$43))</f>
      </c>
      <c r="BO67" s="7">
        <f>IF($B67="","",IFERROR(LOOKUP(2,1/(((('Changes — Earner 2'!$C$6:$C$17="Deduction start")+('Changes — Earner 2'!$C$6:$C$17="Deduction stop"))*('Changes — Earner 2'!$D$6:$D$17="Other pre-tax"))*('Changes — Earner 2'!$B$6:$B$17&lt;=$B67)*('Changes — Earner 2'!$B$6:$B$17&lt;&gt;"")),'Changes — Earner 2'!$I$6:$I$17),'Second Earner'!$D$44))</f>
      </c>
      <c r="BP67" s="7">
        <f>IF($B67="","",IFERROR(LOOKUP(2,1/(((('Changes — Earner 2'!$C$6:$C$17="Deduction start")+('Changes — Earner 2'!$C$6:$C$17="Deduction stop"))*('Changes — Earner 2'!$D$6:$D$17="Other post-tax"))*('Changes — Earner 2'!$B$6:$B$17&lt;=$B67)*('Changes — Earner 2'!$B$6:$B$17&lt;&gt;"")),'Changes — Earner 2'!$I$6:$I$17),'Second Earner'!$D$45))</f>
      </c>
      <c r="BQ67" s="6">
        <f>IF($B67="","",IFERROR(LOOKUP(2,1/(((('Changes — Earner 2'!$C$6:$C$17="Deduction start")+('Changes — Earner 2'!$C$6:$C$17="Deduction stop"))*('Changes — Earner 2'!$D$6:$D$17="Health FSA"))*('Changes — Earner 2'!$B$6:$B$17&lt;=$B67)*('Changes — Earner 2'!$B$6:$B$17&lt;&gt;"")),'Changes — Earner 2'!$J$6:$J$17),0))</f>
      </c>
      <c r="BR67" s="6">
        <f>IF($B67="","",IFERROR(LOOKUP(2,1/(((('Changes — Earner 2'!$C$6:$C$17="Deduction start")+('Changes — Earner 2'!$C$6:$C$17="Deduction stop"))*('Changes — Earner 2'!$D$6:$D$17="Dependent-care FSA"))*('Changes — Earner 2'!$B$6:$B$17&lt;=$B67)*('Changes — Earner 2'!$B$6:$B$17&lt;&gt;"")),'Changes — Earner 2'!$J$6:$J$17),0))</f>
      </c>
      <c r="BS67" s="6">
        <f>IF($B67="","",IF(SUMPRODUCT(('Changes — Earner 2'!$C$6:$C$17="Deduction start")*('Changes — Earner 2'!$B$6:$B$17&lt;=$B67)*('Changes — Earner 2'!$B$6:$B$17&lt;&gt;"")*('Changes — Earner 2'!$D$6:$D$17="Health FSA"))&gt;0,1,0))</f>
      </c>
      <c r="BT67" s="6">
        <f>IF($B67="","",IF(SUMPRODUCT(('Changes — Earner 2'!$C$6:$C$17="Deduction start")*('Changes — Earner 2'!$B$6:$B$17&lt;=$B67)*('Changes — Earner 2'!$B$6:$B$17&lt;&gt;"")*('Changes — Earner 2'!$D$6:$D$17="Dependent-care FSA"))&gt;0,1,0))</f>
      </c>
      <c r="BU67" s="24">
        <f>IF($B67="","",IF('Second Earner'!$C$13,SUMPRODUCT(($AH67&gt;=INDEX('How This Works &amp; Sources'!$B$29:$J$36,0,IF('Second Earner'!$C$12="MFJ",1,IF('Second Earner'!$C$12="HoH",7,4))))*INDEX('How This Works &amp; Sources'!$B$29:$J$36,0,IF('Second Earner'!$C$12="MFJ",1,IF('Second Earner'!$C$12="HoH",7,4))+2)),SUMPRODUCT(($AH67&gt;=INDEX('How This Works &amp; Sources'!$B$19:$J$26,0,IF('Second Earner'!$C$12="MFJ",1,IF('Second Earner'!$C$12="HoH",7,4))))*INDEX('How This Works &amp; Sources'!$B$19:$J$26,0,IF('Second Earner'!$C$12="MFJ",1,IF('Second Earner'!$C$12="HoH",7,4))+2))))</f>
      </c>
      <c r="BV67" s="24">
        <f>IF($B67="","",IF($BZ67&lt;&gt;"",$BZ67,IF($CA67&lt;&gt;"",$CA67,IF($CB67&lt;&gt;"",$CB67,IF($CC67&lt;&gt;"",$CC67,0)))))</f>
      </c>
      <c r="BW67" s="7">
        <f>IF($B67="","",IF($AN67="AR",SUMPRODUCT(($AZ67&gt;INDEX('How This Works &amp; Sources'!$B$82:$J$86,0,7))*($AZ67-INDEX('How This Works &amp; Sources'!$B$82:$J$86,0,7))*INDEX('How This Works &amp; Sources'!$B$82:$J$86,0,7+2)),IF($AN67="MD",IF(OR($AU67="Married",$AU67="Head of household"),SUMPRODUCT(($AZ67&gt;INDEX('How This Works &amp; Sources'!$B$114:$J$120,0,1))*($AZ67-INDEX('How This Works &amp; Sources'!$B$114:$J$120,0,1))*INDEX('How This Works &amp; Sources'!$B$114:$J$120,0,1+2)),SUMPRODUCT(($AZ67&gt;INDEX('How This Works &amp; Sources'!$B$103:$J$109,0,7))*($AZ67-INDEX('How This Works &amp; Sources'!$B$103:$J$109,0,7))*INDEX('How This Works &amp; Sources'!$B$103:$J$109,0,7+2))),IF($AN67="MT",IF($AU67="Head of household",SUMPRODUCT(($AZ67&gt;INDEX('How This Works &amp; Sources'!$B$137:$J$139,0,1))*($AZ67-INDEX('How This Works &amp; Sources'!$B$137:$J$139,0,1))*INDEX('How This Works &amp; Sources'!$B$137:$J$139,0,1+2)),IF($AU67="Married",SUMPRODUCT(($AZ67&gt;INDEX('How This Works &amp; Sources'!$B$125:$J$132,0,7))*($AZ67-INDEX('How This Works &amp; Sources'!$B$125:$J$132,0,7))*INDEX('How This Works &amp; Sources'!$B$125:$J$132,0,7+2)),SUMPRODUCT(($AZ67&gt;INDEX('How This Works &amp; Sources'!$B$125:$J$132,0,4))*($AZ67-INDEX('How This Works &amp; Sources'!$B$125:$J$132,0,4))*INDEX('How This Works &amp; Sources'!$B$125:$J$132,0,4+2)))),IF($AN67="ND",IF($AU67="Head of household",SUMPRODUCT(($AZ67&gt;INDEX('How This Works &amp; Sources'!$B$144:$J$150,0,1))*($AZ67-INDEX('How This Works &amp; Sources'!$B$144:$J$150,0,1))*INDEX('How This Works &amp; Sources'!$B$144:$J$150,0,1+2)),IF($AU67="Married",SUMPRODUCT(($AZ67&gt;INDEX('How This Works &amp; Sources'!$B$137:$J$139,0,7))*($AZ67-INDEX('How This Works &amp; Sources'!$B$137:$J$139,0,7))*INDEX('How This Works &amp; Sources'!$B$137:$J$139,0,7+2)),SUMPRODUCT(($AZ67&gt;INDEX('How This Works &amp; Sources'!$B$137:$J$139,0,4))*($AZ67-INDEX('How This Works &amp; Sources'!$B$137:$J$139,0,4))*INDEX('How This Works &amp; Sources'!$B$137:$J$139,0,4+2)))),IF($AN67="NJ",IF('Second Earner'!$C$77="B",SUMPRODUCT(($AZ67&gt;INDEX('How This Works &amp; Sources'!$B$155:$J$162,0,4))*($AZ67-INDEX('How This Works &amp; Sources'!$B$155:$J$162,0,4))*INDEX('How This Works &amp; Sources'!$B$155:$J$162,0,4+2)),IF('Second Earner'!$C$77="C",SUMPRODUCT(($AZ67&gt;INDEX('How This Works &amp; Sources'!$B$155:$J$162,0,7))*($AZ67-INDEX('How This Works &amp; Sources'!$B$155:$J$162,0,7))*INDEX('How This Works &amp; Sources'!$B$155:$J$162,0,7+2)),IF('Second Earner'!$C$77="D",SUMPRODUCT(($AZ67&gt;INDEX('How This Works &amp; Sources'!$B$167:$J$179,0,1))*($AZ67-INDEX('How This Works &amp; Sources'!$B$167:$J$179,0,1))*INDEX('How This Works &amp; Sources'!$B$167:$J$179,0,1+2)),IF('Second Earner'!$C$77="E",SUMPRODUCT(($AZ67&gt;INDEX('How This Works &amp; Sources'!$B$167:$J$179,0,4))*($AZ67-INDEX('How This Works &amp; Sources'!$B$167:$J$179,0,4))*INDEX('How This Works &amp; Sources'!$B$167:$J$179,0,4+2)),SUMPRODUCT(($AZ67&gt;INDEX('How This Works &amp; Sources'!$B$155:$J$162,0,1))*($AZ67-INDEX('How This Works &amp; Sources'!$B$155:$J$162,0,1))*INDEX('How This Works &amp; Sources'!$B$155:$J$162,0,1+2)))))),IF($AN67="NY",IF($AU67="Married",IF($AZ67&gt;=2155350,$AZ67*IF($AZ67&gt;25000000,0.117,IF($AZ67&gt;5000000,0.111,0.1045)),SUMPRODUCT(($AZ67&gt;INDEX('How This Works &amp; Sources'!$B$184:$J$198,0,1))*($AZ67-INDEX('How This Works &amp; Sources'!$B$184:$J$198,0,1))*INDEX('How This Works &amp; Sources'!$B$184:$J$198,0,1+2))),IF($AZ67&gt;=1077550,$AZ67*IF($AZ67&gt;25000000,0.117,IF($AZ67&gt;5000000,0.111,0.1045)),SUMPRODUCT(($AZ67&gt;INDEX('How This Works &amp; Sources'!$B$167:$J$179,0,7))*($AZ67-INDEX('How This Works &amp; Sources'!$B$167:$J$179,0,7))*INDEX('How This Works &amp; Sources'!$B$167:$J$179,0,7+2)))),"")))))))</f>
      </c>
      <c r="BX67" s="7">
        <f>IF($B67="","",IF($AN67="AL",IF(OR($AU67="Married",$AU67="Head of household"),SUMPRODUCT(($AZ67&gt;INDEX('How This Works &amp; Sources'!$B$82:$J$86,0,4))*($AZ67-INDEX('How This Works &amp; Sources'!$B$82:$J$86,0,4))*INDEX('How This Works &amp; Sources'!$B$82:$J$86,0,4+2)),SUMPRODUCT(($AZ67&gt;INDEX('How This Works &amp; Sources'!$B$82:$J$86,0,1))*($AZ67-INDEX('How This Works &amp; Sources'!$B$82:$J$86,0,1))*INDEX('How This Works &amp; Sources'!$B$82:$J$86,0,1+2))),IF($AN67="KS",IF($AU67="Married",SUMPRODUCT(($AZ67&gt;INDEX('How This Works &amp; Sources'!$B$103:$J$109,0,4))*($AZ67-INDEX('How This Works &amp; Sources'!$B$103:$J$109,0,4))*INDEX('How This Works &amp; Sources'!$B$103:$J$109,0,4+2)),SUMPRODUCT(($AZ67&gt;INDEX('How This Works &amp; Sources'!$B$103:$J$109,0,1))*($AZ67-INDEX('How This Works &amp; Sources'!$B$103:$J$109,0,1))*INDEX('How This Works &amp; Sources'!$B$103:$J$109,0,1+2))),IF($AN67="MN",IF($AU67="Married",SUMPRODUCT(($AZ67&gt;INDEX('How This Works &amp; Sources'!$B$114:$J$120,0,7))*($AZ67-INDEX('How This Works &amp; Sources'!$B$114:$J$120,0,7))*INDEX('How This Works &amp; Sources'!$B$114:$J$120,0,7+2)),SUMPRODUCT(($AZ67&gt;INDEX('How This Works &amp; Sources'!$B$114:$J$120,0,4))*($AZ67-INDEX('How This Works &amp; Sources'!$B$114:$J$120,0,4))*INDEX('How This Works &amp; Sources'!$B$114:$J$120,0,4+2))),IF($AN67="MO",SUMPRODUCT(($AZ67&gt;INDEX('How This Works &amp; Sources'!$B$125:$J$132,0,1))*($AZ67-INDEX('How This Works &amp; Sources'!$B$125:$J$132,0,1))*INDEX('How This Works &amp; Sources'!$B$125:$J$132,0,1+2)),IF($AN67="NE",MAX(IF($AU67="Married",SUMPRODUCT(($AZ67&gt;INDEX('How This Works &amp; Sources'!$B$144:$J$150,0,7))*($AZ67-INDEX('How This Works &amp; Sources'!$B$144:$J$150,0,7))*INDEX('How This Works &amp; Sources'!$B$144:$J$150,0,7+2)),SUMPRODUCT(($AZ67&gt;INDEX('How This Works &amp; Sources'!$B$144:$J$150,0,4))*($AZ67-INDEX('How This Works &amp; Sources'!$B$144:$J$150,0,4))*INDEX('How This Works &amp; Sources'!$B$144:$J$150,0,4+2))),0.015*$AZ67),IF($AN67="OH",IF($B67&gt;=DATE(2026,8,1),SUMPRODUCT(($AZ67&gt;INDEX('How This Works &amp; Sources'!$B$203:$J$206,0,1))*($AZ67-INDEX('How This Works &amp; Sources'!$B$203:$J$206,0,1))*INDEX('How This Works &amp; Sources'!$B$203:$J$206,0,1+2)),SUMPRODUCT(($AZ67&gt;INDEX('How This Works &amp; Sources'!$B$184:$J$198,0,7))*($AZ67-INDEX('How This Works &amp; Sources'!$B$184:$J$198,0,7))*INDEX('How This Works &amp; Sources'!$B$184:$J$198,0,7+2))),IF($AN67="OK",IF($AU67="Married",SUMPRODUCT(($AZ67&gt;INDEX('How This Works &amp; Sources'!$B$203:$J$206,0,7))*($AZ67-INDEX('How This Works &amp; Sources'!$B$203:$J$206,0,7))*INDEX('How This Works &amp; Sources'!$B$203:$J$206,0,7+2)),SUMPRODUCT(($AZ67&gt;INDEX('How This Works &amp; Sources'!$B$203:$J$206,0,4))*($AZ67-INDEX('How This Works &amp; Sources'!$B$203:$J$206,0,4))*INDEX('How This Works &amp; Sources'!$B$203:$J$206,0,4+2))),IF($AN67="VT",IF($AU67="Married",SUMPRODUCT(($AZ67&gt;INDEX('How This Works &amp; Sources'!$B$228:$J$232,0,1))*($AZ67-INDEX('How This Works &amp; Sources'!$B$228:$J$232,0,1))*INDEX('How This Works &amp; Sources'!$B$228:$J$232,0,1+2)),SUMPRODUCT(($AZ67&gt;INDEX('How This Works &amp; Sources'!$B$219:$J$223,0,7))*($AZ67-INDEX('How This Works &amp; Sources'!$B$219:$J$223,0,7))*INDEX('How This Works &amp; Sources'!$B$219:$J$223,0,7+2))),IF($AN67="WV",IF($AU67="Married",SUMPRODUCT(($AZ67&gt;INDEX('How This Works &amp; Sources'!$B$237:$J$241,0,7))*($AZ67-INDEX('How This Works &amp; Sources'!$B$237:$J$241,0,7))*INDEX('How This Works &amp; Sources'!$B$237:$J$241,0,7+2)),SUMPRODUCT(($AZ67&gt;INDEX('How This Works &amp; Sources'!$B$228:$J$232,0,7))*($AZ67-INDEX('How This Works &amp; Sources'!$B$228:$J$232,0,7))*INDEX('How This Works &amp; Sources'!$B$228:$J$232,0,7+2))),""))))))))))</f>
      </c>
      <c r="BY67" s="7">
        <f>IF($B67="","",IF($AN67="DE",SUMPRODUCT(($AZ67&gt;INDEX('How This Works &amp; Sources'!$B$91:$J$98,0,1))*($AZ67-INDEX('How This Works &amp; Sources'!$B$91:$J$98,0,1))*INDEX('How This Works &amp; Sources'!$B$91:$J$98,0,1+2)),IF($AN67="HI",IF($AU67="Married",SUMPRODUCT(($AZ67&gt;INDEX('How This Works &amp; Sources'!$B$91:$J$98,0,7))*($AZ67-INDEX('How This Works &amp; Sources'!$B$91:$J$98,0,7))*INDEX('How This Works &amp; Sources'!$B$91:$J$98,0,7+2)),SUMPRODUCT(($AZ67&gt;INDEX('How This Works &amp; Sources'!$B$91:$J$98,0,4))*($AZ67-INDEX('How This Works &amp; Sources'!$B$91:$J$98,0,4))*INDEX('How This Works &amp; Sources'!$B$91:$J$98,0,4+2))),IF($AN67="RI",SUMPRODUCT(($AZ67&gt;INDEX('How This Works &amp; Sources'!$B$211:$J$214,0,7))*($AZ67-INDEX('How This Works &amp; Sources'!$B$211:$J$214,0,7))*INDEX('How This Works &amp; Sources'!$B$211:$J$214,0,7+2)),IF($AN67="SC",SUMPRODUCT(($AZ67&gt;INDEX('How This Works &amp; Sources'!$B$219:$J$223,0,1))*($AZ67-INDEX('How This Works &amp; Sources'!$B$219:$J$223,0,1))*INDEX('How This Works &amp; Sources'!$B$219:$J$223,0,1+2)),IF($AN67="VA",SUMPRODUCT(($AZ67&gt;INDEX('How This Works &amp; Sources'!$B$219:$J$223,0,4))*($AZ67-INDEX('How This Works &amp; Sources'!$B$219:$J$223,0,4))*INDEX('How This Works &amp; Sources'!$B$219:$J$223,0,4+2)),IF($AN67="WI",SUMPRODUCT(($AZ67&gt;INDEX('How This Works &amp; Sources'!$B$228:$J$232,0,4))*($AZ67-INDEX('How This Works &amp; Sources'!$B$228:$J$232,0,4))*INDEX('How This Works &amp; Sources'!$B$228:$J$232,0,4+2)),"")))))))</f>
      </c>
      <c r="BZ67" s="24">
        <f>IF($B67="","",IF($AN67="KS",IF($AU67="Married",SUMPRODUCT(($AZ67&gt;=INDEX('How This Works &amp; Sources'!$B$103:$J$109,0,4))*INDEX('How This Works &amp; Sources'!$B$103:$J$109,0,4+2)),SUMPRODUCT(($AZ67&gt;=INDEX('How This Works &amp; Sources'!$B$103:$J$109,0,1))*INDEX('How This Works &amp; Sources'!$B$103:$J$109,0,1+2))),IF($AN67="MT",IF($AU67="Head of household",SUMPRODUCT(($AZ67&gt;=INDEX('How This Works &amp; Sources'!$B$137:$J$139,0,1))*INDEX('How This Works &amp; Sources'!$B$137:$J$139,0,1+2)),IF($AU67="Married",SUMPRODUCT(($AZ67&gt;=INDEX('How This Works &amp; Sources'!$B$125:$J$132,0,7))*INDEX('How This Works &amp; Sources'!$B$125:$J$132,0,7+2)),SUMPRODUCT(($AZ67&gt;=INDEX('How This Works &amp; Sources'!$B$125:$J$132,0,4))*INDEX('How This Works &amp; Sources'!$B$125:$J$132,0,4+2)))),IF($AN67="OR",IF(OR($AU67="Married",AND($AU67="Single",$AS67&gt;=3)),SUMPRODUCT((MAX(0,$AY67-MIN(($P67-'How This Works &amp; Sources'!$C$10*$D67)*'Second Earner'!$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Sources'!$B$211:$J$214,0,4))*INDEX('How This Works &amp; Sources'!$B$211:$J$214,0,4+2)),SUMPRODUCT((MAX(0,$AY67-MIN(($P67-'How This Works &amp; Sources'!$C$10*$D67)*'Second Earner'!$C$8,IF(OR($AU67="Married",AND($AU67="Single",$AS67&gt;=3)),IF($AY67&lt;250000,8750,IF($AY67&lt;260000,7000,IF($AY67&lt;270000,5250,IF($AY67&lt;280000,3500,IF($AY67&lt;290000,1750,0))))),IF($AY67&lt;125000,8750,IF($AY67&lt;130000,7000,IF($AY67&lt;135000,5250,IF($AY67&lt;140000,3500,IF($AY67&lt;145000,1750,0)))))))-IF(OR($AU67="Married",AND($AU67="Single",$AS67&gt;=3)),5820,2910))&gt;=INDEX('How This Works &amp; Sources'!$B$211:$J$214,0,1))*INDEX('How This Works &amp; Sources'!$B$211:$J$214,0,1+2)))*IF(($P67-'How This Works &amp; Sources'!$C$10*$D67)*'Second Earner'!$C$8&gt;=IF(OR($AU67="Married",AND($AU67="Single",$AS67&gt;=3)),IF($AY67&lt;250000,8750,IF($AY67&lt;260000,7000,IF($AY67&lt;270000,5250,IF($AY67&lt;280000,3500,IF($AY67&lt;290000,1750,0))))),IF($AY67&lt;125000,8750,IF($AY67&lt;130000,7000,IF($AY67&lt;135000,5250,IF($AY67&lt;140000,3500,IF($AY67&lt;145000,1750,0)))))),1,1-IF('Second Earner'!$C$13,SUMPRODUCT(($AH67&gt;=INDEX('How This Works &amp; Sources'!$B$29:$J$36,0,IF('Second Earner'!$C$12="MFJ",1,IF('Second Earner'!$C$12="HoH",7,4))))*INDEX('How This Works &amp; Sources'!$B$29:$J$36,0,IF('Second Earner'!$C$12="MFJ",1,IF('Second Earner'!$C$12="HoH",7,4))+2)),SUMPRODUCT(($AH67&gt;=INDEX('How This Works &amp; Sources'!$B$19:$J$26,0,IF('Second Earner'!$C$12="MFJ",1,IF('Second Earner'!$C$12="HoH",7,4))))*INDEX('How This Works &amp; Sources'!$B$19:$J$26,0,IF('Second Earner'!$C$12="MFJ",1,IF('Second Earner'!$C$12="HoH",7,4))+2)))),""))))</f>
      </c>
      <c r="CA67" s="24">
        <f>IF($B67="","",IF($AN67="CA",SUMPRODUCT(($AJ67&gt;=INDEX('How This Works &amp; Sources'!$B$39:$J$48,0,IF($AU67="Married",4,IF($AU67="Head of household",7,1))))*INDEX('How This Works &amp; Sources'!$B$39:$J$48,0,IF($AU67="Married",4,IF($AU67="Head of household",7,1))+2)),IF($AN67="AL",IF(OR($AU67="Married",$AU67="Head of household"),SUMPRODUCT(($AZ67&gt;=INDEX('How This Works &amp; Sources'!$B$82:$J$86,0,4))*INDEX('How This Works &amp; Sources'!$B$82:$J$86,0,4+2)),SUMPRODUCT(($AZ67&gt;=INDEX('How This Works &amp; Sources'!$B$82:$J$86,0,1))*INDEX('How This Works &amp; Sources'!$B$82:$J$86,0,1+2)))*(1-IF('Second Earner'!$C$13,SUMPRODUCT(($AH67&gt;=INDEX('How This Works &amp; Sources'!$B$29:$J$36,0,IF('Second Earner'!$C$12="MFJ",1,IF('Second Earner'!$C$12="HoH",7,4))))*INDEX('How This Works &amp; Sources'!$B$29:$J$36,0,IF('Second Earner'!$C$12="MFJ",1,IF('Second Earner'!$C$12="HoH",7,4))+2)),SUMPRODUCT(($AH67&gt;=INDEX('How This Works &amp; Sources'!$B$19:$J$26,0,IF('Second Earner'!$C$12="MFJ",1,IF('Second Earner'!$C$12="HoH",7,4))))*INDEX('How This Works &amp; Sources'!$B$19:$J$26,0,IF('Second Earner'!$C$12="MFJ",1,IF('Second Earner'!$C$12="HoH",7,4))+2)))),IF($AN67="ND",IF($AU67="Head of household",SUMPRODUCT(($AZ67&gt;=INDEX('How This Works &amp; Sources'!$B$144:$J$150,0,1))*INDEX('How This Works &amp; Sources'!$B$144:$J$150,0,1+2)),IF($AU67="Married",SUMPRODUCT(($AZ67&gt;=INDEX('How This Works &amp; Sources'!$B$137:$J$139,0,7))*INDEX('How This Works &amp; Sources'!$B$137:$J$139,0,7+2)),SUMPRODUCT(($AZ67&gt;=INDEX('How This Works &amp; Sources'!$B$137:$J$139,0,4))*INDEX('How This Works &amp; Sources'!$B$137:$J$139,0,4+2)))),IF($AN67="NJ",IF('Second Earner'!$C$77="B",SUMPRODUCT(($AZ67&gt;=INDEX('How This Works &amp; Sources'!$B$155:$J$162,0,4))*INDEX('How This Works &amp; Sources'!$B$155:$J$162,0,4+2)),IF('Second Earner'!$C$77="C",SUMPRODUCT(($AZ67&gt;=INDEX('How This Works &amp; Sources'!$B$155:$J$162,0,7))*INDEX('How This Works &amp; Sources'!$B$155:$J$162,0,7+2)),IF('Second Earner'!$C$77="D",SUMPRODUCT(($AZ67&gt;=INDEX('How This Works &amp; Sources'!$B$167:$J$179,0,1))*INDEX('How This Works &amp; Sources'!$B$167:$J$179,0,1+2)),IF('Second Earner'!$C$77="E",SUMPRODUCT(($AZ67&gt;=INDEX('How This Works &amp; Sources'!$B$167:$J$179,0,4))*INDEX('How This Works &amp; Sources'!$B$167:$J$179,0,4+2)),SUMPRODUCT(($AZ67&gt;=INDEX('How This Works &amp; Sources'!$B$155:$J$162,0,1))*INDEX('How This Works &amp; Sources'!$B$155:$J$162,0,1+2)))))),IF($AN67="NY",IF($AU67="Married",IF($AZ67&gt;=2155350,IF($AZ67&gt;25000000,0.117,IF($AZ67&gt;5000000,0.111,0.1045)),SUMPRODUCT(($AZ67&gt;=INDEX('How This Works &amp; Sources'!$B$184:$J$198,0,1))*INDEX('How This Works &amp; Sources'!$B$184:$J$198,0,1+2))),IF($AZ67&gt;=1077550,IF($AZ67&gt;25000000,0.117,IF($AZ67&gt;5000000,0.111,0.1045)),SUMPRODUCT(($AZ67&gt;=INDEX('How This Works &amp; Sources'!$B$167:$J$179,0,7))*INDEX('How This Works &amp; Sources'!$B$167:$J$179,0,7+2)))),IF($AN67="LA",0.0309,"")))))))</f>
      </c>
      <c r="CB67" s="24">
        <f>IF($B67="","",IF($AN67="HI",IF($AU67="Married",SUMPRODUCT(($AZ67&gt;=INDEX('How This Works &amp; Sources'!$B$91:$J$98,0,7))*INDEX('How This Works &amp; Sources'!$B$91:$J$98,0,7+2)),SUMPRODUCT(($AZ67&gt;=INDEX('How This Works &amp; Sources'!$B$91:$J$98,0,4))*INDEX('How This Works &amp; Sources'!$B$91:$J$98,0,4+2))),IF($AN67="MD",IF(OR($AU67="Married",$AU67="Head of household"),SUMPRODUCT(($AZ67&gt;=INDEX('How This Works &amp; Sources'!$B$114:$J$120,0,1))*INDEX('How This Works &amp; Sources'!$B$114:$J$120,0,1+2)),SUMPRODUCT(($AZ67&gt;=INDEX('How This Works &amp; Sources'!$B$103:$J$109,0,7))*INDEX('How This Works &amp; Sources'!$B$103:$J$109,0,7+2)))+'Second Earner'!$C$74,IF($AN67="MN",IF($AU67="Married",SUMPRODUCT(($AZ67&gt;=INDEX('How This Works &amp; Sources'!$B$114:$J$120,0,7))*INDEX('How This Works &amp; Sources'!$B$114:$J$120,0,7+2)),SUMPRODUCT(($AZ67&gt;=INDEX('How This Works &amp; Sources'!$B$114:$J$120,0,4))*INDEX('How This Works &amp; Sources'!$B$114:$J$120,0,4+2))),IF($AN67="MO",SUMPRODUCT(($AZ67&gt;=INDEX('How This Works &amp; Sources'!$B$125:$J$132,0,1))*INDEX('How This Works &amp; Sources'!$B$125:$J$132,0,1+2)),IF($AN67="NE",MAX(IF($AU67="Married",SUMPRODUCT(($AZ67&gt;=INDEX('How This Works &amp; Sources'!$B$144:$J$150,0,7))*INDEX('How This Works &amp; Sources'!$B$144:$J$150,0,7+2)),SUMPRODUCT(($AZ67&gt;=INDEX('How This Works &amp; Sources'!$B$144:$J$150,0,4))*INDEX('How This Works &amp; Sources'!$B$144:$J$150,0,4+2))),0.015),IF($AN67="OH",IF($B67&gt;=DATE(2026,8,1),SUMPRODUCT(($AZ67&gt;=INDEX('How This Works &amp; Sources'!$B$203:$J$206,0,1))*INDEX('How This Works &amp; Sources'!$B$203:$J$206,0,1+2)),SUMPRODUCT(($AZ67&gt;=INDEX('How This Works &amp; Sources'!$B$184:$J$198,0,7))*INDEX('How This Works &amp; Sources'!$B$184:$J$198,0,7+2))),IF($AN67="OK",IF($AU67="Married",SUMPRODUCT(($AZ67&gt;=INDEX('How This Works &amp; Sources'!$B$203:$J$206,0,7))*INDEX('How This Works &amp; Sources'!$B$203:$J$206,0,7+2)),SUMPRODUCT(($AZ67&gt;=INDEX('How This Works &amp; Sources'!$B$203:$J$206,0,4))*INDEX('How This Works &amp; Sources'!$B$203:$J$206,0,4+2))),IF($AN67="RI",SUMPRODUCT(($AZ67&gt;=INDEX('How This Works &amp; Sources'!$B$211:$J$214,0,7))*INDEX('How This Works &amp; Sources'!$B$211:$J$214,0,7+2)),IF($AN67="VT",IF($AU67="Married",SUMPRODUCT(($AZ67&gt;=INDEX('How This Works &amp; Sources'!$B$228:$J$232,0,1))*INDEX('How This Works &amp; Sources'!$B$228:$J$232,0,1+2)),SUMPRODUCT(($AZ67&gt;=INDEX('How This Works &amp; Sources'!$B$219:$J$223,0,7))*INDEX('How This Works &amp; Sources'!$B$219:$J$223,0,7+2))),IF($AN67="WV",IF($AU67="Married",SUMPRODUCT(($AZ67&gt;=INDEX('How This Works &amp; Sources'!$B$237:$J$241,0,7))*INDEX('How This Works &amp; Sources'!$B$237:$J$241,0,7+2)),SUMPRODUCT(($AZ67&gt;=INDEX('How This Works &amp; Sources'!$B$228:$J$232,0,7))*INDEX('How This Works &amp; Sources'!$B$228:$J$232,0,7+2))),IF($AN67="AZ",'Second Earner'!$C$82,IF($AN67="ID",IF($AY67&gt;IF($AU67="Married",32000,16094),0.053,0),"")))))))))))))</f>
      </c>
      <c r="CC67" s="24">
        <f>IF($B67="","",IF($AN67="AR",SUMPRODUCT(($AZ67&gt;=INDEX('How This Works &amp; Sources'!$B$82:$J$86,0,7))*INDEX('How This Works &amp; Sources'!$B$82:$J$86,0,7+2)),IF($AN67="DE",SUMPRODUCT(($AZ67&gt;=INDEX('How This Works &amp; Sources'!$B$91:$J$98,0,1))*INDEX('How This Works &amp; Sources'!$B$91:$J$98,0,1+2)),IF($AN67="SC",SUMPRODUCT(($AZ67&gt;=INDEX('How This Works &amp; Sources'!$B$219:$J$223,0,1))*INDEX('How This Works &amp; Sources'!$B$219:$J$223,0,1+2)),IF($AN67="VA",SUMPRODUCT(($AZ67&gt;=INDEX('How This Works &amp; Sources'!$B$219:$J$223,0,4))*INDEX('How This Works &amp; Sources'!$B$219:$J$223,0,4+2)),IF($AN67="WI",SUMPRODUCT(($AZ67&gt;=INDEX('How This Works &amp; Sources'!$B$228:$J$232,0,4))*INDEX('How This Works &amp; Sources'!$B$228:$J$232,0,4+2)),IF($AN67="CO",IF($AY67&gt;IF($AU67="Married",10000,5000),0.044,0),IF($AN67="IA",IF($AY67&gt;IF($AU67="Head of household",19500,IF($AU67="Married",26000,13000)),0.038,0),IF($AN67="IL",IF($AY67&gt;(2925*$AS67+1000*$AT67),0.0495,0),IF($AN67="IN",(0.0295+'Second Earner'!$C$76),IF($AN67="KY",IF($AI67&gt;3360,0.035,0),IF($AN67="MA",IF(MAX(0,$AY67-MIN(($BD66+$Q67+$R67+$S67),2000)-IF($AS67=0,0,IF($AS67=1,4400,1000*$AS67+3400)))&gt;=1107750,0.09,0.05),IF($AN67="MI",IF($AY67&gt;5900*$AS67,0.0425,0),IF($AN67="MS",IF($AI67-IF($AU67="Head of household",3400,IF($AU67="Married",4600,2300))-'Second Earner'!$C$85&gt;10000,0.04,0),IF($AN67="PA",0.0307,"")))))))))))))))</f>
      </c>
      <c r="CD67" s="21">
        <f>IF(YEAR(IF('Second Earner'!$C$7="Weekly",'Second Earner'!$C$9+7*(($BE66+1)-1),IF('Second Earner'!$C$7="Biweekly",'Second Earner'!$C$9+14*(($BE66+1)-1),IF('Second Earner'!$C$7="Semimonthly",DATE(YEAR('Second Earner'!$C$9),MONTH('Second Earner'!$C$9)+INT((($BE66+1)-1)/2),MIN(DAY('Second Earner'!$C$9),DAY(EOMONTH(DATE(YEAR('Second Earner'!$C$9),MONTH('Second Earner'!$C$9)+INT((($BE66+1)-1)/2),1),0))))+IF(MOD(($BE66+1)-1,2)=1,15,0),EDATE('Second Earner'!$C$9,($BE66+1)-1)))))&lt;&gt;'Second Earner'!$C$10,"",IF('Second Earner'!$C$7="Weekly",'Second Earner'!$C$9+7*(($BE66+1)-1),IF('Second Earner'!$C$7="Biweekly",'Second Earner'!$C$9+14*(($BE66+1)-1),IF('Second Earner'!$C$7="Semimonthly",DATE(YEAR('Second Earner'!$C$9),MONTH('Second Earner'!$C$9)+INT((($BE66+1)-1)/2),MIN(DAY('Second Earner'!$C$9),DAY(EOMONTH(DATE(YEAR('Second Earner'!$C$9),MONTH('Second Earner'!$C$9)+INT((($BE66+1)-1)/2),1),0))))+IF(MOD(($BE66+1)-1,2)=1,15,0),EDATE('Second Earner'!$C$9,($BE66+1)-1)))))</f>
      </c>
      <c r="CE67" s="21">
        <f>IF(MIN(IF(AND('Second Earner'!$C$58&gt;MAX($B$6:$B66),'Second Earner'!$C$58&gt;=DATE('Second Earner'!$C$10,1,1),'Second Earner'!$C$58&lt;=DATE('Second Earner'!$C$10,12,31)),'Second Earner'!$C$58,999999),IF(AND('Second Earner'!$C$59&gt;MAX($B$6:$B66),'Second Earner'!$C$59&gt;=DATE('Second Earner'!$C$10,1,1),'Second Earner'!$C$59&lt;=DATE('Second Earner'!$C$10,12,31)),'Second Earner'!$C$59,999999),IF(AND('Second Earner'!$C$60&gt;MAX($B$6:$B66),'Second Earner'!$C$60&gt;=DATE('Second Earner'!$C$10,1,1),'Second Earner'!$C$60&lt;=DATE('Second Earner'!$C$10,12,31)),'Second Earner'!$C$60,999999),IF(AND('Second Earner'!$C$61&gt;MAX($B$6:$B66),'Second Earner'!$C$61&gt;=DATE('Second Earner'!$C$10,1,1),'Second Earner'!$C$61&lt;=DATE('Second Earner'!$C$10,12,31)),'Second Earner'!$C$61,999999),IF(AND('Second Earner'!$C$62&gt;MAX($B$6:$B66),'Second Earner'!$C$62&gt;=DATE('Second Earner'!$C$10,1,1),'Second Earner'!$C$62&lt;=DATE('Second Earner'!$C$10,12,31)),'Second Earner'!$C$62,999999),IF(AND('Second Earner'!$C$63&gt;MAX($B$6:$B66),'Second Earner'!$C$63&gt;=DATE('Second Earner'!$C$10,1,1),'Second Earner'!$C$63&lt;=DATE('Second Earner'!$C$10,12,31)),'Second Earner'!$C$63,999999),IF(AND('Second Earner'!$C$64&gt;MAX($B$6:$B66),'Second Earner'!$C$64&gt;=DATE('Second Earner'!$C$10,1,1),'Second Earner'!$C$64&lt;=DATE('Second Earner'!$C$10,12,31)),'Second Earner'!$C$64,999999),IF(AND('Second Earner'!$C$65&gt;MAX($B$6:$B66),'Second Earner'!$C$65&gt;=DATE('Second Earner'!$C$10,1,1),'Second Earner'!$C$65&lt;=DATE('Second Earner'!$C$10,12,31)),'Second Earner'!$C$65,999999),IF(AND('Second Earner'!$C$66&gt;MAX($B$6:$B66),'Second Earner'!$C$66&gt;=DATE('Second Earner'!$C$10,1,1),'Second Earner'!$C$66&lt;=DATE('Second Earner'!$C$10,12,31)),'Second Earner'!$C$66,999999),IF(AND('Second Earner'!$C$67&gt;MAX($B$6:$B66),'Second Earner'!$C$67&gt;=DATE('Second Earner'!$C$10,1,1),'Second Earner'!$C$67&lt;=DATE('Second Earner'!$C$10,12,31)),'Second Earner'!$C$67,999999))=999999,"",MIN(IF(AND('Second Earner'!$C$58&gt;MAX($B$6:$B66),'Second Earner'!$C$58&gt;=DATE('Second Earner'!$C$10,1,1),'Second Earner'!$C$58&lt;=DATE('Second Earner'!$C$10,12,31)),'Second Earner'!$C$58,999999),IF(AND('Second Earner'!$C$59&gt;MAX($B$6:$B66),'Second Earner'!$C$59&gt;=DATE('Second Earner'!$C$10,1,1),'Second Earner'!$C$59&lt;=DATE('Second Earner'!$C$10,12,31)),'Second Earner'!$C$59,999999),IF(AND('Second Earner'!$C$60&gt;MAX($B$6:$B66),'Second Earner'!$C$60&gt;=DATE('Second Earner'!$C$10,1,1),'Second Earner'!$C$60&lt;=DATE('Second Earner'!$C$10,12,31)),'Second Earner'!$C$60,999999),IF(AND('Second Earner'!$C$61&gt;MAX($B$6:$B66),'Second Earner'!$C$61&gt;=DATE('Second Earner'!$C$10,1,1),'Second Earner'!$C$61&lt;=DATE('Second Earner'!$C$10,12,31)),'Second Earner'!$C$61,999999),IF(AND('Second Earner'!$C$62&gt;MAX($B$6:$B66),'Second Earner'!$C$62&gt;=DATE('Second Earner'!$C$10,1,1),'Second Earner'!$C$62&lt;=DATE('Second Earner'!$C$10,12,31)),'Second Earner'!$C$62,999999),IF(AND('Second Earner'!$C$63&gt;MAX($B$6:$B66),'Second Earner'!$C$63&gt;=DATE('Second Earner'!$C$10,1,1),'Second Earner'!$C$63&lt;=DATE('Second Earner'!$C$10,12,31)),'Second Earner'!$C$63,999999),IF(AND('Second Earner'!$C$64&gt;MAX($B$6:$B66),'Second Earner'!$C$64&gt;=DATE('Second Earner'!$C$10,1,1),'Second Earner'!$C$64&lt;=DATE('Second Earner'!$C$10,12,31)),'Second Earner'!$C$64,999999),IF(AND('Second Earner'!$C$65&gt;MAX($B$6:$B66),'Second Earner'!$C$65&gt;=DATE('Second Earner'!$C$10,1,1),'Second Earner'!$C$65&lt;=DATE('Second Earner'!$C$10,12,31)),'Second Earner'!$C$65,999999),IF(AND('Second Earner'!$C$66&gt;MAX($B$6:$B66),'Second Earner'!$C$66&gt;=DATE('Second Earner'!$C$10,1,1),'Second Earner'!$C$66&lt;=DATE('Second Earner'!$C$10,12,31)),'Second Earner'!$C$66,999999),IF(AND('Second Earner'!$C$67&gt;MAX($B$6:$B66),'Second Earner'!$C$67&gt;=DATE('Second Earner'!$C$10,1,1),'Second Earner'!$C$67&lt;=DATE('Second Earner'!$C$10,12,31)),'Second Earner'!$C$67,999999)))</f>
      </c>
      <c r="CF67">
        <f>IF($B67="","",IF($D67=0,$Y67,""))</f>
      </c>
    </row>
    <row r="68">
      <c r="A68" t="n">
        <v>63</v>
      </c>
      <c r="B68" s="21">
        <f>IF(AND($CD68="",$CE68=""),"",IF($CE68="",$CD68,IF($CD68="",$CE68,MIN($CD68,$CE68))))</f>
      </c>
      <c r="C68" s="7">
        <f>IF($B68="","",IF($BF68=0,0,IF('Second Earner'!$C$4="Annual salary",ROUND($AK68/IF(AND('Second Earner'!$C$88="Actual paydays",MONTH('Second Earner'!$C$9)=1),MAX(1,MAX($BE$6:$BE$68)),'Second Earner'!$C$8),2),$AK68)))</f>
      </c>
      <c r="D68" s="7">
        <f>IF($B68="","",SUMIF('Second Earner'!$C$58:$C$67,$B68,'Second Earner'!$D$58:$D$67))</f>
      </c>
      <c r="E68" s="7">
        <f>IF($B68="","",ROUND(MAX(0,MIN(IF($AL68="Percent",$AM68*($C68+$D68),$AM68),MAX(0,'Second Earner'!$C$34-$AC67))),2))</f>
      </c>
      <c r="F68" s="7">
        <f>IF($B68="","",ROUND(MAX(0,MIN(IF('Second Earner'!$C$32="Percent",'Second Earner'!$D$32*($C68+$D68),'Second Earner'!$D$32),MAX(0,'Second Earner'!$C$34-$AC67-$E68))),2))</f>
      </c>
      <c r="G68" s="7">
        <f>IF($B68="","",IF($BF68=0,0,ROUND(MAX(0,MIN($BL68,'Second Earner'!$C$37-'Second Earner'!$C$54-$BI67)),2)))</f>
      </c>
      <c r="H68" s="7">
        <f>IF($B68="","",IF(OR($BF68=0,$BQ68=1),0,ROUND(MAX(0,MIN(IF($BS68=1,ROUND(MAX(0,MIN($BJ68,'How This Works &amp; Sources'!$C$13)-$BG67)/MAX(1,MAX($BE$6:$BE$68)-($BE67)),2),ROUND(MIN($BJ68,'How This Works &amp; Sources'!$C$13)/'Second Earner'!$C$8,2)),MIN($BJ68,'How This Works &amp; Sources'!$C$13)-$BG67)),2)))</f>
      </c>
      <c r="I68" s="7">
        <f>IF($B68="","",IF(OR($BF68=0,$BR68=1),0,ROUND(MAX(0,MIN(IF($BT68=1,ROUND(MAX(0,MIN($BK68,IF('Second Earner'!$C$12="MFJ",'How This Works &amp; Sources'!$C$14,'How This Works &amp; Sources'!$C$15))-$BH67)/MAX(1,MAX($BE$6:$BE$68)-($BE67)),2),ROUND(MIN($BK68,IF('Second Earner'!$C$12="MFJ",'How This Works &amp; Sources'!$C$14,'How This Works &amp; Sources'!$C$15))/'Second Earner'!$C$8,2)),MIN($BK68,IF('Second Earner'!$C$12="MFJ",'How This Works &amp; Sources'!$C$14,'How This Works &amp; Sources'!$C$15))-$BH67)),2)))</f>
      </c>
      <c r="J68" s="7">
        <f>IF($B68="","",IF($BF68=0,0,$BM68))</f>
      </c>
      <c r="K68" s="7">
        <f>IF($B68="","",IF($BF68=0,0,$BN68+$BO68))</f>
      </c>
      <c r="L68" s="7">
        <f>IF($B68="","",IF($BF68=0,0,'Second Earner'!$D$46))</f>
      </c>
      <c r="M68" s="7">
        <f>IF($B68="","",$C68+$D68+$L68-$E68-$G68-$H68-$I68-$J68-$K68)</f>
      </c>
      <c r="N68" s="7">
        <f>IF($B68="","",$C68+$D68+$L68-$G68-$H68-$I68-$J68-$K68)</f>
      </c>
      <c r="O68" s="7">
        <f>IF($B68="","",$C68+$D68+$L68-$E68-$H68-$I68-$J68-$K68-IF(OR($AN68="CA",$AN68="NJ"),0,$G68))</f>
      </c>
      <c r="P68" s="7">
        <f>IF($B68="","",IF('Second Earner'!$C$18,0,ROUND(MAX(0,IF('Second Earner'!$C$13,SUMPRODUCT(($AH68&gt;INDEX('How This Works &amp; Sources'!$B$29:$J$36,0,IF('Second Earner'!$C$12="MFJ",1,IF('Second Earner'!$C$12="HoH",7,4))))*($AH68-INDEX('How This Works &amp; Sources'!$B$29:$J$36,0,IF('Second Earner'!$C$12="MFJ",1,IF('Second Earner'!$C$12="HoH",7,4))))*INDEX('How This Works &amp; Sources'!$B$29:$J$36,0,IF('Second Earner'!$C$12="MFJ",1,IF('Second Earner'!$C$12="HoH",7,4))+2)),SUMPRODUCT(($AH68&gt;INDEX('How This Works &amp; Sources'!$B$19:$J$26,0,IF('Second Earner'!$C$12="MFJ",1,IF('Second Earner'!$C$12="HoH",7,4))))*($AH68-INDEX('How This Works &amp; Sources'!$B$19:$J$26,0,IF('Second Earner'!$C$12="MFJ",1,IF('Second Earner'!$C$12="HoH",7,4))))*INDEX('How This Works &amp; Sources'!$B$19:$J$26,0,IF('Second Earner'!$C$12="MFJ",1,IF('Second Earner'!$C$12="HoH",7,4))+2)))/'Second Earner'!$C$8-$AO68/'Second Earner'!$C$8)+$AR68+IF('Second Earner'!$C$89="Aggregate",MAX(0,IF('Second Earner'!$C$13,SUMPRODUCT((($AH68+$D68)&gt;INDEX('How This Works &amp; Sources'!$B$29:$J$36,0,IF('Second Earner'!$C$12="MFJ",1,IF('Second Earner'!$C$12="HoH",7,4))))*(($AH68+$D68)-INDEX('How This Works &amp; Sources'!$B$29:$J$36,0,IF('Second Earner'!$C$12="MFJ",1,IF('Second Earner'!$C$12="HoH",7,4))))*INDEX('How This Works &amp; Sources'!$B$29:$J$36,0,IF('Second Earner'!$C$12="MFJ",1,IF('Second Earner'!$C$12="HoH",7,4))+2)),SUMPRODUCT((($AH68+$D68)&gt;INDEX('How This Works &amp; Sources'!$B$19:$J$26,0,IF('Second Earner'!$C$12="MFJ",1,IF('Second Earner'!$C$12="HoH",7,4))))*(($AH68+$D68)-INDEX('How This Works &amp; Sources'!$B$19:$J$26,0,IF('Second Earner'!$C$12="MFJ",1,IF('Second Earner'!$C$12="HoH",7,4))))*INDEX('How This Works &amp; Sources'!$B$19:$J$26,0,IF('Second Earner'!$C$12="MFJ",1,IF('Second Earner'!$C$12="HoH",7,4))+2)))-IF('Second Earner'!$C$13,SUMPRODUCT(($AH68&gt;INDEX('How This Works &amp; Sources'!$B$29:$J$36,0,IF('Second Earner'!$C$12="MFJ",1,IF('Second Earner'!$C$12="HoH",7,4))))*($AH68-INDEX('How This Works &amp; Sources'!$B$29:$J$36,0,IF('Second Earner'!$C$12="MFJ",1,IF('Second Earner'!$C$12="HoH",7,4))))*INDEX('How This Works &amp; Sources'!$B$29:$J$36,0,IF('Second Earner'!$C$12="MFJ",1,IF('Second Earner'!$C$12="HoH",7,4))+2)),SUMPRODUCT(($AH68&gt;INDEX('How This Works &amp; Sources'!$B$19:$J$26,0,IF('Second Earner'!$C$12="MFJ",1,IF('Second Earner'!$C$12="HoH",7,4))))*($AH68-INDEX('How This Works &amp; Sources'!$B$19:$J$26,0,IF('Second Earner'!$C$12="MFJ",1,IF('Second Earner'!$C$12="HoH",7,4))))*INDEX('How This Works &amp; Sources'!$B$19:$J$26,0,IF('Second Earner'!$C$12="MFJ",1,IF('Second Earner'!$C$12="HoH",7,4))+2)))),'How This Works &amp; Sources'!$C$10*$D68),2)))</f>
      </c>
      <c r="Q68" s="7">
        <f>IF($B68="","",ROUND('How This Works &amp; Sources'!$C$4*MIN($N68,MAX(0,'How This Works &amp; Sources'!$C$3-($AX68+$AB67-$AW68))),2))</f>
      </c>
      <c r="R68" s="7">
        <f>IF($B68="","",ROUND('How This Works &amp; Sources'!$C$5*$N68,2))</f>
      </c>
      <c r="S68" s="7">
        <f>IF($B68="","",ROUND('How This Works &amp; Sources'!$C$6*MAX(0,MIN($N68,$AG67+$N68-'How This Works &amp; Sources'!$C$7)),2))</f>
      </c>
      <c r="T68" s="7">
        <f>IF($B68="","",IF('Second Earner'!$C$26,0,IF($AN68="CA",ROUND(IF($AI68&lt;=IF(($AS68+$AT68)&gt;=2,VLOOKUP($AN68,StateTables!$A$6:$AB$56,10,FALSE),VLOOKUP($AN68,StateTables!$A$6:$AB$56,9,FALSE)),0,MAX(0,SUMPRODUCT(($AJ68&gt;INDEX('How This Works &amp; Sources'!$B$39:$J$48,0,IF($AU68="Married",4,IF($AU68="Head of household",7,1))))*($AJ68-INDEX('How This Works &amp; Sources'!$B$39:$J$48,0,IF($AU68="Married",4,IF($AU68="Head of household",7,1))))*INDEX('How This Works &amp; Sources'!$B$39:$J$48,0,IF($AU68="Married",4,IF($AU68="Head of household",7,1))+2))-VLOOKUP($AN68,StateTables!$A$6:$AB$56,11,FALSE)*$AS68)/'Second Earner'!$C$8)+'Second Earner'!$C$25+VLOOKUP($AN68,StateTables!$A$6:$AB$56,13,FALSE)*$D68,2),IF(VLOOKUP($AN68,StateTables!$A$6:$AB$56,4,FALSE)="None",0,IF(ISNUMBER(SEARCH("MANUAL",VLOOKUP($AN68,StateTables!$A$6:$AB$56,5,FALSE))),'Second Earner'!$C$28,ROUND(MAX(0,$BA68+$BB68)/'Second Earner'!$C$8+'Second Earner'!$C$25+$BC68,2))))))</f>
      </c>
      <c r="U68" s="7">
        <f>IF($B68="","",IF(VLOOKUP($AN68,StateTables!$A$6:$AB$56,24,FALSE)="flatq",IF(OR(MONTH($B68)=1,MONTH($B68)=4,MONTH($B68)=7,MONTH($B68)=10),VLOOKUP($AN68,StateTables!$A$6:$AB$56,25,FALSE),0),IF(VLOOKUP($AN68,StateTables!$A$6:$AB$56,24,FALSE)="dbl",MIN(ROUND(0.005*$N68,2),ROUND(0.6*52/'Second Earner'!$C$8,2)),IF(OR(VLOOKUP($AN68,StateTables!$A$6:$AB$56,15,FALSE)="",VLOOKUP($AN68,StateTables!$A$6:$AB$56,15,FALSE)=0),0,ROUND(VLOOKUP($AN68,StateTables!$A$6:$AB$56,15,FALSE)*IF(OR(VLOOKUP($AN68,StateTables!$A$6:$AB$56,16,FALSE)="",VLOOKUP($AN68,StateTables!$A$6:$AB$56,16,FALSE)=0),$N68,MIN($N68,MAX(0,VLOOKUP($AN68,StateTables!$A$6:$AB$56,16,FALSE)-($AX68+$AB67-$AW68)))),2))))+IF(VLOOKUP($AN68,StateTables!$A$6:$AB$56,27,FALSE)="flatq",IF(OR(MONTH($B68)=1,MONTH($B68)=4,MONTH($B68)=7,MONTH($B68)=10),VLOOKUP($AN68,StateTables!$A$6:$AB$56,28,FALSE),0),IF(VLOOKUP($AN68,StateTables!$A$6:$AB$56,27,FALSE)="dbl",MIN(ROUND(0.005*$N68,2),ROUND(0.6*52/'Second Earner'!$C$8,2)),IF(OR(VLOOKUP($AN68,StateTables!$A$6:$AB$56,18,FALSE)="",VLOOKUP($AN68,StateTables!$A$6:$AB$56,18,FALSE)=0),0,ROUND(VLOOKUP($AN68,StateTables!$A$6:$AB$56,18,FALSE)*IF(OR(VLOOKUP($AN68,StateTables!$A$6:$AB$56,19,FALSE)="",VLOOKUP($AN68,StateTables!$A$6:$AB$56,19,FALSE)=0),$N68,MIN($N68,MAX(0,VLOOKUP($AN68,StateTables!$A$6:$AB$56,19,FALSE)-($AX68+$AB67-$AW68)))),2)))))</f>
      </c>
      <c r="V68" s="7">
        <f>IF($B68="","",IF($AN68="NY",IF('Second Earner'!$C$78,ROUND(SUMPRODUCT((MAX(0,($O68-$D68)*'Second Earner'!$C$8-(IF($AU68="Married",5500,5000)+1000*$AS68))&gt;INDEX('How This Works &amp; Sources'!$B$184:$J$198,0,4))*(MAX(0,($O68-$D68)*'Second Earner'!$C$8-(IF($AU68="Married",5500,5000)+1000*$AS68))-INDEX('How This Works &amp; Sources'!$B$184:$J$198,0,4))*INDEX('How This Works &amp; Sources'!$B$184:$J$198,0,4+2))/'Second Earner'!$C$8+0.0425*$D68,2),0)+IF('Second Earner'!$C$79="Resident",ROUND(0.1675*$T68,2),IF('Second Earner'!$C$79="Nonresident",ROUND(0.005*MAX(0,($O68-$D68)-(IF($AU68="Married",7950,7400)+1000*$AS68)/'Second Earner'!$C$8),2),0)),IF($AN68="PA",IF('Second Earner'!$C$80="None",'Second Earner'!$C$27+ROUND('Second Earner'!$C$81*($C68+$D68),2),ROUND(IF('Second Earner'!$C$80="Resident",IF($B68&lt;DATE(2026,7,1),0.0374,0.03735),IF($B68&lt;DATE(2026,7,1),0.0343,0.03425))*($C68+$D68),2)),IF($BF68=0,ROUND('Second Earner'!$C$81*($C68+$D68),2),'Second Earner'!$C$27+ROUND('Second Earner'!$C$81*($C68+$D68),2)))))</f>
      </c>
      <c r="W68" s="7">
        <f>IF($B68="","",IF($BF68=0,0,$BP68))</f>
      </c>
      <c r="X68" s="7">
        <f>IF($B68="","",SUM($E68:$K68)+$P68+$Q68+$R68+$S68+$T68+$U68+$V68+$W68)</f>
      </c>
      <c r="Y68" s="22">
        <f>IF($B68="","",$C68+$D68-$X68)</f>
      </c>
      <c r="Z68" s="7">
        <f>IF($B68="","",$Z67+$C68+$D68)</f>
      </c>
      <c r="AA68" s="7">
        <f>IF($B68="","",$AA67+$Y68)</f>
      </c>
      <c r="AB68" s="7">
        <f>IF($B68="","",$AB67+MIN($N68,MAX(0,'How This Works &amp; Sources'!$C$3-($AX68+$AB67-$AW68))))</f>
      </c>
      <c r="AC68" s="7">
        <f>IF($B68="","",$AC67+$E68+$F68)</f>
      </c>
      <c r="AD68" s="3">
        <f>IF($B68="","",IF(AND($AB67&lt;'How This Works &amp; Sources'!$C$3,$AB68&gt;='How This Works &amp; Sources'!$C$3),"★ Social Security maxed on this check — from the next check your net rises by about $"&amp;TEXT(ROUND('How This Works &amp; Sources'!$C$4*$N68,2),"#,##0.00")&amp;". ","")&amp;IF(AND($AC67&lt;'Second Earner'!$C$34,$AC68&gt;='Second Earner'!$C$34),"★ 401(k) reaches the $"&amp;TEXT('Second Earner'!$C$34,"#,##0")&amp;" cap on this check — deferrals stop and net pay rises. ","")&amp;IF(AND($AG67&lt;'How This Works &amp; Sources'!$C$7,$AG68&gt;='How This Works &amp; Sources'!$C$7),"★ Wages pass $200,000 — the 0.9% Additional Medicare Tax starts here. ","")&amp;IF(AND($BJ68&gt;0,$H68&gt;0,$BG67&lt;MIN($BJ68,'How This Works &amp; Sources'!$C$13),$BG67+$H68&gt;=MIN($BJ68,'How This Works &amp; Sources'!$C$13)),"★ Health FSA election is now fully deferred for the year. ",""))</f>
      </c>
      <c r="AE68" s="41" t="n"/>
      <c r="AF68" s="7">
        <f>IF(OR($B68="",$AE68=""),"",$AE68-$Y68)</f>
      </c>
      <c r="AG68" s="7">
        <f>IF($B68="","",$AG67+$N68)</f>
      </c>
      <c r="AH68" s="7">
        <f>IF($B68="","",MAX(0,($M68-$D68)*'Second Earner'!$C$8+$AP68-$AQ68-IF('Second Earner'!$C$13,0,IF('Second Earner'!$C$12="MFJ",'How This Works &amp; Sources'!$C$8,'How This Works &amp; Sources'!$C$9))))</f>
      </c>
      <c r="AI68" s="7">
        <f>IF($B68="","",$O68*'Second Earner'!$C$8)</f>
      </c>
      <c r="AJ68" s="7">
        <f>IF($B68="","",MAX(0,$AI68-VLOOKUP($AN68,StateTables!$A$6:$AB$56,12,FALSE)*$AT68-IF(($AS68+$AT68)&gt;=2,VLOOKUP($AN68,StateTables!$A$6:$AB$56,8,FALSE),VLOOKUP($AN68,StateTables!$A$6:$AB$56,7,FALSE))))</f>
      </c>
      <c r="AK68" s="7">
        <f>IF($B68="","",IFERROR(LOOKUP(2,1/(('Changes — Earner 2'!$C$6:$C$17="Salary change")*('Changes — Earner 2'!$B$6:$B$17&lt;=$B68)*('Changes — Earner 2'!$B$6:$B$17&lt;&gt;"")),'Changes — Earner 2'!$D$6:$D$17),IF('Second Earner'!$C$4="Annual salary",'Second Earner'!$C$5,'Second Earner'!$C$6)))</f>
      </c>
      <c r="AL68">
        <f>IF($B68="","",IFERROR(LOOKUP(2,1/(('Changes — Earner 2'!$C$6:$C$17="401(k) change")*('Changes — Earner 2'!$B$6:$B$17&lt;=$B68)*('Changes — Earner 2'!$B$6:$B$17&lt;&gt;"")),'Changes — Earner 2'!$D$6:$D$17),'Second Earner'!$C$30))</f>
      </c>
      <c r="AM68" s="7">
        <f>IF($B68="","",IFERROR(LOOKUP(2,1/(('Changes — Earner 2'!$C$6:$C$17="401(k) change")*('Changes — Earner 2'!$B$6:$B$17&lt;=$B68)*('Changes — Earner 2'!$B$6:$B$17&lt;&gt;"")),'Changes — Earner 2'!$E$6:$E$17),'Second Earner'!$D$31))</f>
      </c>
      <c r="AN68">
        <f>IF($B68="","",IFERROR(LOOKUP(2,1/(('Changes — Earner 2'!$C$6:$C$17="State move")*('Changes — Earner 2'!$B$6:$B$17&lt;=$B68)*('Changes — Earner 2'!$B$6:$B$17&lt;&gt;"")),'Changes — Earner 2'!$D$6:$D$17),'Second Earner'!$C$21))</f>
      </c>
      <c r="AO68" s="7">
        <f>IF($B68="","",IFERROR(LOOKUP(2,1/(('Changes — Earner 2'!$C$6:$C$17="W-4 change")*('Changes — Earner 2'!$B$6:$B$17&lt;=$B68)*('Changes — Earner 2'!$B$6:$B$17&lt;&gt;"")),'Changes — Earner 2'!$D$6:$D$17),'Second Earner'!$C$14))</f>
      </c>
      <c r="AP68" s="7">
        <f>IF($B68="","",IFERROR(LOOKUP(2,1/(('Changes — Earner 2'!$C$6:$C$17="W-4 change")*('Changes — Earner 2'!$B$6:$B$17&lt;=$B68)*('Changes — Earner 2'!$B$6:$B$17&lt;&gt;"")),'Changes — Earner 2'!$E$6:$E$17),'Second Earner'!$C$15))</f>
      </c>
      <c r="AQ68" s="7">
        <f>IF($B68="","",IFERROR(LOOKUP(2,1/(('Changes — Earner 2'!$C$6:$C$17="W-4 change")*('Changes — Earner 2'!$B$6:$B$17&lt;=$B68)*('Changes — Earner 2'!$B$6:$B$17&lt;&gt;"")),'Changes — Earner 2'!$F$6:$F$17),'Second Earner'!$C$16))</f>
      </c>
      <c r="AR68" s="7">
        <f>IF($B68="","",IFERROR(LOOKUP(2,1/(('Changes — Earner 2'!$C$6:$C$17="W-4 change")*('Changes — Earner 2'!$B$6:$B$17&lt;=$B68)*('Changes — Earner 2'!$B$6:$B$17&lt;&gt;"")),'Changes — Earner 2'!$G$6:$G$17),'Second Earner'!$C$17))</f>
      </c>
      <c r="AS68" s="6">
        <f>IF($B68="","",IFERROR(LOOKUP(2,1/((('Changes — Earner 2'!$C$6:$C$17="State move")+('Changes — Earner 2'!$C$6:$C$17="State cert change"))*('Changes — Earner 2'!$B$6:$B$17&lt;=$B68)*('Changes — Earner 2'!$B$6:$B$17&lt;&gt;"")),'Changes — Earner 2'!$F$6:$F$17),'Second Earner'!$C$23))</f>
      </c>
      <c r="AT68" s="6">
        <f>IF($B68="","",IFERROR(LOOKUP(2,1/((('Changes — Earner 2'!$C$6:$C$17="State move")+('Changes — Earner 2'!$C$6:$C$17="State cert change"))*('Changes — Earner 2'!$B$6:$B$17&lt;=$B68)*('Changes — Earner 2'!$B$6:$B$17&lt;&gt;"")),'Changes — Earner 2'!$G$6:$G$17),'Second Earner'!$C$24))</f>
      </c>
      <c r="AU68">
        <f>IF($B68="","",IFERROR(LOOKUP(2,1/(('Changes — Earner 2'!$C$6:$C$17="State move")*('Changes — Earner 2'!$B$6:$B$17&lt;=$B68)*('Changes — Earner 2'!$B$6:$B$17&lt;&gt;"")),'Changes — Earner 2'!$E$6:$E$17),'Second Earner'!$C$22))</f>
      </c>
      <c r="AV68" s="6">
        <f>IF($B68="","",1+COUNTIFS('Changes — Earner 2'!$C$6:$C$17,"Employer change",'Changes — Earner 2'!$B$6:$B$17,"&lt;="&amp;$B68,'Changes — Earner 2'!$B$6:$B$17,"&lt;&gt;"))</f>
      </c>
      <c r="AW68" s="7">
        <f>IF($B68="","",IF($AV68=1,'Second Earner'!$C$49,IF(IFERROR(MATCH(IFERROR(LOOKUP(2,1/(('Changes — Earner 2'!$C$6:$C$17="Employer change")*('Changes — Earner 2'!$B$6:$B$17&lt;=$B68)*('Changes — Earner 2'!$B$6:$B$17&lt;&gt;"")),'Changes — Earner 2'!$B$6:$B$17),""),$B$6:$B$68,1),1)&lt;=1,'Second Earner'!$C$49,INDEX($AB$6:$AB$68,MATCH(IFERROR(LOOKUP(2,1/(('Changes — Earner 2'!$C$6:$C$17="Employer change")*('Changes — Earner 2'!$B$6:$B$17&lt;=$B68)*('Changes — Earner 2'!$B$6:$B$17&lt;&gt;"")),'Changes — Earner 2'!$B$6:$B$17),""),$B$6:$B$68,1)-1))))</f>
      </c>
      <c r="AX68" s="7">
        <f>IF($B68="","",IF($AV68=1,'Second Earner'!$C$49,IFERROR(LOOKUP(2,1/(('Changes — Earner 2'!$C$6:$C$17="Employer change")*('Changes — Earner 2'!$B$6:$B$17&lt;=$B68)*('Changes — Earner 2'!$B$6:$B$17&lt;&gt;"")),'Changes — Earner 2'!$D$6:$D$17),0)))</f>
      </c>
      <c r="AY68" s="7">
        <f>IF($B68="","",($O68-$D68)*'Second Earner'!$C$8)</f>
      </c>
      <c r="AZ68" s="7">
        <f>IF($B68="","",IF($AN68="AL",MAX(0,$AY68-IF($AU68="Married",IF($AY68&lt;=25999,8500,MAX(5000,8500-175*CEILING(($AY68-25999)/500,1))),IF($AU68="Head of household",IF($AY68&lt;=25999,5200,MAX(2500,5200-135*CEILING(($AY68-25999)/500,1))),IF($AY68&lt;=25999,3000,MAX(2500,3000-25*CEILING(($AY68-25999)/500,1)))))-($P68-'How This Works &amp; Sources'!$C$10*$D68)*'Second Earner'!$C$8-IF(OR($AU68="Married",$AU68="Head of household"),3000,1500)-$AT68*IF($AY68&lt;=50000,1000,IF($AY68&lt;=100000,500,300))),IF($AN68="AR",IF(MAX(0,$AY68-2470)&lt;97701,INT(MAX(0,$AY68-2470)/100)*100+50,MAX(0,$AY68-2470)),IF($AN68="DE",MAX(0,$AI68-3250),IF($AN68="HI",MAX(0,$AI68-1144*$AS68-4350),IF($AN68="KS",MAX(0,$AI68-(9160*IF($AU68="Married",2,1)+2320*$AT68+IF($AU68="Head of household",2320,0))),IF($AN68="MD",MAX(0,$AI68-3400-3200*$AS68),IF($AN68="MN",MAX(0,$AY68-5300*$AS68),IF($AN68="MO",MAX(0,$AI68-IF($AU68="Head of household",24150,IF($AU68="Married",IF('Second Earner'!$C$83,16100,32200),16100))),IF($AN68="MT",$AY68,IF($AN68="ND",($C68+$L68)*'Second Earner'!$C$8,IF($AN68="NE",MAX(0,$AY68-2440*$AS68),IF($AN68="NJ",MAX(0,$AY68-1000*$AS68),IF($AN68="NY",MAX(0,$AY68-(IF($AU68="Married",7950,7400)+1000*$AS68)),IF($AN68="OH",MAX(0,$AY68-650*$AS68),IF($AN68="OK",MAX(0,$AY68-1000*$AS68),IF($AN68="RI",MAX(0,$AI68-1000*$AS68),IF($AN68="SC",MAX(0,$AI68-5000*$AS68-IF($AS68=0,0,MIN(0.1*$AI68,7500))),IF($AN68="VA",MAX(0,$AI68-IF($AU68="Married",17500,8750)-930*$AS68-800*$AT68),IF($AN68="VT",MAX(0,$AI68-5400*$AS68),IF($AN68="WI",MAX(0,$AI68-MAX(0,IF($AU68="Married",9461-0.2*MAX(0,$AI68-25727),6702-0.12*MAX(0,$AI68-17780)))-400*$AS68),IF($AN68="WV",MAX(0,$AI68-2000*$AS68),$AI68))))))))))))))))))))))</f>
      </c>
      <c r="BA68" s="7">
        <f>IF($B68="","",IF($BW68&lt;&gt;"",$BW68,IF($BX68&lt;&gt;"",$BX68,IF($BY68&lt;&gt;"",$BY68,0))))</f>
      </c>
      <c r="BB68" s="7">
        <f>IF($B68="","",IF($AN68="AR",-29*$AS68,IF($AN68="DE",-110*$AS68,IF($AN68="MD",$AZ68*'Second Earner'!$C$74,IF($AN68="AZ",'Second Earner'!$C$82*($M68-$D68)*'Second Earner'!$C$8,IF($AN68="CO",0.044*MAX(0,$AY68-IF($AU68="Married",10000,5000)),IF($AN68="IA",MAX(0,0.038*MAX(0,$AY68-IF($AU68="Head of household",19500,IF($AU68="Married",26000,13000)))-40*$AS68),IF($AN68="ID",0.053*MAX(0,$AY68-IF($AU68="Married",32000,16094)),IF($AN68="IL",0.0495*MAX(0,$AY68-(2925*$AS68+1000*$AT68)),IF($AN68="IN",(0.0295+'Second Earner'!$C$76)*MAX(0,$AY68-(1000*$AS68+1500*$AT68+3000*'Second Earner'!$C$86)),IF($AN68="KY",0.035*MAX(0,$AI68-3360),IF($AN68="LA",IF('Second Earner'!$C$84="0",0.0309*$AI68,0.0309*MAX(0,$AI68-IF('Second Earner'!$C$84="2",25750,12875))),IF($AN68="MA",0.05*MIN(MAX(0,$AY68-MIN(($BD67+$Q68+$R68+$S68),2000)-IF($AS68=0,0,IF($AS68=1,4400,1000*$AS68+3400))),1107750)+0.09*MAX(0,MAX(0,$AY68-MIN(($BD67+$Q68+$R68+$S68),2000)-IF($AS68=0,0,IF($AS68=1,4400,1000*$AS68+3400)))-1107750)-IF($AU68="Head of household",120,0)-110*'Second Earner'!$C$75,IF($AN68="MI",0.0425*MAX(0,$AY68-5900*$AS68),IF($AN68="MS",0.04*MAX(0,$AI68-IF($AU68="Head of household",3400,IF($AU68="Married",4600,2300))-'Second Earner'!$C$85-10000),IF($AN68="OR",IF(OR($AU68="Married",AND($AU68="Single",$AS68&gt;=3)),SUMPRODUCT((MAX(0,$AY68-MIN(($P68-'How This Works &amp; Sources'!$C$10*$D68)*'Second Earner'!$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Sources'!$B$211:$J$214,0,4))*(MAX(0,$AY68-MIN(($P68-'How This Works &amp; Sources'!$C$10*$D68)*'Second Earner'!$C$8,IF(OR($AU68="Married",AND($AU68="Single",$AS68&gt;=3)),IF($AY68&lt;250000,8750,IF($AY68&lt;260000,7000,IF($AY68&lt;270000,5250,IF($AY68&lt;280000,3500,IF($AY68&lt;290000,1750,0))))),IF($AY68&lt;125000,8750,IF($AY68&lt;130000,7000,IF($AY68&lt;135000,5250,IF($AY68&lt;140000,3500,IF($AY68&lt;145000,1750,0)))))))-IF(OR($AU68="Married",AND($AU68="Single",$AS68&gt;=3)),5820,2910))-INDEX('How This Works &amp; Sources'!$B$211:$J$214,0,4))*INDEX('How This Works &amp; Sources'!$B$211:$J$214,0,4+2)),SUMPRODUCT((MAX(0,$AY68-MIN(($P68-'How This Works &amp; Sources'!$C$10*$D68)*'Second Earner'!$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Sources'!$B$211:$J$214,0,1))*(MAX(0,$AY68-MIN(($P68-'How This Works &amp; Sources'!$C$10*$D68)*'Second Earner'!$C$8,IF(OR($AU68="Married",AND($AU68="Single",$AS68&gt;=3)),IF($AY68&lt;250000,8750,IF($AY68&lt;260000,7000,IF($AY68&lt;270000,5250,IF($AY68&lt;280000,3500,IF($AY68&lt;290000,1750,0))))),IF($AY68&lt;125000,8750,IF($AY68&lt;130000,7000,IF($AY68&lt;135000,5250,IF($AY68&lt;140000,3500,IF($AY68&lt;145000,1750,0)))))))-IF(OR($AU68="Married",AND($AU68="Single",$AS68&gt;=3)),5820,2910))-INDEX('How This Works &amp; Sources'!$B$211:$J$214,0,1))*INDEX('How This Works &amp; Sources'!$B$211:$J$214,0,1+2)))+263-263*IF(IF($AU68="Married",$AY68&gt;200000,$AY68&gt;100000),0,$AS68),IF($AN68="PA",0.0307*(($O68+$E68+$G68)*'Second Earner'!$C$8),IF($AN68="NY",IF($AU68="Married",IF($AZ68&gt;=2155350,0,IF($AZ68&gt;=1077550,0.48,IF($AZ68&gt;=373200,1.21,IF($AZ68&gt;=323200,0.21,IF($AZ68&gt;=211550,-0.19,IF($AZ68&gt;=157650,-2.8,IF($AZ68&gt;=107650,-0.8,IF($AZ68&gt;=96800,0.05,IF($AZ68&gt;=80650,-0.1,IF($AZ68&gt;=13900,0.4,IF($AZ68&gt;=11700,-0.3,IF($AZ68&gt;=8500,0.5,0)))))))))))),IF($AZ68&gt;=1077550,0,IF($AZ68&gt;=265400,4.29,IF($AZ68&gt;=215400,2.29,IF($AZ68&gt;=157650,2.29,IF($AZ68&gt;=107650,0.29,IF($AZ68&gt;=96800,0.05,IF($AZ68&gt;=80650,-0.1,IF($AZ68&gt;=13900,0.4,IF($AZ68&gt;=11700,-0.3,IF($AZ68&gt;=8500,0.5,0))))))))))),0))))))))))))))))))</f>
      </c>
      <c r="BC68" s="7">
        <f>IF($B68="","",IF($AN68="AL",0.05*$D68,IF($AN68="AR",0.039*$D68,IF($AN68="ID",0.053*$D68,IF($AN68="IN",(0.0295+'Second Earner'!$C$76)*$D68,IF($AN68="KS",0.05*$D68,IF($AN68="MA",0.09*MIN($D68,MAX(0,MAX(0,$AY68-MIN(($BD67+$Q68+$R68+$S68),2000)-IF($AS68=0,0,IF($AS68=1,4400,1000*$AS68+3400)))+$D68-1107750))+0.05*($D68-MIN($D68,MAX(0,MAX(0,$AY68-MIN(($BD67+$Q68+$R68+$S68),2000)-IF($AS68=0,0,IF($AS68=1,4400,1000*$AS68+3400)))+$D68-1107750))),IF($AN68="MD",(0.065+'Second Earner'!$C$74)*$D68,IF($AN68="MI",0.0425*$D68,IF($AN68="MN",0.0625*$D68,IF($AN68="MO",0.047*$D68,IF($AN68="MT",0.05*$D68,IF($AN68="ND",0.015*$D68,IF($AN68="NE",0.035*$D68,IF($AN68="NJ",IF('Second Earner'!$C$77="B",SUMPRODUCT(($D68*'Second Earner'!$C$8&gt;INDEX('How This Works &amp; Sources'!$B$155:$J$162,0,4))*($D68*'Second Earner'!$C$8-INDEX('How This Works &amp; Sources'!$B$155:$J$162,0,4))*INDEX('How This Works &amp; Sources'!$B$155:$J$162,0,4+2)),IF('Second Earner'!$C$77="C",SUMPRODUCT(($D68*'Second Earner'!$C$8&gt;INDEX('How This Works &amp; Sources'!$B$155:$J$162,0,7))*($D68*'Second Earner'!$C$8-INDEX('How This Works &amp; Sources'!$B$155:$J$162,0,7))*INDEX('How This Works &amp; Sources'!$B$155:$J$162,0,7+2)),IF('Second Earner'!$C$77="D",SUMPRODUCT(($D68*'Second Earner'!$C$8&gt;INDEX('How This Works &amp; Sources'!$B$167:$J$179,0,1))*($D68*'Second Earner'!$C$8-INDEX('How This Works &amp; Sources'!$B$167:$J$179,0,1))*INDEX('How This Works &amp; Sources'!$B$167:$J$179,0,1+2)),IF('Second Earner'!$C$77="E",SUMPRODUCT(($D68*'Second Earner'!$C$8&gt;INDEX('How This Works &amp; Sources'!$B$167:$J$179,0,4))*($D68*'Second Earner'!$C$8-INDEX('How This Works &amp; Sources'!$B$167:$J$179,0,4))*INDEX('How This Works &amp; Sources'!$B$167:$J$179,0,4+2)),SUMPRODUCT(($D68*'Second Earner'!$C$8&gt;INDEX('How This Works &amp; Sources'!$B$155:$J$162,0,1))*($D68*'Second Earner'!$C$8-INDEX('How This Works &amp; Sources'!$B$155:$J$162,0,1))*INDEX('How This Works &amp; Sources'!$B$155:$J$162,0,1+2))))))/'Second Earner'!$C$8,IF($AN68="NY",0.117*$D68,IF($AN68="OH",0.0275*$D68,IF($AN68="OK",0.045*$D68,IF($AN68="OR",0.08*$D68,IF($AN68="WI",IF($AY68&lt;12760,0.0354,IF($AY68&lt;25520,0.0465,IF($AY68&lt;280950,0.053,0.0765)))*$D68,0))))))))))))))))))))</f>
      </c>
      <c r="BD68" s="7">
        <f>IF($B68="","",$BD67+$Q68+$R68+$S68)</f>
      </c>
      <c r="BE68" s="6">
        <f>IF($B68="",$BE67,$BE67+$BF68)</f>
      </c>
      <c r="BF68" s="6">
        <f>IF($B68="","",IF(AND(IF(YEAR(IF('Second Earner'!$C$7="Weekly",'Second Earner'!$C$9+7*(($BE67+1)-1),IF('Second Earner'!$C$7="Biweekly",'Second Earner'!$C$9+14*(($BE67+1)-1),IF('Second Earner'!$C$7="Semimonthly",DATE(YEAR('Second Earner'!$C$9),MONTH('Second Earner'!$C$9)+INT((($BE67+1)-1)/2),MIN(DAY('Second Earner'!$C$9),DAY(EOMONTH(DATE(YEAR('Second Earner'!$C$9),MONTH('Second Earner'!$C$9)+INT((($BE67+1)-1)/2),1),0))))+IF(MOD(($BE67+1)-1,2)=1,15,0),EDATE('Second Earner'!$C$9,($BE67+1)-1)))))&lt;&gt;'Second Earner'!$C$10,"",IF('Second Earner'!$C$7="Weekly",'Second Earner'!$C$9+7*(($BE67+1)-1),IF('Second Earner'!$C$7="Biweekly",'Second Earner'!$C$9+14*(($BE67+1)-1),IF('Second Earner'!$C$7="Semimonthly",DATE(YEAR('Second Earner'!$C$9),MONTH('Second Earner'!$C$9)+INT((($BE67+1)-1)/2),MIN(DAY('Second Earner'!$C$9),DAY(EOMONTH(DATE(YEAR('Second Earner'!$C$9),MONTH('Second Earner'!$C$9)+INT((($BE67+1)-1)/2),1),0))))+IF(MOD(($BE67+1)-1,2)=1,15,0),EDATE('Second Earner'!$C$9,($BE67+1)-1)))))&lt;&gt;"",$B68=IF(YEAR(IF('Second Earner'!$C$7="Weekly",'Second Earner'!$C$9+7*(($BE67+1)-1),IF('Second Earner'!$C$7="Biweekly",'Second Earner'!$C$9+14*(($BE67+1)-1),IF('Second Earner'!$C$7="Semimonthly",DATE(YEAR('Second Earner'!$C$9),MONTH('Second Earner'!$C$9)+INT((($BE67+1)-1)/2),MIN(DAY('Second Earner'!$C$9),DAY(EOMONTH(DATE(YEAR('Second Earner'!$C$9),MONTH('Second Earner'!$C$9)+INT((($BE67+1)-1)/2),1),0))))+IF(MOD(($BE67+1)-1,2)=1,15,0),EDATE('Second Earner'!$C$9,($BE67+1)-1)))))&lt;&gt;'Second Earner'!$C$10,"",IF('Second Earner'!$C$7="Weekly",'Second Earner'!$C$9+7*(($BE67+1)-1),IF('Second Earner'!$C$7="Biweekly",'Second Earner'!$C$9+14*(($BE67+1)-1),IF('Second Earner'!$C$7="Semimonthly",DATE(YEAR('Second Earner'!$C$9),MONTH('Second Earner'!$C$9)+INT((($BE67+1)-1)/2),MIN(DAY('Second Earner'!$C$9),DAY(EOMONTH(DATE(YEAR('Second Earner'!$C$9),MONTH('Second Earner'!$C$9)+INT((($BE67+1)-1)/2),1),0))))+IF(MOD(($BE67+1)-1,2)=1,15,0),EDATE('Second Earner'!$C$9,($BE67+1)-1)))))),1,0))</f>
      </c>
      <c r="BG68" s="7">
        <f>IF($B68="","",$BG67+$H68)</f>
      </c>
      <c r="BH68" s="7">
        <f>IF($B68="","",$BH67+$I68)</f>
      </c>
      <c r="BI68" s="7">
        <f>IF($B68="","",$BI67+$G68)</f>
      </c>
      <c r="BJ68" s="7">
        <f>IF($B68="","",IFERROR(LOOKUP(2,1/(((('Changes — Earner 2'!$C$6:$C$17="Deduction start"))*('Changes — Earner 2'!$D$6:$D$17="Health FSA"))*('Changes — Earner 2'!$B$6:$B$17&lt;=$B68)*('Changes — Earner 2'!$B$6:$B$17&lt;&gt;"")),'Changes — Earner 2'!$E$6:$E$17),'Second Earner'!$D$38))</f>
      </c>
      <c r="BK68" s="7">
        <f>IF($B68="","",IFERROR(LOOKUP(2,1/(((('Changes — Earner 2'!$C$6:$C$17="Deduction start"))*('Changes — Earner 2'!$D$6:$D$17="Dependent-care FSA"))*('Changes — Earner 2'!$B$6:$B$17&lt;=$B68)*('Changes — Earner 2'!$B$6:$B$17&lt;&gt;"")),'Changes — Earner 2'!$E$6:$E$17),'Second Earner'!$D$39))</f>
      </c>
      <c r="BL68" s="7">
        <f>IF($B68="","",IFERROR(LOOKUP(2,1/(((('Changes — Earner 2'!$C$6:$C$17="Deduction start")+('Changes — Earner 2'!$C$6:$C$17="Deduction stop"))*('Changes — Earner 2'!$D$6:$D$17="HSA"))*('Changes — Earner 2'!$B$6:$B$17&lt;=$B68)*('Changes — Earner 2'!$B$6:$B$17&lt;&gt;"")),'Changes — Earner 2'!$I$6:$I$17),'Second Earner'!$D$35))</f>
      </c>
      <c r="BM68" s="7">
        <f>IF($B68="","",IFERROR(LOOKUP(2,1/(((('Changes — Earner 2'!$C$6:$C$17="Deduction start")+('Changes — Earner 2'!$C$6:$C$17="Deduction stop"))*('Changes — Earner 2'!$D$6:$D$17="Premiums"))*('Changes — Earner 2'!$B$6:$B$17&lt;=$B68)*('Changes — Earner 2'!$B$6:$B$17&lt;&gt;"")),'Changes — Earner 2'!$I$6:$I$17),'Second Earner'!$D$40+'Second Earner'!$D$41+'Second Earner'!$D$42))</f>
      </c>
      <c r="BN68" s="7">
        <f>IF($B68="","",IFERROR(LOOKUP(2,1/(((('Changes — Earner 2'!$C$6:$C$17="Deduction start")+('Changes — Earner 2'!$C$6:$C$17="Deduction stop"))*('Changes — Earner 2'!$D$6:$D$17="Commuter"))*('Changes — Earner 2'!$B$6:$B$17&lt;=$B68)*('Changes — Earner 2'!$B$6:$B$17&lt;&gt;"")),'Changes — Earner 2'!$I$6:$I$17),'Second Earner'!$D$43))</f>
      </c>
      <c r="BO68" s="7">
        <f>IF($B68="","",IFERROR(LOOKUP(2,1/(((('Changes — Earner 2'!$C$6:$C$17="Deduction start")+('Changes — Earner 2'!$C$6:$C$17="Deduction stop"))*('Changes — Earner 2'!$D$6:$D$17="Other pre-tax"))*('Changes — Earner 2'!$B$6:$B$17&lt;=$B68)*('Changes — Earner 2'!$B$6:$B$17&lt;&gt;"")),'Changes — Earner 2'!$I$6:$I$17),'Second Earner'!$D$44))</f>
      </c>
      <c r="BP68" s="7">
        <f>IF($B68="","",IFERROR(LOOKUP(2,1/(((('Changes — Earner 2'!$C$6:$C$17="Deduction start")+('Changes — Earner 2'!$C$6:$C$17="Deduction stop"))*('Changes — Earner 2'!$D$6:$D$17="Other post-tax"))*('Changes — Earner 2'!$B$6:$B$17&lt;=$B68)*('Changes — Earner 2'!$B$6:$B$17&lt;&gt;"")),'Changes — Earner 2'!$I$6:$I$17),'Second Earner'!$D$45))</f>
      </c>
      <c r="BQ68" s="6">
        <f>IF($B68="","",IFERROR(LOOKUP(2,1/(((('Changes — Earner 2'!$C$6:$C$17="Deduction start")+('Changes — Earner 2'!$C$6:$C$17="Deduction stop"))*('Changes — Earner 2'!$D$6:$D$17="Health FSA"))*('Changes — Earner 2'!$B$6:$B$17&lt;=$B68)*('Changes — Earner 2'!$B$6:$B$17&lt;&gt;"")),'Changes — Earner 2'!$J$6:$J$17),0))</f>
      </c>
      <c r="BR68" s="6">
        <f>IF($B68="","",IFERROR(LOOKUP(2,1/(((('Changes — Earner 2'!$C$6:$C$17="Deduction start")+('Changes — Earner 2'!$C$6:$C$17="Deduction stop"))*('Changes — Earner 2'!$D$6:$D$17="Dependent-care FSA"))*('Changes — Earner 2'!$B$6:$B$17&lt;=$B68)*('Changes — Earner 2'!$B$6:$B$17&lt;&gt;"")),'Changes — Earner 2'!$J$6:$J$17),0))</f>
      </c>
      <c r="BS68" s="6">
        <f>IF($B68="","",IF(SUMPRODUCT(('Changes — Earner 2'!$C$6:$C$17="Deduction start")*('Changes — Earner 2'!$B$6:$B$17&lt;=$B68)*('Changes — Earner 2'!$B$6:$B$17&lt;&gt;"")*('Changes — Earner 2'!$D$6:$D$17="Health FSA"))&gt;0,1,0))</f>
      </c>
      <c r="BT68" s="6">
        <f>IF($B68="","",IF(SUMPRODUCT(('Changes — Earner 2'!$C$6:$C$17="Deduction start")*('Changes — Earner 2'!$B$6:$B$17&lt;=$B68)*('Changes — Earner 2'!$B$6:$B$17&lt;&gt;"")*('Changes — Earner 2'!$D$6:$D$17="Dependent-care FSA"))&gt;0,1,0))</f>
      </c>
      <c r="BU68" s="24">
        <f>IF($B68="","",IF('Second Earner'!$C$13,SUMPRODUCT(($AH68&gt;=INDEX('How This Works &amp; Sources'!$B$29:$J$36,0,IF('Second Earner'!$C$12="MFJ",1,IF('Second Earner'!$C$12="HoH",7,4))))*INDEX('How This Works &amp; Sources'!$B$29:$J$36,0,IF('Second Earner'!$C$12="MFJ",1,IF('Second Earner'!$C$12="HoH",7,4))+2)),SUMPRODUCT(($AH68&gt;=INDEX('How This Works &amp; Sources'!$B$19:$J$26,0,IF('Second Earner'!$C$12="MFJ",1,IF('Second Earner'!$C$12="HoH",7,4))))*INDEX('How This Works &amp; Sources'!$B$19:$J$26,0,IF('Second Earner'!$C$12="MFJ",1,IF('Second Earner'!$C$12="HoH",7,4))+2))))</f>
      </c>
      <c r="BV68" s="24">
        <f>IF($B68="","",IF($BZ68&lt;&gt;"",$BZ68,IF($CA68&lt;&gt;"",$CA68,IF($CB68&lt;&gt;"",$CB68,IF($CC68&lt;&gt;"",$CC68,0)))))</f>
      </c>
      <c r="BW68" s="7">
        <f>IF($B68="","",IF($AN68="AR",SUMPRODUCT(($AZ68&gt;INDEX('How This Works &amp; Sources'!$B$82:$J$86,0,7))*($AZ68-INDEX('How This Works &amp; Sources'!$B$82:$J$86,0,7))*INDEX('How This Works &amp; Sources'!$B$82:$J$86,0,7+2)),IF($AN68="MD",IF(OR($AU68="Married",$AU68="Head of household"),SUMPRODUCT(($AZ68&gt;INDEX('How This Works &amp; Sources'!$B$114:$J$120,0,1))*($AZ68-INDEX('How This Works &amp; Sources'!$B$114:$J$120,0,1))*INDEX('How This Works &amp; Sources'!$B$114:$J$120,0,1+2)),SUMPRODUCT(($AZ68&gt;INDEX('How This Works &amp; Sources'!$B$103:$J$109,0,7))*($AZ68-INDEX('How This Works &amp; Sources'!$B$103:$J$109,0,7))*INDEX('How This Works &amp; Sources'!$B$103:$J$109,0,7+2))),IF($AN68="MT",IF($AU68="Head of household",SUMPRODUCT(($AZ68&gt;INDEX('How This Works &amp; Sources'!$B$137:$J$139,0,1))*($AZ68-INDEX('How This Works &amp; Sources'!$B$137:$J$139,0,1))*INDEX('How This Works &amp; Sources'!$B$137:$J$139,0,1+2)),IF($AU68="Married",SUMPRODUCT(($AZ68&gt;INDEX('How This Works &amp; Sources'!$B$125:$J$132,0,7))*($AZ68-INDEX('How This Works &amp; Sources'!$B$125:$J$132,0,7))*INDEX('How This Works &amp; Sources'!$B$125:$J$132,0,7+2)),SUMPRODUCT(($AZ68&gt;INDEX('How This Works &amp; Sources'!$B$125:$J$132,0,4))*($AZ68-INDEX('How This Works &amp; Sources'!$B$125:$J$132,0,4))*INDEX('How This Works &amp; Sources'!$B$125:$J$132,0,4+2)))),IF($AN68="ND",IF($AU68="Head of household",SUMPRODUCT(($AZ68&gt;INDEX('How This Works &amp; Sources'!$B$144:$J$150,0,1))*($AZ68-INDEX('How This Works &amp; Sources'!$B$144:$J$150,0,1))*INDEX('How This Works &amp; Sources'!$B$144:$J$150,0,1+2)),IF($AU68="Married",SUMPRODUCT(($AZ68&gt;INDEX('How This Works &amp; Sources'!$B$137:$J$139,0,7))*($AZ68-INDEX('How This Works &amp; Sources'!$B$137:$J$139,0,7))*INDEX('How This Works &amp; Sources'!$B$137:$J$139,0,7+2)),SUMPRODUCT(($AZ68&gt;INDEX('How This Works &amp; Sources'!$B$137:$J$139,0,4))*($AZ68-INDEX('How This Works &amp; Sources'!$B$137:$J$139,0,4))*INDEX('How This Works &amp; Sources'!$B$137:$J$139,0,4+2)))),IF($AN68="NJ",IF('Second Earner'!$C$77="B",SUMPRODUCT(($AZ68&gt;INDEX('How This Works &amp; Sources'!$B$155:$J$162,0,4))*($AZ68-INDEX('How This Works &amp; Sources'!$B$155:$J$162,0,4))*INDEX('How This Works &amp; Sources'!$B$155:$J$162,0,4+2)),IF('Second Earner'!$C$77="C",SUMPRODUCT(($AZ68&gt;INDEX('How This Works &amp; Sources'!$B$155:$J$162,0,7))*($AZ68-INDEX('How This Works &amp; Sources'!$B$155:$J$162,0,7))*INDEX('How This Works &amp; Sources'!$B$155:$J$162,0,7+2)),IF('Second Earner'!$C$77="D",SUMPRODUCT(($AZ68&gt;INDEX('How This Works &amp; Sources'!$B$167:$J$179,0,1))*($AZ68-INDEX('How This Works &amp; Sources'!$B$167:$J$179,0,1))*INDEX('How This Works &amp; Sources'!$B$167:$J$179,0,1+2)),IF('Second Earner'!$C$77="E",SUMPRODUCT(($AZ68&gt;INDEX('How This Works &amp; Sources'!$B$167:$J$179,0,4))*($AZ68-INDEX('How This Works &amp; Sources'!$B$167:$J$179,0,4))*INDEX('How This Works &amp; Sources'!$B$167:$J$179,0,4+2)),SUMPRODUCT(($AZ68&gt;INDEX('How This Works &amp; Sources'!$B$155:$J$162,0,1))*($AZ68-INDEX('How This Works &amp; Sources'!$B$155:$J$162,0,1))*INDEX('How This Works &amp; Sources'!$B$155:$J$162,0,1+2)))))),IF($AN68="NY",IF($AU68="Married",IF($AZ68&gt;=2155350,$AZ68*IF($AZ68&gt;25000000,0.117,IF($AZ68&gt;5000000,0.111,0.1045)),SUMPRODUCT(($AZ68&gt;INDEX('How This Works &amp; Sources'!$B$184:$J$198,0,1))*($AZ68-INDEX('How This Works &amp; Sources'!$B$184:$J$198,0,1))*INDEX('How This Works &amp; Sources'!$B$184:$J$198,0,1+2))),IF($AZ68&gt;=1077550,$AZ68*IF($AZ68&gt;25000000,0.117,IF($AZ68&gt;5000000,0.111,0.1045)),SUMPRODUCT(($AZ68&gt;INDEX('How This Works &amp; Sources'!$B$167:$J$179,0,7))*($AZ68-INDEX('How This Works &amp; Sources'!$B$167:$J$179,0,7))*INDEX('How This Works &amp; Sources'!$B$167:$J$179,0,7+2)))),"")))))))</f>
      </c>
      <c r="BX68" s="7">
        <f>IF($B68="","",IF($AN68="AL",IF(OR($AU68="Married",$AU68="Head of household"),SUMPRODUCT(($AZ68&gt;INDEX('How This Works &amp; Sources'!$B$82:$J$86,0,4))*($AZ68-INDEX('How This Works &amp; Sources'!$B$82:$J$86,0,4))*INDEX('How This Works &amp; Sources'!$B$82:$J$86,0,4+2)),SUMPRODUCT(($AZ68&gt;INDEX('How This Works &amp; Sources'!$B$82:$J$86,0,1))*($AZ68-INDEX('How This Works &amp; Sources'!$B$82:$J$86,0,1))*INDEX('How This Works &amp; Sources'!$B$82:$J$86,0,1+2))),IF($AN68="KS",IF($AU68="Married",SUMPRODUCT(($AZ68&gt;INDEX('How This Works &amp; Sources'!$B$103:$J$109,0,4))*($AZ68-INDEX('How This Works &amp; Sources'!$B$103:$J$109,0,4))*INDEX('How This Works &amp; Sources'!$B$103:$J$109,0,4+2)),SUMPRODUCT(($AZ68&gt;INDEX('How This Works &amp; Sources'!$B$103:$J$109,0,1))*($AZ68-INDEX('How This Works &amp; Sources'!$B$103:$J$109,0,1))*INDEX('How This Works &amp; Sources'!$B$103:$J$109,0,1+2))),IF($AN68="MN",IF($AU68="Married",SUMPRODUCT(($AZ68&gt;INDEX('How This Works &amp; Sources'!$B$114:$J$120,0,7))*($AZ68-INDEX('How This Works &amp; Sources'!$B$114:$J$120,0,7))*INDEX('How This Works &amp; Sources'!$B$114:$J$120,0,7+2)),SUMPRODUCT(($AZ68&gt;INDEX('How This Works &amp; Sources'!$B$114:$J$120,0,4))*($AZ68-INDEX('How This Works &amp; Sources'!$B$114:$J$120,0,4))*INDEX('How This Works &amp; Sources'!$B$114:$J$120,0,4+2))),IF($AN68="MO",SUMPRODUCT(($AZ68&gt;INDEX('How This Works &amp; Sources'!$B$125:$J$132,0,1))*($AZ68-INDEX('How This Works &amp; Sources'!$B$125:$J$132,0,1))*INDEX('How This Works &amp; Sources'!$B$125:$J$132,0,1+2)),IF($AN68="NE",MAX(IF($AU68="Married",SUMPRODUCT(($AZ68&gt;INDEX('How This Works &amp; Sources'!$B$144:$J$150,0,7))*($AZ68-INDEX('How This Works &amp; Sources'!$B$144:$J$150,0,7))*INDEX('How This Works &amp; Sources'!$B$144:$J$150,0,7+2)),SUMPRODUCT(($AZ68&gt;INDEX('How This Works &amp; Sources'!$B$144:$J$150,0,4))*($AZ68-INDEX('How This Works &amp; Sources'!$B$144:$J$150,0,4))*INDEX('How This Works &amp; Sources'!$B$144:$J$150,0,4+2))),0.015*$AZ68),IF($AN68="OH",IF($B68&gt;=DATE(2026,8,1),SUMPRODUCT(($AZ68&gt;INDEX('How This Works &amp; Sources'!$B$203:$J$206,0,1))*($AZ68-INDEX('How This Works &amp; Sources'!$B$203:$J$206,0,1))*INDEX('How This Works &amp; Sources'!$B$203:$J$206,0,1+2)),SUMPRODUCT(($AZ68&gt;INDEX('How This Works &amp; Sources'!$B$184:$J$198,0,7))*($AZ68-INDEX('How This Works &amp; Sources'!$B$184:$J$198,0,7))*INDEX('How This Works &amp; Sources'!$B$184:$J$198,0,7+2))),IF($AN68="OK",IF($AU68="Married",SUMPRODUCT(($AZ68&gt;INDEX('How This Works &amp; Sources'!$B$203:$J$206,0,7))*($AZ68-INDEX('How This Works &amp; Sources'!$B$203:$J$206,0,7))*INDEX('How This Works &amp; Sources'!$B$203:$J$206,0,7+2)),SUMPRODUCT(($AZ68&gt;INDEX('How This Works &amp; Sources'!$B$203:$J$206,0,4))*($AZ68-INDEX('How This Works &amp; Sources'!$B$203:$J$206,0,4))*INDEX('How This Works &amp; Sources'!$B$203:$J$206,0,4+2))),IF($AN68="VT",IF($AU68="Married",SUMPRODUCT(($AZ68&gt;INDEX('How This Works &amp; Sources'!$B$228:$J$232,0,1))*($AZ68-INDEX('How This Works &amp; Sources'!$B$228:$J$232,0,1))*INDEX('How This Works &amp; Sources'!$B$228:$J$232,0,1+2)),SUMPRODUCT(($AZ68&gt;INDEX('How This Works &amp; Sources'!$B$219:$J$223,0,7))*($AZ68-INDEX('How This Works &amp; Sources'!$B$219:$J$223,0,7))*INDEX('How This Works &amp; Sources'!$B$219:$J$223,0,7+2))),IF($AN68="WV",IF($AU68="Married",SUMPRODUCT(($AZ68&gt;INDEX('How This Works &amp; Sources'!$B$237:$J$241,0,7))*($AZ68-INDEX('How This Works &amp; Sources'!$B$237:$J$241,0,7))*INDEX('How This Works &amp; Sources'!$B$237:$J$241,0,7+2)),SUMPRODUCT(($AZ68&gt;INDEX('How This Works &amp; Sources'!$B$228:$J$232,0,7))*($AZ68-INDEX('How This Works &amp; Sources'!$B$228:$J$232,0,7))*INDEX('How This Works &amp; Sources'!$B$228:$J$232,0,7+2))),""))))))))))</f>
      </c>
      <c r="BY68" s="7">
        <f>IF($B68="","",IF($AN68="DE",SUMPRODUCT(($AZ68&gt;INDEX('How This Works &amp; Sources'!$B$91:$J$98,0,1))*($AZ68-INDEX('How This Works &amp; Sources'!$B$91:$J$98,0,1))*INDEX('How This Works &amp; Sources'!$B$91:$J$98,0,1+2)),IF($AN68="HI",IF($AU68="Married",SUMPRODUCT(($AZ68&gt;INDEX('How This Works &amp; Sources'!$B$91:$J$98,0,7))*($AZ68-INDEX('How This Works &amp; Sources'!$B$91:$J$98,0,7))*INDEX('How This Works &amp; Sources'!$B$91:$J$98,0,7+2)),SUMPRODUCT(($AZ68&gt;INDEX('How This Works &amp; Sources'!$B$91:$J$98,0,4))*($AZ68-INDEX('How This Works &amp; Sources'!$B$91:$J$98,0,4))*INDEX('How This Works &amp; Sources'!$B$91:$J$98,0,4+2))),IF($AN68="RI",SUMPRODUCT(($AZ68&gt;INDEX('How This Works &amp; Sources'!$B$211:$J$214,0,7))*($AZ68-INDEX('How This Works &amp; Sources'!$B$211:$J$214,0,7))*INDEX('How This Works &amp; Sources'!$B$211:$J$214,0,7+2)),IF($AN68="SC",SUMPRODUCT(($AZ68&gt;INDEX('How This Works &amp; Sources'!$B$219:$J$223,0,1))*($AZ68-INDEX('How This Works &amp; Sources'!$B$219:$J$223,0,1))*INDEX('How This Works &amp; Sources'!$B$219:$J$223,0,1+2)),IF($AN68="VA",SUMPRODUCT(($AZ68&gt;INDEX('How This Works &amp; Sources'!$B$219:$J$223,0,4))*($AZ68-INDEX('How This Works &amp; Sources'!$B$219:$J$223,0,4))*INDEX('How This Works &amp; Sources'!$B$219:$J$223,0,4+2)),IF($AN68="WI",SUMPRODUCT(($AZ68&gt;INDEX('How This Works &amp; Sources'!$B$228:$J$232,0,4))*($AZ68-INDEX('How This Works &amp; Sources'!$B$228:$J$232,0,4))*INDEX('How This Works &amp; Sources'!$B$228:$J$232,0,4+2)),"")))))))</f>
      </c>
      <c r="BZ68" s="24">
        <f>IF($B68="","",IF($AN68="KS",IF($AU68="Married",SUMPRODUCT(($AZ68&gt;=INDEX('How This Works &amp; Sources'!$B$103:$J$109,0,4))*INDEX('How This Works &amp; Sources'!$B$103:$J$109,0,4+2)),SUMPRODUCT(($AZ68&gt;=INDEX('How This Works &amp; Sources'!$B$103:$J$109,0,1))*INDEX('How This Works &amp; Sources'!$B$103:$J$109,0,1+2))),IF($AN68="MT",IF($AU68="Head of household",SUMPRODUCT(($AZ68&gt;=INDEX('How This Works &amp; Sources'!$B$137:$J$139,0,1))*INDEX('How This Works &amp; Sources'!$B$137:$J$139,0,1+2)),IF($AU68="Married",SUMPRODUCT(($AZ68&gt;=INDEX('How This Works &amp; Sources'!$B$125:$J$132,0,7))*INDEX('How This Works &amp; Sources'!$B$125:$J$132,0,7+2)),SUMPRODUCT(($AZ68&gt;=INDEX('How This Works &amp; Sources'!$B$125:$J$132,0,4))*INDEX('How This Works &amp; Sources'!$B$125:$J$132,0,4+2)))),IF($AN68="OR",IF(OR($AU68="Married",AND($AU68="Single",$AS68&gt;=3)),SUMPRODUCT((MAX(0,$AY68-MIN(($P68-'How This Works &amp; Sources'!$C$10*$D68)*'Second Earner'!$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Sources'!$B$211:$J$214,0,4))*INDEX('How This Works &amp; Sources'!$B$211:$J$214,0,4+2)),SUMPRODUCT((MAX(0,$AY68-MIN(($P68-'How This Works &amp; Sources'!$C$10*$D68)*'Second Earner'!$C$8,IF(OR($AU68="Married",AND($AU68="Single",$AS68&gt;=3)),IF($AY68&lt;250000,8750,IF($AY68&lt;260000,7000,IF($AY68&lt;270000,5250,IF($AY68&lt;280000,3500,IF($AY68&lt;290000,1750,0))))),IF($AY68&lt;125000,8750,IF($AY68&lt;130000,7000,IF($AY68&lt;135000,5250,IF($AY68&lt;140000,3500,IF($AY68&lt;145000,1750,0)))))))-IF(OR($AU68="Married",AND($AU68="Single",$AS68&gt;=3)),5820,2910))&gt;=INDEX('How This Works &amp; Sources'!$B$211:$J$214,0,1))*INDEX('How This Works &amp; Sources'!$B$211:$J$214,0,1+2)))*IF(($P68-'How This Works &amp; Sources'!$C$10*$D68)*'Second Earner'!$C$8&gt;=IF(OR($AU68="Married",AND($AU68="Single",$AS68&gt;=3)),IF($AY68&lt;250000,8750,IF($AY68&lt;260000,7000,IF($AY68&lt;270000,5250,IF($AY68&lt;280000,3500,IF($AY68&lt;290000,1750,0))))),IF($AY68&lt;125000,8750,IF($AY68&lt;130000,7000,IF($AY68&lt;135000,5250,IF($AY68&lt;140000,3500,IF($AY68&lt;145000,1750,0)))))),1,1-IF('Second Earner'!$C$13,SUMPRODUCT(($AH68&gt;=INDEX('How This Works &amp; Sources'!$B$29:$J$36,0,IF('Second Earner'!$C$12="MFJ",1,IF('Second Earner'!$C$12="HoH",7,4))))*INDEX('How This Works &amp; Sources'!$B$29:$J$36,0,IF('Second Earner'!$C$12="MFJ",1,IF('Second Earner'!$C$12="HoH",7,4))+2)),SUMPRODUCT(($AH68&gt;=INDEX('How This Works &amp; Sources'!$B$19:$J$26,0,IF('Second Earner'!$C$12="MFJ",1,IF('Second Earner'!$C$12="HoH",7,4))))*INDEX('How This Works &amp; Sources'!$B$19:$J$26,0,IF('Second Earner'!$C$12="MFJ",1,IF('Second Earner'!$C$12="HoH",7,4))+2)))),""))))</f>
      </c>
      <c r="CA68" s="24">
        <f>IF($B68="","",IF($AN68="CA",SUMPRODUCT(($AJ68&gt;=INDEX('How This Works &amp; Sources'!$B$39:$J$48,0,IF($AU68="Married",4,IF($AU68="Head of household",7,1))))*INDEX('How This Works &amp; Sources'!$B$39:$J$48,0,IF($AU68="Married",4,IF($AU68="Head of household",7,1))+2)),IF($AN68="AL",IF(OR($AU68="Married",$AU68="Head of household"),SUMPRODUCT(($AZ68&gt;=INDEX('How This Works &amp; Sources'!$B$82:$J$86,0,4))*INDEX('How This Works &amp; Sources'!$B$82:$J$86,0,4+2)),SUMPRODUCT(($AZ68&gt;=INDEX('How This Works &amp; Sources'!$B$82:$J$86,0,1))*INDEX('How This Works &amp; Sources'!$B$82:$J$86,0,1+2)))*(1-IF('Second Earner'!$C$13,SUMPRODUCT(($AH68&gt;=INDEX('How This Works &amp; Sources'!$B$29:$J$36,0,IF('Second Earner'!$C$12="MFJ",1,IF('Second Earner'!$C$12="HoH",7,4))))*INDEX('How This Works &amp; Sources'!$B$29:$J$36,0,IF('Second Earner'!$C$12="MFJ",1,IF('Second Earner'!$C$12="HoH",7,4))+2)),SUMPRODUCT(($AH68&gt;=INDEX('How This Works &amp; Sources'!$B$19:$J$26,0,IF('Second Earner'!$C$12="MFJ",1,IF('Second Earner'!$C$12="HoH",7,4))))*INDEX('How This Works &amp; Sources'!$B$19:$J$26,0,IF('Second Earner'!$C$12="MFJ",1,IF('Second Earner'!$C$12="HoH",7,4))+2)))),IF($AN68="ND",IF($AU68="Head of household",SUMPRODUCT(($AZ68&gt;=INDEX('How This Works &amp; Sources'!$B$144:$J$150,0,1))*INDEX('How This Works &amp; Sources'!$B$144:$J$150,0,1+2)),IF($AU68="Married",SUMPRODUCT(($AZ68&gt;=INDEX('How This Works &amp; Sources'!$B$137:$J$139,0,7))*INDEX('How This Works &amp; Sources'!$B$137:$J$139,0,7+2)),SUMPRODUCT(($AZ68&gt;=INDEX('How This Works &amp; Sources'!$B$137:$J$139,0,4))*INDEX('How This Works &amp; Sources'!$B$137:$J$139,0,4+2)))),IF($AN68="NJ",IF('Second Earner'!$C$77="B",SUMPRODUCT(($AZ68&gt;=INDEX('How This Works &amp; Sources'!$B$155:$J$162,0,4))*INDEX('How This Works &amp; Sources'!$B$155:$J$162,0,4+2)),IF('Second Earner'!$C$77="C",SUMPRODUCT(($AZ68&gt;=INDEX('How This Works &amp; Sources'!$B$155:$J$162,0,7))*INDEX('How This Works &amp; Sources'!$B$155:$J$162,0,7+2)),IF('Second Earner'!$C$77="D",SUMPRODUCT(($AZ68&gt;=INDEX('How This Works &amp; Sources'!$B$167:$J$179,0,1))*INDEX('How This Works &amp; Sources'!$B$167:$J$179,0,1+2)),IF('Second Earner'!$C$77="E",SUMPRODUCT(($AZ68&gt;=INDEX('How This Works &amp; Sources'!$B$167:$J$179,0,4))*INDEX('How This Works &amp; Sources'!$B$167:$J$179,0,4+2)),SUMPRODUCT(($AZ68&gt;=INDEX('How This Works &amp; Sources'!$B$155:$J$162,0,1))*INDEX('How This Works &amp; Sources'!$B$155:$J$162,0,1+2)))))),IF($AN68="NY",IF($AU68="Married",IF($AZ68&gt;=2155350,IF($AZ68&gt;25000000,0.117,IF($AZ68&gt;5000000,0.111,0.1045)),SUMPRODUCT(($AZ68&gt;=INDEX('How This Works &amp; Sources'!$B$184:$J$198,0,1))*INDEX('How This Works &amp; Sources'!$B$184:$J$198,0,1+2))),IF($AZ68&gt;=1077550,IF($AZ68&gt;25000000,0.117,IF($AZ68&gt;5000000,0.111,0.1045)),SUMPRODUCT(($AZ68&gt;=INDEX('How This Works &amp; Sources'!$B$167:$J$179,0,7))*INDEX('How This Works &amp; Sources'!$B$167:$J$179,0,7+2)))),IF($AN68="LA",0.0309,"")))))))</f>
      </c>
      <c r="CB68" s="24">
        <f>IF($B68="","",IF($AN68="HI",IF($AU68="Married",SUMPRODUCT(($AZ68&gt;=INDEX('How This Works &amp; Sources'!$B$91:$J$98,0,7))*INDEX('How This Works &amp; Sources'!$B$91:$J$98,0,7+2)),SUMPRODUCT(($AZ68&gt;=INDEX('How This Works &amp; Sources'!$B$91:$J$98,0,4))*INDEX('How This Works &amp; Sources'!$B$91:$J$98,0,4+2))),IF($AN68="MD",IF(OR($AU68="Married",$AU68="Head of household"),SUMPRODUCT(($AZ68&gt;=INDEX('How This Works &amp; Sources'!$B$114:$J$120,0,1))*INDEX('How This Works &amp; Sources'!$B$114:$J$120,0,1+2)),SUMPRODUCT(($AZ68&gt;=INDEX('How This Works &amp; Sources'!$B$103:$J$109,0,7))*INDEX('How This Works &amp; Sources'!$B$103:$J$109,0,7+2)))+'Second Earner'!$C$74,IF($AN68="MN",IF($AU68="Married",SUMPRODUCT(($AZ68&gt;=INDEX('How This Works &amp; Sources'!$B$114:$J$120,0,7))*INDEX('How This Works &amp; Sources'!$B$114:$J$120,0,7+2)),SUMPRODUCT(($AZ68&gt;=INDEX('How This Works &amp; Sources'!$B$114:$J$120,0,4))*INDEX('How This Works &amp; Sources'!$B$114:$J$120,0,4+2))),IF($AN68="MO",SUMPRODUCT(($AZ68&gt;=INDEX('How This Works &amp; Sources'!$B$125:$J$132,0,1))*INDEX('How This Works &amp; Sources'!$B$125:$J$132,0,1+2)),IF($AN68="NE",MAX(IF($AU68="Married",SUMPRODUCT(($AZ68&gt;=INDEX('How This Works &amp; Sources'!$B$144:$J$150,0,7))*INDEX('How This Works &amp; Sources'!$B$144:$J$150,0,7+2)),SUMPRODUCT(($AZ68&gt;=INDEX('How This Works &amp; Sources'!$B$144:$J$150,0,4))*INDEX('How This Works &amp; Sources'!$B$144:$J$150,0,4+2))),0.015),IF($AN68="OH",IF($B68&gt;=DATE(2026,8,1),SUMPRODUCT(($AZ68&gt;=INDEX('How This Works &amp; Sources'!$B$203:$J$206,0,1))*INDEX('How This Works &amp; Sources'!$B$203:$J$206,0,1+2)),SUMPRODUCT(($AZ68&gt;=INDEX('How This Works &amp; Sources'!$B$184:$J$198,0,7))*INDEX('How This Works &amp; Sources'!$B$184:$J$198,0,7+2))),IF($AN68="OK",IF($AU68="Married",SUMPRODUCT(($AZ68&gt;=INDEX('How This Works &amp; Sources'!$B$203:$J$206,0,7))*INDEX('How This Works &amp; Sources'!$B$203:$J$206,0,7+2)),SUMPRODUCT(($AZ68&gt;=INDEX('How This Works &amp; Sources'!$B$203:$J$206,0,4))*INDEX('How This Works &amp; Sources'!$B$203:$J$206,0,4+2))),IF($AN68="RI",SUMPRODUCT(($AZ68&gt;=INDEX('How This Works &amp; Sources'!$B$211:$J$214,0,7))*INDEX('How This Works &amp; Sources'!$B$211:$J$214,0,7+2)),IF($AN68="VT",IF($AU68="Married",SUMPRODUCT(($AZ68&gt;=INDEX('How This Works &amp; Sources'!$B$228:$J$232,0,1))*INDEX('How This Works &amp; Sources'!$B$228:$J$232,0,1+2)),SUMPRODUCT(($AZ68&gt;=INDEX('How This Works &amp; Sources'!$B$219:$J$223,0,7))*INDEX('How This Works &amp; Sources'!$B$219:$J$223,0,7+2))),IF($AN68="WV",IF($AU68="Married",SUMPRODUCT(($AZ68&gt;=INDEX('How This Works &amp; Sources'!$B$237:$J$241,0,7))*INDEX('How This Works &amp; Sources'!$B$237:$J$241,0,7+2)),SUMPRODUCT(($AZ68&gt;=INDEX('How This Works &amp; Sources'!$B$228:$J$232,0,7))*INDEX('How This Works &amp; Sources'!$B$228:$J$232,0,7+2))),IF($AN68="AZ",'Second Earner'!$C$82,IF($AN68="ID",IF($AY68&gt;IF($AU68="Married",32000,16094),0.053,0),"")))))))))))))</f>
      </c>
      <c r="CC68" s="24">
        <f>IF($B68="","",IF($AN68="AR",SUMPRODUCT(($AZ68&gt;=INDEX('How This Works &amp; Sources'!$B$82:$J$86,0,7))*INDEX('How This Works &amp; Sources'!$B$82:$J$86,0,7+2)),IF($AN68="DE",SUMPRODUCT(($AZ68&gt;=INDEX('How This Works &amp; Sources'!$B$91:$J$98,0,1))*INDEX('How This Works &amp; Sources'!$B$91:$J$98,0,1+2)),IF($AN68="SC",SUMPRODUCT(($AZ68&gt;=INDEX('How This Works &amp; Sources'!$B$219:$J$223,0,1))*INDEX('How This Works &amp; Sources'!$B$219:$J$223,0,1+2)),IF($AN68="VA",SUMPRODUCT(($AZ68&gt;=INDEX('How This Works &amp; Sources'!$B$219:$J$223,0,4))*INDEX('How This Works &amp; Sources'!$B$219:$J$223,0,4+2)),IF($AN68="WI",SUMPRODUCT(($AZ68&gt;=INDEX('How This Works &amp; Sources'!$B$228:$J$232,0,4))*INDEX('How This Works &amp; Sources'!$B$228:$J$232,0,4+2)),IF($AN68="CO",IF($AY68&gt;IF($AU68="Married",10000,5000),0.044,0),IF($AN68="IA",IF($AY68&gt;IF($AU68="Head of household",19500,IF($AU68="Married",26000,13000)),0.038,0),IF($AN68="IL",IF($AY68&gt;(2925*$AS68+1000*$AT68),0.0495,0),IF($AN68="IN",(0.0295+'Second Earner'!$C$76),IF($AN68="KY",IF($AI68&gt;3360,0.035,0),IF($AN68="MA",IF(MAX(0,$AY68-MIN(($BD67+$Q68+$R68+$S68),2000)-IF($AS68=0,0,IF($AS68=1,4400,1000*$AS68+3400)))&gt;=1107750,0.09,0.05),IF($AN68="MI",IF($AY68&gt;5900*$AS68,0.0425,0),IF($AN68="MS",IF($AI68-IF($AU68="Head of household",3400,IF($AU68="Married",4600,2300))-'Second Earner'!$C$85&gt;10000,0.04,0),IF($AN68="PA",0.0307,"")))))))))))))))</f>
      </c>
      <c r="CD68" s="21">
        <f>IF(YEAR(IF('Second Earner'!$C$7="Weekly",'Second Earner'!$C$9+7*(($BE67+1)-1),IF('Second Earner'!$C$7="Biweekly",'Second Earner'!$C$9+14*(($BE67+1)-1),IF('Second Earner'!$C$7="Semimonthly",DATE(YEAR('Second Earner'!$C$9),MONTH('Second Earner'!$C$9)+INT((($BE67+1)-1)/2),MIN(DAY('Second Earner'!$C$9),DAY(EOMONTH(DATE(YEAR('Second Earner'!$C$9),MONTH('Second Earner'!$C$9)+INT((($BE67+1)-1)/2),1),0))))+IF(MOD(($BE67+1)-1,2)=1,15,0),EDATE('Second Earner'!$C$9,($BE67+1)-1)))))&lt;&gt;'Second Earner'!$C$10,"",IF('Second Earner'!$C$7="Weekly",'Second Earner'!$C$9+7*(($BE67+1)-1),IF('Second Earner'!$C$7="Biweekly",'Second Earner'!$C$9+14*(($BE67+1)-1),IF('Second Earner'!$C$7="Semimonthly",DATE(YEAR('Second Earner'!$C$9),MONTH('Second Earner'!$C$9)+INT((($BE67+1)-1)/2),MIN(DAY('Second Earner'!$C$9),DAY(EOMONTH(DATE(YEAR('Second Earner'!$C$9),MONTH('Second Earner'!$C$9)+INT((($BE67+1)-1)/2),1),0))))+IF(MOD(($BE67+1)-1,2)=1,15,0),EDATE('Second Earner'!$C$9,($BE67+1)-1)))))</f>
      </c>
      <c r="CE68" s="21">
        <f>IF(MIN(IF(AND('Second Earner'!$C$58&gt;MAX($B$6:$B67),'Second Earner'!$C$58&gt;=DATE('Second Earner'!$C$10,1,1),'Second Earner'!$C$58&lt;=DATE('Second Earner'!$C$10,12,31)),'Second Earner'!$C$58,999999),IF(AND('Second Earner'!$C$59&gt;MAX($B$6:$B67),'Second Earner'!$C$59&gt;=DATE('Second Earner'!$C$10,1,1),'Second Earner'!$C$59&lt;=DATE('Second Earner'!$C$10,12,31)),'Second Earner'!$C$59,999999),IF(AND('Second Earner'!$C$60&gt;MAX($B$6:$B67),'Second Earner'!$C$60&gt;=DATE('Second Earner'!$C$10,1,1),'Second Earner'!$C$60&lt;=DATE('Second Earner'!$C$10,12,31)),'Second Earner'!$C$60,999999),IF(AND('Second Earner'!$C$61&gt;MAX($B$6:$B67),'Second Earner'!$C$61&gt;=DATE('Second Earner'!$C$10,1,1),'Second Earner'!$C$61&lt;=DATE('Second Earner'!$C$10,12,31)),'Second Earner'!$C$61,999999),IF(AND('Second Earner'!$C$62&gt;MAX($B$6:$B67),'Second Earner'!$C$62&gt;=DATE('Second Earner'!$C$10,1,1),'Second Earner'!$C$62&lt;=DATE('Second Earner'!$C$10,12,31)),'Second Earner'!$C$62,999999),IF(AND('Second Earner'!$C$63&gt;MAX($B$6:$B67),'Second Earner'!$C$63&gt;=DATE('Second Earner'!$C$10,1,1),'Second Earner'!$C$63&lt;=DATE('Second Earner'!$C$10,12,31)),'Second Earner'!$C$63,999999),IF(AND('Second Earner'!$C$64&gt;MAX($B$6:$B67),'Second Earner'!$C$64&gt;=DATE('Second Earner'!$C$10,1,1),'Second Earner'!$C$64&lt;=DATE('Second Earner'!$C$10,12,31)),'Second Earner'!$C$64,999999),IF(AND('Second Earner'!$C$65&gt;MAX($B$6:$B67),'Second Earner'!$C$65&gt;=DATE('Second Earner'!$C$10,1,1),'Second Earner'!$C$65&lt;=DATE('Second Earner'!$C$10,12,31)),'Second Earner'!$C$65,999999),IF(AND('Second Earner'!$C$66&gt;MAX($B$6:$B67),'Second Earner'!$C$66&gt;=DATE('Second Earner'!$C$10,1,1),'Second Earner'!$C$66&lt;=DATE('Second Earner'!$C$10,12,31)),'Second Earner'!$C$66,999999),IF(AND('Second Earner'!$C$67&gt;MAX($B$6:$B67),'Second Earner'!$C$67&gt;=DATE('Second Earner'!$C$10,1,1),'Second Earner'!$C$67&lt;=DATE('Second Earner'!$C$10,12,31)),'Second Earner'!$C$67,999999))=999999,"",MIN(IF(AND('Second Earner'!$C$58&gt;MAX($B$6:$B67),'Second Earner'!$C$58&gt;=DATE('Second Earner'!$C$10,1,1),'Second Earner'!$C$58&lt;=DATE('Second Earner'!$C$10,12,31)),'Second Earner'!$C$58,999999),IF(AND('Second Earner'!$C$59&gt;MAX($B$6:$B67),'Second Earner'!$C$59&gt;=DATE('Second Earner'!$C$10,1,1),'Second Earner'!$C$59&lt;=DATE('Second Earner'!$C$10,12,31)),'Second Earner'!$C$59,999999),IF(AND('Second Earner'!$C$60&gt;MAX($B$6:$B67),'Second Earner'!$C$60&gt;=DATE('Second Earner'!$C$10,1,1),'Second Earner'!$C$60&lt;=DATE('Second Earner'!$C$10,12,31)),'Second Earner'!$C$60,999999),IF(AND('Second Earner'!$C$61&gt;MAX($B$6:$B67),'Second Earner'!$C$61&gt;=DATE('Second Earner'!$C$10,1,1),'Second Earner'!$C$61&lt;=DATE('Second Earner'!$C$10,12,31)),'Second Earner'!$C$61,999999),IF(AND('Second Earner'!$C$62&gt;MAX($B$6:$B67),'Second Earner'!$C$62&gt;=DATE('Second Earner'!$C$10,1,1),'Second Earner'!$C$62&lt;=DATE('Second Earner'!$C$10,12,31)),'Second Earner'!$C$62,999999),IF(AND('Second Earner'!$C$63&gt;MAX($B$6:$B67),'Second Earner'!$C$63&gt;=DATE('Second Earner'!$C$10,1,1),'Second Earner'!$C$63&lt;=DATE('Second Earner'!$C$10,12,31)),'Second Earner'!$C$63,999999),IF(AND('Second Earner'!$C$64&gt;MAX($B$6:$B67),'Second Earner'!$C$64&gt;=DATE('Second Earner'!$C$10,1,1),'Second Earner'!$C$64&lt;=DATE('Second Earner'!$C$10,12,31)),'Second Earner'!$C$64,999999),IF(AND('Second Earner'!$C$65&gt;MAX($B$6:$B67),'Second Earner'!$C$65&gt;=DATE('Second Earner'!$C$10,1,1),'Second Earner'!$C$65&lt;=DATE('Second Earner'!$C$10,12,31)),'Second Earner'!$C$65,999999),IF(AND('Second Earner'!$C$66&gt;MAX($B$6:$B67),'Second Earner'!$C$66&gt;=DATE('Second Earner'!$C$10,1,1),'Second Earner'!$C$66&lt;=DATE('Second Earner'!$C$10,12,31)),'Second Earner'!$C$66,999999),IF(AND('Second Earner'!$C$67&gt;MAX($B$6:$B67),'Second Earner'!$C$67&gt;=DATE('Second Earner'!$C$10,1,1),'Second Earner'!$C$67&lt;=DATE('Second Earner'!$C$10,12,31)),'Second Earner'!$C$67,999999)))</f>
      </c>
      <c r="CF68">
        <f>IF($B68="","",IF($D68=0,$Y68,""))</f>
      </c>
    </row>
  </sheetData>
  <sheetProtection selectLockedCells="0" selectUnlockedCells="0" sheet="1" objects="0" insertRows="1" insertHyperlinks="1" autoFilter="1" scenarios="0" formatColumns="1" deleteColumns="1" insertColumns="1" pivotTables="1" deleteRows="1" formatCells="1" formatRows="1" sort="1"/>
  <mergeCells count="1">
    <mergeCell ref="B4:J4"/>
  </mergeCells>
  <conditionalFormatting sqref="T6:T68">
    <cfRule type="expression" priority="1" dxfId="1">
      <formula>AND($B6&lt;&gt;"",ISNUMBER(SEARCH("MANUAL",IFERROR(VLOOKUP($AN6,StateTables!$A$6:$AB$56,5,FALSE),""))),NOT('Second Earner'!$C$26),OR('Second Earner'!$C$28="",'Second Earner'!$C$28&lt;=0))</formula>
    </cfRule>
  </conditionalFormatting>
  <pageMargins left="0.75" right="0.75" top="1" bottom="1" header="0.5" footer="0.5"/>
  <pageSetup orientation="landscape" fitToHeight="0" fitToWidth="1"/>
</worksheet>
</file>

<file path=xl/worksheets/sheet7.xml><?xml version="1.0" encoding="utf-8"?>
<worksheet xmlns="http://schemas.openxmlformats.org/spreadsheetml/2006/main">
  <sheetPr>
    <tabColor rgb="00ED7D31"/>
    <outlinePr summaryBelow="1" summaryRight="1"/>
    <pageSetUpPr/>
  </sheetPr>
  <dimension ref="A1:J22"/>
  <sheetViews>
    <sheetView workbookViewId="0">
      <selection activeCell="A1" sqref="A1"/>
    </sheetView>
  </sheetViews>
  <sheetFormatPr baseColWidth="8" defaultRowHeight="15"/>
  <cols>
    <col width="2" customWidth="1" min="1" max="1"/>
    <col width="15" customWidth="1" min="2" max="2"/>
    <col width="21" customWidth="1" min="3" max="3"/>
    <col width="15" customWidth="1" min="4" max="4"/>
    <col width="15" customWidth="1" min="5" max="5"/>
    <col width="15" customWidth="1" min="6" max="6"/>
    <col width="15" customWidth="1" min="7" max="7"/>
    <col width="76" customWidth="1" min="8" max="8"/>
    <col hidden="1" width="15" customWidth="1" min="9" max="9"/>
    <col hidden="1" width="11" customWidth="1" min="10" max="10"/>
  </cols>
  <sheetData>
    <row r="1">
      <c r="B1" s="9" t="inlineStr">
        <is>
          <t>Changes — Earner 2</t>
        </is>
      </c>
    </row>
    <row r="2">
      <c r="B2" s="2" t="inlineStr">
        <is>
          <t>One row per change, effective on one of your pay dates. The schedule uses each event from its date forward; the Your Pay &amp; Benefits tab values apply until the first event of that type.</t>
        </is>
      </c>
    </row>
    <row r="3">
      <c r="B3" s="2" t="inlineStr">
        <is>
          <t>Employer change resets the Social Security wage cap (it is per-employer in real payroll) — enter any SS wages already taxed at the new employer in Value 1 (usually 0). The 401(k) cap does NOT reset: it is a per-person IRS limit. 'Deduction start/stop' begins or ends a paycheck deduction mid-year — a premium starting, an FSA/HSA election from a qualifying life event (birth, marriage, a spouse's job change), a commuter benefit ending.</t>
        </is>
      </c>
    </row>
    <row r="4"/>
    <row r="5">
      <c r="B5" s="81" t="inlineStr">
        <is>
          <t>Effective pay date</t>
        </is>
      </c>
      <c r="C5" s="81" t="inlineStr">
        <is>
          <t>Type</t>
        </is>
      </c>
      <c r="D5" s="81" t="inlineStr">
        <is>
          <t>Value 1</t>
        </is>
      </c>
      <c r="E5" s="81" t="inlineStr">
        <is>
          <t>Value 2</t>
        </is>
      </c>
      <c r="F5" s="81" t="inlineStr">
        <is>
          <t>Value 3</t>
        </is>
      </c>
      <c r="G5" s="81" t="inlineStr">
        <is>
          <t>Value 4</t>
        </is>
      </c>
      <c r="H5" s="81" t="inlineStr">
        <is>
          <t>Notes — what each type expects</t>
        </is>
      </c>
      <c r="I5" s="81" t="inlineStr">
        <is>
          <t>Resolved $ (engine)</t>
        </is>
      </c>
      <c r="J5" s="81" t="inlineStr">
        <is>
          <t>Stop? (engine)</t>
        </is>
      </c>
    </row>
    <row r="6">
      <c r="B6" s="38" t="n"/>
      <c r="C6" s="36" t="n"/>
      <c r="D6" s="36" t="n"/>
      <c r="E6" s="36" t="n"/>
      <c r="F6" s="36" t="n"/>
      <c r="G6" s="36" t="n"/>
      <c r="H6" s="2" t="inlineStr">
        <is>
          <t>Salary: V1=new salary · 401(k): V1=Percent/Fixed, V2=value · State move: V1=state, V2=status, V3=reg allow, V4=est allow · Employer: V1=SS wages already taxed at new employer · W-4: V1=Step 3, V2=4(a), V3=4(b), V4=4(c) · State cert: V3=reg allow, V4=est allow · Deduction start/stop: V1=which deduction (HSA, Health FSA, Dependent-care FSA, Premiums, Commuter, Other pre-tax, Other post-tax); start V2=new amount ($/check — but for an FSA, the new ANNUAL election)</t>
        </is>
      </c>
      <c r="I6" s="16">
        <f>IF($C6="Deduction stop",0,$E6)</f>
      </c>
      <c r="J6" s="20">
        <f>IF($C6="Deduction stop",1,IF($C6="Deduction start",0,""))</f>
      </c>
    </row>
    <row r="7">
      <c r="B7" s="38" t="n"/>
      <c r="C7" s="36" t="n"/>
      <c r="D7" s="36" t="n"/>
      <c r="E7" s="36" t="n"/>
      <c r="F7" s="36" t="n"/>
      <c r="G7" s="36" t="n"/>
      <c r="I7" s="16">
        <f>IF($C7="Deduction stop",0,$E7)</f>
      </c>
      <c r="J7" s="20">
        <f>IF($C7="Deduction stop",1,IF($C7="Deduction start",0,""))</f>
      </c>
    </row>
    <row r="8">
      <c r="B8" s="38" t="n"/>
      <c r="C8" s="36" t="n"/>
      <c r="D8" s="36" t="n"/>
      <c r="E8" s="36" t="n"/>
      <c r="F8" s="36" t="n"/>
      <c r="G8" s="36" t="n"/>
      <c r="I8" s="16">
        <f>IF($C8="Deduction stop",0,$E8)</f>
      </c>
      <c r="J8" s="20">
        <f>IF($C8="Deduction stop",1,IF($C8="Deduction start",0,""))</f>
      </c>
    </row>
    <row r="9">
      <c r="B9" s="38" t="n"/>
      <c r="C9" s="36" t="n"/>
      <c r="D9" s="36" t="n"/>
      <c r="E9" s="36" t="n"/>
      <c r="F9" s="36" t="n"/>
      <c r="G9" s="36" t="n"/>
      <c r="I9" s="16">
        <f>IF($C9="Deduction stop",0,$E9)</f>
      </c>
      <c r="J9" s="20">
        <f>IF($C9="Deduction stop",1,IF($C9="Deduction start",0,""))</f>
      </c>
    </row>
    <row r="10">
      <c r="B10" s="38" t="n"/>
      <c r="C10" s="36" t="n"/>
      <c r="D10" s="36" t="n"/>
      <c r="E10" s="36" t="n"/>
      <c r="F10" s="36" t="n"/>
      <c r="G10" s="36" t="n"/>
      <c r="I10" s="16">
        <f>IF($C10="Deduction stop",0,$E10)</f>
      </c>
      <c r="J10" s="20">
        <f>IF($C10="Deduction stop",1,IF($C10="Deduction start",0,""))</f>
      </c>
    </row>
    <row r="11">
      <c r="B11" s="38" t="n"/>
      <c r="C11" s="36" t="n"/>
      <c r="D11" s="36" t="n"/>
      <c r="E11" s="36" t="n"/>
      <c r="F11" s="36" t="n"/>
      <c r="G11" s="36" t="n"/>
      <c r="I11" s="16">
        <f>IF($C11="Deduction stop",0,$E11)</f>
      </c>
      <c r="J11" s="20">
        <f>IF($C11="Deduction stop",1,IF($C11="Deduction start",0,""))</f>
      </c>
    </row>
    <row r="12">
      <c r="B12" s="38" t="n"/>
      <c r="C12" s="36" t="n"/>
      <c r="D12" s="36" t="n"/>
      <c r="E12" s="36" t="n"/>
      <c r="F12" s="36" t="n"/>
      <c r="G12" s="36" t="n"/>
      <c r="I12" s="16">
        <f>IF($C12="Deduction stop",0,$E12)</f>
      </c>
      <c r="J12" s="20">
        <f>IF($C12="Deduction stop",1,IF($C12="Deduction start",0,""))</f>
      </c>
    </row>
    <row r="13">
      <c r="B13" s="38" t="n"/>
      <c r="C13" s="36" t="n"/>
      <c r="D13" s="36" t="n"/>
      <c r="E13" s="36" t="n"/>
      <c r="F13" s="36" t="n"/>
      <c r="G13" s="36" t="n"/>
      <c r="I13" s="16">
        <f>IF($C13="Deduction stop",0,$E13)</f>
      </c>
      <c r="J13" s="20">
        <f>IF($C13="Deduction stop",1,IF($C13="Deduction start",0,""))</f>
      </c>
    </row>
    <row r="14">
      <c r="B14" s="38" t="n"/>
      <c r="C14" s="36" t="n"/>
      <c r="D14" s="36" t="n"/>
      <c r="E14" s="36" t="n"/>
      <c r="F14" s="36" t="n"/>
      <c r="G14" s="36" t="n"/>
      <c r="I14" s="16">
        <f>IF($C14="Deduction stop",0,$E14)</f>
      </c>
      <c r="J14" s="20">
        <f>IF($C14="Deduction stop",1,IF($C14="Deduction start",0,""))</f>
      </c>
    </row>
    <row r="15">
      <c r="B15" s="38" t="n"/>
      <c r="C15" s="36" t="n"/>
      <c r="D15" s="36" t="n"/>
      <c r="E15" s="36" t="n"/>
      <c r="F15" s="36" t="n"/>
      <c r="G15" s="36" t="n"/>
      <c r="I15" s="16">
        <f>IF($C15="Deduction stop",0,$E15)</f>
      </c>
      <c r="J15" s="20">
        <f>IF($C15="Deduction stop",1,IF($C15="Deduction start",0,""))</f>
      </c>
    </row>
    <row r="16">
      <c r="B16" s="38" t="n"/>
      <c r="C16" s="36" t="n"/>
      <c r="D16" s="36" t="n"/>
      <c r="E16" s="36" t="n"/>
      <c r="F16" s="36" t="n"/>
      <c r="G16" s="36" t="n"/>
      <c r="I16" s="16">
        <f>IF($C16="Deduction stop",0,$E16)</f>
      </c>
      <c r="J16" s="20">
        <f>IF($C16="Deduction stop",1,IF($C16="Deduction start",0,""))</f>
      </c>
    </row>
    <row r="17">
      <c r="B17" s="38" t="n"/>
      <c r="C17" s="36" t="n"/>
      <c r="D17" s="36" t="n"/>
      <c r="E17" s="36" t="n"/>
      <c r="F17" s="36" t="n"/>
      <c r="G17" s="36" t="n"/>
      <c r="I17" s="16">
        <f>IF($C17="Deduction stop",0,$E17)</f>
      </c>
      <c r="J17" s="20">
        <f>IF($C17="Deduction stop",1,IF($C17="Deduction start",0,""))</f>
      </c>
    </row>
    <row r="18"/>
    <row r="19">
      <c r="B19" s="8">
        <f>IF(SUMPRODUCT((B6:B17&lt;&gt;"")*(COUNTIF('Your Year — Earner 2'!$B$6:$B$68,B6:B17)=0))&gt;0,"⚠ NOTE: an event date above does not fall exactly on a pay date. Events take effect on the first pay date on or after their date; a date after the final pay date never takes effect.","")</f>
      </c>
    </row>
    <row r="20"/>
    <row r="21">
      <c r="B21" s="2" t="inlineStr">
        <is>
          <t>Deduction start/stop — how it works: name the deduction in Value 1 exactly as listed in the note above. A start replaces the Your Pay &amp; Benefits amount from that pay date forward; a stop sets it to $0. For HSA, Premiums, Commuter and the two 'Other' lines the amount is dollars per check. For a Health FSA or Dependent-care FSA start, Value 2 is the new ANNUAL election: the planner spreads what is left of it over the paydays that remain in the year, the way payroll does after a qualifying life event. A later start for the same deduction overrides an earlier stop, and vice versa.</t>
        </is>
      </c>
    </row>
    <row r="22">
      <c r="B22" s="2" t="inlineStr">
        <is>
          <t>FSA elections normally can only change mid-year after a qualifying life event (birth, adoption, marriage, divorce, a spouse's job or coverage change) — your plan's rules govern what is allowed; this planner just does the math for the change you enter.</t>
        </is>
      </c>
    </row>
  </sheetData>
  <sheetProtection selectLockedCells="0" selectUnlockedCells="0" sheet="1" objects="0" insertRows="1" insertHyperlinks="1" autoFilter="1" scenarios="0" formatColumns="1" deleteColumns="1" insertColumns="1" pivotTables="1" deleteRows="1" formatCells="1" formatRows="1" sort="1"/>
  <mergeCells count="5">
    <mergeCell ref="B22:H22"/>
    <mergeCell ref="B21:H21"/>
    <mergeCell ref="B2:H2"/>
    <mergeCell ref="B3:H3"/>
    <mergeCell ref="B19:H19"/>
  </mergeCells>
  <dataValidations count="1">
    <dataValidation sqref="C6:C17" showDropDown="0" showInputMessage="0" showErrorMessage="0" allowBlank="0" type="list">
      <formula1>"Salary change,401(k) change,State move,Employer change,W-4 change,State cert change,Deduction start,Deduction stop"</formula1>
    </dataValidation>
  </dataValidations>
  <pageMargins left="0.75" right="0.75" top="1" bottom="1" header="0.5" footer="0.5"/>
</worksheet>
</file>

<file path=xl/worksheets/sheet8.xml><?xml version="1.0" encoding="utf-8"?>
<worksheet xmlns="http://schemas.openxmlformats.org/spreadsheetml/2006/main">
  <sheetPr>
    <tabColor rgb="007030A0"/>
    <outlinePr summaryBelow="1" summaryRight="1"/>
    <pageSetUpPr/>
  </sheetPr>
  <dimension ref="A1:F38"/>
  <sheetViews>
    <sheetView workbookViewId="0">
      <selection activeCell="A1" sqref="A1"/>
    </sheetView>
  </sheetViews>
  <sheetFormatPr baseColWidth="8" defaultRowHeight="15"/>
  <cols>
    <col width="2" customWidth="1" min="1" max="1"/>
    <col width="44" customWidth="1" min="2" max="2"/>
    <col width="16" customWidth="1" min="3" max="3"/>
    <col width="16" customWidth="1" min="4" max="4"/>
    <col width="16" customWidth="1" min="5" max="5"/>
    <col width="18" customWidth="1" min="6" max="6"/>
    <col width="60" customWidth="1" min="7" max="7"/>
  </cols>
  <sheetData>
    <row r="1">
      <c r="B1" s="9" t="inlineStr">
        <is>
          <t>Household — two earners, one calendar</t>
        </is>
      </c>
    </row>
    <row r="2">
      <c r="B2" s="2" t="inlineStr">
        <is>
          <t>Earner 1 is the Your Year tab; Earner 2 is Your Year — Earner 2 (fill in Second Earner to switch the second earner on). This tab merges both pay calendars into the household's real cash rhythm.</t>
        </is>
      </c>
    </row>
    <row r="3"/>
    <row r="4">
      <c r="B4" s="5" t="inlineStr">
        <is>
          <t>Combined annual take-home (both earners)</t>
        </is>
      </c>
      <c r="C4" s="16">
        <f>SUM('Your Year'!Y6:Y68)+SUM('Your Year — Earner 2'!Y6:Y68)</f>
      </c>
    </row>
    <row r="5">
      <c r="B5" t="inlineStr">
        <is>
          <t>Combined annual gross</t>
        </is>
      </c>
      <c r="C5" s="16">
        <f>SUM('Your Year'!C6:C68)+SUM('Your Year'!D6:D68)+SUM('Your Year — Earner 2'!C6:C68)+SUM('Your Year — Earner 2'!D6:D68)</f>
      </c>
    </row>
    <row r="6">
      <c r="B6" t="inlineStr">
        <is>
          <t>Average combined take-home per month</t>
        </is>
      </c>
      <c r="C6" s="16">
        <f>C4/12</f>
      </c>
    </row>
    <row r="7">
      <c r="B7" t="inlineStr">
        <is>
          <t>Earner 1 annual take-home</t>
        </is>
      </c>
      <c r="C7" s="16">
        <f>SUM('Your Year'!Y6:Y68)</f>
      </c>
    </row>
    <row r="8">
      <c r="B8" t="inlineStr">
        <is>
          <t>Earner 2 annual take-home</t>
        </is>
      </c>
      <c r="C8" s="16">
        <f>SUM('Your Year — Earner 2'!Y6:Y68)</f>
      </c>
    </row>
    <row r="9"/>
    <row r="10">
      <c r="B10" s="10" t="inlineStr">
        <is>
          <t>Take-home by month</t>
        </is>
      </c>
    </row>
    <row r="11">
      <c r="B11" s="25" t="inlineStr">
        <is>
          <t>Month</t>
        </is>
      </c>
      <c r="C11" s="25" t="inlineStr">
        <is>
          <t>Earner 1 net</t>
        </is>
      </c>
      <c r="D11" s="25" t="inlineStr">
        <is>
          <t>Earner 2 net</t>
        </is>
      </c>
      <c r="E11" s="25" t="inlineStr">
        <is>
          <t>Combined</t>
        </is>
      </c>
      <c r="F11" s="25" t="inlineStr">
        <is>
          <t>Combined YTD</t>
        </is>
      </c>
    </row>
    <row r="12">
      <c r="B12" s="13" t="inlineStr">
        <is>
          <t>January</t>
        </is>
      </c>
      <c r="C12" s="16">
        <f>SUMIFS('Your Year'!$Y$6:$Y$68,'Your Year'!$B$6:$B$68,"&gt;="&amp;DATE('Your Pay &amp; Benefits'!$C$10,1,1),'Your Year'!$B$6:$B$68,"&lt;"&amp;EDATE(DATE('Your Pay &amp; Benefits'!$C$10,1,1),1))</f>
      </c>
      <c r="D12" s="16">
        <f>SUMIFS('Your Year — Earner 2'!$Y$6:$Y$68,'Your Year — Earner 2'!$B$6:$B$68,"&gt;="&amp;DATE('Your Pay &amp; Benefits'!$C$10,1,1),'Your Year — Earner 2'!$B$6:$B$68,"&lt;"&amp;EDATE(DATE('Your Pay &amp; Benefits'!$C$10,1,1),1))</f>
      </c>
      <c r="E12" s="16">
        <f>C12+D12</f>
      </c>
      <c r="F12" s="16">
        <f>E12</f>
      </c>
    </row>
    <row r="13">
      <c r="B13" s="13" t="inlineStr">
        <is>
          <t>February</t>
        </is>
      </c>
      <c r="C13" s="16">
        <f>SUMIFS('Your Year'!$Y$6:$Y$68,'Your Year'!$B$6:$B$68,"&gt;="&amp;DATE('Your Pay &amp; Benefits'!$C$10,2,1),'Your Year'!$B$6:$B$68,"&lt;"&amp;EDATE(DATE('Your Pay &amp; Benefits'!$C$10,2,1),1))</f>
      </c>
      <c r="D13" s="16">
        <f>SUMIFS('Your Year — Earner 2'!$Y$6:$Y$68,'Your Year — Earner 2'!$B$6:$B$68,"&gt;="&amp;DATE('Your Pay &amp; Benefits'!$C$10,2,1),'Your Year — Earner 2'!$B$6:$B$68,"&lt;"&amp;EDATE(DATE('Your Pay &amp; Benefits'!$C$10,2,1),1))</f>
      </c>
      <c r="E13" s="16">
        <f>C13+D13</f>
      </c>
      <c r="F13" s="16">
        <f>F12+E13</f>
      </c>
    </row>
    <row r="14">
      <c r="B14" s="13" t="inlineStr">
        <is>
          <t>March</t>
        </is>
      </c>
      <c r="C14" s="16">
        <f>SUMIFS('Your Year'!$Y$6:$Y$68,'Your Year'!$B$6:$B$68,"&gt;="&amp;DATE('Your Pay &amp; Benefits'!$C$10,3,1),'Your Year'!$B$6:$B$68,"&lt;"&amp;EDATE(DATE('Your Pay &amp; Benefits'!$C$10,3,1),1))</f>
      </c>
      <c r="D14" s="16">
        <f>SUMIFS('Your Year — Earner 2'!$Y$6:$Y$68,'Your Year — Earner 2'!$B$6:$B$68,"&gt;="&amp;DATE('Your Pay &amp; Benefits'!$C$10,3,1),'Your Year — Earner 2'!$B$6:$B$68,"&lt;"&amp;EDATE(DATE('Your Pay &amp; Benefits'!$C$10,3,1),1))</f>
      </c>
      <c r="E14" s="16">
        <f>C14+D14</f>
      </c>
      <c r="F14" s="16">
        <f>F13+E14</f>
      </c>
    </row>
    <row r="15">
      <c r="B15" s="13" t="inlineStr">
        <is>
          <t>April</t>
        </is>
      </c>
      <c r="C15" s="16">
        <f>SUMIFS('Your Year'!$Y$6:$Y$68,'Your Year'!$B$6:$B$68,"&gt;="&amp;DATE('Your Pay &amp; Benefits'!$C$10,4,1),'Your Year'!$B$6:$B$68,"&lt;"&amp;EDATE(DATE('Your Pay &amp; Benefits'!$C$10,4,1),1))</f>
      </c>
      <c r="D15" s="16">
        <f>SUMIFS('Your Year — Earner 2'!$Y$6:$Y$68,'Your Year — Earner 2'!$B$6:$B$68,"&gt;="&amp;DATE('Your Pay &amp; Benefits'!$C$10,4,1),'Your Year — Earner 2'!$B$6:$B$68,"&lt;"&amp;EDATE(DATE('Your Pay &amp; Benefits'!$C$10,4,1),1))</f>
      </c>
      <c r="E15" s="16">
        <f>C15+D15</f>
      </c>
      <c r="F15" s="16">
        <f>F14+E15</f>
      </c>
    </row>
    <row r="16">
      <c r="B16" s="13" t="inlineStr">
        <is>
          <t>May</t>
        </is>
      </c>
      <c r="C16" s="16">
        <f>SUMIFS('Your Year'!$Y$6:$Y$68,'Your Year'!$B$6:$B$68,"&gt;="&amp;DATE('Your Pay &amp; Benefits'!$C$10,5,1),'Your Year'!$B$6:$B$68,"&lt;"&amp;EDATE(DATE('Your Pay &amp; Benefits'!$C$10,5,1),1))</f>
      </c>
      <c r="D16" s="16">
        <f>SUMIFS('Your Year — Earner 2'!$Y$6:$Y$68,'Your Year — Earner 2'!$B$6:$B$68,"&gt;="&amp;DATE('Your Pay &amp; Benefits'!$C$10,5,1),'Your Year — Earner 2'!$B$6:$B$68,"&lt;"&amp;EDATE(DATE('Your Pay &amp; Benefits'!$C$10,5,1),1))</f>
      </c>
      <c r="E16" s="16">
        <f>C16+D16</f>
      </c>
      <c r="F16" s="16">
        <f>F15+E16</f>
      </c>
    </row>
    <row r="17">
      <c r="B17" s="13" t="inlineStr">
        <is>
          <t>June</t>
        </is>
      </c>
      <c r="C17" s="16">
        <f>SUMIFS('Your Year'!$Y$6:$Y$68,'Your Year'!$B$6:$B$68,"&gt;="&amp;DATE('Your Pay &amp; Benefits'!$C$10,6,1),'Your Year'!$B$6:$B$68,"&lt;"&amp;EDATE(DATE('Your Pay &amp; Benefits'!$C$10,6,1),1))</f>
      </c>
      <c r="D17" s="16">
        <f>SUMIFS('Your Year — Earner 2'!$Y$6:$Y$68,'Your Year — Earner 2'!$B$6:$B$68,"&gt;="&amp;DATE('Your Pay &amp; Benefits'!$C$10,6,1),'Your Year — Earner 2'!$B$6:$B$68,"&lt;"&amp;EDATE(DATE('Your Pay &amp; Benefits'!$C$10,6,1),1))</f>
      </c>
      <c r="E17" s="16">
        <f>C17+D17</f>
      </c>
      <c r="F17" s="16">
        <f>F16+E17</f>
      </c>
    </row>
    <row r="18">
      <c r="B18" s="13" t="inlineStr">
        <is>
          <t>July</t>
        </is>
      </c>
      <c r="C18" s="16">
        <f>SUMIFS('Your Year'!$Y$6:$Y$68,'Your Year'!$B$6:$B$68,"&gt;="&amp;DATE('Your Pay &amp; Benefits'!$C$10,7,1),'Your Year'!$B$6:$B$68,"&lt;"&amp;EDATE(DATE('Your Pay &amp; Benefits'!$C$10,7,1),1))</f>
      </c>
      <c r="D18" s="16">
        <f>SUMIFS('Your Year — Earner 2'!$Y$6:$Y$68,'Your Year — Earner 2'!$B$6:$B$68,"&gt;="&amp;DATE('Your Pay &amp; Benefits'!$C$10,7,1),'Your Year — Earner 2'!$B$6:$B$68,"&lt;"&amp;EDATE(DATE('Your Pay &amp; Benefits'!$C$10,7,1),1))</f>
      </c>
      <c r="E18" s="16">
        <f>C18+D18</f>
      </c>
      <c r="F18" s="16">
        <f>F17+E18</f>
      </c>
    </row>
    <row r="19">
      <c r="B19" s="13" t="inlineStr">
        <is>
          <t>August</t>
        </is>
      </c>
      <c r="C19" s="16">
        <f>SUMIFS('Your Year'!$Y$6:$Y$68,'Your Year'!$B$6:$B$68,"&gt;="&amp;DATE('Your Pay &amp; Benefits'!$C$10,8,1),'Your Year'!$B$6:$B$68,"&lt;"&amp;EDATE(DATE('Your Pay &amp; Benefits'!$C$10,8,1),1))</f>
      </c>
      <c r="D19" s="16">
        <f>SUMIFS('Your Year — Earner 2'!$Y$6:$Y$68,'Your Year — Earner 2'!$B$6:$B$68,"&gt;="&amp;DATE('Your Pay &amp; Benefits'!$C$10,8,1),'Your Year — Earner 2'!$B$6:$B$68,"&lt;"&amp;EDATE(DATE('Your Pay &amp; Benefits'!$C$10,8,1),1))</f>
      </c>
      <c r="E19" s="16">
        <f>C19+D19</f>
      </c>
      <c r="F19" s="16">
        <f>F18+E19</f>
      </c>
    </row>
    <row r="20">
      <c r="B20" s="13" t="inlineStr">
        <is>
          <t>September</t>
        </is>
      </c>
      <c r="C20" s="16">
        <f>SUMIFS('Your Year'!$Y$6:$Y$68,'Your Year'!$B$6:$B$68,"&gt;="&amp;DATE('Your Pay &amp; Benefits'!$C$10,9,1),'Your Year'!$B$6:$B$68,"&lt;"&amp;EDATE(DATE('Your Pay &amp; Benefits'!$C$10,9,1),1))</f>
      </c>
      <c r="D20" s="16">
        <f>SUMIFS('Your Year — Earner 2'!$Y$6:$Y$68,'Your Year — Earner 2'!$B$6:$B$68,"&gt;="&amp;DATE('Your Pay &amp; Benefits'!$C$10,9,1),'Your Year — Earner 2'!$B$6:$B$68,"&lt;"&amp;EDATE(DATE('Your Pay &amp; Benefits'!$C$10,9,1),1))</f>
      </c>
      <c r="E20" s="16">
        <f>C20+D20</f>
      </c>
      <c r="F20" s="16">
        <f>F19+E20</f>
      </c>
    </row>
    <row r="21">
      <c r="B21" s="13" t="inlineStr">
        <is>
          <t>October</t>
        </is>
      </c>
      <c r="C21" s="16">
        <f>SUMIFS('Your Year'!$Y$6:$Y$68,'Your Year'!$B$6:$B$68,"&gt;="&amp;DATE('Your Pay &amp; Benefits'!$C$10,10,1),'Your Year'!$B$6:$B$68,"&lt;"&amp;EDATE(DATE('Your Pay &amp; Benefits'!$C$10,10,1),1))</f>
      </c>
      <c r="D21" s="16">
        <f>SUMIFS('Your Year — Earner 2'!$Y$6:$Y$68,'Your Year — Earner 2'!$B$6:$B$68,"&gt;="&amp;DATE('Your Pay &amp; Benefits'!$C$10,10,1),'Your Year — Earner 2'!$B$6:$B$68,"&lt;"&amp;EDATE(DATE('Your Pay &amp; Benefits'!$C$10,10,1),1))</f>
      </c>
      <c r="E21" s="16">
        <f>C21+D21</f>
      </c>
      <c r="F21" s="16">
        <f>F20+E21</f>
      </c>
    </row>
    <row r="22">
      <c r="B22" s="13" t="inlineStr">
        <is>
          <t>November</t>
        </is>
      </c>
      <c r="C22" s="16">
        <f>SUMIFS('Your Year'!$Y$6:$Y$68,'Your Year'!$B$6:$B$68,"&gt;="&amp;DATE('Your Pay &amp; Benefits'!$C$10,11,1),'Your Year'!$B$6:$B$68,"&lt;"&amp;EDATE(DATE('Your Pay &amp; Benefits'!$C$10,11,1),1))</f>
      </c>
      <c r="D22" s="16">
        <f>SUMIFS('Your Year — Earner 2'!$Y$6:$Y$68,'Your Year — Earner 2'!$B$6:$B$68,"&gt;="&amp;DATE('Your Pay &amp; Benefits'!$C$10,11,1),'Your Year — Earner 2'!$B$6:$B$68,"&lt;"&amp;EDATE(DATE('Your Pay &amp; Benefits'!$C$10,11,1),1))</f>
      </c>
      <c r="E22" s="16">
        <f>C22+D22</f>
      </c>
      <c r="F22" s="16">
        <f>F21+E22</f>
      </c>
    </row>
    <row r="23">
      <c r="B23" s="13" t="inlineStr">
        <is>
          <t>December</t>
        </is>
      </c>
      <c r="C23" s="16">
        <f>SUMIFS('Your Year'!$Y$6:$Y$68,'Your Year'!$B$6:$B$68,"&gt;="&amp;DATE('Your Pay &amp; Benefits'!$C$10,12,1),'Your Year'!$B$6:$B$68,"&lt;"&amp;EDATE(DATE('Your Pay &amp; Benefits'!$C$10,12,1),1))</f>
      </c>
      <c r="D23" s="16">
        <f>SUMIFS('Your Year — Earner 2'!$Y$6:$Y$68,'Your Year — Earner 2'!$B$6:$B$68,"&gt;="&amp;DATE('Your Pay &amp; Benefits'!$C$10,12,1),'Your Year — Earner 2'!$B$6:$B$68,"&lt;"&amp;EDATE(DATE('Your Pay &amp; Benefits'!$C$10,12,1),1))</f>
      </c>
      <c r="E23" s="16">
        <f>C23+D23</f>
      </c>
      <c r="F23" s="16">
        <f>F22+E23</f>
      </c>
    </row>
    <row r="24"/>
    <row r="25">
      <c r="B25" s="10" t="inlineStr">
        <is>
          <t>Cap-event dates, by earner</t>
        </is>
      </c>
    </row>
    <row r="26">
      <c r="B26" s="2" t="inlineStr">
        <is>
          <t>The checks where each earner's pay steps up. Social Security and the 401(k) cap apply per person (Social Security also per employer — see the Changes &amp; Changes &amp; Events tab); the household feels each step-up on the date shown.</t>
        </is>
      </c>
    </row>
    <row r="27">
      <c r="C27" s="25" t="inlineStr">
        <is>
          <t>Earner 1</t>
        </is>
      </c>
      <c r="D27" s="25" t="inlineStr">
        <is>
          <t>Earner 2</t>
        </is>
      </c>
    </row>
    <row r="28">
      <c r="B28" t="inlineStr">
        <is>
          <t>Social Security wage cap reached</t>
        </is>
      </c>
      <c r="C28" s="26">
        <f>IF('Your Pay &amp; Benefits'!$C$49&gt;='How This Works &amp; Sources'!$C$3,"Already at the cap on Jan 1",IF(SUMPRODUCT(('Your Year'!$AB$6:$AB$68&lt;&gt;"")*('Your Year'!$AB$6:$AB$68&lt;'How This Works &amp; Sources'!$C$3))&gt;=SUMPRODUCT(('Your Year'!$B$6:$B$68&lt;&gt;"")*1),"Does not reach it this year",INDEX('Your Year'!$B$6:$B$68,SUMPRODUCT(('Your Year'!$AB$6:$AB$68&lt;&gt;"")*('Your Year'!$AB$6:$AB$68&lt;'How This Works &amp; Sources'!$C$3))+1)))</f>
      </c>
      <c r="D28" s="26">
        <f>IF('Second Earner'!$C$49&gt;='How This Works &amp; Sources'!$C$3,"Already at the cap on Jan 1",IF(SUMPRODUCT(('Your Year — Earner 2'!$AB$6:$AB$68&lt;&gt;"")*('Your Year — Earner 2'!$AB$6:$AB$68&lt;'How This Works &amp; Sources'!$C$3))&gt;=SUMPRODUCT(('Your Year — Earner 2'!$B$6:$B$68&lt;&gt;"")*1),"Does not reach it this year",INDEX('Your Year — Earner 2'!$B$6:$B$68,SUMPRODUCT(('Your Year — Earner 2'!$AB$6:$AB$68&lt;&gt;"")*('Your Year — Earner 2'!$AB$6:$AB$68&lt;'How This Works &amp; Sources'!$C$3))+1)))</f>
      </c>
    </row>
    <row r="29">
      <c r="B29" t="inlineStr">
        <is>
          <t>401(k) deferral cap reached</t>
        </is>
      </c>
      <c r="C29" s="26">
        <f>IF('Your Pay &amp; Benefits'!$C$51&gt;='Your Pay &amp; Benefits'!$C$34,"Already at the cap on Jan 1",IF(SUMPRODUCT(('Your Year'!$AC$6:$AC$68&lt;&gt;"")*('Your Year'!$AC$6:$AC$68&lt;'Your Pay &amp; Benefits'!$C$34))&gt;=SUMPRODUCT(('Your Year'!$B$6:$B$68&lt;&gt;"")*1),"Does not reach it this year",INDEX('Your Year'!$B$6:$B$68,SUMPRODUCT(('Your Year'!$AC$6:$AC$68&lt;&gt;"")*('Your Year'!$AC$6:$AC$68&lt;'Your Pay &amp; Benefits'!$C$34))+1)))</f>
      </c>
      <c r="D29" s="26">
        <f>IF('Second Earner'!$C$51&gt;='Second Earner'!$C$34,"Already at the cap on Jan 1",IF(SUMPRODUCT(('Your Year — Earner 2'!$AC$6:$AC$68&lt;&gt;"")*('Your Year — Earner 2'!$AC$6:$AC$68&lt;'Second Earner'!$C$34))&gt;=SUMPRODUCT(('Your Year — Earner 2'!$B$6:$B$68&lt;&gt;"")*1),"Does not reach it this year",INDEX('Your Year — Earner 2'!$B$6:$B$68,SUMPRODUCT(('Your Year — Earner 2'!$AC$6:$AC$68&lt;&gt;"")*('Your Year — Earner 2'!$AC$6:$AC$68&lt;'Second Earner'!$C$34))+1)))</f>
      </c>
    </row>
    <row r="30">
      <c r="B30" t="inlineStr">
        <is>
          <t>Additional Medicare withholding starts ($200,000)</t>
        </is>
      </c>
      <c r="C30" s="26">
        <f>IF('Your Pay &amp; Benefits'!$C$50&gt;='How This Works &amp; Sources'!$C$7,"Already at the cap on Jan 1",IF(SUMPRODUCT(('Your Year'!$AG$6:$AG$68&lt;&gt;"")*('Your Year'!$AG$6:$AG$68&lt;'How This Works &amp; Sources'!$C$7))&gt;=SUMPRODUCT(('Your Year'!$B$6:$B$68&lt;&gt;"")*1),"Does not reach it this year",INDEX('Your Year'!$B$6:$B$68,SUMPRODUCT(('Your Year'!$AG$6:$AG$68&lt;&gt;"")*('Your Year'!$AG$6:$AG$68&lt;'How This Works &amp; Sources'!$C$7))+1)))</f>
      </c>
      <c r="D30" s="26">
        <f>IF('Second Earner'!$C$50&gt;='How This Works &amp; Sources'!$C$7,"Already at the cap on Jan 1",IF(SUMPRODUCT(('Your Year — Earner 2'!$AG$6:$AG$68&lt;&gt;"")*('Your Year — Earner 2'!$AG$6:$AG$68&lt;'How This Works &amp; Sources'!$C$7))&gt;=SUMPRODUCT(('Your Year — Earner 2'!$B$6:$B$68&lt;&gt;"")*1),"Does not reach it this year",INDEX('Your Year — Earner 2'!$B$6:$B$68,SUMPRODUCT(('Your Year — Earner 2'!$AG$6:$AG$68&lt;&gt;"")*('Your Year — Earner 2'!$AG$6:$AG$68&lt;'How This Works &amp; Sources'!$C$7))+1)))</f>
      </c>
    </row>
    <row r="31">
      <c r="B31" s="3">
        <f>IF(AND(ISNUMBER(C28),ISNUMBER(D28)),"First Social Security step-up in the household: "&amp;TEXT(MIN(C28,D28),"mmmm d"),IF(ISNUMBER(C28),"First Social Security step-up in the household: "&amp;TEXT(C28,"mmmm d"),IF(ISNUMBER(D28),"First Social Security step-up in the household: "&amp;TEXT(D28,"mmmm d"),"")))</f>
      </c>
    </row>
    <row r="32"/>
    <row r="33">
      <c r="B33" s="10" t="inlineStr">
        <is>
          <t>Additional Medicare — the household read</t>
        </is>
      </c>
    </row>
    <row r="34">
      <c r="B34" t="inlineStr">
        <is>
          <t>Combined Medicare wages (both earners)</t>
        </is>
      </c>
      <c r="C34" s="16">
        <f>IFERROR(LOOKUP(2,1/('Your Year'!$AG$6:$AG$68&lt;&gt;""),'Your Year'!$AG$6:$AG$68)+LOOKUP(2,1/('Your Year — Earner 2'!$AG$6:$AG$68&lt;&gt;""),'Your Year — Earner 2'!$AG$6:$AG$68),"")</f>
      </c>
    </row>
    <row r="35">
      <c r="B35" t="inlineStr">
        <is>
          <t>Filing threshold for the 0.9% tax (by filing status)</t>
        </is>
      </c>
      <c r="C35" s="16">
        <f>IF('Your Pay &amp; Benefits'!$C$12="MFJ",250000,200000)</f>
      </c>
    </row>
    <row r="36">
      <c r="B36" s="3">
        <f>IF(C34&lt;=C35,"Combined Medicare wages stay under the filing threshold, so no Additional Medicare Tax is expected on the return. Withholding, if any, reconciles at filing.","Combined Medicare wages pass the filing threshold: the 0.9% Additional Medicare Tax applies at filing to the excess. Withholding only starts at $200,000 per employer, so a two-earner household can owe some of it at filing even when neither employer withheld it — the True-Up tab is where to watch it.")</f>
      </c>
    </row>
    <row r="37"/>
    <row r="38">
      <c r="B38" s="2" t="inlineStr">
        <is>
          <t>Planning with the combined stream: the Your Goals tab reads the average combined monthly take-home (cell C6) for its capacity helper, because 'can we afford it' is a household question. Set-asides there are still scheduled per Earner-1 payday — the combined calendar above is the rhythm they land in.</t>
        </is>
      </c>
    </row>
  </sheetData>
  <sheetProtection selectLockedCells="0" selectUnlockedCells="0" sheet="1" objects="0" insertRows="1" insertHyperlinks="1" autoFilter="1" scenarios="0" formatColumns="1" deleteColumns="1" insertColumns="1" pivotTables="1" deleteRows="1" formatCells="1" formatRows="1" sort="1"/>
  <mergeCells count="3">
    <mergeCell ref="B31:F31"/>
    <mergeCell ref="B36:F36"/>
    <mergeCell ref="B38:F38"/>
  </mergeCells>
  <pageMargins left="0.75" right="0.75" top="1" bottom="1" header="0.5" footer="0.5"/>
</worksheet>
</file>

<file path=xl/worksheets/sheet9.xml><?xml version="1.0" encoding="utf-8"?>
<worksheet xmlns="http://schemas.openxmlformats.org/spreadsheetml/2006/main">
  <sheetPr>
    <tabColor rgb="00C55A11"/>
    <outlinePr summaryBelow="1" summaryRight="1"/>
    <pageSetUpPr/>
  </sheetPr>
  <dimension ref="A1:U68"/>
  <sheetViews>
    <sheetView workbookViewId="0">
      <selection activeCell="A1" sqref="A1"/>
    </sheetView>
  </sheetViews>
  <sheetFormatPr baseColWidth="8" defaultRowHeight="15"/>
  <cols>
    <col width="2" customWidth="1" min="1" max="1"/>
    <col width="24" customWidth="1" min="2" max="2"/>
    <col width="12" customWidth="1" min="3" max="3"/>
    <col width="12" customWidth="1" min="4" max="4"/>
    <col width="9" customWidth="1" min="5" max="5"/>
    <col width="13" customWidth="1" min="6" max="6"/>
    <col width="13" customWidth="1" min="7" max="7"/>
    <col width="12" customWidth="1" min="8" max="8"/>
    <col width="12" customWidth="1" min="9" max="9"/>
    <col width="10" customWidth="1" min="10" max="10"/>
    <col width="12" customWidth="1" min="11" max="11"/>
    <col width="12" customWidth="1" min="12" max="12"/>
    <col width="12" customWidth="1" min="13" max="13"/>
    <col width="76" customWidth="1" min="14" max="14"/>
    <col width="13" customWidth="1" min="15" max="15"/>
    <col width="13" customWidth="1" min="16" max="16"/>
  </cols>
  <sheetData>
    <row r="1">
      <c r="B1" s="9" t="inlineStr">
        <is>
          <t>Your Goals — can we afford something nice?</t>
        </is>
      </c>
    </row>
    <row r="2">
      <c r="B2" s="2" t="inlineStr">
        <is>
          <t>Name the goal, the amount, and the date. The planner solves the set-aside per check from your real pay dates, funds goals in priority order from one shared capacity, and says plainly whether each goal makes it — and what it would take if it doesn't.</t>
        </is>
      </c>
    </row>
    <row r="3"/>
    <row r="4">
      <c r="B4" s="10" t="inlineStr">
        <is>
          <t>Your set-aside capacity</t>
        </is>
      </c>
    </row>
    <row r="5">
      <c r="B5" t="inlineStr">
        <is>
          <t>Capacity mode</t>
        </is>
      </c>
      <c r="C5" s="36" t="inlineStr">
        <is>
          <t>Per check</t>
        </is>
      </c>
      <c r="Q5" s="5" t="inlineStr">
        <is>
          <t>Per-check reality check →</t>
        </is>
      </c>
      <c r="R5" s="5" t="inlineStr">
        <is>
          <t>Pay date</t>
        </is>
      </c>
      <c r="S5" s="5" t="inlineStr">
        <is>
          <t>Projected net</t>
        </is>
      </c>
      <c r="T5" s="5" t="inlineStr">
        <is>
          <t>Planned set-asides</t>
        </is>
      </c>
      <c r="U5" s="5" t="inlineStr">
        <is>
          <t>Shortfall</t>
        </is>
      </c>
    </row>
    <row r="6">
      <c r="B6" t="inlineStr">
        <is>
          <t>Set-aside capacity ($ per Earner-1 check)</t>
        </is>
      </c>
      <c r="C6" s="37" t="n">
        <v>300</v>
      </c>
      <c r="R6" s="21">
        <f>IF('Your Year'!$B6="","",'Your Year'!$B6)</f>
      </c>
      <c r="S6" s="7">
        <f>IF(OR($R6="",'Your Year'!$BF6&lt;&gt;TRUE),"",'Your Year'!$Y6)</f>
      </c>
      <c r="T6" s="7">
        <f>IF($S6="","",SUMPRODUCT($M$14:$M$18,($C$14:$C$18&gt;0)*($I$14:$I$18&lt;&gt;"")*($I$14:$I$18&lt;=$R6)*($D$14:$D$18&gt;=$R6)))</f>
      </c>
      <c r="U6" s="7">
        <f>IF($S6="","",MAX(0,$T6-$S6))</f>
      </c>
    </row>
    <row r="7">
      <c r="B7" t="inlineStr">
        <is>
          <t>Monthly essentials ($/mo) — surplus mode only</t>
        </is>
      </c>
      <c r="C7" s="37" t="n">
        <v>0</v>
      </c>
      <c r="R7" s="21">
        <f>IF('Your Year'!$B7="","",'Your Year'!$B7)</f>
      </c>
      <c r="S7" s="7">
        <f>IF(OR($R7="",'Your Year'!$BF7&lt;&gt;TRUE),"",'Your Year'!$Y7)</f>
      </c>
      <c r="T7" s="7">
        <f>IF($S7="","",SUMPRODUCT($M$14:$M$18,($C$14:$C$18&gt;0)*($I$14:$I$18&lt;&gt;"")*($I$14:$I$18&lt;=$R7)*($D$14:$D$18&gt;=$R7)))</f>
      </c>
      <c r="U7" s="7">
        <f>IF($S7="","",MAX(0,$T7-$S7))</f>
      </c>
    </row>
    <row r="8">
      <c r="B8" t="inlineStr">
        <is>
          <t>Household take-home per month (from the Household tab)</t>
        </is>
      </c>
      <c r="C8" s="16">
        <f>Household!$C$6</f>
      </c>
      <c r="R8" s="21">
        <f>IF('Your Year'!$B8="","",'Your Year'!$B8)</f>
      </c>
      <c r="S8" s="7">
        <f>IF(OR($R8="",'Your Year'!$BF8&lt;&gt;TRUE),"",'Your Year'!$Y8)</f>
      </c>
      <c r="T8" s="7">
        <f>IF($S8="","",SUMPRODUCT($M$14:$M$18,($C$14:$C$18&gt;0)*($I$14:$I$18&lt;&gt;"")*($I$14:$I$18&lt;=$R8)*($D$14:$D$18&gt;=$R8)))</f>
      </c>
      <c r="U8" s="7">
        <f>IF($S8="","",MAX(0,$T8-$S8))</f>
      </c>
    </row>
    <row r="9">
      <c r="B9" s="5" t="inlineStr">
        <is>
          <t>Effective capacity per check (never more than your average projected net per check)</t>
        </is>
      </c>
      <c r="C9" s="16">
        <f>MIN(IF($C$5="Per check",$C$6,MAX(0,($C$8-$C$7)*12/MAX(1,MAX('Your Year'!$BE$6:$BE$68)))),IFERROR(SUM('Your Year'!$Y$6:$Y$68)/MAX(1,SUM('Your Year'!$BF$6:$BF$68)),0))</f>
      </c>
      <c r="R9" s="21">
        <f>IF('Your Year'!$B9="","",'Your Year'!$B9)</f>
      </c>
      <c r="S9" s="7">
        <f>IF(OR($R9="",'Your Year'!$BF9&lt;&gt;TRUE),"",'Your Year'!$Y9)</f>
      </c>
      <c r="T9" s="7">
        <f>IF($S9="","",SUMPRODUCT($M$14:$M$18,($C$14:$C$18&gt;0)*($I$14:$I$18&lt;&gt;"")*($I$14:$I$18&lt;=$R9)*($D$14:$D$18&gt;=$R9)))</f>
      </c>
      <c r="U9" s="7">
        <f>IF($S9="","",MAX(0,$T9-$S9))</f>
      </c>
    </row>
    <row r="10">
      <c r="B10" s="2" t="inlineStr">
        <is>
          <t>Surplus mode takes the household's average monthly take-home, subtracts ONE monthly-essentials number, and spreads the rest over Earner 1's paydays. That is as deep as this gets on purpose — no expense categories, no bank connections. New in v1.1: whichever mode you pick, the effective capacity is also capped at your average projected net pay per check — a plan may not assume a check brings home more than it does.</t>
        </is>
      </c>
      <c r="R10" s="21">
        <f>IF('Your Year'!$B10="","",'Your Year'!$B10)</f>
      </c>
      <c r="S10" s="7">
        <f>IF(OR($R10="",'Your Year'!$BF10&lt;&gt;TRUE),"",'Your Year'!$Y10)</f>
      </c>
      <c r="T10" s="7">
        <f>IF($S10="","",SUMPRODUCT($M$14:$M$18,($C$14:$C$18&gt;0)*($I$14:$I$18&lt;&gt;"")*($I$14:$I$18&lt;=$R10)*($D$14:$D$18&gt;=$R10)))</f>
      </c>
      <c r="U10" s="7">
        <f>IF($S10="","",MAX(0,$T10-$S10))</f>
      </c>
    </row>
    <row r="11">
      <c r="R11" s="21">
        <f>IF('Your Year'!$B11="","",'Your Year'!$B11)</f>
      </c>
      <c r="S11" s="7">
        <f>IF(OR($R11="",'Your Year'!$BF11&lt;&gt;TRUE),"",'Your Year'!$Y11)</f>
      </c>
      <c r="T11" s="7">
        <f>IF($S11="","",SUMPRODUCT($M$14:$M$18,($C$14:$C$18&gt;0)*($I$14:$I$18&lt;&gt;"")*($I$14:$I$18&lt;=$R11)*($D$14:$D$18&gt;=$R11)))</f>
      </c>
      <c r="U11" s="7">
        <f>IF($S11="","",MAX(0,$T11-$S11))</f>
      </c>
    </row>
    <row r="12">
      <c r="B12" s="10" t="inlineStr">
        <is>
          <t>Your goals — one row each, in any order; the Priority column runs the waterfall</t>
        </is>
      </c>
      <c r="R12" s="21">
        <f>IF('Your Year'!$B12="","",'Your Year'!$B12)</f>
      </c>
      <c r="S12" s="7">
        <f>IF(OR($R12="",'Your Year'!$BF12&lt;&gt;TRUE),"",'Your Year'!$Y12)</f>
      </c>
      <c r="T12" s="7">
        <f>IF($S12="","",SUMPRODUCT($M$14:$M$18,($C$14:$C$18&gt;0)*($I$14:$I$18&lt;&gt;"")*($I$14:$I$18&lt;=$R12)*($D$14:$D$18&gt;=$R12)))</f>
      </c>
      <c r="U12" s="7">
        <f>IF($S12="","",MAX(0,$T12-$S12))</f>
      </c>
    </row>
    <row r="13">
      <c r="B13" s="19" t="inlineStr">
        <is>
          <t>Goal</t>
        </is>
      </c>
      <c r="C13" s="19" t="inlineStr">
        <is>
          <t>Target ($)</t>
        </is>
      </c>
      <c r="D13" s="19" t="inlineStr">
        <is>
          <t>Target date</t>
        </is>
      </c>
      <c r="E13" s="19" t="inlineStr">
        <is>
          <t>Priority</t>
        </is>
      </c>
      <c r="F13" s="19" t="inlineStr">
        <is>
          <t>Already saved ($)</t>
        </is>
      </c>
      <c r="G13" s="19" t="inlineStr">
        <is>
          <t>One-off earmark ($)</t>
        </is>
      </c>
      <c r="H13" s="19" t="inlineStr">
        <is>
          <t>Earmark date</t>
        </is>
      </c>
      <c r="I13" s="19" t="inlineStr">
        <is>
          <t>Set-asides start</t>
        </is>
      </c>
      <c r="J13" s="19" t="inlineStr">
        <is>
          <t>Checks in window</t>
        </is>
      </c>
      <c r="K13" s="19" t="inlineStr">
        <is>
          <t>Still needed ($)</t>
        </is>
      </c>
      <c r="L13" s="19" t="inlineStr">
        <is>
          <t>Required / check</t>
        </is>
      </c>
      <c r="M13" s="19" t="inlineStr">
        <is>
          <t>Allocated / check</t>
        </is>
      </c>
      <c r="N13" s="19" t="inlineStr">
        <is>
          <t>Verdict</t>
        </is>
      </c>
      <c r="O13" s="19" t="inlineStr">
        <is>
          <t>Funded by (at allocated)</t>
        </is>
      </c>
      <c r="P13" s="19" t="inlineStr">
        <is>
          <t>Target that fits</t>
        </is>
      </c>
      <c r="R13" s="21">
        <f>IF('Your Year'!$B13="","",'Your Year'!$B13)</f>
      </c>
      <c r="S13" s="7">
        <f>IF(OR($R13="",'Your Year'!$BF13&lt;&gt;TRUE),"",'Your Year'!$Y13)</f>
      </c>
      <c r="T13" s="7">
        <f>IF($S13="","",SUMPRODUCT($M$14:$M$18,($C$14:$C$18&gt;0)*($I$14:$I$18&lt;&gt;"")*($I$14:$I$18&lt;=$R13)*($D$14:$D$18&gt;=$R13)))</f>
      </c>
      <c r="U13" s="7">
        <f>IF($S13="","",MAX(0,$T13-$S13))</f>
      </c>
    </row>
    <row r="14">
      <c r="B14" s="36" t="inlineStr">
        <is>
          <t>Spring break — EXAMPLE: replace with your own goal</t>
        </is>
      </c>
      <c r="C14" s="37" t="n">
        <v>6000</v>
      </c>
      <c r="D14" s="38" t="n">
        <v>46094</v>
      </c>
      <c r="E14" s="39" t="n">
        <v>1</v>
      </c>
      <c r="F14" s="37" t="n">
        <v>0</v>
      </c>
      <c r="G14" s="37" t="n">
        <v>0</v>
      </c>
      <c r="H14" s="38" t="n"/>
      <c r="I14" s="38">
        <f>'Your Pay &amp; Benefits'!$C$9</f>
      </c>
      <c r="J14" s="20">
        <f>IF(OR($C14=0,$C14="",$D14="",$I14=""),0,SUMPRODUCT(('Your Year'!$B$6:$B$68&lt;&gt;"")*('Your Year'!$BF$6:$BF$68=1)*('Your Year'!$B$6:$B$68&gt;=$I14)*('Your Year'!$B$6:$B$68&lt;=$D14)))</f>
      </c>
      <c r="K14" s="16">
        <f>IF($C14=0,0,MAX(0,$C14-$F14-IF(AND($G14&gt;0,$H14&lt;&gt;"",$H14&lt;=$D14),$G14,0)))</f>
      </c>
      <c r="L14" s="16">
        <f>IF(OR($K14=0,$J14=0),0,$K14/$J14)</f>
      </c>
      <c r="M14" s="16">
        <f>IF($K14=0,0,MIN($L14,MAX(0,$C$9-SUMPRODUCT(($E$14:$E$18&lt;$E14)*$L$14:$L$18))))</f>
      </c>
      <c r="N14" s="28">
        <f>IF(OR($C14="",$C14=0),"",IF($K14=0,"Covered already — savings and any earmark cover the target.",IF($J14=0,"No paydays fall between the start date and the target date — the date or the target has to move.",IF($M14&gt;=$L14,"Funded by "&amp;TEXT($D14,"mmmm d")&amp;" at $"&amp;TEXT($M14,"#,##0")&amp;" per check."&amp;IF(AND($G14&gt;0,$H14&lt;&gt;"",$H14&lt;=$D14,$J14&gt;0,($C14-$F14)/$J14&gt;$M14)," Funded only if the "&amp;TEXT($H14,"mmmm d")&amp;" one-off lands.",""),IF($M14&lt;=0,"Short $"&amp;TEXT($K14-$M14*$J14,"#,##0")&amp;" by "&amp;TEXT($D14,"mmmm d")&amp;" — nothing is left in the waterfall for this goal. Options: trim the target to $"&amp;TEXT($P14,"#,##0")&amp;", or raise the set-aside to $"&amp;TEXT($L14,"#,##0")&amp;" per check.","Short $"&amp;TEXT($K14-$M14*$J14,"#,##0")&amp;" by "&amp;TEXT($D14,"mmmm d")&amp;" — options: let the date slip to "&amp;TEXT($O14,"mmmm d, yyyy")&amp;", trim the target to $"&amp;TEXT($P14,"#,##0")&amp;", or raise the set-aside to $"&amp;TEXT($L14,"#,##0")&amp;" per check.")))))</f>
      </c>
      <c r="O14" s="26">
        <f>IF(OR($K14=0,$M14&lt;=0),"",IF('Your Pay &amp; Benefits'!$C$7="Weekly",'Your Pay &amp; Benefits'!$C$9+7*(((SUMPRODUCT(('Your Year'!$B$6:$B$68&lt;&gt;"")*('Your Year'!$BF$6:$BF$68=1)*('Your Year'!$B$6:$B$68&lt;$I14))+1)+CEILING($K14/MAX($M14,0.01),1)-1)-1),IF('Your Pay &amp; Benefits'!$C$7="Biweekly",'Your Pay &amp; Benefits'!$C$9+14*(((SUMPRODUCT(('Your Year'!$B$6:$B$68&lt;&gt;"")*('Your Year'!$BF$6:$BF$68=1)*('Your Year'!$B$6:$B$68&lt;$I14))+1)+CEILING($K14/MAX($M14,0.01),1)-1)-1),IF('Your Pay &amp; Benefits'!$C$7="Monthly",EDATE('Your Pay &amp; Benefits'!$C$9,((SUMPRODUCT(('Your Year'!$B$6:$B$68&lt;&gt;"")*('Your Year'!$BF$6:$BF$68=1)*('Your Year'!$B$6:$B$68&lt;$I14))+1)+CEILING($K14/MAX($M14,0.01),1)-1)-1),DATE(YEAR('Your Pay &amp; Benefits'!$C$9),MONTH('Your Pay &amp; Benefits'!$C$9)+INT((((SUMPRODUCT(('Your Year'!$B$6:$B$68&lt;&gt;"")*('Your Year'!$BF$6:$BF$68=1)*('Your Year'!$B$6:$B$68&lt;$I14))+1)+CEILING($K14/MAX($M14,0.01),1)-1)-1)/2),MIN(DAY('Your Pay &amp; Benefits'!$C$9),DAY(EOMONTH(DATE(YEAR('Your Pay &amp; Benefits'!$C$9),MONTH('Your Pay &amp; Benefits'!$C$9)+INT((((SUMPRODUCT(('Your Year'!$B$6:$B$68&lt;&gt;"")*('Your Year'!$BF$6:$BF$68=1)*('Your Year'!$B$6:$B$68&lt;$I14))+1)+CEILING($K14/MAX($M14,0.01),1)-1)-1)/2),1),0))))+IF(MOD(((SUMPRODUCT(('Your Year'!$B$6:$B$68&lt;&gt;"")*('Your Year'!$BF$6:$BF$68=1)*('Your Year'!$B$6:$B$68&lt;$I14))+1)+CEILING($K14/MAX($M14,0.01),1)-1)-1,2)=1,15,0)))))</f>
      </c>
      <c r="P14" s="16">
        <f>IF($C14=0,0,$F14+IF(AND($G14&gt;0,$H14&lt;&gt;"",$H14&lt;=$D14),$G14,0)+$M14*$J14)</f>
      </c>
      <c r="R14" s="21">
        <f>IF('Your Year'!$B14="","",'Your Year'!$B14)</f>
      </c>
      <c r="S14" s="7">
        <f>IF(OR($R14="",'Your Year'!$BF14&lt;&gt;TRUE),"",'Your Year'!$Y14)</f>
      </c>
      <c r="T14" s="7">
        <f>IF($S14="","",SUMPRODUCT($M$14:$M$18,($C$14:$C$18&gt;0)*($I$14:$I$18&lt;&gt;"")*($I$14:$I$18&lt;=$R14)*($D$14:$D$18&gt;=$R14)))</f>
      </c>
      <c r="U14" s="7">
        <f>IF($S14="","",MAX(0,$T14-$S14))</f>
      </c>
    </row>
    <row r="15">
      <c r="C15" s="37" t="n">
        <v>0</v>
      </c>
      <c r="D15" s="38" t="n"/>
      <c r="E15" s="39" t="n">
        <v>2</v>
      </c>
      <c r="F15" s="37" t="n">
        <v>0</v>
      </c>
      <c r="G15" s="37" t="n">
        <v>0</v>
      </c>
      <c r="H15" s="38" t="n"/>
      <c r="I15" s="38">
        <f>'Your Pay &amp; Benefits'!$C$9</f>
      </c>
      <c r="J15" s="20">
        <f>IF(OR($C15=0,$C15="",$D15="",$I15=""),0,SUMPRODUCT(('Your Year'!$B$6:$B$68&lt;&gt;"")*('Your Year'!$BF$6:$BF$68=1)*('Your Year'!$B$6:$B$68&gt;=$I15)*('Your Year'!$B$6:$B$68&lt;=$D15)))</f>
      </c>
      <c r="K15" s="16">
        <f>IF($C15=0,0,MAX(0,$C15-$F15-IF(AND($G15&gt;0,$H15&lt;&gt;"",$H15&lt;=$D15),$G15,0)))</f>
      </c>
      <c r="L15" s="16">
        <f>IF(OR($K15=0,$J15=0),0,$K15/$J15)</f>
      </c>
      <c r="M15" s="16">
        <f>IF($K15=0,0,MIN($L15,MAX(0,$C$9-SUMPRODUCT(($E$14:$E$18&lt;$E15)*$L$14:$L$18))))</f>
      </c>
      <c r="N15" s="28">
        <f>IF(OR($C15="",$C15=0),"",IF($K15=0,"Covered already — savings and any earmark cover the target.",IF($J15=0,"No paydays fall between the start date and the target date — the date or the target has to move.",IF($M15&gt;=$L15,"Funded by "&amp;TEXT($D15,"mmmm d")&amp;" at $"&amp;TEXT($M15,"#,##0")&amp;" per check."&amp;IF(AND($G15&gt;0,$H15&lt;&gt;"",$H15&lt;=$D15,$J15&gt;0,($C15-$F15)/$J15&gt;$M15)," Funded only if the "&amp;TEXT($H15,"mmmm d")&amp;" one-off lands.",""),IF($M15&lt;=0,"Short $"&amp;TEXT($K15-$M15*$J15,"#,##0")&amp;" by "&amp;TEXT($D15,"mmmm d")&amp;" — nothing is left in the waterfall for this goal. Options: trim the target to $"&amp;TEXT($P15,"#,##0")&amp;", or raise the set-aside to $"&amp;TEXT($L15,"#,##0")&amp;" per check.","Short $"&amp;TEXT($K15-$M15*$J15,"#,##0")&amp;" by "&amp;TEXT($D15,"mmmm d")&amp;" — options: let the date slip to "&amp;TEXT($O15,"mmmm d, yyyy")&amp;", trim the target to $"&amp;TEXT($P15,"#,##0")&amp;", or raise the set-aside to $"&amp;TEXT($L15,"#,##0")&amp;" per check.")))))</f>
      </c>
      <c r="O15" s="26">
        <f>IF(OR($K15=0,$M15&lt;=0),"",IF('Your Pay &amp; Benefits'!$C$7="Weekly",'Your Pay &amp; Benefits'!$C$9+7*(((SUMPRODUCT(('Your Year'!$B$6:$B$68&lt;&gt;"")*('Your Year'!$BF$6:$BF$68=1)*('Your Year'!$B$6:$B$68&lt;$I15))+1)+CEILING($K15/MAX($M15,0.01),1)-1)-1),IF('Your Pay &amp; Benefits'!$C$7="Biweekly",'Your Pay &amp; Benefits'!$C$9+14*(((SUMPRODUCT(('Your Year'!$B$6:$B$68&lt;&gt;"")*('Your Year'!$BF$6:$BF$68=1)*('Your Year'!$B$6:$B$68&lt;$I15))+1)+CEILING($K15/MAX($M15,0.01),1)-1)-1),IF('Your Pay &amp; Benefits'!$C$7="Monthly",EDATE('Your Pay &amp; Benefits'!$C$9,((SUMPRODUCT(('Your Year'!$B$6:$B$68&lt;&gt;"")*('Your Year'!$BF$6:$BF$68=1)*('Your Year'!$B$6:$B$68&lt;$I15))+1)+CEILING($K15/MAX($M15,0.01),1)-1)-1),DATE(YEAR('Your Pay &amp; Benefits'!$C$9),MONTH('Your Pay &amp; Benefits'!$C$9)+INT((((SUMPRODUCT(('Your Year'!$B$6:$B$68&lt;&gt;"")*('Your Year'!$BF$6:$BF$68=1)*('Your Year'!$B$6:$B$68&lt;$I15))+1)+CEILING($K15/MAX($M15,0.01),1)-1)-1)/2),MIN(DAY('Your Pay &amp; Benefits'!$C$9),DAY(EOMONTH(DATE(YEAR('Your Pay &amp; Benefits'!$C$9),MONTH('Your Pay &amp; Benefits'!$C$9)+INT((((SUMPRODUCT(('Your Year'!$B$6:$B$68&lt;&gt;"")*('Your Year'!$BF$6:$BF$68=1)*('Your Year'!$B$6:$B$68&lt;$I15))+1)+CEILING($K15/MAX($M15,0.01),1)-1)-1)/2),1),0))))+IF(MOD(((SUMPRODUCT(('Your Year'!$B$6:$B$68&lt;&gt;"")*('Your Year'!$BF$6:$BF$68=1)*('Your Year'!$B$6:$B$68&lt;$I15))+1)+CEILING($K15/MAX($M15,0.01),1)-1)-1,2)=1,15,0)))))</f>
      </c>
      <c r="P15" s="16">
        <f>IF($C15=0,0,$F15+IF(AND($G15&gt;0,$H15&lt;&gt;"",$H15&lt;=$D15),$G15,0)+$M15*$J15)</f>
      </c>
      <c r="R15" s="21">
        <f>IF('Your Year'!$B15="","",'Your Year'!$B15)</f>
      </c>
      <c r="S15" s="7">
        <f>IF(OR($R15="",'Your Year'!$BF15&lt;&gt;TRUE),"",'Your Year'!$Y15)</f>
      </c>
      <c r="T15" s="7">
        <f>IF($S15="","",SUMPRODUCT($M$14:$M$18,($C$14:$C$18&gt;0)*($I$14:$I$18&lt;&gt;"")*($I$14:$I$18&lt;=$R15)*($D$14:$D$18&gt;=$R15)))</f>
      </c>
      <c r="U15" s="7">
        <f>IF($S15="","",MAX(0,$T15-$S15))</f>
      </c>
    </row>
    <row r="16">
      <c r="C16" s="37" t="n">
        <v>0</v>
      </c>
      <c r="D16" s="38" t="n"/>
      <c r="E16" s="39" t="n">
        <v>3</v>
      </c>
      <c r="F16" s="37" t="n">
        <v>0</v>
      </c>
      <c r="G16" s="37" t="n">
        <v>0</v>
      </c>
      <c r="H16" s="38" t="n"/>
      <c r="I16" s="38">
        <f>'Your Pay &amp; Benefits'!$C$9</f>
      </c>
      <c r="J16" s="20">
        <f>IF(OR($C16=0,$C16="",$D16="",$I16=""),0,SUMPRODUCT(('Your Year'!$B$6:$B$68&lt;&gt;"")*('Your Year'!$BF$6:$BF$68=1)*('Your Year'!$B$6:$B$68&gt;=$I16)*('Your Year'!$B$6:$B$68&lt;=$D16)))</f>
      </c>
      <c r="K16" s="16">
        <f>IF($C16=0,0,MAX(0,$C16-$F16-IF(AND($G16&gt;0,$H16&lt;&gt;"",$H16&lt;=$D16),$G16,0)))</f>
      </c>
      <c r="L16" s="16">
        <f>IF(OR($K16=0,$J16=0),0,$K16/$J16)</f>
      </c>
      <c r="M16" s="16">
        <f>IF($K16=0,0,MIN($L16,MAX(0,$C$9-SUMPRODUCT(($E$14:$E$18&lt;$E16)*$L$14:$L$18))))</f>
      </c>
      <c r="N16" s="28">
        <f>IF(OR($C16="",$C16=0),"",IF($K16=0,"Covered already — savings and any earmark cover the target.",IF($J16=0,"No paydays fall between the start date and the target date — the date or the target has to move.",IF($M16&gt;=$L16,"Funded by "&amp;TEXT($D16,"mmmm d")&amp;" at $"&amp;TEXT($M16,"#,##0")&amp;" per check."&amp;IF(AND($G16&gt;0,$H16&lt;&gt;"",$H16&lt;=$D16,$J16&gt;0,($C16-$F16)/$J16&gt;$M16)," Funded only if the "&amp;TEXT($H16,"mmmm d")&amp;" one-off lands.",""),IF($M16&lt;=0,"Short $"&amp;TEXT($K16-$M16*$J16,"#,##0")&amp;" by "&amp;TEXT($D16,"mmmm d")&amp;" — nothing is left in the waterfall for this goal. Options: trim the target to $"&amp;TEXT($P16,"#,##0")&amp;", or raise the set-aside to $"&amp;TEXT($L16,"#,##0")&amp;" per check.","Short $"&amp;TEXT($K16-$M16*$J16,"#,##0")&amp;" by "&amp;TEXT($D16,"mmmm d")&amp;" — options: let the date slip to "&amp;TEXT($O16,"mmmm d, yyyy")&amp;", trim the target to $"&amp;TEXT($P16,"#,##0")&amp;", or raise the set-aside to $"&amp;TEXT($L16,"#,##0")&amp;" per check.")))))</f>
      </c>
      <c r="O16" s="26">
        <f>IF(OR($K16=0,$M16&lt;=0),"",IF('Your Pay &amp; Benefits'!$C$7="Weekly",'Your Pay &amp; Benefits'!$C$9+7*(((SUMPRODUCT(('Your Year'!$B$6:$B$68&lt;&gt;"")*('Your Year'!$BF$6:$BF$68=1)*('Your Year'!$B$6:$B$68&lt;$I16))+1)+CEILING($K16/MAX($M16,0.01),1)-1)-1),IF('Your Pay &amp; Benefits'!$C$7="Biweekly",'Your Pay &amp; Benefits'!$C$9+14*(((SUMPRODUCT(('Your Year'!$B$6:$B$68&lt;&gt;"")*('Your Year'!$BF$6:$BF$68=1)*('Your Year'!$B$6:$B$68&lt;$I16))+1)+CEILING($K16/MAX($M16,0.01),1)-1)-1),IF('Your Pay &amp; Benefits'!$C$7="Monthly",EDATE('Your Pay &amp; Benefits'!$C$9,((SUMPRODUCT(('Your Year'!$B$6:$B$68&lt;&gt;"")*('Your Year'!$BF$6:$BF$68=1)*('Your Year'!$B$6:$B$68&lt;$I16))+1)+CEILING($K16/MAX($M16,0.01),1)-1)-1),DATE(YEAR('Your Pay &amp; Benefits'!$C$9),MONTH('Your Pay &amp; Benefits'!$C$9)+INT((((SUMPRODUCT(('Your Year'!$B$6:$B$68&lt;&gt;"")*('Your Year'!$BF$6:$BF$68=1)*('Your Year'!$B$6:$B$68&lt;$I16))+1)+CEILING($K16/MAX($M16,0.01),1)-1)-1)/2),MIN(DAY('Your Pay &amp; Benefits'!$C$9),DAY(EOMONTH(DATE(YEAR('Your Pay &amp; Benefits'!$C$9),MONTH('Your Pay &amp; Benefits'!$C$9)+INT((((SUMPRODUCT(('Your Year'!$B$6:$B$68&lt;&gt;"")*('Your Year'!$BF$6:$BF$68=1)*('Your Year'!$B$6:$B$68&lt;$I16))+1)+CEILING($K16/MAX($M16,0.01),1)-1)-1)/2),1),0))))+IF(MOD(((SUMPRODUCT(('Your Year'!$B$6:$B$68&lt;&gt;"")*('Your Year'!$BF$6:$BF$68=1)*('Your Year'!$B$6:$B$68&lt;$I16))+1)+CEILING($K16/MAX($M16,0.01),1)-1)-1,2)=1,15,0)))))</f>
      </c>
      <c r="P16" s="16">
        <f>IF($C16=0,0,$F16+IF(AND($G16&gt;0,$H16&lt;&gt;"",$H16&lt;=$D16),$G16,0)+$M16*$J16)</f>
      </c>
      <c r="R16" s="21">
        <f>IF('Your Year'!$B16="","",'Your Year'!$B16)</f>
      </c>
      <c r="S16" s="7">
        <f>IF(OR($R16="",'Your Year'!$BF16&lt;&gt;TRUE),"",'Your Year'!$Y16)</f>
      </c>
      <c r="T16" s="7">
        <f>IF($S16="","",SUMPRODUCT($M$14:$M$18,($C$14:$C$18&gt;0)*($I$14:$I$18&lt;&gt;"")*($I$14:$I$18&lt;=$R16)*($D$14:$D$18&gt;=$R16)))</f>
      </c>
      <c r="U16" s="7">
        <f>IF($S16="","",MAX(0,$T16-$S16))</f>
      </c>
    </row>
    <row r="17">
      <c r="C17" s="37" t="n">
        <v>0</v>
      </c>
      <c r="D17" s="38" t="n"/>
      <c r="E17" s="39" t="n">
        <v>4</v>
      </c>
      <c r="F17" s="37" t="n">
        <v>0</v>
      </c>
      <c r="G17" s="37" t="n">
        <v>0</v>
      </c>
      <c r="H17" s="38" t="n"/>
      <c r="I17" s="38">
        <f>'Your Pay &amp; Benefits'!$C$9</f>
      </c>
      <c r="J17" s="20">
        <f>IF(OR($C17=0,$C17="",$D17="",$I17=""),0,SUMPRODUCT(('Your Year'!$B$6:$B$68&lt;&gt;"")*('Your Year'!$BF$6:$BF$68=1)*('Your Year'!$B$6:$B$68&gt;=$I17)*('Your Year'!$B$6:$B$68&lt;=$D17)))</f>
      </c>
      <c r="K17" s="16">
        <f>IF($C17=0,0,MAX(0,$C17-$F17-IF(AND($G17&gt;0,$H17&lt;&gt;"",$H17&lt;=$D17),$G17,0)))</f>
      </c>
      <c r="L17" s="16">
        <f>IF(OR($K17=0,$J17=0),0,$K17/$J17)</f>
      </c>
      <c r="M17" s="16">
        <f>IF($K17=0,0,MIN($L17,MAX(0,$C$9-SUMPRODUCT(($E$14:$E$18&lt;$E17)*$L$14:$L$18))))</f>
      </c>
      <c r="N17" s="28">
        <f>IF(OR($C17="",$C17=0),"",IF($K17=0,"Covered already — savings and any earmark cover the target.",IF($J17=0,"No paydays fall between the start date and the target date — the date or the target has to move.",IF($M17&gt;=$L17,"Funded by "&amp;TEXT($D17,"mmmm d")&amp;" at $"&amp;TEXT($M17,"#,##0")&amp;" per check."&amp;IF(AND($G17&gt;0,$H17&lt;&gt;"",$H17&lt;=$D17,$J17&gt;0,($C17-$F17)/$J17&gt;$M17)," Funded only if the "&amp;TEXT($H17,"mmmm d")&amp;" one-off lands.",""),IF($M17&lt;=0,"Short $"&amp;TEXT($K17-$M17*$J17,"#,##0")&amp;" by "&amp;TEXT($D17,"mmmm d")&amp;" — nothing is left in the waterfall for this goal. Options: trim the target to $"&amp;TEXT($P17,"#,##0")&amp;", or raise the set-aside to $"&amp;TEXT($L17,"#,##0")&amp;" per check.","Short $"&amp;TEXT($K17-$M17*$J17,"#,##0")&amp;" by "&amp;TEXT($D17,"mmmm d")&amp;" — options: let the date slip to "&amp;TEXT($O17,"mmmm d, yyyy")&amp;", trim the target to $"&amp;TEXT($P17,"#,##0")&amp;", or raise the set-aside to $"&amp;TEXT($L17,"#,##0")&amp;" per check.")))))</f>
      </c>
      <c r="O17" s="26">
        <f>IF(OR($K17=0,$M17&lt;=0),"",IF('Your Pay &amp; Benefits'!$C$7="Weekly",'Your Pay &amp; Benefits'!$C$9+7*(((SUMPRODUCT(('Your Year'!$B$6:$B$68&lt;&gt;"")*('Your Year'!$BF$6:$BF$68=1)*('Your Year'!$B$6:$B$68&lt;$I17))+1)+CEILING($K17/MAX($M17,0.01),1)-1)-1),IF('Your Pay &amp; Benefits'!$C$7="Biweekly",'Your Pay &amp; Benefits'!$C$9+14*(((SUMPRODUCT(('Your Year'!$B$6:$B$68&lt;&gt;"")*('Your Year'!$BF$6:$BF$68=1)*('Your Year'!$B$6:$B$68&lt;$I17))+1)+CEILING($K17/MAX($M17,0.01),1)-1)-1),IF('Your Pay &amp; Benefits'!$C$7="Monthly",EDATE('Your Pay &amp; Benefits'!$C$9,((SUMPRODUCT(('Your Year'!$B$6:$B$68&lt;&gt;"")*('Your Year'!$BF$6:$BF$68=1)*('Your Year'!$B$6:$B$68&lt;$I17))+1)+CEILING($K17/MAX($M17,0.01),1)-1)-1),DATE(YEAR('Your Pay &amp; Benefits'!$C$9),MONTH('Your Pay &amp; Benefits'!$C$9)+INT((((SUMPRODUCT(('Your Year'!$B$6:$B$68&lt;&gt;"")*('Your Year'!$BF$6:$BF$68=1)*('Your Year'!$B$6:$B$68&lt;$I17))+1)+CEILING($K17/MAX($M17,0.01),1)-1)-1)/2),MIN(DAY('Your Pay &amp; Benefits'!$C$9),DAY(EOMONTH(DATE(YEAR('Your Pay &amp; Benefits'!$C$9),MONTH('Your Pay &amp; Benefits'!$C$9)+INT((((SUMPRODUCT(('Your Year'!$B$6:$B$68&lt;&gt;"")*('Your Year'!$BF$6:$BF$68=1)*('Your Year'!$B$6:$B$68&lt;$I17))+1)+CEILING($K17/MAX($M17,0.01),1)-1)-1)/2),1),0))))+IF(MOD(((SUMPRODUCT(('Your Year'!$B$6:$B$68&lt;&gt;"")*('Your Year'!$BF$6:$BF$68=1)*('Your Year'!$B$6:$B$68&lt;$I17))+1)+CEILING($K17/MAX($M17,0.01),1)-1)-1,2)=1,15,0)))))</f>
      </c>
      <c r="P17" s="16">
        <f>IF($C17=0,0,$F17+IF(AND($G17&gt;0,$H17&lt;&gt;"",$H17&lt;=$D17),$G17,0)+$M17*$J17)</f>
      </c>
      <c r="R17" s="21">
        <f>IF('Your Year'!$B17="","",'Your Year'!$B17)</f>
      </c>
      <c r="S17" s="7">
        <f>IF(OR($R17="",'Your Year'!$BF17&lt;&gt;TRUE),"",'Your Year'!$Y17)</f>
      </c>
      <c r="T17" s="7">
        <f>IF($S17="","",SUMPRODUCT($M$14:$M$18,($C$14:$C$18&gt;0)*($I$14:$I$18&lt;&gt;"")*($I$14:$I$18&lt;=$R17)*($D$14:$D$18&gt;=$R17)))</f>
      </c>
      <c r="U17" s="7">
        <f>IF($S17="","",MAX(0,$T17-$S17))</f>
      </c>
    </row>
    <row r="18">
      <c r="C18" s="37" t="n">
        <v>0</v>
      </c>
      <c r="D18" s="38" t="n"/>
      <c r="E18" s="39" t="n">
        <v>5</v>
      </c>
      <c r="F18" s="37" t="n">
        <v>0</v>
      </c>
      <c r="G18" s="37" t="n">
        <v>0</v>
      </c>
      <c r="H18" s="38" t="n"/>
      <c r="I18" s="38">
        <f>'Your Pay &amp; Benefits'!$C$9</f>
      </c>
      <c r="J18" s="20">
        <f>IF(OR($C18=0,$C18="",$D18="",$I18=""),0,SUMPRODUCT(('Your Year'!$B$6:$B$68&lt;&gt;"")*('Your Year'!$BF$6:$BF$68=1)*('Your Year'!$B$6:$B$68&gt;=$I18)*('Your Year'!$B$6:$B$68&lt;=$D18)))</f>
      </c>
      <c r="K18" s="16">
        <f>IF($C18=0,0,MAX(0,$C18-$F18-IF(AND($G18&gt;0,$H18&lt;&gt;"",$H18&lt;=$D18),$G18,0)))</f>
      </c>
      <c r="L18" s="16">
        <f>IF(OR($K18=0,$J18=0),0,$K18/$J18)</f>
      </c>
      <c r="M18" s="16">
        <f>IF($K18=0,0,MIN($L18,MAX(0,$C$9-SUMPRODUCT(($E$14:$E$18&lt;$E18)*$L$14:$L$18))))</f>
      </c>
      <c r="N18" s="28">
        <f>IF(OR($C18="",$C18=0),"",IF($K18=0,"Covered already — savings and any earmark cover the target.",IF($J18=0,"No paydays fall between the start date and the target date — the date or the target has to move.",IF($M18&gt;=$L18,"Funded by "&amp;TEXT($D18,"mmmm d")&amp;" at $"&amp;TEXT($M18,"#,##0")&amp;" per check."&amp;IF(AND($G18&gt;0,$H18&lt;&gt;"",$H18&lt;=$D18,$J18&gt;0,($C18-$F18)/$J18&gt;$M18)," Funded only if the "&amp;TEXT($H18,"mmmm d")&amp;" one-off lands.",""),IF($M18&lt;=0,"Short $"&amp;TEXT($K18-$M18*$J18,"#,##0")&amp;" by "&amp;TEXT($D18,"mmmm d")&amp;" — nothing is left in the waterfall for this goal. Options: trim the target to $"&amp;TEXT($P18,"#,##0")&amp;", or raise the set-aside to $"&amp;TEXT($L18,"#,##0")&amp;" per check.","Short $"&amp;TEXT($K18-$M18*$J18,"#,##0")&amp;" by "&amp;TEXT($D18,"mmmm d")&amp;" — options: let the date slip to "&amp;TEXT($O18,"mmmm d, yyyy")&amp;", trim the target to $"&amp;TEXT($P18,"#,##0")&amp;", or raise the set-aside to $"&amp;TEXT($L18,"#,##0")&amp;" per check.")))))</f>
      </c>
      <c r="O18" s="26">
        <f>IF(OR($K18=0,$M18&lt;=0),"",IF('Your Pay &amp; Benefits'!$C$7="Weekly",'Your Pay &amp; Benefits'!$C$9+7*(((SUMPRODUCT(('Your Year'!$B$6:$B$68&lt;&gt;"")*('Your Year'!$BF$6:$BF$68=1)*('Your Year'!$B$6:$B$68&lt;$I18))+1)+CEILING($K18/MAX($M18,0.01),1)-1)-1),IF('Your Pay &amp; Benefits'!$C$7="Biweekly",'Your Pay &amp; Benefits'!$C$9+14*(((SUMPRODUCT(('Your Year'!$B$6:$B$68&lt;&gt;"")*('Your Year'!$BF$6:$BF$68=1)*('Your Year'!$B$6:$B$68&lt;$I18))+1)+CEILING($K18/MAX($M18,0.01),1)-1)-1),IF('Your Pay &amp; Benefits'!$C$7="Monthly",EDATE('Your Pay &amp; Benefits'!$C$9,((SUMPRODUCT(('Your Year'!$B$6:$B$68&lt;&gt;"")*('Your Year'!$BF$6:$BF$68=1)*('Your Year'!$B$6:$B$68&lt;$I18))+1)+CEILING($K18/MAX($M18,0.01),1)-1)-1),DATE(YEAR('Your Pay &amp; Benefits'!$C$9),MONTH('Your Pay &amp; Benefits'!$C$9)+INT((((SUMPRODUCT(('Your Year'!$B$6:$B$68&lt;&gt;"")*('Your Year'!$BF$6:$BF$68=1)*('Your Year'!$B$6:$B$68&lt;$I18))+1)+CEILING($K18/MAX($M18,0.01),1)-1)-1)/2),MIN(DAY('Your Pay &amp; Benefits'!$C$9),DAY(EOMONTH(DATE(YEAR('Your Pay &amp; Benefits'!$C$9),MONTH('Your Pay &amp; Benefits'!$C$9)+INT((((SUMPRODUCT(('Your Year'!$B$6:$B$68&lt;&gt;"")*('Your Year'!$BF$6:$BF$68=1)*('Your Year'!$B$6:$B$68&lt;$I18))+1)+CEILING($K18/MAX($M18,0.01),1)-1)-1)/2),1),0))))+IF(MOD(((SUMPRODUCT(('Your Year'!$B$6:$B$68&lt;&gt;"")*('Your Year'!$BF$6:$BF$68=1)*('Your Year'!$B$6:$B$68&lt;$I18))+1)+CEILING($K18/MAX($M18,0.01),1)-1)-1,2)=1,15,0)))))</f>
      </c>
      <c r="P18" s="16">
        <f>IF($C18=0,0,$F18+IF(AND($G18&gt;0,$H18&lt;&gt;"",$H18&lt;=$D18),$G18,0)+$M18*$J18)</f>
      </c>
      <c r="R18" s="21">
        <f>IF('Your Year'!$B18="","",'Your Year'!$B18)</f>
      </c>
      <c r="S18" s="7">
        <f>IF(OR($R18="",'Your Year'!$BF18&lt;&gt;TRUE),"",'Your Year'!$Y18)</f>
      </c>
      <c r="T18" s="7">
        <f>IF($S18="","",SUMPRODUCT($M$14:$M$18,($C$14:$C$18&gt;0)*($I$14:$I$18&lt;&gt;"")*($I$14:$I$18&lt;=$R18)*($D$14:$D$18&gt;=$R18)))</f>
      </c>
      <c r="U18" s="7">
        <f>IF($S18="","",MAX(0,$T18-$S18))</f>
      </c>
    </row>
    <row r="19">
      <c r="R19" s="21">
        <f>IF('Your Year'!$B19="","",'Your Year'!$B19)</f>
      </c>
      <c r="S19" s="7">
        <f>IF(OR($R19="",'Your Year'!$BF19&lt;&gt;TRUE),"",'Your Year'!$Y19)</f>
      </c>
      <c r="T19" s="7">
        <f>IF($S19="","",SUMPRODUCT($M$14:$M$18,($C$14:$C$18&gt;0)*($I$14:$I$18&lt;&gt;"")*($I$14:$I$18&lt;=$R19)*($D$14:$D$18&gt;=$R19)))</f>
      </c>
      <c r="U19" s="7">
        <f>IF($S19="","",MAX(0,$T19-$S19))</f>
      </c>
    </row>
    <row r="20">
      <c r="B20" s="2" t="inlineStr">
        <is>
          <t>How the waterfall works: goals are funded in priority order (1 first). Each goal's 'Allocated' is what remains of your capacity after every higher-priority goal has taken its required set-aside — give each goal its own priority number, since tied priorities do not share. 'Required' is the solver's answer for starting on the goal's own start date: start later and the same goal needs more per check over fewer checks, which is exactly what the Required column recomputes when you move the start date. Allocated amounts are per-check averages across each goal's window; the per-check reality check below the table tests them against each individual check's projected net.</t>
        </is>
      </c>
      <c r="R20" s="21">
        <f>IF('Your Year'!$B20="","",'Your Year'!$B20)</f>
      </c>
      <c r="S20" s="7">
        <f>IF(OR($R20="",'Your Year'!$BF20&lt;&gt;TRUE),"",'Your Year'!$Y20)</f>
      </c>
      <c r="T20" s="7">
        <f>IF($S20="","",SUMPRODUCT($M$14:$M$18,($C$14:$C$18&gt;0)*($I$14:$I$18&lt;&gt;"")*($I$14:$I$18&lt;=$R20)*($D$14:$D$18&gt;=$R20)))</f>
      </c>
      <c r="U20" s="7">
        <f>IF($S20="","",MAX(0,$T20-$S20))</f>
      </c>
    </row>
    <row r="21">
      <c r="B21" s="2" t="inlineStr">
        <is>
          <t>An earmark is a one-off payment (a bonus, a retention payment) you assign to a goal: enter its amount and its expected date, and it counts toward the target if it lands on or before the target date. If a goal only funds because of an earmark, the verdict says so — 'funded only if the bonus lands' is a different kind of funded.</t>
        </is>
      </c>
      <c r="R21" s="21">
        <f>IF('Your Year'!$B21="","",'Your Year'!$B21)</f>
      </c>
      <c r="S21" s="7">
        <f>IF(OR($R21="",'Your Year'!$BF21&lt;&gt;TRUE),"",'Your Year'!$Y21)</f>
      </c>
      <c r="T21" s="7">
        <f>IF($S21="","",SUMPRODUCT($M$14:$M$18,($C$14:$C$18&gt;0)*($I$14:$I$18&lt;&gt;"")*($I$14:$I$18&lt;=$R21)*($D$14:$D$18&gt;=$R21)))</f>
      </c>
      <c r="U21" s="7">
        <f>IF($S21="","",MAX(0,$T21-$S21))</f>
      </c>
    </row>
    <row r="22">
      <c r="B22" s="2" t="inlineStr">
        <is>
          <t>Lever interplay: if a goal is short, the Levers tab shows what a benefit change frees per check (a dependent-care FSA that frees $80/check moves a funded-by date; a bigger 401(k) deferral does the opposite). The trade-offs are yours — the planner presents them neutrally and never advises trimming retirement saving for a purchase.</t>
        </is>
      </c>
      <c r="R22" s="21">
        <f>IF('Your Year'!$B22="","",'Your Year'!$B22)</f>
      </c>
      <c r="S22" s="7">
        <f>IF(OR($R22="",'Your Year'!$BF22&lt;&gt;TRUE),"",'Your Year'!$Y22)</f>
      </c>
      <c r="T22" s="7">
        <f>IF($S22="","",SUMPRODUCT($M$14:$M$18,($C$14:$C$18&gt;0)*($I$14:$I$18&lt;&gt;"")*($I$14:$I$18&lt;=$R22)*($D$14:$D$18&gt;=$R22)))</f>
      </c>
      <c r="U22" s="7">
        <f>IF($S22="","",MAX(0,$T22-$S22))</f>
      </c>
    </row>
    <row r="23">
      <c r="B23" s="2" t="inlineStr">
        <is>
          <t>Estimates only: set-asides assume every projected check lands as scheduled. Life events belong on the Changes &amp; Changes &amp; Events tab — re-run the year there and this tab re-solves itself.</t>
        </is>
      </c>
      <c r="R23" s="21">
        <f>IF('Your Year'!$B23="","",'Your Year'!$B23)</f>
      </c>
      <c r="S23" s="7">
        <f>IF(OR($R23="",'Your Year'!$BF23&lt;&gt;TRUE),"",'Your Year'!$Y23)</f>
      </c>
      <c r="T23" s="7">
        <f>IF($S23="","",SUMPRODUCT($M$14:$M$18,($C$14:$C$18&gt;0)*($I$14:$I$18&lt;&gt;"")*($I$14:$I$18&lt;=$R23)*($D$14:$D$18&gt;=$R23)))</f>
      </c>
      <c r="U23" s="7">
        <f>IF($S23="","",MAX(0,$T23-$S23))</f>
      </c>
    </row>
    <row r="24" ht="30" customHeight="1">
      <c r="B24" s="3">
        <f>IF(SUM($U$6:$U$68)&lt;=0,"✓ Per-check reality check: on every projected payday, the planned set-asides fit inside that check's projected net pay.","⚠ Per-check reality check: on "&amp;SUMPRODUCT(ISNUMBER($U$6:$U$68)*($U$6:$U$68&gt;0))&amp;" payday(s), the planned set-asides exceed that check's projected net pay — the worst is "&amp;TEXT(INDEX($R$6:$R$68,MATCH(MAX($U$6:$U$68),$U$6:$U$68,0)),"mmmm d")&amp;", short by "&amp;TEXT(MAX($U$6:$U$68),"$#,##0")&amp;". Those checks cannot fund the plan as drawn — trim a goal, move a target date, or spread the set-asides thinner.")</f>
      </c>
      <c r="R24" s="21">
        <f>IF('Your Year'!$B24="","",'Your Year'!$B24)</f>
      </c>
      <c r="S24" s="7">
        <f>IF(OR($R24="",'Your Year'!$BF24&lt;&gt;TRUE),"",'Your Year'!$Y24)</f>
      </c>
      <c r="T24" s="7">
        <f>IF($S24="","",SUMPRODUCT($M$14:$M$18,($C$14:$C$18&gt;0)*($I$14:$I$18&lt;&gt;"")*($I$14:$I$18&lt;=$R24)*($D$14:$D$18&gt;=$R24)))</f>
      </c>
      <c r="U24" s="7">
        <f>IF($S24="","",MAX(0,$T24-$S24))</f>
      </c>
    </row>
    <row r="25" ht="45" customHeight="1">
      <c r="B25" s="3" t="inlineStr">
        <is>
          <t>How the Goals math works (v1.1): the waterfall solves with per-check averages inside each goal's window — it is not a day-by-day ledger — but three guards keep it honest: (1) effective capacity is capped at your average projected net pay per check, so a plan can never assume a check brings home more than it does; (2) in the reality-check ledger at the right, a goal stops drawing set-asides after its target date; (3) any single check whose planned set-asides exceed its own projected net is flagged in the verdict above. If the reality check warns, believe it over the averages.</t>
        </is>
      </c>
      <c r="R25" s="21">
        <f>IF('Your Year'!$B25="","",'Your Year'!$B25)</f>
      </c>
      <c r="S25" s="7">
        <f>IF(OR($R25="",'Your Year'!$BF25&lt;&gt;TRUE),"",'Your Year'!$Y25)</f>
      </c>
      <c r="T25" s="7">
        <f>IF($S25="","",SUMPRODUCT($M$14:$M$18,($C$14:$C$18&gt;0)*($I$14:$I$18&lt;&gt;"")*($I$14:$I$18&lt;=$R25)*($D$14:$D$18&gt;=$R25)))</f>
      </c>
      <c r="U25" s="7">
        <f>IF($S25="","",MAX(0,$T25-$S25))</f>
      </c>
    </row>
    <row r="26">
      <c r="R26" s="21">
        <f>IF('Your Year'!$B26="","",'Your Year'!$B26)</f>
      </c>
      <c r="S26" s="7">
        <f>IF(OR($R26="",'Your Year'!$BF26&lt;&gt;TRUE),"",'Your Year'!$Y26)</f>
      </c>
      <c r="T26" s="7">
        <f>IF($S26="","",SUMPRODUCT($M$14:$M$18,($C$14:$C$18&gt;0)*($I$14:$I$18&lt;&gt;"")*($I$14:$I$18&lt;=$R26)*($D$14:$D$18&gt;=$R26)))</f>
      </c>
      <c r="U26" s="7">
        <f>IF($S26="","",MAX(0,$T26-$S26))</f>
      </c>
    </row>
    <row r="27">
      <c r="R27" s="21">
        <f>IF('Your Year'!$B27="","",'Your Year'!$B27)</f>
      </c>
      <c r="S27" s="7">
        <f>IF(OR($R27="",'Your Year'!$BF27&lt;&gt;TRUE),"",'Your Year'!$Y27)</f>
      </c>
      <c r="T27" s="7">
        <f>IF($S27="","",SUMPRODUCT($M$14:$M$18,($C$14:$C$18&gt;0)*($I$14:$I$18&lt;&gt;"")*($I$14:$I$18&lt;=$R27)*($D$14:$D$18&gt;=$R27)))</f>
      </c>
      <c r="U27" s="7">
        <f>IF($S27="","",MAX(0,$T27-$S27))</f>
      </c>
    </row>
    <row r="28">
      <c r="R28" s="21">
        <f>IF('Your Year'!$B28="","",'Your Year'!$B28)</f>
      </c>
      <c r="S28" s="7">
        <f>IF(OR($R28="",'Your Year'!$BF28&lt;&gt;TRUE),"",'Your Year'!$Y28)</f>
      </c>
      <c r="T28" s="7">
        <f>IF($S28="","",SUMPRODUCT($M$14:$M$18,($C$14:$C$18&gt;0)*($I$14:$I$18&lt;&gt;"")*($I$14:$I$18&lt;=$R28)*($D$14:$D$18&gt;=$R28)))</f>
      </c>
      <c r="U28" s="7">
        <f>IF($S28="","",MAX(0,$T28-$S28))</f>
      </c>
    </row>
    <row r="29">
      <c r="R29" s="21">
        <f>IF('Your Year'!$B29="","",'Your Year'!$B29)</f>
      </c>
      <c r="S29" s="7">
        <f>IF(OR($R29="",'Your Year'!$BF29&lt;&gt;TRUE),"",'Your Year'!$Y29)</f>
      </c>
      <c r="T29" s="7">
        <f>IF($S29="","",SUMPRODUCT($M$14:$M$18,($C$14:$C$18&gt;0)*($I$14:$I$18&lt;&gt;"")*($I$14:$I$18&lt;=$R29)*($D$14:$D$18&gt;=$R29)))</f>
      </c>
      <c r="U29" s="7">
        <f>IF($S29="","",MAX(0,$T29-$S29))</f>
      </c>
    </row>
    <row r="30">
      <c r="R30" s="21">
        <f>IF('Your Year'!$B30="","",'Your Year'!$B30)</f>
      </c>
      <c r="S30" s="7">
        <f>IF(OR($R30="",'Your Year'!$BF30&lt;&gt;TRUE),"",'Your Year'!$Y30)</f>
      </c>
      <c r="T30" s="7">
        <f>IF($S30="","",SUMPRODUCT($M$14:$M$18,($C$14:$C$18&gt;0)*($I$14:$I$18&lt;&gt;"")*($I$14:$I$18&lt;=$R30)*($D$14:$D$18&gt;=$R30)))</f>
      </c>
      <c r="U30" s="7">
        <f>IF($S30="","",MAX(0,$T30-$S30))</f>
      </c>
    </row>
    <row r="31">
      <c r="R31" s="21">
        <f>IF('Your Year'!$B31="","",'Your Year'!$B31)</f>
      </c>
      <c r="S31" s="7">
        <f>IF(OR($R31="",'Your Year'!$BF31&lt;&gt;TRUE),"",'Your Year'!$Y31)</f>
      </c>
      <c r="T31" s="7">
        <f>IF($S31="","",SUMPRODUCT($M$14:$M$18,($C$14:$C$18&gt;0)*($I$14:$I$18&lt;&gt;"")*($I$14:$I$18&lt;=$R31)*($D$14:$D$18&gt;=$R31)))</f>
      </c>
      <c r="U31" s="7">
        <f>IF($S31="","",MAX(0,$T31-$S31))</f>
      </c>
    </row>
    <row r="32">
      <c r="R32" s="21">
        <f>IF('Your Year'!$B32="","",'Your Year'!$B32)</f>
      </c>
      <c r="S32" s="7">
        <f>IF(OR($R32="",'Your Year'!$BF32&lt;&gt;TRUE),"",'Your Year'!$Y32)</f>
      </c>
      <c r="T32" s="7">
        <f>IF($S32="","",SUMPRODUCT($M$14:$M$18,($C$14:$C$18&gt;0)*($I$14:$I$18&lt;&gt;"")*($I$14:$I$18&lt;=$R32)*($D$14:$D$18&gt;=$R32)))</f>
      </c>
      <c r="U32" s="7">
        <f>IF($S32="","",MAX(0,$T32-$S32))</f>
      </c>
    </row>
    <row r="33">
      <c r="R33" s="21">
        <f>IF('Your Year'!$B33="","",'Your Year'!$B33)</f>
      </c>
      <c r="S33" s="7">
        <f>IF(OR($R33="",'Your Year'!$BF33&lt;&gt;TRUE),"",'Your Year'!$Y33)</f>
      </c>
      <c r="T33" s="7">
        <f>IF($S33="","",SUMPRODUCT($M$14:$M$18,($C$14:$C$18&gt;0)*($I$14:$I$18&lt;&gt;"")*($I$14:$I$18&lt;=$R33)*($D$14:$D$18&gt;=$R33)))</f>
      </c>
      <c r="U33" s="7">
        <f>IF($S33="","",MAX(0,$T33-$S33))</f>
      </c>
    </row>
    <row r="34">
      <c r="R34" s="21">
        <f>IF('Your Year'!$B34="","",'Your Year'!$B34)</f>
      </c>
      <c r="S34" s="7">
        <f>IF(OR($R34="",'Your Year'!$BF34&lt;&gt;TRUE),"",'Your Year'!$Y34)</f>
      </c>
      <c r="T34" s="7">
        <f>IF($S34="","",SUMPRODUCT($M$14:$M$18,($C$14:$C$18&gt;0)*($I$14:$I$18&lt;&gt;"")*($I$14:$I$18&lt;=$R34)*($D$14:$D$18&gt;=$R34)))</f>
      </c>
      <c r="U34" s="7">
        <f>IF($S34="","",MAX(0,$T34-$S34))</f>
      </c>
    </row>
    <row r="35">
      <c r="R35" s="21">
        <f>IF('Your Year'!$B35="","",'Your Year'!$B35)</f>
      </c>
      <c r="S35" s="7">
        <f>IF(OR($R35="",'Your Year'!$BF35&lt;&gt;TRUE),"",'Your Year'!$Y35)</f>
      </c>
      <c r="T35" s="7">
        <f>IF($S35="","",SUMPRODUCT($M$14:$M$18,($C$14:$C$18&gt;0)*($I$14:$I$18&lt;&gt;"")*($I$14:$I$18&lt;=$R35)*($D$14:$D$18&gt;=$R35)))</f>
      </c>
      <c r="U35" s="7">
        <f>IF($S35="","",MAX(0,$T35-$S35))</f>
      </c>
    </row>
    <row r="36">
      <c r="R36" s="21">
        <f>IF('Your Year'!$B36="","",'Your Year'!$B36)</f>
      </c>
      <c r="S36" s="7">
        <f>IF(OR($R36="",'Your Year'!$BF36&lt;&gt;TRUE),"",'Your Year'!$Y36)</f>
      </c>
      <c r="T36" s="7">
        <f>IF($S36="","",SUMPRODUCT($M$14:$M$18,($C$14:$C$18&gt;0)*($I$14:$I$18&lt;&gt;"")*($I$14:$I$18&lt;=$R36)*($D$14:$D$18&gt;=$R36)))</f>
      </c>
      <c r="U36" s="7">
        <f>IF($S36="","",MAX(0,$T36-$S36))</f>
      </c>
    </row>
    <row r="37">
      <c r="R37" s="21">
        <f>IF('Your Year'!$B37="","",'Your Year'!$B37)</f>
      </c>
      <c r="S37" s="7">
        <f>IF(OR($R37="",'Your Year'!$BF37&lt;&gt;TRUE),"",'Your Year'!$Y37)</f>
      </c>
      <c r="T37" s="7">
        <f>IF($S37="","",SUMPRODUCT($M$14:$M$18,($C$14:$C$18&gt;0)*($I$14:$I$18&lt;&gt;"")*($I$14:$I$18&lt;=$R37)*($D$14:$D$18&gt;=$R37)))</f>
      </c>
      <c r="U37" s="7">
        <f>IF($S37="","",MAX(0,$T37-$S37))</f>
      </c>
    </row>
    <row r="38">
      <c r="R38" s="21">
        <f>IF('Your Year'!$B38="","",'Your Year'!$B38)</f>
      </c>
      <c r="S38" s="7">
        <f>IF(OR($R38="",'Your Year'!$BF38&lt;&gt;TRUE),"",'Your Year'!$Y38)</f>
      </c>
      <c r="T38" s="7">
        <f>IF($S38="","",SUMPRODUCT($M$14:$M$18,($C$14:$C$18&gt;0)*($I$14:$I$18&lt;&gt;"")*($I$14:$I$18&lt;=$R38)*($D$14:$D$18&gt;=$R38)))</f>
      </c>
      <c r="U38" s="7">
        <f>IF($S38="","",MAX(0,$T38-$S38))</f>
      </c>
    </row>
    <row r="39">
      <c r="R39" s="21">
        <f>IF('Your Year'!$B39="","",'Your Year'!$B39)</f>
      </c>
      <c r="S39" s="7">
        <f>IF(OR($R39="",'Your Year'!$BF39&lt;&gt;TRUE),"",'Your Year'!$Y39)</f>
      </c>
      <c r="T39" s="7">
        <f>IF($S39="","",SUMPRODUCT($M$14:$M$18,($C$14:$C$18&gt;0)*($I$14:$I$18&lt;&gt;"")*($I$14:$I$18&lt;=$R39)*($D$14:$D$18&gt;=$R39)))</f>
      </c>
      <c r="U39" s="7">
        <f>IF($S39="","",MAX(0,$T39-$S39))</f>
      </c>
    </row>
    <row r="40">
      <c r="R40" s="21">
        <f>IF('Your Year'!$B40="","",'Your Year'!$B40)</f>
      </c>
      <c r="S40" s="7">
        <f>IF(OR($R40="",'Your Year'!$BF40&lt;&gt;TRUE),"",'Your Year'!$Y40)</f>
      </c>
      <c r="T40" s="7">
        <f>IF($S40="","",SUMPRODUCT($M$14:$M$18,($C$14:$C$18&gt;0)*($I$14:$I$18&lt;&gt;"")*($I$14:$I$18&lt;=$R40)*($D$14:$D$18&gt;=$R40)))</f>
      </c>
      <c r="U40" s="7">
        <f>IF($S40="","",MAX(0,$T40-$S40))</f>
      </c>
    </row>
    <row r="41">
      <c r="R41" s="21">
        <f>IF('Your Year'!$B41="","",'Your Year'!$B41)</f>
      </c>
      <c r="S41" s="7">
        <f>IF(OR($R41="",'Your Year'!$BF41&lt;&gt;TRUE),"",'Your Year'!$Y41)</f>
      </c>
      <c r="T41" s="7">
        <f>IF($S41="","",SUMPRODUCT($M$14:$M$18,($C$14:$C$18&gt;0)*($I$14:$I$18&lt;&gt;"")*($I$14:$I$18&lt;=$R41)*($D$14:$D$18&gt;=$R41)))</f>
      </c>
      <c r="U41" s="7">
        <f>IF($S41="","",MAX(0,$T41-$S41))</f>
      </c>
    </row>
    <row r="42">
      <c r="R42" s="21">
        <f>IF('Your Year'!$B42="","",'Your Year'!$B42)</f>
      </c>
      <c r="S42" s="7">
        <f>IF(OR($R42="",'Your Year'!$BF42&lt;&gt;TRUE),"",'Your Year'!$Y42)</f>
      </c>
      <c r="T42" s="7">
        <f>IF($S42="","",SUMPRODUCT($M$14:$M$18,($C$14:$C$18&gt;0)*($I$14:$I$18&lt;&gt;"")*($I$14:$I$18&lt;=$R42)*($D$14:$D$18&gt;=$R42)))</f>
      </c>
      <c r="U42" s="7">
        <f>IF($S42="","",MAX(0,$T42-$S42))</f>
      </c>
    </row>
    <row r="43">
      <c r="R43" s="21">
        <f>IF('Your Year'!$B43="","",'Your Year'!$B43)</f>
      </c>
      <c r="S43" s="7">
        <f>IF(OR($R43="",'Your Year'!$BF43&lt;&gt;TRUE),"",'Your Year'!$Y43)</f>
      </c>
      <c r="T43" s="7">
        <f>IF($S43="","",SUMPRODUCT($M$14:$M$18,($C$14:$C$18&gt;0)*($I$14:$I$18&lt;&gt;"")*($I$14:$I$18&lt;=$R43)*($D$14:$D$18&gt;=$R43)))</f>
      </c>
      <c r="U43" s="7">
        <f>IF($S43="","",MAX(0,$T43-$S43))</f>
      </c>
    </row>
    <row r="44">
      <c r="R44" s="21">
        <f>IF('Your Year'!$B44="","",'Your Year'!$B44)</f>
      </c>
      <c r="S44" s="7">
        <f>IF(OR($R44="",'Your Year'!$BF44&lt;&gt;TRUE),"",'Your Year'!$Y44)</f>
      </c>
      <c r="T44" s="7">
        <f>IF($S44="","",SUMPRODUCT($M$14:$M$18,($C$14:$C$18&gt;0)*($I$14:$I$18&lt;&gt;"")*($I$14:$I$18&lt;=$R44)*($D$14:$D$18&gt;=$R44)))</f>
      </c>
      <c r="U44" s="7">
        <f>IF($S44="","",MAX(0,$T44-$S44))</f>
      </c>
    </row>
    <row r="45">
      <c r="R45" s="21">
        <f>IF('Your Year'!$B45="","",'Your Year'!$B45)</f>
      </c>
      <c r="S45" s="7">
        <f>IF(OR($R45="",'Your Year'!$BF45&lt;&gt;TRUE),"",'Your Year'!$Y45)</f>
      </c>
      <c r="T45" s="7">
        <f>IF($S45="","",SUMPRODUCT($M$14:$M$18,($C$14:$C$18&gt;0)*($I$14:$I$18&lt;&gt;"")*($I$14:$I$18&lt;=$R45)*($D$14:$D$18&gt;=$R45)))</f>
      </c>
      <c r="U45" s="7">
        <f>IF($S45="","",MAX(0,$T45-$S45))</f>
      </c>
    </row>
    <row r="46">
      <c r="R46" s="21">
        <f>IF('Your Year'!$B46="","",'Your Year'!$B46)</f>
      </c>
      <c r="S46" s="7">
        <f>IF(OR($R46="",'Your Year'!$BF46&lt;&gt;TRUE),"",'Your Year'!$Y46)</f>
      </c>
      <c r="T46" s="7">
        <f>IF($S46="","",SUMPRODUCT($M$14:$M$18,($C$14:$C$18&gt;0)*($I$14:$I$18&lt;&gt;"")*($I$14:$I$18&lt;=$R46)*($D$14:$D$18&gt;=$R46)))</f>
      </c>
      <c r="U46" s="7">
        <f>IF($S46="","",MAX(0,$T46-$S46))</f>
      </c>
    </row>
    <row r="47">
      <c r="R47" s="21">
        <f>IF('Your Year'!$B47="","",'Your Year'!$B47)</f>
      </c>
      <c r="S47" s="7">
        <f>IF(OR($R47="",'Your Year'!$BF47&lt;&gt;TRUE),"",'Your Year'!$Y47)</f>
      </c>
      <c r="T47" s="7">
        <f>IF($S47="","",SUMPRODUCT($M$14:$M$18,($C$14:$C$18&gt;0)*($I$14:$I$18&lt;&gt;"")*($I$14:$I$18&lt;=$R47)*($D$14:$D$18&gt;=$R47)))</f>
      </c>
      <c r="U47" s="7">
        <f>IF($S47="","",MAX(0,$T47-$S47))</f>
      </c>
    </row>
    <row r="48">
      <c r="R48" s="21">
        <f>IF('Your Year'!$B48="","",'Your Year'!$B48)</f>
      </c>
      <c r="S48" s="7">
        <f>IF(OR($R48="",'Your Year'!$BF48&lt;&gt;TRUE),"",'Your Year'!$Y48)</f>
      </c>
      <c r="T48" s="7">
        <f>IF($S48="","",SUMPRODUCT($M$14:$M$18,($C$14:$C$18&gt;0)*($I$14:$I$18&lt;&gt;"")*($I$14:$I$18&lt;=$R48)*($D$14:$D$18&gt;=$R48)))</f>
      </c>
      <c r="U48" s="7">
        <f>IF($S48="","",MAX(0,$T48-$S48))</f>
      </c>
    </row>
    <row r="49">
      <c r="R49" s="21">
        <f>IF('Your Year'!$B49="","",'Your Year'!$B49)</f>
      </c>
      <c r="S49" s="7">
        <f>IF(OR($R49="",'Your Year'!$BF49&lt;&gt;TRUE),"",'Your Year'!$Y49)</f>
      </c>
      <c r="T49" s="7">
        <f>IF($S49="","",SUMPRODUCT($M$14:$M$18,($C$14:$C$18&gt;0)*($I$14:$I$18&lt;&gt;"")*($I$14:$I$18&lt;=$R49)*($D$14:$D$18&gt;=$R49)))</f>
      </c>
      <c r="U49" s="7">
        <f>IF($S49="","",MAX(0,$T49-$S49))</f>
      </c>
    </row>
    <row r="50">
      <c r="R50" s="21">
        <f>IF('Your Year'!$B50="","",'Your Year'!$B50)</f>
      </c>
      <c r="S50" s="7">
        <f>IF(OR($R50="",'Your Year'!$BF50&lt;&gt;TRUE),"",'Your Year'!$Y50)</f>
      </c>
      <c r="T50" s="7">
        <f>IF($S50="","",SUMPRODUCT($M$14:$M$18,($C$14:$C$18&gt;0)*($I$14:$I$18&lt;&gt;"")*($I$14:$I$18&lt;=$R50)*($D$14:$D$18&gt;=$R50)))</f>
      </c>
      <c r="U50" s="7">
        <f>IF($S50="","",MAX(0,$T50-$S50))</f>
      </c>
    </row>
    <row r="51">
      <c r="R51" s="21">
        <f>IF('Your Year'!$B51="","",'Your Year'!$B51)</f>
      </c>
      <c r="S51" s="7">
        <f>IF(OR($R51="",'Your Year'!$BF51&lt;&gt;TRUE),"",'Your Year'!$Y51)</f>
      </c>
      <c r="T51" s="7">
        <f>IF($S51="","",SUMPRODUCT($M$14:$M$18,($C$14:$C$18&gt;0)*($I$14:$I$18&lt;&gt;"")*($I$14:$I$18&lt;=$R51)*($D$14:$D$18&gt;=$R51)))</f>
      </c>
      <c r="U51" s="7">
        <f>IF($S51="","",MAX(0,$T51-$S51))</f>
      </c>
    </row>
    <row r="52">
      <c r="R52" s="21">
        <f>IF('Your Year'!$B52="","",'Your Year'!$B52)</f>
      </c>
      <c r="S52" s="7">
        <f>IF(OR($R52="",'Your Year'!$BF52&lt;&gt;TRUE),"",'Your Year'!$Y52)</f>
      </c>
      <c r="T52" s="7">
        <f>IF($S52="","",SUMPRODUCT($M$14:$M$18,($C$14:$C$18&gt;0)*($I$14:$I$18&lt;&gt;"")*($I$14:$I$18&lt;=$R52)*($D$14:$D$18&gt;=$R52)))</f>
      </c>
      <c r="U52" s="7">
        <f>IF($S52="","",MAX(0,$T52-$S52))</f>
      </c>
    </row>
    <row r="53">
      <c r="R53" s="21">
        <f>IF('Your Year'!$B53="","",'Your Year'!$B53)</f>
      </c>
      <c r="S53" s="7">
        <f>IF(OR($R53="",'Your Year'!$BF53&lt;&gt;TRUE),"",'Your Year'!$Y53)</f>
      </c>
      <c r="T53" s="7">
        <f>IF($S53="","",SUMPRODUCT($M$14:$M$18,($C$14:$C$18&gt;0)*($I$14:$I$18&lt;&gt;"")*($I$14:$I$18&lt;=$R53)*($D$14:$D$18&gt;=$R53)))</f>
      </c>
      <c r="U53" s="7">
        <f>IF($S53="","",MAX(0,$T53-$S53))</f>
      </c>
    </row>
    <row r="54">
      <c r="R54" s="21">
        <f>IF('Your Year'!$B54="","",'Your Year'!$B54)</f>
      </c>
      <c r="S54" s="7">
        <f>IF(OR($R54="",'Your Year'!$BF54&lt;&gt;TRUE),"",'Your Year'!$Y54)</f>
      </c>
      <c r="T54" s="7">
        <f>IF($S54="","",SUMPRODUCT($M$14:$M$18,($C$14:$C$18&gt;0)*($I$14:$I$18&lt;&gt;"")*($I$14:$I$18&lt;=$R54)*($D$14:$D$18&gt;=$R54)))</f>
      </c>
      <c r="U54" s="7">
        <f>IF($S54="","",MAX(0,$T54-$S54))</f>
      </c>
    </row>
    <row r="55">
      <c r="R55" s="21">
        <f>IF('Your Year'!$B55="","",'Your Year'!$B55)</f>
      </c>
      <c r="S55" s="7">
        <f>IF(OR($R55="",'Your Year'!$BF55&lt;&gt;TRUE),"",'Your Year'!$Y55)</f>
      </c>
      <c r="T55" s="7">
        <f>IF($S55="","",SUMPRODUCT($M$14:$M$18,($C$14:$C$18&gt;0)*($I$14:$I$18&lt;&gt;"")*($I$14:$I$18&lt;=$R55)*($D$14:$D$18&gt;=$R55)))</f>
      </c>
      <c r="U55" s="7">
        <f>IF($S55="","",MAX(0,$T55-$S55))</f>
      </c>
    </row>
    <row r="56">
      <c r="R56" s="21">
        <f>IF('Your Year'!$B56="","",'Your Year'!$B56)</f>
      </c>
      <c r="S56" s="7">
        <f>IF(OR($R56="",'Your Year'!$BF56&lt;&gt;TRUE),"",'Your Year'!$Y56)</f>
      </c>
      <c r="T56" s="7">
        <f>IF($S56="","",SUMPRODUCT($M$14:$M$18,($C$14:$C$18&gt;0)*($I$14:$I$18&lt;&gt;"")*($I$14:$I$18&lt;=$R56)*($D$14:$D$18&gt;=$R56)))</f>
      </c>
      <c r="U56" s="7">
        <f>IF($S56="","",MAX(0,$T56-$S56))</f>
      </c>
    </row>
    <row r="57">
      <c r="R57" s="21">
        <f>IF('Your Year'!$B57="","",'Your Year'!$B57)</f>
      </c>
      <c r="S57" s="7">
        <f>IF(OR($R57="",'Your Year'!$BF57&lt;&gt;TRUE),"",'Your Year'!$Y57)</f>
      </c>
      <c r="T57" s="7">
        <f>IF($S57="","",SUMPRODUCT($M$14:$M$18,($C$14:$C$18&gt;0)*($I$14:$I$18&lt;&gt;"")*($I$14:$I$18&lt;=$R57)*($D$14:$D$18&gt;=$R57)))</f>
      </c>
      <c r="U57" s="7">
        <f>IF($S57="","",MAX(0,$T57-$S57))</f>
      </c>
    </row>
    <row r="58">
      <c r="R58" s="21">
        <f>IF('Your Year'!$B58="","",'Your Year'!$B58)</f>
      </c>
      <c r="S58" s="7">
        <f>IF(OR($R58="",'Your Year'!$BF58&lt;&gt;TRUE),"",'Your Year'!$Y58)</f>
      </c>
      <c r="T58" s="7">
        <f>IF($S58="","",SUMPRODUCT($M$14:$M$18,($C$14:$C$18&gt;0)*($I$14:$I$18&lt;&gt;"")*($I$14:$I$18&lt;=$R58)*($D$14:$D$18&gt;=$R58)))</f>
      </c>
      <c r="U58" s="7">
        <f>IF($S58="","",MAX(0,$T58-$S58))</f>
      </c>
    </row>
    <row r="59">
      <c r="R59" s="21">
        <f>IF('Your Year'!$B59="","",'Your Year'!$B59)</f>
      </c>
      <c r="S59" s="7">
        <f>IF(OR($R59="",'Your Year'!$BF59&lt;&gt;TRUE),"",'Your Year'!$Y59)</f>
      </c>
      <c r="T59" s="7">
        <f>IF($S59="","",SUMPRODUCT($M$14:$M$18,($C$14:$C$18&gt;0)*($I$14:$I$18&lt;&gt;"")*($I$14:$I$18&lt;=$R59)*($D$14:$D$18&gt;=$R59)))</f>
      </c>
      <c r="U59" s="7">
        <f>IF($S59="","",MAX(0,$T59-$S59))</f>
      </c>
    </row>
    <row r="60">
      <c r="R60" s="21">
        <f>IF('Your Year'!$B60="","",'Your Year'!$B60)</f>
      </c>
      <c r="S60" s="7">
        <f>IF(OR($R60="",'Your Year'!$BF60&lt;&gt;TRUE),"",'Your Year'!$Y60)</f>
      </c>
      <c r="T60" s="7">
        <f>IF($S60="","",SUMPRODUCT($M$14:$M$18,($C$14:$C$18&gt;0)*($I$14:$I$18&lt;&gt;"")*($I$14:$I$18&lt;=$R60)*($D$14:$D$18&gt;=$R60)))</f>
      </c>
      <c r="U60" s="7">
        <f>IF($S60="","",MAX(0,$T60-$S60))</f>
      </c>
    </row>
    <row r="61">
      <c r="R61" s="21">
        <f>IF('Your Year'!$B61="","",'Your Year'!$B61)</f>
      </c>
      <c r="S61" s="7">
        <f>IF(OR($R61="",'Your Year'!$BF61&lt;&gt;TRUE),"",'Your Year'!$Y61)</f>
      </c>
      <c r="T61" s="7">
        <f>IF($S61="","",SUMPRODUCT($M$14:$M$18,($C$14:$C$18&gt;0)*($I$14:$I$18&lt;&gt;"")*($I$14:$I$18&lt;=$R61)*($D$14:$D$18&gt;=$R61)))</f>
      </c>
      <c r="U61" s="7">
        <f>IF($S61="","",MAX(0,$T61-$S61))</f>
      </c>
    </row>
    <row r="62">
      <c r="R62" s="21">
        <f>IF('Your Year'!$B62="","",'Your Year'!$B62)</f>
      </c>
      <c r="S62" s="7">
        <f>IF(OR($R62="",'Your Year'!$BF62&lt;&gt;TRUE),"",'Your Year'!$Y62)</f>
      </c>
      <c r="T62" s="7">
        <f>IF($S62="","",SUMPRODUCT($M$14:$M$18,($C$14:$C$18&gt;0)*($I$14:$I$18&lt;&gt;"")*($I$14:$I$18&lt;=$R62)*($D$14:$D$18&gt;=$R62)))</f>
      </c>
      <c r="U62" s="7">
        <f>IF($S62="","",MAX(0,$T62-$S62))</f>
      </c>
    </row>
    <row r="63">
      <c r="R63" s="21">
        <f>IF('Your Year'!$B63="","",'Your Year'!$B63)</f>
      </c>
      <c r="S63" s="7">
        <f>IF(OR($R63="",'Your Year'!$BF63&lt;&gt;TRUE),"",'Your Year'!$Y63)</f>
      </c>
      <c r="T63" s="7">
        <f>IF($S63="","",SUMPRODUCT($M$14:$M$18,($C$14:$C$18&gt;0)*($I$14:$I$18&lt;&gt;"")*($I$14:$I$18&lt;=$R63)*($D$14:$D$18&gt;=$R63)))</f>
      </c>
      <c r="U63" s="7">
        <f>IF($S63="","",MAX(0,$T63-$S63))</f>
      </c>
    </row>
    <row r="64">
      <c r="R64" s="21">
        <f>IF('Your Year'!$B64="","",'Your Year'!$B64)</f>
      </c>
      <c r="S64" s="7">
        <f>IF(OR($R64="",'Your Year'!$BF64&lt;&gt;TRUE),"",'Your Year'!$Y64)</f>
      </c>
      <c r="T64" s="7">
        <f>IF($S64="","",SUMPRODUCT($M$14:$M$18,($C$14:$C$18&gt;0)*($I$14:$I$18&lt;&gt;"")*($I$14:$I$18&lt;=$R64)*($D$14:$D$18&gt;=$R64)))</f>
      </c>
      <c r="U64" s="7">
        <f>IF($S64="","",MAX(0,$T64-$S64))</f>
      </c>
    </row>
    <row r="65">
      <c r="R65" s="21">
        <f>IF('Your Year'!$B65="","",'Your Year'!$B65)</f>
      </c>
      <c r="S65" s="7">
        <f>IF(OR($R65="",'Your Year'!$BF65&lt;&gt;TRUE),"",'Your Year'!$Y65)</f>
      </c>
      <c r="T65" s="7">
        <f>IF($S65="","",SUMPRODUCT($M$14:$M$18,($C$14:$C$18&gt;0)*($I$14:$I$18&lt;&gt;"")*($I$14:$I$18&lt;=$R65)*($D$14:$D$18&gt;=$R65)))</f>
      </c>
      <c r="U65" s="7">
        <f>IF($S65="","",MAX(0,$T65-$S65))</f>
      </c>
    </row>
    <row r="66">
      <c r="R66" s="21">
        <f>IF('Your Year'!$B66="","",'Your Year'!$B66)</f>
      </c>
      <c r="S66" s="7">
        <f>IF(OR($R66="",'Your Year'!$BF66&lt;&gt;TRUE),"",'Your Year'!$Y66)</f>
      </c>
      <c r="T66" s="7">
        <f>IF($S66="","",SUMPRODUCT($M$14:$M$18,($C$14:$C$18&gt;0)*($I$14:$I$18&lt;&gt;"")*($I$14:$I$18&lt;=$R66)*($D$14:$D$18&gt;=$R66)))</f>
      </c>
      <c r="U66" s="7">
        <f>IF($S66="","",MAX(0,$T66-$S66))</f>
      </c>
    </row>
    <row r="67">
      <c r="R67" s="21">
        <f>IF('Your Year'!$B67="","",'Your Year'!$B67)</f>
      </c>
      <c r="S67" s="7">
        <f>IF(OR($R67="",'Your Year'!$BF67&lt;&gt;TRUE),"",'Your Year'!$Y67)</f>
      </c>
      <c r="T67" s="7">
        <f>IF($S67="","",SUMPRODUCT($M$14:$M$18,($C$14:$C$18&gt;0)*($I$14:$I$18&lt;&gt;"")*($I$14:$I$18&lt;=$R67)*($D$14:$D$18&gt;=$R67)))</f>
      </c>
      <c r="U67" s="7">
        <f>IF($S67="","",MAX(0,$T67-$S67))</f>
      </c>
    </row>
    <row r="68">
      <c r="R68" s="21">
        <f>IF('Your Year'!$B68="","",'Your Year'!$B68)</f>
      </c>
      <c r="S68" s="7">
        <f>IF(OR($R68="",'Your Year'!$BF68&lt;&gt;TRUE),"",'Your Year'!$Y68)</f>
      </c>
      <c r="T68" s="7">
        <f>IF($S68="","",SUMPRODUCT($M$14:$M$18,($C$14:$C$18&gt;0)*($I$14:$I$18&lt;&gt;"")*($I$14:$I$18&lt;=$R68)*($D$14:$D$18&gt;=$R68)))</f>
      </c>
      <c r="U68" s="7">
        <f>IF($S68="","",MAX(0,$T68-$S68))</f>
      </c>
    </row>
  </sheetData>
  <sheetProtection selectLockedCells="0" selectUnlockedCells="0" sheet="1" objects="0" insertRows="1" insertHyperlinks="1" autoFilter="1" scenarios="0" formatColumns="1" deleteColumns="1" insertColumns="1" pivotTables="1" deleteRows="1" formatCells="1" formatRows="1" sort="1"/>
  <mergeCells count="8">
    <mergeCell ref="B22:N22"/>
    <mergeCell ref="B23:N23"/>
    <mergeCell ref="B21:N21"/>
    <mergeCell ref="B25:N25"/>
    <mergeCell ref="B24:N24"/>
    <mergeCell ref="B2:N2"/>
    <mergeCell ref="B20:N20"/>
    <mergeCell ref="B10:N10"/>
  </mergeCells>
  <dataValidations count="1">
    <dataValidation sqref="C5" showDropDown="0" showInputMessage="0" showErrorMessage="0" allowBlank="0" type="list">
      <formula1>"Per check,Monthly surplus"</formula1>
    </dataValidation>
  </dataValidations>
  <pageMargins left="0.75" right="0.75" top="1" bottom="1" header="0.5" footer="0.5"/>
</worksheet>
</file>

<file path=xl/worksheets/sheet10.xml><?xml version="1.0" encoding="utf-8"?>
<worksheet xmlns="http://schemas.openxmlformats.org/spreadsheetml/2006/main">
  <sheetPr>
    <tabColor rgb="00BF8F00"/>
    <outlinePr summaryBelow="1" summaryRight="1"/>
    <pageSetUpPr/>
  </sheetPr>
  <dimension ref="A1:H42"/>
  <sheetViews>
    <sheetView workbookViewId="0">
      <selection activeCell="A1" sqref="A1"/>
    </sheetView>
  </sheetViews>
  <sheetFormatPr baseColWidth="8" defaultRowHeight="15"/>
  <cols>
    <col width="2" customWidth="1" min="1" max="1"/>
    <col width="40" customWidth="1" min="2" max="2"/>
    <col width="15" customWidth="1" min="3" max="3"/>
    <col width="14" customWidth="1" min="4" max="4"/>
    <col width="30" customWidth="1" min="5" max="5"/>
    <col width="15" customWidth="1" min="6" max="6"/>
    <col width="16" customWidth="1" min="7" max="7"/>
    <col width="62" customWidth="1" min="8" max="8"/>
  </cols>
  <sheetData>
    <row r="1">
      <c r="B1" s="9" t="inlineStr">
        <is>
          <t>Tax-advantage levers — what actually lowers your taxes</t>
        </is>
      </c>
    </row>
    <row r="2">
      <c r="B2" s="2" t="inlineStr">
        <is>
          <t>Most people under-use pre-tax benefits because the savings are invisible: '$100 into my 401(k)' looks like '$100 out of my check.' It isn't. Set a test amount below and each lever shows three numbers: what goes in, what actually leaves your net per check, and the tax saved per year — computed from your own marginal rates, read live from the engine. Mechanics and arithmetic only; never a recommendation.</t>
        </is>
      </c>
    </row>
    <row r="3"/>
    <row r="4">
      <c r="B4" s="10" t="inlineStr">
        <is>
          <t>1 · Your marginal rates — the engine's read</t>
        </is>
      </c>
    </row>
    <row r="5">
      <c r="B5" t="inlineStr">
        <is>
          <t>Federal marginal rate</t>
        </is>
      </c>
      <c r="C5" s="29">
        <f>IFERROR(LOOKUP(2,1/('Your Year'!$BU$6:$BU$68&lt;&gt;""),'Your Year'!$BU$6:$BU$68),"")</f>
      </c>
    </row>
    <row r="6">
      <c r="B6" t="inlineStr">
        <is>
          <t>State marginal rate (engine)</t>
        </is>
      </c>
      <c r="C6" s="29">
        <f>IFERROR(LOOKUP(2,1/('Your Year'!$BV$6:$BV$68&lt;&gt;""),'Your Year'!$BV$6:$BV$68),"")</f>
      </c>
    </row>
    <row r="7">
      <c r="B7" t="inlineStr">
        <is>
          <t>…if your state is manual-entry, enter its marginal rate (decimal)</t>
        </is>
      </c>
      <c r="C7" s="40" t="n">
        <v>0</v>
      </c>
    </row>
    <row r="8">
      <c r="B8" s="5" t="inlineStr">
        <is>
          <t>Effective state marginal rate (used below)</t>
        </is>
      </c>
      <c r="C8" s="29">
        <f>IF(OR('Your Pay &amp; Benefits'!$C$21="CT",'Your Pay &amp; Benefits'!$C$21="DC",'Your Pay &amp; Benefits'!$C$21="GA",'Your Pay &amp; Benefits'!$C$21="ME",'Your Pay &amp; Benefits'!$C$21="NC",'Your Pay &amp; Benefits'!$C$21="NM",'Your Pay &amp; Benefits'!$C$21="UT"),$C$7,$C$6)</f>
      </c>
    </row>
    <row r="9">
      <c r="B9" t="inlineStr">
        <is>
          <t>FICA marginal rate, at your point in the year</t>
        </is>
      </c>
      <c r="C9" s="29">
        <f>IFERROR(IF(LOOKUP(2,1/('Your Year'!$AB$6:$AB$68&lt;&gt;""),'Your Year'!$AB$6:$AB$68)&lt;'How This Works &amp; Sources'!$C$3,'How This Works &amp; Sources'!$C$4,0)+'How This Works &amp; Sources'!$C$5+IF(LOOKUP(2,1/('Your Year'!$AG$6:$AG$68&lt;&gt;""),'Your Year'!$AG$6:$AG$68)&gt;'How This Works &amp; Sources'!$C$7,'How This Works &amp; Sources'!$C$6,0),"")</f>
      </c>
    </row>
    <row r="10">
      <c r="B10" t="inlineStr">
        <is>
          <t>Pay periods per year</t>
        </is>
      </c>
      <c r="C10" s="20">
        <f>'Your Pay &amp; Benefits'!$C$8</f>
      </c>
    </row>
    <row r="11">
      <c r="B11" s="2" t="inlineStr">
        <is>
          <t>These are marginal reads at your current annualized wage: the rate on the NEXT dollar. They move as the year does — the Social Security piece of the FICA rate drops away once you cross the wage cap (the Your Year shows the exact check), and a lever big enough to change your bracket changes the rates themselves. For the exact price of a big change, enter it on Your Pay &amp; Benefits and watch the schedule re-price; this panel is the quick, honest estimate.</t>
        </is>
      </c>
    </row>
    <row r="12"/>
    <row r="13">
      <c r="B13" s="10" t="inlineStr">
        <is>
          <t>2 · The five levers, priced on your numbers</t>
        </is>
      </c>
    </row>
    <row r="14">
      <c r="B14" s="19" t="inlineStr">
        <is>
          <t>Lever</t>
        </is>
      </c>
      <c r="C14" s="19" t="inlineStr">
        <is>
          <t>You set</t>
        </is>
      </c>
      <c r="D14" s="19" t="inlineStr">
        <is>
          <t>Per year</t>
        </is>
      </c>
      <c r="E14" s="19" t="inlineStr">
        <is>
          <t>Lowers</t>
        </is>
      </c>
      <c r="F14" s="19" t="inlineStr">
        <is>
          <t>Tax saved / yr</t>
        </is>
      </c>
      <c r="G14" s="19" t="inlineStr">
        <is>
          <t>Take-home cost / check</t>
        </is>
      </c>
      <c r="H14" s="19" t="inlineStr">
        <is>
          <t>Lever receipt</t>
        </is>
      </c>
    </row>
    <row r="15">
      <c r="B15" s="28" t="inlineStr">
        <is>
          <t>401(k) / 403(b) / 457 — pre-tax  ($ per check)</t>
        </is>
      </c>
      <c r="C15" s="37" t="n">
        <v>100</v>
      </c>
      <c r="D15" s="16">
        <f>$C15*$C$10</f>
      </c>
      <c r="E15" s="28">
        <f>"Federal + state income tax"</f>
      </c>
      <c r="F15" s="16">
        <f>IFERROR($D15*($C$5+$C$8),"")</f>
      </c>
      <c r="G15" s="16">
        <f>IFERROR($C15-$F15/$C$10,"")</f>
      </c>
      <c r="H15" s="28">
        <f>IFERROR("$"&amp;TEXT($D15,"#,##0")&amp;" goes in per year; your net falls $"&amp;TEXT($G15,"#,##0.00")&amp;" per check — the other $"&amp;TEXT($C15-$G15,"#,##0.00")&amp;" was tax you no longer pay. Note: no FICA saving — pre-tax deferrals do not reduce Social Security or Medicare tax.","")</f>
      </c>
    </row>
    <row r="16">
      <c r="B16" s="28" t="inlineStr">
        <is>
          <t>Roth 401(k)  ($ per check)</t>
        </is>
      </c>
      <c r="C16" s="37" t="n">
        <v>0</v>
      </c>
      <c r="D16" s="16">
        <f>$C16*$C$10</f>
      </c>
      <c r="E16" s="28">
        <f>"Nothing today — taxed going in"</f>
      </c>
      <c r="F16" s="16">
        <f>IFERROR(0,"")</f>
      </c>
      <c r="G16" s="16">
        <f>IFERROR($C16,"")</f>
      </c>
      <c r="H16" s="28">
        <f>IFERROR("No tax saved today: the full amount comes out of net. The trade is tax now for tax-free qualified withdrawals later. It shares the same IRS cap as pre-tax (section 3 below), and it does not reduce FICA either.","")</f>
      </c>
    </row>
    <row r="17">
      <c r="B17" s="28" t="inlineStr">
        <is>
          <t>HSA — through payroll  ($ per check)</t>
        </is>
      </c>
      <c r="C17" s="37" t="n">
        <v>0</v>
      </c>
      <c r="D17" s="16">
        <f>$C17*$C$10</f>
      </c>
      <c r="E17" s="28">
        <f>IF(OR('Your Pay &amp; Benefits'!$C$21="CA",'Your Pay &amp; Benefits'!$C$21="NJ",'Your Pay &amp; Benefits'!$C$21="PA"),"Federal + FICA — NOT your state (see below)","Federal + state + FICA")</f>
      </c>
      <c r="F17" s="16">
        <f>IFERROR($D17*($C$5+$C$9+IF(OR('Your Pay &amp; Benefits'!$C$21="CA",'Your Pay &amp; Benefits'!$C$21="NJ",'Your Pay &amp; Benefits'!$C$21="PA"),0,$C$8)),"")</f>
      </c>
      <c r="G17" s="16">
        <f>IFERROR($C17-$F17/$C$10,"")</f>
      </c>
      <c r="H17" s="28">
        <f>IFERROR("The triple advantage where your state conforms: in pre-tax (income tax AND FICA), growth untaxed, out untaxed for qualified medical costs. Requires a high-deductible health plan; the IRS annual limit for your coverage is on Inputs (row 37).","")</f>
      </c>
    </row>
    <row r="18">
      <c r="B18" s="28" t="inlineStr">
        <is>
          <t>Health FSA  ($ per YEAR (election))</t>
        </is>
      </c>
      <c r="C18" s="37" t="n">
        <v>0</v>
      </c>
      <c r="D18" s="16">
        <f>$C18</f>
      </c>
      <c r="E18" s="28">
        <f>"Federal + state + FICA"</f>
      </c>
      <c r="F18" s="16">
        <f>IFERROR($D18*($C$5+$C$8+$C$9),"")</f>
      </c>
      <c r="G18" s="16">
        <f>IFERROR(($D18-$F18)/$C$10,"")</f>
      </c>
      <c r="H18" s="28">
        <f>IFERROR("The election is spread over every check; after the tax savings it costs the per-check amount shown. The honest catch: use-it-or-lose-it — your plan may allow a small rollover or a grace period, but unspent money is generally forfeited, so elect what you will actually spend.","")</f>
      </c>
    </row>
    <row r="19">
      <c r="B19" s="28" t="inlineStr">
        <is>
          <t>Dependent-care FSA  ($ per YEAR (election))</t>
        </is>
      </c>
      <c r="C19" s="37" t="n">
        <v>0</v>
      </c>
      <c r="D19" s="16">
        <f>$C19</f>
      </c>
      <c r="E19" s="28">
        <f>"Federal + state + FICA"</f>
      </c>
      <c r="F19" s="16">
        <f>IFERROR($D19*($C$5+$C$8+$C$9),"")</f>
      </c>
      <c r="G19" s="16">
        <f>IFERROR(($D19-$F19)/$C$10,"")</f>
      </c>
      <c r="H19" s="28">
        <f>IFERROR("For child or dependent care so you (and your spouse, if married) can work — both spouses need earned income. Compare against the dependent-care credit at filing: the same expenses cannot claim both, and which wins depends on your income. The planner shows the FSA side; the credit is settled on the return.","")</f>
      </c>
    </row>
    <row r="20">
      <c r="B20" s="8">
        <f>IF($D$15&gt;MAX(0,$C$26),"⚠ Your 401(k) test amount exceeds the room left under your cap (section 3) — the excess would not be deferred.","")</f>
      </c>
    </row>
    <row r="21">
      <c r="B21" s="3">
        <f>IF(OR('Your Pay &amp; Benefits'!$C$21="CA",'Your Pay &amp; Benefits'!$C$21="NJ",'Your Pay &amp; Benefits'!$C$21="PA"),"HSA and your state: "&amp;IF('Your Pay &amp; Benefits'!$C$21="CA","California",IF('Your Pay &amp; Benefits'!$C$21="NJ","New Jersey","Pennsylvania"))&amp;" does not conform to HSAs — contributions through payroll do NOT reduce your state tax there, so the HSA row credits no state saving. In a conforming state, the same contribution would save about $"&amp;TEXT($D$17*$C$8,"#,##0")&amp;" more per year at your marginal state rate. Your federal and FICA savings are unaffected.",IF(OR('Your Pay &amp; Benefits'!$C$21="CT",'Your Pay &amp; Benefits'!$C$21="DC",'Your Pay &amp; Benefits'!$C$21="GA",'Your Pay &amp; Benefits'!$C$21="ME",'Your Pay &amp; Benefits'!$C$21="NC",'Your Pay &amp; Benefits'!$C$21="NM",'Your Pay &amp; Benefits'!$C$21="UT"),"HSA and your state: your state is manual-entry in this planner. Most states conform to HSAs (the lever then saves state tax too); CA, NJ and PA do not. The HSA row above uses the marginal state rate you entered in row 7 — set it to 0 if your state does not conform.","HSA and your state: your state conforms to HSAs, so the HSA row above credits federal, FICA, and state savings — the full triple advantage."))</f>
      </c>
    </row>
    <row r="22"/>
    <row r="23">
      <c r="B23" s="10" t="inlineStr">
        <is>
          <t>3 · Your 401(k) cap, catch-up, and the SECURE 2.0 Roth rule</t>
        </is>
      </c>
    </row>
    <row r="24">
      <c r="B24" t="inlineStr">
        <is>
          <t>Your 2026 deferral cap (set by your age)</t>
        </is>
      </c>
      <c r="C24" s="16">
        <f>'Your Pay &amp; Benefits'!$C$34</f>
      </c>
    </row>
    <row r="25">
      <c r="B25" t="inlineStr">
        <is>
          <t>Deferred so far this year (incl. starting balance)</t>
        </is>
      </c>
      <c r="C25" s="16">
        <f>IFERROR(LOOKUP(2,1/('Your Year'!$AC$6:$AC$68&lt;&gt;""),'Your Year'!$AC$6:$AC$68),0)</f>
      </c>
    </row>
    <row r="26">
      <c r="B26" s="5" t="inlineStr">
        <is>
          <t>Room left under the cap</t>
        </is>
      </c>
      <c r="C26" s="16">
        <f>MAX(0,$C$24-$C$25)</f>
      </c>
    </row>
    <row r="27">
      <c r="B27" t="inlineStr">
        <is>
          <t>Your PRIOR-YEAR Social Security wages from this employer ($)</t>
        </is>
      </c>
      <c r="C27" s="37" t="n">
        <v>0</v>
      </c>
      <c r="E27" s="2" t="inlineStr">
        <is>
          <t>From last year's W-2, Box 3 — used only by the rule in the next row.</t>
        </is>
      </c>
    </row>
    <row r="28">
      <c r="B28" s="3">
        <f>IF(AND('Your Pay &amp; Benefits'!$C$19&gt;=50,$C$27&gt;150000),"SECURE 2.0 Roth catch-up rule: because your prior-year Social Security wages from this employer exceeded $150,000 and you are 50 or older, any catch-up contributions you make for 2026 must be designated Roth (after-tax) if your plan offers a Roth option — they cannot be pre-tax. Your regular deferrals are unaffected. Educational summary only; your plan administrator applies the rule.",IF('Your Pay &amp; Benefits'!$C$19&gt;=50,"Catch-up room: at 50+ your cap (row 24) already includes the $8,000 catch-up — or $11,250 if you are 60–63 this year. The SECURE 2.0 rule that forces catch-ups to be Roth applies only when prior-year Social Security wages from this employer exceeded $150,000; on the figures entered, it does not apply to you.","Catch-up contributions begin at age 50: $8,000 on top of the regular cap, or $11,250 at ages 60–63. The cap in row 24 follows your age on Inputs automatically."))</f>
      </c>
    </row>
    <row r="29">
      <c r="B29" s="2" t="inlineStr">
        <is>
          <t>Pre-tax and Roth deferrals share ONE cap — the engine stops both together at the cap in row 24, on the exact check where you reach it (watch for the ★ note in the schedule).</t>
        </is>
      </c>
    </row>
    <row r="30">
      <c r="B30" s="2" t="inlineStr">
        <is>
          <t>Reading levers against goals: a lever that frees take-home changes what the Your Goals tab can fund, and a pre-tax lever that grows (a larger 401(k) deferral) competes with the same dollars. The Your Goals tab's capacity input is where the trade-off becomes a number — neither tab will tell you which side of it to choose.</t>
        </is>
      </c>
    </row>
    <row r="31"/>
    <row r="32">
      <c r="B32" s="10" t="inlineStr">
        <is>
          <t>4 · Which taxes each lever lowers — the mechanics</t>
        </is>
      </c>
    </row>
    <row r="33">
      <c r="B33" s="25" t="inlineStr">
        <is>
          <t>Lever</t>
        </is>
      </c>
      <c r="C33" s="25" t="inlineStr">
        <is>
          <t>Lowers income tax</t>
        </is>
      </c>
      <c r="D33" s="25" t="inlineStr">
        <is>
          <t>Lowers FICA</t>
        </is>
      </c>
      <c r="E33" s="25" t="inlineStr">
        <is>
          <t>What to know</t>
        </is>
      </c>
    </row>
    <row r="34">
      <c r="B34" s="13" t="inlineStr">
        <is>
          <t>401(k)/403(b)/457 pre-tax</t>
        </is>
      </c>
      <c r="C34" s="13" t="inlineStr">
        <is>
          <t>Federal + state</t>
        </is>
      </c>
      <c r="D34" s="13" t="inlineStr">
        <is>
          <t>No</t>
        </is>
      </c>
      <c r="E34" s="28" t="inlineStr">
        <is>
          <t>The most misunderstood lever: it does NOT reduce Social Security/Medicare tax.</t>
        </is>
      </c>
      <c r="F34" s="32" t="n"/>
      <c r="G34" s="32" t="n"/>
      <c r="H34" s="31" t="n"/>
    </row>
    <row r="35">
      <c r="B35" s="13" t="inlineStr">
        <is>
          <t>Roth 401(k)</t>
        </is>
      </c>
      <c r="C35" s="13" t="inlineStr">
        <is>
          <t>No (taxed now)</t>
        </is>
      </c>
      <c r="D35" s="13" t="inlineStr">
        <is>
          <t>No</t>
        </is>
      </c>
      <c r="E35" s="28" t="inlineStr">
        <is>
          <t>Counts toward the same deferral cap; tax-now vs. tax-later.</t>
        </is>
      </c>
      <c r="F35" s="32" t="n"/>
      <c r="G35" s="32" t="n"/>
      <c r="H35" s="31" t="n"/>
    </row>
    <row r="36">
      <c r="B36" s="13" t="inlineStr">
        <is>
          <t>Insurance premiums (§125)</t>
        </is>
      </c>
      <c r="C36" s="13" t="inlineStr">
        <is>
          <t>Federal + state</t>
        </is>
      </c>
      <c r="D36" s="13" t="inlineStr">
        <is>
          <t>Yes</t>
        </is>
      </c>
      <c r="E36" s="28" t="inlineStr">
        <is>
          <t>Money you already spend — the discount is automatic.</t>
        </is>
      </c>
      <c r="F36" s="32" t="n"/>
      <c r="G36" s="32" t="n"/>
      <c r="H36" s="31" t="n"/>
    </row>
    <row r="37">
      <c r="B37" s="13" t="inlineStr">
        <is>
          <t>HSA through payroll</t>
        </is>
      </c>
      <c r="C37" s="13" t="inlineStr">
        <is>
          <t>Federal + state*</t>
        </is>
      </c>
      <c r="D37" s="13" t="inlineStr">
        <is>
          <t>Yes</t>
        </is>
      </c>
      <c r="E37" s="28" t="inlineStr">
        <is>
          <t>The only triple advantage: in pre-tax, grows untaxed, out untaxed for medical. Requires an HDHP. *Except CA, NJ and PA, which do not conform — see the note in section 2.</t>
        </is>
      </c>
      <c r="F37" s="32" t="n"/>
      <c r="G37" s="32" t="n"/>
      <c r="H37" s="31" t="n"/>
    </row>
    <row r="38">
      <c r="B38" s="13" t="inlineStr">
        <is>
          <t>Health FSA</t>
        </is>
      </c>
      <c r="C38" s="13" t="inlineStr">
        <is>
          <t>Federal + state</t>
        </is>
      </c>
      <c r="D38" s="13" t="inlineStr">
        <is>
          <t>Yes</t>
        </is>
      </c>
      <c r="E38" s="28" t="inlineStr">
        <is>
          <t>Use-it-or-lose-it risk: elect what you will actually spend.</t>
        </is>
      </c>
      <c r="F38" s="32" t="n"/>
      <c r="G38" s="32" t="n"/>
      <c r="H38" s="31" t="n"/>
    </row>
    <row r="39">
      <c r="B39" s="13" t="inlineStr">
        <is>
          <t>Dependent-care FSA</t>
        </is>
      </c>
      <c r="C39" s="13" t="inlineStr">
        <is>
          <t>Federal + state</t>
        </is>
      </c>
      <c r="D39" s="13" t="inlineStr">
        <is>
          <t>Yes</t>
        </is>
      </c>
      <c r="E39" s="28" t="inlineStr">
        <is>
          <t>Both spouses need earned income; compare against the dependent care credit — the same expenses can't claim both.</t>
        </is>
      </c>
      <c r="F39" s="32" t="n"/>
      <c r="G39" s="32" t="n"/>
      <c r="H39" s="31" t="n"/>
    </row>
    <row r="40">
      <c r="B40" s="13" t="inlineStr">
        <is>
          <t>Commuter/parking (§132)</t>
        </is>
      </c>
      <c r="C40" s="13" t="inlineStr">
        <is>
          <t>Federal + state</t>
        </is>
      </c>
      <c r="D40" s="13" t="inlineStr">
        <is>
          <t>Yes</t>
        </is>
      </c>
      <c r="E40" s="28" t="inlineStr">
        <is>
          <t>Smaller dollars, still free money for transit riders.</t>
        </is>
      </c>
      <c r="F40" s="32" t="n"/>
      <c r="G40" s="32" t="n"/>
      <c r="H40" s="31" t="n"/>
    </row>
    <row r="41"/>
    <row r="42">
      <c r="B42" s="2" t="inlineStr">
        <is>
          <t>Beyond the paycheck (settled at filing, NOT in this planner's math): a deductible traditional IRA (income limits apply), the dependent-care credit, and student-loan interest exist too — named here so you know to look, with details at irs.gov.</t>
        </is>
      </c>
    </row>
  </sheetData>
  <sheetProtection selectLockedCells="0" selectUnlockedCells="0" sheet="1" objects="0" insertRows="1" insertHyperlinks="1" autoFilter="1" scenarios="0" formatColumns="1" deleteColumns="1" insertColumns="1" pivotTables="1" deleteRows="1" formatCells="1" formatRows="1" sort="1"/>
  <mergeCells count="15">
    <mergeCell ref="E40:H40"/>
    <mergeCell ref="E39:H39"/>
    <mergeCell ref="B42:H42"/>
    <mergeCell ref="B21:H21"/>
    <mergeCell ref="E34:H34"/>
    <mergeCell ref="E35:H35"/>
    <mergeCell ref="E38:H38"/>
    <mergeCell ref="B30:H30"/>
    <mergeCell ref="B2:H2"/>
    <mergeCell ref="B29:H29"/>
    <mergeCell ref="B11:H11"/>
    <mergeCell ref="B20:H20"/>
    <mergeCell ref="E37:H37"/>
    <mergeCell ref="B28:H28"/>
    <mergeCell ref="E36:H36"/>
  </mergeCells>
  <pageMargins left="0.75" right="0.75" top="1" bottom="1" header="0.5" footer="0.5"/>
</worksheet>
</file>

<file path=xl/worksheets/sheet11.xml><?xml version="1.0" encoding="utf-8"?>
<worksheet xmlns="http://schemas.openxmlformats.org/spreadsheetml/2006/main">
  <sheetPr>
    <tabColor rgb="00375623"/>
    <outlinePr summaryBelow="1" summaryRight="1"/>
    <pageSetUpPr/>
  </sheetPr>
  <dimension ref="A1:J40"/>
  <sheetViews>
    <sheetView workbookViewId="0">
      <selection activeCell="A1" sqref="A1"/>
    </sheetView>
  </sheetViews>
  <sheetFormatPr baseColWidth="8" defaultRowHeight="15"/>
  <cols>
    <col width="2" customWidth="1" min="1" max="1"/>
    <col width="52" customWidth="1" min="2" max="2"/>
    <col width="16" customWidth="1" min="3" max="3"/>
    <col width="14" customWidth="1" min="4" max="4"/>
    <col width="10" customWidth="1" min="5" max="5"/>
    <col width="10" customWidth="1" min="6" max="6"/>
    <col width="14" customWidth="1" min="7" max="7"/>
    <col width="10" customWidth="1" min="8" max="8"/>
    <col width="10" customWidth="1" min="9" max="9"/>
    <col width="10" customWidth="1" min="10" max="10"/>
  </cols>
  <sheetData>
    <row r="1">
      <c r="B1" s="9" t="inlineStr">
        <is>
          <t>Year-End True-Up — withholding vs. your actual tax bill (ESTIMATE)</t>
        </is>
      </c>
    </row>
    <row r="2"/>
    <row r="3">
      <c r="B3" s="3" t="inlineStr">
        <is>
          <t>Withholding is a prepayment, not the tax itself. This tab compares your projected federal withholding against a simplified liability ESTIMATE — standard deduction, the 2026 brackets, and the credits you entered on your W-4, nothing more — and reads the difference as a projected refund or balance due. It is deliberately simple, and what it leaves out is listed below.</t>
        </is>
      </c>
    </row>
    <row r="4"/>
    <row r="5">
      <c r="B5" s="5" t="inlineStr">
        <is>
          <t>Projected federal withholding (schedule + already taken):</t>
        </is>
      </c>
    </row>
    <row r="6">
      <c r="B6" s="7">
        <f>SUM('Your Year'!P6:P68)+'Your Pay &amp; Benefits'!$C$55</f>
      </c>
    </row>
    <row r="7">
      <c r="B7" s="5" t="inlineStr">
        <is>
          <t>Projected state withholding (schedule + already taken):</t>
        </is>
      </c>
      <c r="C7" s="42">
        <f>IF(OR(AND(ISNUMBER(SEARCH("MANUAL",IFERROR(VLOOKUP('Your Pay &amp; Benefits'!$C$21,StateTables!$A$6:$AB$56,5,FALSE),""))),NOT('Your Pay &amp; Benefits'!$C$26),OR('Your Pay &amp; Benefits'!$C$28="",'Your Pay &amp; Benefits'!$C$28&lt;=0)),AND(ISNUMBER(SEARCH("MANUAL",IFERROR(VLOOKUP('Second Earner'!$C$21,StateTables!$A$6:$AB$56,5,FALSE),""))),NOT('Second Earner'!$C$26),OR('Second Earner'!$C$28="",'Second Earner'!$C$28&lt;=0))),"⚠ The projected state withholding on the next line EXCLUDES manual-entry state tax that has not been entered yet (Inputs row 28, 'State withholding per check') — it is understated until that amount is entered.","")</f>
      </c>
    </row>
    <row r="8">
      <c r="B8" s="7">
        <f>SUM('Your Year'!T6:T68)+'Your Pay &amp; Benefits'!$C$56</f>
      </c>
    </row>
    <row r="9">
      <c r="B9" s="2" t="inlineStr">
        <is>
          <t>State withholding is shown for reference. A state liability estimate is NOT included: states use their own brackets, deductions and credits, and several states in this planner are manual-entry — an estimate here would be false precision.</t>
        </is>
      </c>
    </row>
    <row r="10"/>
    <row r="11">
      <c r="B11" s="10" t="inlineStr">
        <is>
          <t>The simplified federal liability estimate</t>
        </is>
      </c>
    </row>
    <row r="12">
      <c r="B12" t="inlineStr">
        <is>
          <t>Projected W-2 wages (Box 1 estimate)</t>
        </is>
      </c>
      <c r="C12" s="16">
        <f>SUM('Your Year'!M6:M68)+('Your Pay &amp; Benefits'!$C$48-'Your Pay &amp; Benefits'!$C$51-'Your Pay &amp; Benefits'!$C$52-'Your Pay &amp; Benefits'!$C$53-'Your Pay &amp; Benefits'!$C$54)</f>
      </c>
    </row>
    <row r="13">
      <c r="B13" t="inlineStr">
        <is>
          <t>Plus: other income (your W-4 Step 4(a))</t>
        </is>
      </c>
      <c r="C13" s="16">
        <f>'Your Pay &amp; Benefits'!$C$15</f>
      </c>
    </row>
    <row r="14">
      <c r="B14" t="inlineStr">
        <is>
          <t>Less: standard deduction (2026)</t>
        </is>
      </c>
      <c r="C14" s="16">
        <f>IF('Your Pay &amp; Benefits'!$C$12="MFJ",32200,IF('Your Pay &amp; Benefits'!$C$12="HoH",24150,16100))</f>
      </c>
    </row>
    <row r="15">
      <c r="B15" s="5" t="inlineStr">
        <is>
          <t>Estimated taxable income</t>
        </is>
      </c>
      <c r="C15" s="16">
        <f>MAX(0,$C$12+$C$13-$C$14)</f>
      </c>
    </row>
    <row r="16">
      <c r="B16" t="inlineStr">
        <is>
          <t>Estimated tax before credits (2026 brackets below)</t>
        </is>
      </c>
      <c r="C16" s="16">
        <f>SUMPRODUCT(($C$15&gt;INDEX($B$34:$J$40,0,IF('Your Pay &amp; Benefits'!$C$12="MFJ",1,IF('Your Pay &amp; Benefits'!$C$12="HoH",7,4))))*($C$15-INDEX($B$34:$J$40,0,IF('Your Pay &amp; Benefits'!$C$12="MFJ",1,IF('Your Pay &amp; Benefits'!$C$12="HoH",7,4))))*INDEX($B$34:$J$40,0,IF('Your Pay &amp; Benefits'!$C$12="MFJ",1,IF('Your Pay &amp; Benefits'!$C$12="HoH",7,4))+2))</f>
      </c>
    </row>
    <row r="17">
      <c r="B17" t="inlineStr">
        <is>
          <t>Less: credits (your W-4 Step 3 amount)</t>
        </is>
      </c>
      <c r="C17" s="16">
        <f>'Your Pay &amp; Benefits'!$C$14</f>
      </c>
    </row>
    <row r="18">
      <c r="B18" s="5" t="inlineStr">
        <is>
          <t>ESTIMATED federal liability</t>
        </is>
      </c>
      <c r="C18" s="16">
        <f>MAX(0,$C$16-$C$17)</f>
      </c>
    </row>
    <row r="19">
      <c r="B19" t="inlineStr">
        <is>
          <t>Projected federal withholding</t>
        </is>
      </c>
      <c r="C19" s="16">
        <f>$B$6</f>
      </c>
    </row>
    <row r="20">
      <c r="B20" s="5" t="inlineStr">
        <is>
          <t>Projected refund / (balance due)</t>
        </is>
      </c>
      <c r="C20" s="16">
        <f>$C$19-$C$18</f>
      </c>
    </row>
    <row r="21">
      <c r="B21" s="3">
        <f>IF($C$20&gt;=0,"On these simplified assumptions, withholding runs about $"&amp;TEXT($C$20,"#,##0")&amp;" ahead of the estimated liability — a refund of roughly that size, before everything this estimate leaves out (below). A large refund is an interest-free loan you can redirect: the dials that trim it (W-4 Steps 3 and 4(b)) are explained on the W-4 Guide tab.","On these simplified assumptions, you are tracking toward a balance due of about $"&amp;TEXT(ABS($C$20),"#,##0")&amp;". Spread over the paydays left this year, covering it through withholding takes about $"&amp;TEXT(ABS($C$20)/MAX(1,MAX('Your Year'!$BE$6:$BE$68)-SUMPRODUCT(('Your Year'!$B$6:$B$68&lt;&gt;"")*('Your Year'!$BF$6:$BF$68=1)*('Your Year'!$B$6:$B$68&lt;=TODAY()))),"#,##0")&amp;" extra per check — that is W-4 Step 4(c), explained on the W-4 Guide tab. The IRS Tax Withholding Estimator (irs.gov/W4App) is the official cross-check.")</f>
      </c>
    </row>
    <row r="22"/>
    <row r="23">
      <c r="B23" s="10" t="inlineStr">
        <is>
          <t>What this estimate leaves out — read before trusting the number</t>
        </is>
      </c>
    </row>
    <row r="24">
      <c r="B24" s="3" t="inlineStr">
        <is>
          <t>•  Wages only. Investment income, business income, retirement distributions and capital-gains rates are not modeled (the one exception is the other income you entered at W-4 Step 4(a)).</t>
        </is>
      </c>
    </row>
    <row r="25">
      <c r="B25" s="3" t="inlineStr">
        <is>
          <t>•  The standard deduction only. If you itemize above it, your real liability is lower than this estimate.</t>
        </is>
      </c>
    </row>
    <row r="26">
      <c r="B26" s="3" t="inlineStr">
        <is>
          <t>•  Credits only as you entered them at W-4 Step 3. Credits you claim on the return but never put on the W-4 are not here.</t>
        </is>
      </c>
    </row>
    <row r="27">
      <c r="B27" s="3" t="inlineStr">
        <is>
          <t>•  No other taxes: no Additional Medicare reconciliation (the Household tab shows that exposure), no underpayment penalties, no AMT — and no state liability at all (see the note under the state withholding line).</t>
        </is>
      </c>
    </row>
    <row r="28">
      <c r="B28" s="3" t="inlineStr">
        <is>
          <t>•  The Box 1 estimate assumes your starting balances split into taxable and deferred amounts exactly as entered on Your Pay &amp; Benefits — payroll computes this precisely; the planner approximates it from your year-to-date entries.</t>
        </is>
      </c>
    </row>
    <row r="29">
      <c r="B29" s="3" t="inlineStr">
        <is>
          <t>•  Educational estimate, not tax advice and not a filing calculation. If the projected balance due is large, or your situation involves more than wages, that is a conversation for a tax professional.</t>
        </is>
      </c>
    </row>
    <row r="30"/>
    <row r="31">
      <c r="B31" s="10" t="inlineStr">
        <is>
          <t>2026 federal return brackets used by the estimate ( Rev. Proc. 2025-32; derived from the Pub. 15-T standard-deduction tables in Methodology )</t>
        </is>
      </c>
    </row>
    <row r="32">
      <c r="B32" s="25" t="inlineStr">
        <is>
          <t>MFJ</t>
        </is>
      </c>
      <c r="E32" s="25" t="inlineStr">
        <is>
          <t>Single</t>
        </is>
      </c>
      <c r="H32" s="25" t="inlineStr">
        <is>
          <t>HoH</t>
        </is>
      </c>
    </row>
    <row r="33">
      <c r="B33" s="25" t="inlineStr">
        <is>
          <t>Floor</t>
        </is>
      </c>
      <c r="C33" s="25" t="inlineStr">
        <is>
          <t>Rate</t>
        </is>
      </c>
      <c r="D33" s="25" t="inlineStr">
        <is>
          <t>Diff</t>
        </is>
      </c>
      <c r="E33" s="25" t="inlineStr">
        <is>
          <t>Floor</t>
        </is>
      </c>
      <c r="F33" s="25" t="inlineStr">
        <is>
          <t>Rate</t>
        </is>
      </c>
      <c r="G33" s="25" t="inlineStr">
        <is>
          <t>Diff</t>
        </is>
      </c>
      <c r="H33" s="25" t="inlineStr">
        <is>
          <t>Floor</t>
        </is>
      </c>
      <c r="I33" s="25" t="inlineStr">
        <is>
          <t>Rate</t>
        </is>
      </c>
      <c r="J33" s="25" t="inlineStr">
        <is>
          <t>Diff</t>
        </is>
      </c>
    </row>
    <row r="34">
      <c r="B34" s="16" t="n">
        <v>0</v>
      </c>
      <c r="C34" s="29" t="n">
        <v>0.1</v>
      </c>
      <c r="D34" s="29" t="n">
        <v>0.1</v>
      </c>
      <c r="E34" s="16" t="n">
        <v>0</v>
      </c>
      <c r="F34" s="29" t="n">
        <v>0.1</v>
      </c>
      <c r="G34" s="29" t="n">
        <v>0.1</v>
      </c>
      <c r="H34" s="16" t="n">
        <v>0</v>
      </c>
      <c r="I34" s="29" t="n">
        <v>0.1</v>
      </c>
      <c r="J34" s="29" t="n">
        <v>0.1</v>
      </c>
    </row>
    <row r="35">
      <c r="B35" s="16" t="n">
        <v>24800</v>
      </c>
      <c r="C35" s="29" t="n">
        <v>0.12</v>
      </c>
      <c r="D35" s="29" t="n">
        <v>0.01999999999999999</v>
      </c>
      <c r="E35" s="16" t="n">
        <v>12400</v>
      </c>
      <c r="F35" s="29" t="n">
        <v>0.12</v>
      </c>
      <c r="G35" s="29" t="n">
        <v>0.01999999999999999</v>
      </c>
      <c r="H35" s="16" t="n">
        <v>17700</v>
      </c>
      <c r="I35" s="29" t="n">
        <v>0.12</v>
      </c>
      <c r="J35" s="29" t="n">
        <v>0.01999999999999999</v>
      </c>
    </row>
    <row r="36">
      <c r="B36" s="16" t="n">
        <v>100800</v>
      </c>
      <c r="C36" s="29" t="n">
        <v>0.22</v>
      </c>
      <c r="D36" s="29" t="n">
        <v>0.1</v>
      </c>
      <c r="E36" s="16" t="n">
        <v>50400</v>
      </c>
      <c r="F36" s="29" t="n">
        <v>0.22</v>
      </c>
      <c r="G36" s="29" t="n">
        <v>0.1</v>
      </c>
      <c r="H36" s="16" t="n">
        <v>67450</v>
      </c>
      <c r="I36" s="29" t="n">
        <v>0.22</v>
      </c>
      <c r="J36" s="29" t="n">
        <v>0.1</v>
      </c>
    </row>
    <row r="37">
      <c r="B37" s="16" t="n">
        <v>211400</v>
      </c>
      <c r="C37" s="29" t="n">
        <v>0.24</v>
      </c>
      <c r="D37" s="29" t="n">
        <v>0.01999999999999999</v>
      </c>
      <c r="E37" s="16" t="n">
        <v>105700</v>
      </c>
      <c r="F37" s="29" t="n">
        <v>0.24</v>
      </c>
      <c r="G37" s="29" t="n">
        <v>0.01999999999999999</v>
      </c>
      <c r="H37" s="16" t="n">
        <v>105700</v>
      </c>
      <c r="I37" s="29" t="n">
        <v>0.24</v>
      </c>
      <c r="J37" s="29" t="n">
        <v>0.01999999999999999</v>
      </c>
    </row>
    <row r="38">
      <c r="B38" s="16" t="n">
        <v>403550</v>
      </c>
      <c r="C38" s="29" t="n">
        <v>0.32</v>
      </c>
      <c r="D38" s="29" t="n">
        <v>0.08000000000000002</v>
      </c>
      <c r="E38" s="16" t="n">
        <v>201775</v>
      </c>
      <c r="F38" s="29" t="n">
        <v>0.32</v>
      </c>
      <c r="G38" s="29" t="n">
        <v>0.08000000000000002</v>
      </c>
      <c r="H38" s="16" t="n">
        <v>201750</v>
      </c>
      <c r="I38" s="29" t="n">
        <v>0.32</v>
      </c>
      <c r="J38" s="29" t="n">
        <v>0.08000000000000002</v>
      </c>
    </row>
    <row r="39">
      <c r="B39" s="16" t="n">
        <v>512450</v>
      </c>
      <c r="C39" s="29" t="n">
        <v>0.35</v>
      </c>
      <c r="D39" s="29" t="n">
        <v>0.02999999999999997</v>
      </c>
      <c r="E39" s="16" t="n">
        <v>256225</v>
      </c>
      <c r="F39" s="29" t="n">
        <v>0.35</v>
      </c>
      <c r="G39" s="29" t="n">
        <v>0.02999999999999997</v>
      </c>
      <c r="H39" s="16" t="n">
        <v>256200</v>
      </c>
      <c r="I39" s="29" t="n">
        <v>0.35</v>
      </c>
      <c r="J39" s="29" t="n">
        <v>0.02999999999999997</v>
      </c>
    </row>
    <row r="40">
      <c r="B40" s="16" t="n">
        <v>768700</v>
      </c>
      <c r="C40" s="29" t="n">
        <v>0.37</v>
      </c>
      <c r="D40" s="29" t="n">
        <v>0.02000000000000002</v>
      </c>
      <c r="E40" s="16" t="n">
        <v>640600</v>
      </c>
      <c r="F40" s="29" t="n">
        <v>0.37</v>
      </c>
      <c r="G40" s="29" t="n">
        <v>0.02000000000000002</v>
      </c>
      <c r="H40" s="16" t="n">
        <v>640600</v>
      </c>
      <c r="I40" s="29" t="n">
        <v>0.37</v>
      </c>
      <c r="J40" s="29" t="n">
        <v>0.02000000000000002</v>
      </c>
    </row>
  </sheetData>
  <sheetProtection selectLockedCells="0" selectUnlockedCells="0" sheet="1" objects="0" insertRows="1" insertHyperlinks="1" autoFilter="1" scenarios="0" formatColumns="1" deleteColumns="1" insertColumns="1" pivotTables="1" deleteRows="1" formatCells="1" formatRows="1" sort="1"/>
  <mergeCells count="10">
    <mergeCell ref="B21:F21"/>
    <mergeCell ref="B29:F29"/>
    <mergeCell ref="B24:F24"/>
    <mergeCell ref="B25:F25"/>
    <mergeCell ref="B28:F28"/>
    <mergeCell ref="B3:F3"/>
    <mergeCell ref="B31:J31"/>
    <mergeCell ref="B26:F26"/>
    <mergeCell ref="B9:F9"/>
    <mergeCell ref="B27:F27"/>
  </mergeCells>
  <pageMargins left="0.75" right="0.75" top="1" bottom="1" header="0.5" footer="0.5"/>
</worksheet>
</file>

<file path=xl/worksheets/sheet12.xml><?xml version="1.0" encoding="utf-8"?>
<worksheet xmlns="http://schemas.openxmlformats.org/spreadsheetml/2006/main">
  <sheetPr>
    <tabColor rgb="00548235"/>
    <outlinePr summaryBelow="1" summaryRight="1"/>
    <pageSetUpPr/>
  </sheetPr>
  <dimension ref="A1:F108"/>
  <sheetViews>
    <sheetView workbookViewId="0">
      <selection activeCell="A1" sqref="A1"/>
    </sheetView>
  </sheetViews>
  <sheetFormatPr baseColWidth="8" defaultRowHeight="15"/>
  <cols>
    <col width="2" customWidth="1" min="1" max="1"/>
    <col width="22" customWidth="1" min="2" max="2"/>
    <col width="28" customWidth="1" min="3" max="3"/>
    <col width="56" customWidth="1" min="4" max="4"/>
    <col width="42" customWidth="1" min="5" max="5"/>
    <col width="15" customWidth="1" min="6" max="6"/>
  </cols>
  <sheetData>
    <row r="1">
      <c r="B1" s="9" t="inlineStr">
        <is>
          <t>How to fill out your W-4 — and your state certificate</t>
        </is>
      </c>
    </row>
    <row r="2"/>
    <row r="3">
      <c r="B3" s="3" t="inlineStr">
        <is>
          <t>Your W-4 is the instruction sheet your employer's payroll system follows every payday. This planner asks for the same numbers the same way, so the form and the sheet teach each other: fill in one and you understand the other. Everything here is educational — how the forms work, never what you should claim.</t>
        </is>
      </c>
    </row>
    <row r="4"/>
    <row r="5">
      <c r="B5" s="10" t="inlineStr">
        <is>
          <t>The federal W-4, step by step</t>
        </is>
      </c>
    </row>
    <row r="6">
      <c r="B6" s="3" t="inlineStr">
        <is>
          <t>Step 1 — You and your filing status. Name, address, Social Security number, and one filing status. Everyone completes Step 1 (and signs Step 5); it is the only step most people need. In this planner: Your Pay &amp; Benefits row 12.</t>
        </is>
      </c>
    </row>
    <row r="7">
      <c r="B7" s="3" t="inlineStr">
        <is>
          <t>Step 2 — Multiple jobs or a working spouse. Complete Steps 2–4 ONLY if one of these is true: you hold two jobs at the same time, you file jointly and your spouse also works, or you have income from self-employment (for that, the IRS estimator is the better tool). The reason: each employer withholds as if its paycheck were your only income, so two jobs under-withhold unless the form corrects for it. You have three ways to make the correction — the IRS Tax Withholding Estimator (most accurate), the Multiple Jobs Worksheet on the form, or the Step 2(c) checkbox.</t>
        </is>
      </c>
    </row>
    <row r="8">
      <c r="B8" s="3" t="inlineStr">
        <is>
          <t>The Step 2(c) checkbox is the blunt instrument of the three: it tells payroll to withhold using half the standard deduction and halved brackets. That is roughly right when the two incomes are similar, and too much when they are very different. In this planner: Your Pay &amp; Benefits row 13.</t>
        </is>
      </c>
    </row>
    <row r="9">
      <c r="B9" s="3" t="inlineStr">
        <is>
          <t>Step 3 — Dependents and other credits. Multiply $2,000 per qualifying child under 17 and $500 per other dependent, add other credits, and enter one annual dollar figure. It reduces your withholding dollar-for-dollar of tax. Income limits printed on the form ($200,000, or $400,000 filing jointly) decide whether you complete it at all. In this planner: Your Pay &amp; Benefits row 14.</t>
        </is>
      </c>
    </row>
    <row r="10">
      <c r="B10" s="3" t="inlineStr">
        <is>
          <t>Step 4(a) — Other income. Non-job income (interest, dividends, retirement) you would rather cover through withholding than through estimated payments. It raises withholding. Your Pay &amp; Benefits row 15.</t>
        </is>
      </c>
    </row>
    <row r="11">
      <c r="B11" s="3" t="inlineStr">
        <is>
          <t>Step 4(b) — Deductions. If you itemize, the Deductions Worksheet converts the amount above the standard deduction into an annual figure that lowers withholding. Your Pay &amp; Benefits row 16.</t>
        </is>
      </c>
    </row>
    <row r="12">
      <c r="B12" s="3" t="inlineStr">
        <is>
          <t>Step 4(c) — Extra withholding. A flat extra dollar amount taken from every check. It is the fine-tuner — and the usual, simplest fix for a balance due last April. Your Pay &amp; Benefits row 17.</t>
        </is>
      </c>
    </row>
    <row r="13">
      <c r="B13" s="3" t="inlineStr">
        <is>
          <t>Step 5 — Sign and date. An unsigned W-4 is not a W-4.</t>
        </is>
      </c>
    </row>
    <row r="14">
      <c r="B14" s="30" t="inlineStr">
        <is>
          <t>Who completes what: a single job, a non-working spouse or no spouse, no side income — Steps 1 and 5 only. Steps 2–4 exist for the situations above, and completing them 'just in case' distorts the result.</t>
        </is>
      </c>
    </row>
    <row r="15"/>
    <row r="16">
      <c r="B16" s="10" t="inlineStr">
        <is>
          <t>The three classic mistakes</t>
        </is>
      </c>
    </row>
    <row r="17">
      <c r="B17" s="3" t="inlineStr">
        <is>
          <t>1. Checking the Step 2 box without a second income. The box halves the standard deduction and brackets payroll uses, so withholding jumps — on a single income that means a smaller check all year and an oversized refund. The box is only for households with two incomes it needs to reconcile.</t>
        </is>
      </c>
    </row>
    <row r="18">
      <c r="B18" s="3" t="inlineStr">
        <is>
          <t>2. Forgetting a working spouse. Two earners, two W-4s, each filled out as if it were the household's only income: both employers under-withhold, quietly, all year, and the bill arrives in April. This is the most common reason two-earner households owe — Step 2 exists precisely for it.</t>
        </is>
      </c>
    </row>
    <row r="19">
      <c r="B19" s="3" t="inlineStr">
        <is>
          <t>3. Claiming exempt without qualifying. Writing 'Exempt' stops federal withholding entirely, and it is allowed only if BOTH are true: you had no federal tax liability last year, and you expect none this year. It also expires — a new W-4 is due by February 15 each year or your employer must reset you to single with no adjustments. Claiming it wrongly trades small checks for a large bill plus penalties.</t>
        </is>
      </c>
    </row>
    <row r="20">
      <c r="B20" s="3" t="inlineStr">
        <is>
          <t>One more, quieter than the three: a pre-2020 W-4 still on file. The old form used allowances, which no longer exist on the current form. If your pay stub or HR portal shows allowances, an old form is driving your withholding — entering those numbers as if they were current-form values will not reconcile. Filing a current W-4 replaces it.</t>
        </is>
      </c>
    </row>
    <row r="21"/>
    <row r="22">
      <c r="B22" s="10" t="inlineStr">
        <is>
          <t>Where each W-4 step lands in this planner</t>
        </is>
      </c>
    </row>
    <row r="23">
      <c r="B23" s="25" t="inlineStr">
        <is>
          <t>W-4 item</t>
        </is>
      </c>
      <c r="C23" s="25" t="inlineStr">
        <is>
          <t>What it does</t>
        </is>
      </c>
      <c r="D23" s="25" t="inlineStr">
        <is>
          <t>Planner input</t>
        </is>
      </c>
    </row>
    <row r="24">
      <c r="B24" s="13" t="inlineStr">
        <is>
          <t>Step 1(c) — filing status</t>
        </is>
      </c>
      <c r="C24" s="28" t="inlineStr">
        <is>
          <t>Sets the brackets and standard deduction payroll uses</t>
        </is>
      </c>
      <c r="D24" s="31" t="n"/>
      <c r="E24" s="13" t="inlineStr">
        <is>
          <t>Your Pay &amp; Benefits row 12</t>
        </is>
      </c>
    </row>
    <row r="25">
      <c r="B25" s="13" t="inlineStr">
        <is>
          <t>Step 2(c) — checkbox</t>
        </is>
      </c>
      <c r="C25" s="28" t="inlineStr">
        <is>
          <t>Halves the standard deduction and brackets (two-income correction)</t>
        </is>
      </c>
      <c r="D25" s="31" t="n"/>
      <c r="E25" s="13" t="inlineStr">
        <is>
          <t>Your Pay &amp; Benefits row 13</t>
        </is>
      </c>
    </row>
    <row r="26">
      <c r="B26" s="13" t="inlineStr">
        <is>
          <t>Step 3 — dependents &amp; credits</t>
        </is>
      </c>
      <c r="C26" s="28" t="inlineStr">
        <is>
          <t>Annual dollar figure; cuts withholding dollar-for-dollar</t>
        </is>
      </c>
      <c r="D26" s="31" t="n"/>
      <c r="E26" s="13" t="inlineStr">
        <is>
          <t>Your Pay &amp; Benefits row 14</t>
        </is>
      </c>
    </row>
    <row r="27">
      <c r="B27" s="13" t="inlineStr">
        <is>
          <t>Step 4(a) — other income</t>
        </is>
      </c>
      <c r="C27" s="28" t="inlineStr">
        <is>
          <t>Raises withholding to cover non-job income</t>
        </is>
      </c>
      <c r="D27" s="31" t="n"/>
      <c r="E27" s="13" t="inlineStr">
        <is>
          <t>Your Pay &amp; Benefits row 15</t>
        </is>
      </c>
    </row>
    <row r="28">
      <c r="B28" s="13" t="inlineStr">
        <is>
          <t>Step 4(b) — deductions</t>
        </is>
      </c>
      <c r="C28" s="28" t="inlineStr">
        <is>
          <t>Itemizing above the standard deduction lowers withholding</t>
        </is>
      </c>
      <c r="D28" s="31" t="n"/>
      <c r="E28" s="13" t="inlineStr">
        <is>
          <t>Your Pay &amp; Benefits row 16</t>
        </is>
      </c>
    </row>
    <row r="29">
      <c r="B29" s="13" t="inlineStr">
        <is>
          <t>Step 4(c) — extra withholding</t>
        </is>
      </c>
      <c r="C29" s="28" t="inlineStr">
        <is>
          <t>Flat extra amount per check</t>
        </is>
      </c>
      <c r="D29" s="31" t="n"/>
      <c r="E29" s="13" t="inlineStr">
        <is>
          <t>Your Pay &amp; Benefits row 17</t>
        </is>
      </c>
    </row>
    <row r="30">
      <c r="B30" s="13" t="inlineStr">
        <is>
          <t>'Exempt' under Step 4(c)</t>
        </is>
      </c>
      <c r="C30" s="28" t="inlineStr">
        <is>
          <t>Stops federal withholding (strict two-part test, expires yearly)</t>
        </is>
      </c>
      <c r="D30" s="31" t="n"/>
      <c r="E30" s="13" t="inlineStr">
        <is>
          <t>Your Pay &amp; Benefits row 18</t>
        </is>
      </c>
    </row>
    <row r="31"/>
    <row r="32">
      <c r="B32" s="10" t="inlineStr">
        <is>
          <t>California's DE 4 — the form that deserves its own walkthrough</t>
        </is>
      </c>
    </row>
    <row r="33">
      <c r="B33" s="3" t="inlineStr">
        <is>
          <t>California does not use the federal W-4 for state withholding. Form DE 4 is its own form with its own allowance math, and it does not map one-to-one onto the federal form — the most common California confusion.</t>
        </is>
      </c>
    </row>
    <row r="34">
      <c r="B34" s="3" t="inlineStr">
        <is>
          <t>Filing status (top of the form): choose the status that matches your situation — including 'Married (one income)' when only one spouse works. It selects which Method B table the planner applies. Planner: Your Pay &amp; Benefits row 22.</t>
        </is>
      </c>
    </row>
    <row r="35">
      <c r="B35" s="3" t="inlineStr">
        <is>
          <t>Line 1a — regular allowances: yourself, your spouse, and dependents. In the Method B calculation each regular allowance is worth a $168.30 credit against the computed tax. Planner: Your Pay &amp; Benefits row 23.</t>
        </is>
      </c>
    </row>
    <row r="36">
      <c r="B36" s="3" t="inlineStr">
        <is>
          <t>Line 1b — estimated-deduction allowances (Worksheet B): if you expect to itemize above the California standard deduction, Worksheet B turns every $1,000 of expected excess into one more allowance, and each of those reduces the wage base by $1,000 before the brackets apply. Most people leave this at zero; for homeowners who itemize it is the line that explains a large California refund. Planner: Your Pay &amp; Benefits row 24.</t>
        </is>
      </c>
    </row>
    <row r="37">
      <c r="B37" s="3" t="inlineStr">
        <is>
          <t>Line 2 — total allowances is simply 1a + 1b. The planner keeps the two pieces separate because they do different things in the math. Line 3 — additional withholding: a flat extra amount per check, the state twin of W-4 Step 4(c). Planner: Your Pay &amp; Benefits row 25.</t>
        </is>
      </c>
    </row>
    <row r="38">
      <c r="B38" s="3" t="inlineStr">
        <is>
          <t>DE 4 allowances are not federal allowances (the federal form no longer has any) and not exemptions on your tax return — they are a withholding dial, and the two sides of it are calibrated differently on purpose.</t>
        </is>
      </c>
    </row>
    <row r="39"/>
    <row r="40">
      <c r="B40" s="10" t="inlineStr">
        <is>
          <t>Every state's certificate — what to pull from it, where it lands</t>
        </is>
      </c>
    </row>
    <row r="41">
      <c r="B41" s="25" t="inlineStr">
        <is>
          <t>State</t>
        </is>
      </c>
      <c r="C41" s="25" t="inlineStr">
        <is>
          <t>Certificate</t>
        </is>
      </c>
      <c r="D41" s="25" t="inlineStr">
        <is>
          <t>What to pull from it</t>
        </is>
      </c>
      <c r="E41" s="25" t="inlineStr">
        <is>
          <t>Where it lands</t>
        </is>
      </c>
      <c r="F41" s="25" t="inlineStr">
        <is>
          <t>Status</t>
        </is>
      </c>
    </row>
    <row r="42">
      <c r="B42" s="13" t="inlineStr">
        <is>
          <t>Alaska</t>
        </is>
      </c>
      <c r="C42" s="28" t="inlineStr">
        <is>
          <t>— (no income tax)</t>
        </is>
      </c>
      <c r="D42" s="28" t="inlineStr">
        <is>
          <t>Nothing to file — there is no state wage income tax.</t>
        </is>
      </c>
      <c r="E42" s="28" t="inlineStr">
        <is>
          <t>Your Pay &amp; Benefits rows 21–26</t>
        </is>
      </c>
      <c r="F42" s="28" t="inlineStr">
        <is>
          <t>$0 — no wage tax</t>
        </is>
      </c>
    </row>
    <row r="43">
      <c r="B43" s="13" t="inlineStr">
        <is>
          <t>Alabama</t>
        </is>
      </c>
      <c r="C43" s="28" t="inlineStr">
        <is>
          <t>Form A-4</t>
        </is>
      </c>
      <c r="D43" s="28" t="inlineStr">
        <is>
          <t>Filing status, allowances/exemptions, and any extra withholding per check.</t>
        </is>
      </c>
      <c r="E43" s="28" t="inlineStr">
        <is>
          <t>Your Pay &amp; Benefits rows 21–26</t>
        </is>
      </c>
      <c r="F43" s="28" t="inlineStr">
        <is>
          <t>Live — formula</t>
        </is>
      </c>
    </row>
    <row r="44">
      <c r="B44" s="13" t="inlineStr">
        <is>
          <t>Arkansas</t>
        </is>
      </c>
      <c r="C44" s="28" t="inlineStr">
        <is>
          <t>Form AR4EC</t>
        </is>
      </c>
      <c r="D44" s="28" t="inlineStr">
        <is>
          <t>Filing status, allowances/exemptions, and any extra withholding per check.</t>
        </is>
      </c>
      <c r="E44" s="28" t="inlineStr">
        <is>
          <t>Your Pay &amp; Benefits rows 21–26</t>
        </is>
      </c>
      <c r="F44" s="28" t="inlineStr">
        <is>
          <t>Live — formula</t>
        </is>
      </c>
    </row>
    <row r="45">
      <c r="B45" s="13" t="inlineStr">
        <is>
          <t>Arizona</t>
        </is>
      </c>
      <c r="C45" s="28" t="inlineStr">
        <is>
          <t>Form A-4</t>
        </is>
      </c>
      <c r="D45" s="28" t="inlineStr">
        <is>
          <t>The percentage you elect on the A-4 (0.5%–3.5% of federal taxable wages; 2.0% applies if no form is filed).</t>
        </is>
      </c>
      <c r="E45" s="28" t="inlineStr">
        <is>
          <t>Your Pay &amp; Benefits row 82 (rows 21–22 still apply)</t>
        </is>
      </c>
      <c r="F45" s="28" t="inlineStr">
        <is>
          <t>Live — formula</t>
        </is>
      </c>
    </row>
    <row r="46">
      <c r="B46" s="13" t="inlineStr">
        <is>
          <t>California</t>
        </is>
      </c>
      <c r="C46" s="28" t="inlineStr">
        <is>
          <t>Form DE 4</t>
        </is>
      </c>
      <c r="D46" s="28" t="inlineStr">
        <is>
          <t>Status (incl. 'Married (one income)'), line 1a regular allowances, line 1b Worksheet B allowances, line 3 extra withholding — see the DE 4 walkthrough above.</t>
        </is>
      </c>
      <c r="E46" s="28" t="inlineStr">
        <is>
          <t>Your Pay &amp; Benefits rows 22, 23, 24, 25</t>
        </is>
      </c>
      <c r="F46" s="28" t="inlineStr">
        <is>
          <t>Live — Method B</t>
        </is>
      </c>
    </row>
    <row r="47">
      <c r="B47" s="13" t="inlineStr">
        <is>
          <t>Colorado</t>
        </is>
      </c>
      <c r="C47" s="28" t="inlineStr">
        <is>
          <t>Form DR 0004 (optional)</t>
        </is>
      </c>
      <c r="D47" s="28" t="inlineStr">
        <is>
          <t>Filing status, allowances/exemptions, and any extra withholding per check.</t>
        </is>
      </c>
      <c r="E47" s="28" t="inlineStr">
        <is>
          <t>Your Pay &amp; Benefits rows 21–26</t>
        </is>
      </c>
      <c r="F47" s="28" t="inlineStr">
        <is>
          <t>Live — formula</t>
        </is>
      </c>
    </row>
    <row r="48">
      <c r="B48" s="13" t="inlineStr">
        <is>
          <t>Connecticut</t>
        </is>
      </c>
      <c r="C48" s="28" t="inlineStr">
        <is>
          <t>Form CT-W4</t>
        </is>
      </c>
      <c r="D48" s="28" t="inlineStr">
        <is>
          <t>The certificate still sets your real withholding with your employer; in this planner the state is manual-entry — see 'Manual-entry states' below.</t>
        </is>
      </c>
      <c r="E48" s="28" t="inlineStr">
        <is>
          <t>Your Pay &amp; Benefits rows 21–26</t>
        </is>
      </c>
      <c r="F48" s="28" t="inlineStr">
        <is>
          <t>MANUAL ENTRY</t>
        </is>
      </c>
    </row>
    <row r="49">
      <c r="B49" s="13" t="inlineStr">
        <is>
          <t>District of Columbia</t>
        </is>
      </c>
      <c r="C49" s="28" t="inlineStr">
        <is>
          <t>Form D-4</t>
        </is>
      </c>
      <c r="D49" s="28" t="inlineStr">
        <is>
          <t>The certificate still sets your real withholding with your employer; in this planner the state is manual-entry — see 'Manual-entry states' below.</t>
        </is>
      </c>
      <c r="E49" s="28" t="inlineStr">
        <is>
          <t>Your Pay &amp; Benefits rows 21–26</t>
        </is>
      </c>
      <c r="F49" s="28" t="inlineStr">
        <is>
          <t>MANUAL ENTRY</t>
        </is>
      </c>
    </row>
    <row r="50">
      <c r="B50" s="13" t="inlineStr">
        <is>
          <t>Delaware</t>
        </is>
      </c>
      <c r="C50" s="28" t="inlineStr">
        <is>
          <t>Federal W-4 / W-4A worksheet</t>
        </is>
      </c>
      <c r="D50" s="28" t="inlineStr">
        <is>
          <t>Delaware uses the federal W-4; its W-4A worksheet works out the standard-deduction treatment.</t>
        </is>
      </c>
      <c r="E50" s="28" t="inlineStr">
        <is>
          <t>Your Pay &amp; Benefits rows 21–26</t>
        </is>
      </c>
      <c r="F50" s="28" t="inlineStr">
        <is>
          <t>Live — formula</t>
        </is>
      </c>
    </row>
    <row r="51">
      <c r="B51" s="13" t="inlineStr">
        <is>
          <t>Florida</t>
        </is>
      </c>
      <c r="C51" s="28" t="inlineStr">
        <is>
          <t>— (no income tax)</t>
        </is>
      </c>
      <c r="D51" s="28" t="inlineStr">
        <is>
          <t>Nothing to file — there is no state wage income tax.</t>
        </is>
      </c>
      <c r="E51" s="28" t="inlineStr">
        <is>
          <t>Your Pay &amp; Benefits rows 21–26</t>
        </is>
      </c>
      <c r="F51" s="28" t="inlineStr">
        <is>
          <t>$0 — no wage tax</t>
        </is>
      </c>
    </row>
    <row r="52">
      <c r="B52" s="13" t="inlineStr">
        <is>
          <t>Georgia</t>
        </is>
      </c>
      <c r="C52" s="28" t="inlineStr">
        <is>
          <t>Form G-4</t>
        </is>
      </c>
      <c r="D52" s="28" t="inlineStr">
        <is>
          <t>The certificate still sets your real withholding with your employer; in this planner the state is manual-entry — see 'Manual-entry states' below.</t>
        </is>
      </c>
      <c r="E52" s="28" t="inlineStr">
        <is>
          <t>Your Pay &amp; Benefits rows 21–26</t>
        </is>
      </c>
      <c r="F52" s="28" t="inlineStr">
        <is>
          <t>MANUAL ENTRY</t>
        </is>
      </c>
    </row>
    <row r="53">
      <c r="B53" s="13" t="inlineStr">
        <is>
          <t>Hawaii</t>
        </is>
      </c>
      <c r="C53" s="28" t="inlineStr">
        <is>
          <t>Form HW-4</t>
        </is>
      </c>
      <c r="D53" s="28" t="inlineStr">
        <is>
          <t>Filing status, allowances/exemptions, and any extra withholding per check.</t>
        </is>
      </c>
      <c r="E53" s="28" t="inlineStr">
        <is>
          <t>Your Pay &amp; Benefits rows 21–26</t>
        </is>
      </c>
      <c r="F53" s="28" t="inlineStr">
        <is>
          <t>Live — formula</t>
        </is>
      </c>
    </row>
    <row r="54">
      <c r="B54" s="13" t="inlineStr">
        <is>
          <t>Iowa</t>
        </is>
      </c>
      <c r="C54" s="28" t="inlineStr">
        <is>
          <t>IA W-4</t>
        </is>
      </c>
      <c r="D54" s="28" t="inlineStr">
        <is>
          <t>Your total allowance amount; in this planner it is entered as a count of $40 units.</t>
        </is>
      </c>
      <c r="E54" s="28" t="inlineStr">
        <is>
          <t>Your Pay &amp; Benefits row 23 (count of $40 units)</t>
        </is>
      </c>
      <c r="F54" s="28" t="inlineStr">
        <is>
          <t>Live — formula</t>
        </is>
      </c>
    </row>
    <row r="55">
      <c r="B55" s="13" t="inlineStr">
        <is>
          <t>Idaho</t>
        </is>
      </c>
      <c r="C55" s="28" t="inlineStr">
        <is>
          <t>Form ID W-4</t>
        </is>
      </c>
      <c r="D55" s="28" t="inlineStr">
        <is>
          <t>Filing status, allowances/exemptions, and any extra withholding per check.</t>
        </is>
      </c>
      <c r="E55" s="28" t="inlineStr">
        <is>
          <t>Your Pay &amp; Benefits rows 21–26</t>
        </is>
      </c>
      <c r="F55" s="28" t="inlineStr">
        <is>
          <t>Live — formula</t>
        </is>
      </c>
    </row>
    <row r="56">
      <c r="B56" s="13" t="inlineStr">
        <is>
          <t>Illinois</t>
        </is>
      </c>
      <c r="C56" s="28" t="inlineStr">
        <is>
          <t>Form IL-W-4</t>
        </is>
      </c>
      <c r="D56" s="28" t="inlineStr">
        <is>
          <t>Filing status, allowances/exemptions, and any extra withholding per check.</t>
        </is>
      </c>
      <c r="E56" s="28" t="inlineStr">
        <is>
          <t>Your Pay &amp; Benefits rows 21–26</t>
        </is>
      </c>
      <c r="F56" s="28" t="inlineStr">
        <is>
          <t>Live — formula</t>
        </is>
      </c>
    </row>
    <row r="57">
      <c r="B57" s="13" t="inlineStr">
        <is>
          <t>Indiana</t>
        </is>
      </c>
      <c r="C57" s="28" t="inlineStr">
        <is>
          <t>Form WH-4</t>
        </is>
      </c>
      <c r="D57" s="28" t="inlineStr">
        <is>
          <t>Personal and dependent exemptions, and your county of residence on January 1 (its rate is added).</t>
        </is>
      </c>
      <c r="E57" s="28" t="inlineStr">
        <is>
          <t>Your Pay &amp; Benefits rows 23, 24, 86 and row 76 (county rate)</t>
        </is>
      </c>
      <c r="F57" s="28" t="inlineStr">
        <is>
          <t>Live — formula</t>
        </is>
      </c>
    </row>
    <row r="58">
      <c r="B58" s="13" t="inlineStr">
        <is>
          <t>Kansas</t>
        </is>
      </c>
      <c r="C58" s="28" t="inlineStr">
        <is>
          <t>Form K-4</t>
        </is>
      </c>
      <c r="D58" s="28" t="inlineStr">
        <is>
          <t>Filing status, allowances/exemptions, and any extra withholding per check.</t>
        </is>
      </c>
      <c r="E58" s="28" t="inlineStr">
        <is>
          <t>Your Pay &amp; Benefits rows 21–26</t>
        </is>
      </c>
      <c r="F58" s="28" t="inlineStr">
        <is>
          <t>Live — formula</t>
        </is>
      </c>
    </row>
    <row r="59">
      <c r="B59" s="13" t="inlineStr">
        <is>
          <t>Kentucky</t>
        </is>
      </c>
      <c r="C59" s="28" t="inlineStr">
        <is>
          <t>Form K-4 (exempt/extra only)</t>
        </is>
      </c>
      <c r="D59" s="28" t="inlineStr">
        <is>
          <t>Only needed to claim exempt or add extra withholding — otherwise Kentucky withholds using the standard deduction automatically.</t>
        </is>
      </c>
      <c r="E59" s="28" t="inlineStr">
        <is>
          <t>Your Pay &amp; Benefits rows 21–26</t>
        </is>
      </c>
      <c r="F59" s="28" t="inlineStr">
        <is>
          <t>Live — formula</t>
        </is>
      </c>
    </row>
    <row r="60">
      <c r="B60" s="13" t="inlineStr">
        <is>
          <t>Louisiana</t>
        </is>
      </c>
      <c r="C60" s="28" t="inlineStr">
        <is>
          <t>Form R-1300 (L-4)</t>
        </is>
      </c>
      <c r="D60" s="28" t="inlineStr">
        <is>
          <t>The L-4 standard-deduction claim in Block A (0, 1 or 2).</t>
        </is>
      </c>
      <c r="E60" s="28" t="inlineStr">
        <is>
          <t>Your Pay &amp; Benefits row 84</t>
        </is>
      </c>
      <c r="F60" s="28" t="inlineStr">
        <is>
          <t>Live — formula</t>
        </is>
      </c>
    </row>
    <row r="61">
      <c r="B61" s="13" t="inlineStr">
        <is>
          <t>Massachusetts</t>
        </is>
      </c>
      <c r="C61" s="28" t="inlineStr">
        <is>
          <t>Form M-4</t>
        </is>
      </c>
      <c r="D61" s="28" t="inlineStr">
        <is>
          <t>Exemptions — note a spouse counts as 4 exemptions on the M-4 — plus head-of-household and blindness claims.</t>
        </is>
      </c>
      <c r="E61" s="28" t="inlineStr">
        <is>
          <t>Your Pay &amp; Benefits rows 22–23 and row 75 (blind exemptions)</t>
        </is>
      </c>
      <c r="F61" s="28" t="inlineStr">
        <is>
          <t>Live — formula</t>
        </is>
      </c>
    </row>
    <row r="62">
      <c r="B62" s="13" t="inlineStr">
        <is>
          <t>Maryland</t>
        </is>
      </c>
      <c r="C62" s="28" t="inlineStr">
        <is>
          <t>Form MW507</t>
        </is>
      </c>
      <c r="D62" s="28" t="inlineStr">
        <is>
          <t>Exemptions, and your county — the county tax rides on top of the state tax at your county's rate.</t>
        </is>
      </c>
      <c r="E62" s="28" t="inlineStr">
        <is>
          <t>Your Pay &amp; Benefits rows 22–23 and row 74 (county rate)</t>
        </is>
      </c>
      <c r="F62" s="28" t="inlineStr">
        <is>
          <t>Live — formula</t>
        </is>
      </c>
    </row>
    <row r="63">
      <c r="B63" s="13" t="inlineStr">
        <is>
          <t>Maine</t>
        </is>
      </c>
      <c r="C63" s="28" t="inlineStr">
        <is>
          <t>Form W-4ME</t>
        </is>
      </c>
      <c r="D63" s="28" t="inlineStr">
        <is>
          <t>The certificate still sets your real withholding with your employer; in this planner the state is manual-entry — see 'Manual-entry states' below.</t>
        </is>
      </c>
      <c r="E63" s="28" t="inlineStr">
        <is>
          <t>Your Pay &amp; Benefits rows 21–26</t>
        </is>
      </c>
      <c r="F63" s="28" t="inlineStr">
        <is>
          <t>MANUAL ENTRY</t>
        </is>
      </c>
    </row>
    <row r="64">
      <c r="B64" s="13" t="inlineStr">
        <is>
          <t>Michigan</t>
        </is>
      </c>
      <c r="C64" s="28" t="inlineStr">
        <is>
          <t>Form MI-W4</t>
        </is>
      </c>
      <c r="D64" s="28" t="inlineStr">
        <is>
          <t>Filing status, allowances/exemptions, and any extra withholding per check.</t>
        </is>
      </c>
      <c r="E64" s="28" t="inlineStr">
        <is>
          <t>Your Pay &amp; Benefits rows 21–26</t>
        </is>
      </c>
      <c r="F64" s="28" t="inlineStr">
        <is>
          <t>Live — formula</t>
        </is>
      </c>
    </row>
    <row r="65">
      <c r="B65" s="13" t="inlineStr">
        <is>
          <t>Minnesota</t>
        </is>
      </c>
      <c r="C65" s="28" t="inlineStr">
        <is>
          <t>Form W-4MN</t>
        </is>
      </c>
      <c r="D65" s="28" t="inlineStr">
        <is>
          <t>Filing status, allowances/exemptions, and any extra withholding per check.</t>
        </is>
      </c>
      <c r="E65" s="28" t="inlineStr">
        <is>
          <t>Your Pay &amp; Benefits rows 21–26</t>
        </is>
      </c>
      <c r="F65" s="28" t="inlineStr">
        <is>
          <t>Live — formula</t>
        </is>
      </c>
    </row>
    <row r="66">
      <c r="B66" s="13" t="inlineStr">
        <is>
          <t>Missouri</t>
        </is>
      </c>
      <c r="C66" s="28" t="inlineStr">
        <is>
          <t>Form MO W-4</t>
        </is>
      </c>
      <c r="D66" s="28" t="inlineStr">
        <is>
          <t>Allowances; the form also drives the standard-deduction choice for a working spouse.</t>
        </is>
      </c>
      <c r="E66" s="28" t="inlineStr">
        <is>
          <t>Your Pay &amp; Benefits rows 22–23 and row 83 (spouse works)</t>
        </is>
      </c>
      <c r="F66" s="28" t="inlineStr">
        <is>
          <t>Live — formula</t>
        </is>
      </c>
    </row>
    <row r="67">
      <c r="B67" s="13" t="inlineStr">
        <is>
          <t>Mississippi</t>
        </is>
      </c>
      <c r="C67" s="28" t="inlineStr">
        <is>
          <t>Form 89-350</t>
        </is>
      </c>
      <c r="D67" s="28" t="inlineStr">
        <is>
          <t>Your total exemption amount (the form's Line 6 total).</t>
        </is>
      </c>
      <c r="E67" s="28" t="inlineStr">
        <is>
          <t>Your Pay &amp; Benefits row 85</t>
        </is>
      </c>
      <c r="F67" s="28" t="inlineStr">
        <is>
          <t>Live — formula</t>
        </is>
      </c>
    </row>
    <row r="68">
      <c r="B68" s="13" t="inlineStr">
        <is>
          <t>Montana</t>
        </is>
      </c>
      <c r="C68" s="28" t="inlineStr">
        <is>
          <t>Form MW-4</t>
        </is>
      </c>
      <c r="D68" s="28" t="inlineStr">
        <is>
          <t>Filing status, allowances/exemptions, and any extra withholding per check.</t>
        </is>
      </c>
      <c r="E68" s="28" t="inlineStr">
        <is>
          <t>Your Pay &amp; Benefits rows 21–26</t>
        </is>
      </c>
      <c r="F68" s="28" t="inlineStr">
        <is>
          <t>Live — formula</t>
        </is>
      </c>
    </row>
    <row r="69">
      <c r="B69" s="13" t="inlineStr">
        <is>
          <t>North Carolina</t>
        </is>
      </c>
      <c r="C69" s="28" t="inlineStr">
        <is>
          <t>Form NC-4</t>
        </is>
      </c>
      <c r="D69" s="28" t="inlineStr">
        <is>
          <t>The certificate still sets your real withholding with your employer; in this planner the state is manual-entry — see 'Manual-entry states' below.</t>
        </is>
      </c>
      <c r="E69" s="28" t="inlineStr">
        <is>
          <t>Your Pay &amp; Benefits rows 21–26</t>
        </is>
      </c>
      <c r="F69" s="28" t="inlineStr">
        <is>
          <t>MANUAL ENTRY</t>
        </is>
      </c>
    </row>
    <row r="70">
      <c r="B70" s="13" t="inlineStr">
        <is>
          <t>North Dakota</t>
        </is>
      </c>
      <c r="C70" s="28" t="inlineStr">
        <is>
          <t>Federal W-4</t>
        </is>
      </c>
      <c r="D70" s="28" t="inlineStr">
        <is>
          <t>This state uses your federal W-4 — no separate state certificate exists.</t>
        </is>
      </c>
      <c r="E70" s="28" t="inlineStr">
        <is>
          <t>Your Pay &amp; Benefits rows 21–26</t>
        </is>
      </c>
      <c r="F70" s="28" t="inlineStr">
        <is>
          <t>Live — formula</t>
        </is>
      </c>
    </row>
    <row r="71">
      <c r="B71" s="13" t="inlineStr">
        <is>
          <t>Nebraska</t>
        </is>
      </c>
      <c r="C71" s="28" t="inlineStr">
        <is>
          <t>Form W-4N</t>
        </is>
      </c>
      <c r="D71" s="28" t="inlineStr">
        <is>
          <t>Filing status, allowances/exemptions, and any extra withholding per check.</t>
        </is>
      </c>
      <c r="E71" s="28" t="inlineStr">
        <is>
          <t>Your Pay &amp; Benefits rows 21–26</t>
        </is>
      </c>
      <c r="F71" s="28" t="inlineStr">
        <is>
          <t>Live — formula</t>
        </is>
      </c>
    </row>
    <row r="72">
      <c r="B72" s="13" t="inlineStr">
        <is>
          <t>New Hampshire</t>
        </is>
      </c>
      <c r="C72" s="28" t="inlineStr">
        <is>
          <t>— (no income tax)</t>
        </is>
      </c>
      <c r="D72" s="28" t="inlineStr">
        <is>
          <t>Nothing to file — there is no state wage income tax.</t>
        </is>
      </c>
      <c r="E72" s="28" t="inlineStr">
        <is>
          <t>Your Pay &amp; Benefits rows 21–26</t>
        </is>
      </c>
      <c r="F72" s="28" t="inlineStr">
        <is>
          <t>$0 — no wage tax</t>
        </is>
      </c>
    </row>
    <row r="73">
      <c r="B73" s="13" t="inlineStr">
        <is>
          <t>New Jersey</t>
        </is>
      </c>
      <c r="C73" s="28" t="inlineStr">
        <is>
          <t>Form NJ-W4</t>
        </is>
      </c>
      <c r="D73" s="28" t="inlineStr">
        <is>
          <t>Allowances AND your rate-table letter (A–E) — the letter you select on the NJ-W4 picks the withholding table.</t>
        </is>
      </c>
      <c r="E73" s="28" t="inlineStr">
        <is>
          <t>Your Pay &amp; Benefits rows 22–23 and row 77 (table letter)</t>
        </is>
      </c>
      <c r="F73" s="28" t="inlineStr">
        <is>
          <t>Live — formula</t>
        </is>
      </c>
    </row>
    <row r="74">
      <c r="B74" s="13" t="inlineStr">
        <is>
          <t>New Mexico</t>
        </is>
      </c>
      <c r="C74" s="28" t="inlineStr">
        <is>
          <t>Federal W-4 (NM copy)</t>
        </is>
      </c>
      <c r="D74" s="28" t="inlineStr">
        <is>
          <t>New Mexico uses a copy of your federal W-4 filed for NM.</t>
        </is>
      </c>
      <c r="E74" s="28" t="inlineStr">
        <is>
          <t>Your Pay &amp; Benefits rows 21–26</t>
        </is>
      </c>
      <c r="F74" s="28" t="inlineStr">
        <is>
          <t>MANUAL ENTRY</t>
        </is>
      </c>
    </row>
    <row r="75">
      <c r="B75" s="13" t="inlineStr">
        <is>
          <t>Nevada</t>
        </is>
      </c>
      <c r="C75" s="28" t="inlineStr">
        <is>
          <t>— (no income tax)</t>
        </is>
      </c>
      <c r="D75" s="28" t="inlineStr">
        <is>
          <t>Nothing to file — there is no state wage income tax.</t>
        </is>
      </c>
      <c r="E75" s="28" t="inlineStr">
        <is>
          <t>Your Pay &amp; Benefits rows 21–26</t>
        </is>
      </c>
      <c r="F75" s="28" t="inlineStr">
        <is>
          <t>$0 — no wage tax</t>
        </is>
      </c>
    </row>
    <row r="76">
      <c r="B76" s="13" t="inlineStr">
        <is>
          <t>New York</t>
        </is>
      </c>
      <c r="C76" s="28" t="inlineStr">
        <is>
          <t>Form IT-2104</t>
        </is>
      </c>
      <c r="D76" s="28" t="inlineStr">
        <is>
          <t>Allowances; the form also asks about NYC and Yonkers residency, which add their own lines.</t>
        </is>
      </c>
      <c r="E76" s="28" t="inlineStr">
        <is>
          <t>Your Pay &amp; Benefits rows 22–23, plus rows 78–79 (NYC / Yonkers)</t>
        </is>
      </c>
      <c r="F76" s="28" t="inlineStr">
        <is>
          <t>Live — formula</t>
        </is>
      </c>
    </row>
    <row r="77">
      <c r="B77" s="13" t="inlineStr">
        <is>
          <t>Ohio</t>
        </is>
      </c>
      <c r="C77" s="28" t="inlineStr">
        <is>
          <t>Form IT 4</t>
        </is>
      </c>
      <c r="D77" s="28" t="inlineStr">
        <is>
          <t>Exemptions — each one is worth $650 in the formula.</t>
        </is>
      </c>
      <c r="E77" s="28" t="inlineStr">
        <is>
          <t>Your Pay &amp; Benefits rows 21–26</t>
        </is>
      </c>
      <c r="F77" s="28" t="inlineStr">
        <is>
          <t>Live — formula</t>
        </is>
      </c>
    </row>
    <row r="78">
      <c r="B78" s="13" t="inlineStr">
        <is>
          <t>Oklahoma</t>
        </is>
      </c>
      <c r="C78" s="28" t="inlineStr">
        <is>
          <t>Form OK-W-4</t>
        </is>
      </c>
      <c r="D78" s="28" t="inlineStr">
        <is>
          <t>Filing status, allowances/exemptions, and any extra withholding per check.</t>
        </is>
      </c>
      <c r="E78" s="28" t="inlineStr">
        <is>
          <t>Your Pay &amp; Benefits rows 21–26</t>
        </is>
      </c>
      <c r="F78" s="28" t="inlineStr">
        <is>
          <t>Live — formula</t>
        </is>
      </c>
    </row>
    <row r="79">
      <c r="B79" s="13" t="inlineStr">
        <is>
          <t>Oregon</t>
        </is>
      </c>
      <c r="C79" s="28" t="inlineStr">
        <is>
          <t>Form OR-W-4</t>
        </is>
      </c>
      <c r="D79" s="28" t="inlineStr">
        <is>
          <t>Filing status, allowances/exemptions, and any extra withholding per check.</t>
        </is>
      </c>
      <c r="E79" s="28" t="inlineStr">
        <is>
          <t>Your Pay &amp; Benefits rows 21–26</t>
        </is>
      </c>
      <c r="F79" s="28" t="inlineStr">
        <is>
          <t>Live — formula</t>
        </is>
      </c>
    </row>
    <row r="80">
      <c r="B80" s="13" t="inlineStr">
        <is>
          <t>Pennsylvania</t>
        </is>
      </c>
      <c r="C80" s="28" t="inlineStr">
        <is>
          <t>Federal W-4 (no state form)</t>
        </is>
      </c>
      <c r="D80" s="28" t="inlineStr">
        <is>
          <t>No state certificate: your employer uses your federal W-4 information for the flat 3.07% tax. (Local earned-income tax uses a separate residency certificate.)</t>
        </is>
      </c>
      <c r="E80" s="28" t="inlineStr">
        <is>
          <t>Nothing state-specific; local EIT via rows 27 and 81</t>
        </is>
      </c>
      <c r="F80" s="28" t="inlineStr">
        <is>
          <t>Live — formula</t>
        </is>
      </c>
    </row>
    <row r="81">
      <c r="B81" s="13" t="inlineStr">
        <is>
          <t>Rhode Island</t>
        </is>
      </c>
      <c r="C81" s="28" t="inlineStr">
        <is>
          <t>Form RI W-4</t>
        </is>
      </c>
      <c r="D81" s="28" t="inlineStr">
        <is>
          <t>Filing status, allowances/exemptions, and any extra withholding per check.</t>
        </is>
      </c>
      <c r="E81" s="28" t="inlineStr">
        <is>
          <t>Your Pay &amp; Benefits rows 21–26</t>
        </is>
      </c>
      <c r="F81" s="28" t="inlineStr">
        <is>
          <t>Live — formula</t>
        </is>
      </c>
    </row>
    <row r="82">
      <c r="B82" s="13" t="inlineStr">
        <is>
          <t>South Carolina</t>
        </is>
      </c>
      <c r="C82" s="28" t="inlineStr">
        <is>
          <t>Form SC W-4</t>
        </is>
      </c>
      <c r="D82" s="28" t="inlineStr">
        <is>
          <t>Filing status, allowances/exemptions, and any extra withholding per check.</t>
        </is>
      </c>
      <c r="E82" s="28" t="inlineStr">
        <is>
          <t>Your Pay &amp; Benefits rows 21–26</t>
        </is>
      </c>
      <c r="F82" s="28" t="inlineStr">
        <is>
          <t>Live — formula</t>
        </is>
      </c>
    </row>
    <row r="83">
      <c r="B83" s="13" t="inlineStr">
        <is>
          <t>South Dakota</t>
        </is>
      </c>
      <c r="C83" s="28" t="inlineStr">
        <is>
          <t>— (no income tax)</t>
        </is>
      </c>
      <c r="D83" s="28" t="inlineStr">
        <is>
          <t>Nothing to file — there is no state wage income tax.</t>
        </is>
      </c>
      <c r="E83" s="28" t="inlineStr">
        <is>
          <t>Your Pay &amp; Benefits rows 21–26</t>
        </is>
      </c>
      <c r="F83" s="28" t="inlineStr">
        <is>
          <t>$0 — no wage tax</t>
        </is>
      </c>
    </row>
    <row r="84">
      <c r="B84" s="13" t="inlineStr">
        <is>
          <t>Tennessee</t>
        </is>
      </c>
      <c r="C84" s="28" t="inlineStr">
        <is>
          <t>— (no income tax)</t>
        </is>
      </c>
      <c r="D84" s="28" t="inlineStr">
        <is>
          <t>Nothing to file — there is no state wage income tax.</t>
        </is>
      </c>
      <c r="E84" s="28" t="inlineStr">
        <is>
          <t>Your Pay &amp; Benefits rows 21–26</t>
        </is>
      </c>
      <c r="F84" s="28" t="inlineStr">
        <is>
          <t>$0 — no wage tax</t>
        </is>
      </c>
    </row>
    <row r="85">
      <c r="B85" s="13" t="inlineStr">
        <is>
          <t>Texas</t>
        </is>
      </c>
      <c r="C85" s="28" t="inlineStr">
        <is>
          <t>— (no income tax)</t>
        </is>
      </c>
      <c r="D85" s="28" t="inlineStr">
        <is>
          <t>Nothing to file — there is no state wage income tax.</t>
        </is>
      </c>
      <c r="E85" s="28" t="inlineStr">
        <is>
          <t>Your Pay &amp; Benefits rows 21–26</t>
        </is>
      </c>
      <c r="F85" s="28" t="inlineStr">
        <is>
          <t>$0 — no wage tax</t>
        </is>
      </c>
    </row>
    <row r="86">
      <c r="B86" s="13" t="inlineStr">
        <is>
          <t>Utah</t>
        </is>
      </c>
      <c r="C86" s="28" t="inlineStr">
        <is>
          <t>Federal W-4</t>
        </is>
      </c>
      <c r="D86" s="28" t="inlineStr">
        <is>
          <t>This state uses your federal W-4 — no separate state certificate exists.</t>
        </is>
      </c>
      <c r="E86" s="28" t="inlineStr">
        <is>
          <t>Your Pay &amp; Benefits rows 21–26</t>
        </is>
      </c>
      <c r="F86" s="28" t="inlineStr">
        <is>
          <t>MANUAL ENTRY</t>
        </is>
      </c>
    </row>
    <row r="87">
      <c r="B87" s="13" t="inlineStr">
        <is>
          <t>Virginia</t>
        </is>
      </c>
      <c r="C87" s="28" t="inlineStr">
        <is>
          <t>Form VA-4</t>
        </is>
      </c>
      <c r="D87" s="28" t="inlineStr">
        <is>
          <t>Exemptions ($930 each) plus age-65/blind exemptions ($800 each).</t>
        </is>
      </c>
      <c r="E87" s="28" t="inlineStr">
        <is>
          <t>Your Pay &amp; Benefits rows 23–24</t>
        </is>
      </c>
      <c r="F87" s="28" t="inlineStr">
        <is>
          <t>Live — formula</t>
        </is>
      </c>
    </row>
    <row r="88">
      <c r="B88" s="13" t="inlineStr">
        <is>
          <t>Vermont</t>
        </is>
      </c>
      <c r="C88" s="28" t="inlineStr">
        <is>
          <t>Form W-4VT</t>
        </is>
      </c>
      <c r="D88" s="28" t="inlineStr">
        <is>
          <t>Filing status, allowances/exemptions, and any extra withholding per check.</t>
        </is>
      </c>
      <c r="E88" s="28" t="inlineStr">
        <is>
          <t>Your Pay &amp; Benefits rows 21–26</t>
        </is>
      </c>
      <c r="F88" s="28" t="inlineStr">
        <is>
          <t>Live — formula</t>
        </is>
      </c>
    </row>
    <row r="89">
      <c r="B89" s="13" t="inlineStr">
        <is>
          <t>Washington</t>
        </is>
      </c>
      <c r="C89" s="28" t="inlineStr">
        <is>
          <t>— (no income tax)</t>
        </is>
      </c>
      <c r="D89" s="28" t="inlineStr">
        <is>
          <t>Nothing to file — there is no state wage income tax.</t>
        </is>
      </c>
      <c r="E89" s="28" t="inlineStr">
        <is>
          <t>Your Pay &amp; Benefits rows 21–26</t>
        </is>
      </c>
      <c r="F89" s="28" t="inlineStr">
        <is>
          <t>$0 — no wage tax</t>
        </is>
      </c>
    </row>
    <row r="90">
      <c r="B90" s="13" t="inlineStr">
        <is>
          <t>Wisconsin</t>
        </is>
      </c>
      <c r="C90" s="28" t="inlineStr">
        <is>
          <t>Form WT-4</t>
        </is>
      </c>
      <c r="D90" s="28" t="inlineStr">
        <is>
          <t>Filing status, allowances/exemptions, and any extra withholding per check.</t>
        </is>
      </c>
      <c r="E90" s="28" t="inlineStr">
        <is>
          <t>Your Pay &amp; Benefits rows 21–26</t>
        </is>
      </c>
      <c r="F90" s="28" t="inlineStr">
        <is>
          <t>Live — formula</t>
        </is>
      </c>
    </row>
    <row r="91">
      <c r="B91" s="13" t="inlineStr">
        <is>
          <t>West Virginia</t>
        </is>
      </c>
      <c r="C91" s="28" t="inlineStr">
        <is>
          <t>Form WV/IT-104</t>
        </is>
      </c>
      <c r="D91" s="28" t="inlineStr">
        <is>
          <t>Exemptions, and whether the lower-rate (one-earner) table box is checked.</t>
        </is>
      </c>
      <c r="E91" s="28" t="inlineStr">
        <is>
          <t>Your Pay &amp; Benefits rows 21–26</t>
        </is>
      </c>
      <c r="F91" s="28" t="inlineStr">
        <is>
          <t>Live — formula</t>
        </is>
      </c>
    </row>
    <row r="92">
      <c r="B92" s="13" t="inlineStr">
        <is>
          <t>Wyoming</t>
        </is>
      </c>
      <c r="C92" s="28" t="inlineStr">
        <is>
          <t>— (no income tax)</t>
        </is>
      </c>
      <c r="D92" s="28" t="inlineStr">
        <is>
          <t>Nothing to file — there is no state wage income tax.</t>
        </is>
      </c>
      <c r="E92" s="28" t="inlineStr">
        <is>
          <t>Your Pay &amp; Benefits rows 21–26</t>
        </is>
      </c>
      <c r="F92" s="28" t="inlineStr">
        <is>
          <t>$0 — no wage tax</t>
        </is>
      </c>
    </row>
    <row r="93"/>
    <row r="94">
      <c r="B94" s="10" t="inlineStr">
        <is>
          <t>Manual-entry states — exactly which stub line, and how often</t>
        </is>
      </c>
    </row>
    <row r="95">
      <c r="B95" s="3" t="inlineStr">
        <is>
          <t>Seven states — Connecticut, District of Columbia, Georgia, Maine, North Carolina, New Mexico, Utah — ship as manual entry in this planner. The StateTables tab states the reason for each: a core 2026 parameter could not be verified from the state's own publication, and an unverified formula is never dressed up as precise. Their employee-paid programs (CT Paid Leave, ME PFML, the NM workers' comp fee) still compute live. For the income-tax line itself:</t>
        </is>
      </c>
    </row>
    <row r="96">
      <c r="B96" s="3" t="inlineStr">
        <is>
          <t>Which line: on your pay stub, find the state income-tax withholding in the Taxes section — labeled like 'State Tax', 'SIT', or with your state's name ('CT Tax', 'DC Tax', 'GA Tax'). Do not use a program line (paid leave, disability, workers' comp) — those are separate lines on the stub and separate math in the planner.</t>
        </is>
      </c>
    </row>
    <row r="97">
      <c r="B97" s="3" t="inlineStr">
        <is>
          <t>Which check: a regular, full check. Not a bonus check (supplemental pay is withheld differently), not a partial first or last check, not a check with unusual overtime.</t>
        </is>
      </c>
    </row>
    <row r="98">
      <c r="B98" s="30" t="inlineStr">
        <is>
          <t>Where it goes: type that per-check amount into Your Pay &amp; Benefits row 28, 'State withholding per check'.</t>
        </is>
      </c>
    </row>
    <row r="99">
      <c r="B99" s="3" t="inlineStr">
        <is>
          <t>How often to refresh: re-copy it whenever your pay, filing status, or allowances change and after any raise — and at least once a quarter. Copy it fresh every January, when states issue new tables and last year's amount goes stale.</t>
        </is>
      </c>
    </row>
    <row r="100">
      <c r="B100" s="3" t="inlineStr">
        <is>
          <t>If your checks vary (overtime, shift differentials, irregular hours): average the state-tax line over your last three regular checks and use that — and expect the planner to run approximate in heavy or light months, exactly as a flat per-check figure implies.</t>
        </is>
      </c>
    </row>
    <row r="101"/>
    <row r="102">
      <c r="B102" s="10" t="inlineStr">
        <is>
          <t>If your stub doesn't match — check these three things first</t>
        </is>
      </c>
    </row>
    <row r="103">
      <c r="B103" s="3" t="inlineStr">
        <is>
          <t>1. You may be comparing the wrong check. Bonuses and other one-offs are withheld at supplemental rates, a first or last check is partial, and a 27th payday spreads pay differently. Compare a plain, full, regular check against its row in the schedule.</t>
        </is>
      </c>
    </row>
    <row r="104">
      <c r="B104" s="3" t="inlineStr">
        <is>
          <t>2. Your employer may true-up as it goes. Some payroll systems withhold cumulatively: each check is figured from your actual year-to-date pay and the tax already taken, not from that check alone. After a bonus, a raise, or a mid-year start, their checks drift from the standard annualized method — the method in the IRS percentage tables, and the one this planner uses — and then converge again. A small difference that appears right after a one-off and shrinks is the signature, not an error.</t>
        </is>
      </c>
    </row>
    <row r="105">
      <c r="B105" s="3" t="inlineStr">
        <is>
          <t>3. The form on file may not be the form you entered. A pre-2020 W-4 with old allowances, a Step 2 box checked years ago, a Step 4(c) amount from an old fix, a state form never updated after a move — in each case payroll is following its instructions faithfully and the planner is comparing against different ones. Ask HR to show you the forms on file, enter exactly those, or file fresh forms and enter the new ones.</t>
        </is>
      </c>
    </row>
    <row r="106">
      <c r="B106" s="3" t="inlineStr">
        <is>
          <t>And three FICA-and-deduction specifics worth ruling out: Social Security still being withheld after your year-to-date passes $184,500 usually means two employers this year — each applies its own cap, and the excess comes back on your tax return (the Changes &amp; Changes &amp; Events tab models the restart). A 401(k) mismatch is usually a pre-tax vs. Roth mix-up or a percent-of-pay definition. Everything off by a little, every check, usually means a per-check item changed — a premium at open enrollment, a new deduction — so compare the deduction lines, not just the tax lines.</t>
        </is>
      </c>
    </row>
    <row r="107"/>
    <row r="108">
      <c r="B108" s="2" t="inlineStr">
        <is>
          <t>Official cross-check for your own situation: the IRS Tax Withholding Estimator at irs.gov/W4App. Nothing on this tab is tax advice, and no part of this planner tells you what to claim — it shows you what the forms you filed will do.</t>
        </is>
      </c>
    </row>
  </sheetData>
  <sheetProtection selectLockedCells="0" selectUnlockedCells="0" sheet="1" objects="0" insertRows="1" insertHyperlinks="1" autoFilter="1" scenarios="0" formatColumns="1" deleteColumns="1" insertColumns="1" pivotTables="1" deleteRows="1" formatCells="1" formatRows="1" sort="1"/>
  <mergeCells count="38">
    <mergeCell ref="B106:F106"/>
    <mergeCell ref="B7:F7"/>
    <mergeCell ref="C24:D24"/>
    <mergeCell ref="C30:D30"/>
    <mergeCell ref="B100:F100"/>
    <mergeCell ref="B3:F3"/>
    <mergeCell ref="C26:D26"/>
    <mergeCell ref="B18:F18"/>
    <mergeCell ref="B96:F96"/>
    <mergeCell ref="B105:F105"/>
    <mergeCell ref="B12:F12"/>
    <mergeCell ref="C29:D29"/>
    <mergeCell ref="C25:D25"/>
    <mergeCell ref="B11:F11"/>
    <mergeCell ref="B98:F98"/>
    <mergeCell ref="B14:F14"/>
    <mergeCell ref="B8:F8"/>
    <mergeCell ref="B17:F17"/>
    <mergeCell ref="B13:F13"/>
    <mergeCell ref="B38:F38"/>
    <mergeCell ref="B103:F103"/>
    <mergeCell ref="B34:F34"/>
    <mergeCell ref="B10:F10"/>
    <mergeCell ref="C27:D27"/>
    <mergeCell ref="B19:F19"/>
    <mergeCell ref="B37:F37"/>
    <mergeCell ref="B108:F108"/>
    <mergeCell ref="B99:F99"/>
    <mergeCell ref="B9:F9"/>
    <mergeCell ref="B6:F6"/>
    <mergeCell ref="B20:F20"/>
    <mergeCell ref="B95:F95"/>
    <mergeCell ref="B33:F33"/>
    <mergeCell ref="B104:F104"/>
    <mergeCell ref="C28:D28"/>
    <mergeCell ref="B36:F36"/>
    <mergeCell ref="B97:F97"/>
    <mergeCell ref="B35:F35"/>
  </mergeCells>
  <pageMargins left="0.75" right="0.75" top="1" bottom="1" header="0.5" footer="0.5"/>
</worksheet>
</file>

<file path=xl/worksheets/sheet13.xml><?xml version="1.0" encoding="utf-8"?>
<worksheet xmlns="http://schemas.openxmlformats.org/spreadsheetml/2006/main">
  <sheetPr>
    <tabColor rgb="00808080"/>
    <outlinePr summaryBelow="1" summaryRight="1"/>
    <pageSetUpPr/>
  </sheetPr>
  <dimension ref="A1:J250"/>
  <sheetViews>
    <sheetView workbookViewId="0">
      <selection activeCell="A1" sqref="A1"/>
    </sheetView>
  </sheetViews>
  <sheetFormatPr baseColWidth="8" defaultRowHeight="15"/>
  <cols>
    <col width="2" customWidth="1" min="1" max="1"/>
    <col width="30" customWidth="1" min="2" max="2"/>
    <col width="14" customWidth="1" min="3" max="3"/>
    <col width="62" customWidth="1" min="4" max="4"/>
    <col width="14" customWidth="1" min="5" max="5"/>
    <col width="10" customWidth="1" min="6" max="6"/>
    <col width="10" customWidth="1" min="7" max="7"/>
    <col width="14" customWidth="1" min="8" max="8"/>
    <col width="10" customWidth="1" min="9" max="9"/>
    <col width="10" customWidth="1" min="10" max="10"/>
  </cols>
  <sheetData>
    <row r="1">
      <c r="B1" s="9" t="inlineStr">
        <is>
          <t>How This Works &amp; Sources — method, tables, and sources</t>
        </is>
      </c>
    </row>
    <row r="2">
      <c r="B2" s="10" t="inlineStr">
        <is>
          <t>Engine parameters (2026)</t>
        </is>
      </c>
    </row>
    <row r="3">
      <c r="B3" t="inlineStr">
        <is>
          <t>Social Security wage base</t>
        </is>
      </c>
      <c r="C3" s="16" t="n">
        <v>184500</v>
      </c>
      <c r="D3" s="2" t="inlineStr">
        <is>
          <t>SSA/IRS 2026 announcement (Nov 2025): $184,500</t>
        </is>
      </c>
    </row>
    <row r="4">
      <c r="B4" t="inlineStr">
        <is>
          <t>Social Security rate (employee)</t>
        </is>
      </c>
      <c r="C4" s="33" t="n">
        <v>0.062</v>
      </c>
      <c r="D4" s="2" t="inlineStr">
        <is>
          <t>IRC §3101(a): 6.2%</t>
        </is>
      </c>
    </row>
    <row r="5">
      <c r="B5" t="inlineStr">
        <is>
          <t>Medicare rate (employee)</t>
        </is>
      </c>
      <c r="C5" s="33" t="n">
        <v>0.0145</v>
      </c>
      <c r="D5" s="2" t="inlineStr">
        <is>
          <t>IRC §3101(b): 1.45%</t>
        </is>
      </c>
    </row>
    <row r="6">
      <c r="B6" t="inlineStr">
        <is>
          <t>Additional Medicare rate</t>
        </is>
      </c>
      <c r="C6" s="33" t="n">
        <v>0.008999999999999999</v>
      </c>
      <c r="D6" s="2" t="inlineStr">
        <is>
          <t>IRC §3101(b)(2): 0.9%</t>
        </is>
      </c>
    </row>
    <row r="7">
      <c r="B7" t="inlineStr">
        <is>
          <t>Additional Medicare withholding threshold</t>
        </is>
      </c>
      <c r="C7" s="16" t="n">
        <v>200000</v>
      </c>
      <c r="D7" s="2" t="inlineStr">
        <is>
          <t>Employer must withhold past $200,000 of wages in the year</t>
        </is>
      </c>
    </row>
    <row r="8">
      <c r="B8" t="inlineStr">
        <is>
          <t>Pub 15-T Worksheet 1A line 1g — MFJ</t>
        </is>
      </c>
      <c r="C8" s="16" t="n">
        <v>12900</v>
      </c>
      <c r="D8" s="2" t="inlineStr">
        <is>
          <t>IRS Publication 15-T (2026), Worksheet 1A</t>
        </is>
      </c>
    </row>
    <row r="9">
      <c r="B9" t="inlineStr">
        <is>
          <t>Pub 15-T Worksheet 1A line 1g — other</t>
        </is>
      </c>
      <c r="C9" s="16" t="n">
        <v>8600</v>
      </c>
      <c r="D9" s="2" t="inlineStr">
        <is>
          <t>IRS Publication 15-T (2026), Worksheet 1A</t>
        </is>
      </c>
    </row>
    <row r="10">
      <c r="B10" t="inlineStr">
        <is>
          <t>Federal supplemental wage rate</t>
        </is>
      </c>
      <c r="C10" s="33" t="n">
        <v>0.22</v>
      </c>
      <c r="D10" s="2" t="inlineStr">
        <is>
          <t>IRS Pub 15: optional flat rate 22% on supplemental wages</t>
        </is>
      </c>
    </row>
    <row r="11">
      <c r="B11" t="inlineStr">
        <is>
          <t>HSA limit — self-only</t>
        </is>
      </c>
      <c r="C11" s="16" t="n">
        <v>4400</v>
      </c>
      <c r="D11" s="2" t="inlineStr">
        <is>
          <t>IRS Rev. Proc. 2025-19, §2.01(1) — verified at irs.gov 2026-10-13</t>
        </is>
      </c>
    </row>
    <row r="12">
      <c r="B12" t="inlineStr">
        <is>
          <t>HSA limit — family</t>
        </is>
      </c>
      <c r="C12" s="16" t="n">
        <v>8750</v>
      </c>
      <c r="D12" s="2" t="inlineStr">
        <is>
          <t>IRS Rev. Proc. 2025-19, §2.01(1) — verified at irs.gov 2026-10-13</t>
        </is>
      </c>
    </row>
    <row r="13">
      <c r="B13" t="inlineStr">
        <is>
          <t>Health FSA limit</t>
        </is>
      </c>
      <c r="C13" s="16" t="n">
        <v>3400</v>
      </c>
      <c r="D13" s="2" t="inlineStr">
        <is>
          <t>IRS Rev. Proc. 2025-32, §4.15 (cafeteria plans) — verified at irs.gov 2026-10-13</t>
        </is>
      </c>
    </row>
    <row r="14">
      <c r="B14" t="inlineStr">
        <is>
          <t>Dependent-care FSA limit — MFJ</t>
        </is>
      </c>
      <c r="C14" s="16" t="n">
        <v>7500</v>
      </c>
      <c r="D14" s="2" t="inlineStr">
        <is>
          <t>IRC §129 as amended by P.L. 119-21 §70404 (exclusion $7,500 from 2026) — IRS W-2/W-3 correction notice, verified 2026-10-13</t>
        </is>
      </c>
    </row>
    <row r="15">
      <c r="B15" t="inlineStr">
        <is>
          <t>Dependent-care FSA limit — other</t>
        </is>
      </c>
      <c r="C15" s="16" t="n">
        <v>3750</v>
      </c>
      <c r="D15" s="2" t="inlineStr">
        <is>
          <t>Half of the MFJ limit (married filing separately) — same source</t>
        </is>
      </c>
    </row>
    <row r="16"/>
    <row r="17">
      <c r="B17" s="10" t="inlineStr">
        <is>
          <t>Federal % method — STANDARD schedule (Pub 15-T 2026, annual)</t>
        </is>
      </c>
    </row>
    <row r="18">
      <c r="B18" s="25" t="inlineStr">
        <is>
          <t>MFJ floor</t>
        </is>
      </c>
      <c r="C18" s="25" t="inlineStr">
        <is>
          <t>rate</t>
        </is>
      </c>
      <c r="D18" s="25" t="inlineStr">
        <is>
          <t>diff</t>
        </is>
      </c>
      <c r="E18" s="25" t="inlineStr">
        <is>
          <t>Single floor</t>
        </is>
      </c>
      <c r="F18" s="25" t="inlineStr">
        <is>
          <t>rate</t>
        </is>
      </c>
      <c r="G18" s="25" t="inlineStr">
        <is>
          <t>diff</t>
        </is>
      </c>
      <c r="H18" s="25" t="inlineStr">
        <is>
          <t>HoH floor</t>
        </is>
      </c>
      <c r="I18" s="25" t="inlineStr">
        <is>
          <t>rate</t>
        </is>
      </c>
      <c r="J18" s="25" t="inlineStr">
        <is>
          <t>diff</t>
        </is>
      </c>
    </row>
    <row r="19">
      <c r="B19" s="16" t="n">
        <v>0</v>
      </c>
      <c r="C19" s="29" t="n">
        <v>0</v>
      </c>
      <c r="D19" s="33" t="n">
        <v>0</v>
      </c>
      <c r="E19" s="16" t="n">
        <v>0</v>
      </c>
      <c r="F19" s="29" t="n">
        <v>0</v>
      </c>
      <c r="G19" s="33" t="n">
        <v>0</v>
      </c>
      <c r="H19" s="16" t="n">
        <v>0</v>
      </c>
      <c r="I19" s="29" t="n">
        <v>0</v>
      </c>
      <c r="J19" s="33" t="n">
        <v>0</v>
      </c>
    </row>
    <row r="20">
      <c r="B20" s="16" t="n">
        <v>19300</v>
      </c>
      <c r="C20" s="29" t="n">
        <v>0.1</v>
      </c>
      <c r="D20" s="33" t="n">
        <v>0.1</v>
      </c>
      <c r="E20" s="16" t="n">
        <v>7500</v>
      </c>
      <c r="F20" s="29" t="n">
        <v>0.1</v>
      </c>
      <c r="G20" s="33" t="n">
        <v>0.1</v>
      </c>
      <c r="H20" s="16" t="n">
        <v>15550</v>
      </c>
      <c r="I20" s="29" t="n">
        <v>0.1</v>
      </c>
      <c r="J20" s="33" t="n">
        <v>0.1</v>
      </c>
    </row>
    <row r="21">
      <c r="B21" s="16" t="n">
        <v>44100</v>
      </c>
      <c r="C21" s="29" t="n">
        <v>0.12</v>
      </c>
      <c r="D21" s="33" t="n">
        <v>0.01999999999999999</v>
      </c>
      <c r="E21" s="16" t="n">
        <v>19900</v>
      </c>
      <c r="F21" s="29" t="n">
        <v>0.12</v>
      </c>
      <c r="G21" s="33" t="n">
        <v>0.01999999999999999</v>
      </c>
      <c r="H21" s="16" t="n">
        <v>33250</v>
      </c>
      <c r="I21" s="29" t="n">
        <v>0.12</v>
      </c>
      <c r="J21" s="33" t="n">
        <v>0.01999999999999999</v>
      </c>
    </row>
    <row r="22">
      <c r="B22" s="16" t="n">
        <v>120100</v>
      </c>
      <c r="C22" s="29" t="n">
        <v>0.22</v>
      </c>
      <c r="D22" s="33" t="n">
        <v>0.1</v>
      </c>
      <c r="E22" s="16" t="n">
        <v>57900</v>
      </c>
      <c r="F22" s="29" t="n">
        <v>0.22</v>
      </c>
      <c r="G22" s="33" t="n">
        <v>0.1</v>
      </c>
      <c r="H22" s="16" t="n">
        <v>83000</v>
      </c>
      <c r="I22" s="29" t="n">
        <v>0.22</v>
      </c>
      <c r="J22" s="33" t="n">
        <v>0.1</v>
      </c>
    </row>
    <row r="23">
      <c r="B23" s="16" t="n">
        <v>230700</v>
      </c>
      <c r="C23" s="29" t="n">
        <v>0.24</v>
      </c>
      <c r="D23" s="33" t="n">
        <v>0.01999999999999999</v>
      </c>
      <c r="E23" s="16" t="n">
        <v>113200</v>
      </c>
      <c r="F23" s="29" t="n">
        <v>0.24</v>
      </c>
      <c r="G23" s="33" t="n">
        <v>0.01999999999999999</v>
      </c>
      <c r="H23" s="16" t="n">
        <v>121250</v>
      </c>
      <c r="I23" s="29" t="n">
        <v>0.24</v>
      </c>
      <c r="J23" s="33" t="n">
        <v>0.01999999999999999</v>
      </c>
    </row>
    <row r="24">
      <c r="B24" s="16" t="n">
        <v>422850</v>
      </c>
      <c r="C24" s="29" t="n">
        <v>0.32</v>
      </c>
      <c r="D24" s="33" t="n">
        <v>0.08000000000000002</v>
      </c>
      <c r="E24" s="16" t="n">
        <v>209275</v>
      </c>
      <c r="F24" s="29" t="n">
        <v>0.32</v>
      </c>
      <c r="G24" s="33" t="n">
        <v>0.08000000000000002</v>
      </c>
      <c r="H24" s="16" t="n">
        <v>217300</v>
      </c>
      <c r="I24" s="29" t="n">
        <v>0.32</v>
      </c>
      <c r="J24" s="33" t="n">
        <v>0.08000000000000002</v>
      </c>
    </row>
    <row r="25">
      <c r="B25" s="16" t="n">
        <v>531750</v>
      </c>
      <c r="C25" s="29" t="n">
        <v>0.35</v>
      </c>
      <c r="D25" s="33" t="n">
        <v>0.02999999999999997</v>
      </c>
      <c r="E25" s="16" t="n">
        <v>263725</v>
      </c>
      <c r="F25" s="29" t="n">
        <v>0.35</v>
      </c>
      <c r="G25" s="33" t="n">
        <v>0.02999999999999997</v>
      </c>
      <c r="H25" s="16" t="n">
        <v>271750</v>
      </c>
      <c r="I25" s="29" t="n">
        <v>0.35</v>
      </c>
      <c r="J25" s="33" t="n">
        <v>0.02999999999999997</v>
      </c>
    </row>
    <row r="26">
      <c r="B26" s="16" t="n">
        <v>788000</v>
      </c>
      <c r="C26" s="29" t="n">
        <v>0.37</v>
      </c>
      <c r="D26" s="33" t="n">
        <v>0.02000000000000002</v>
      </c>
      <c r="E26" s="16" t="n">
        <v>648100</v>
      </c>
      <c r="F26" s="29" t="n">
        <v>0.37</v>
      </c>
      <c r="G26" s="33" t="n">
        <v>0.02000000000000002</v>
      </c>
      <c r="H26" s="16" t="n">
        <v>656150</v>
      </c>
      <c r="I26" s="29" t="n">
        <v>0.37</v>
      </c>
      <c r="J26" s="33" t="n">
        <v>0.02000000000000002</v>
      </c>
    </row>
    <row r="27">
      <c r="B27" s="10" t="inlineStr">
        <is>
          <t>Federal % method — Step 2 CHECKBOX schedule (Pub 15-T 2026)</t>
        </is>
      </c>
    </row>
    <row r="28">
      <c r="B28" s="25" t="inlineStr">
        <is>
          <t>MFJ floor</t>
        </is>
      </c>
      <c r="C28" s="25" t="inlineStr">
        <is>
          <t>rate</t>
        </is>
      </c>
      <c r="D28" s="25" t="inlineStr">
        <is>
          <t>diff</t>
        </is>
      </c>
      <c r="E28" s="25" t="inlineStr">
        <is>
          <t>Single floor</t>
        </is>
      </c>
      <c r="F28" s="25" t="inlineStr">
        <is>
          <t>rate</t>
        </is>
      </c>
      <c r="G28" s="25" t="inlineStr">
        <is>
          <t>diff</t>
        </is>
      </c>
      <c r="H28" s="25" t="inlineStr">
        <is>
          <t>HoH floor</t>
        </is>
      </c>
      <c r="I28" s="25" t="inlineStr">
        <is>
          <t>rate</t>
        </is>
      </c>
      <c r="J28" s="25" t="inlineStr">
        <is>
          <t>diff</t>
        </is>
      </c>
    </row>
    <row r="29">
      <c r="B29" s="16" t="n">
        <v>0</v>
      </c>
      <c r="C29" s="29" t="n">
        <v>0</v>
      </c>
      <c r="D29" s="33" t="n">
        <v>0</v>
      </c>
      <c r="E29" s="16" t="n">
        <v>0</v>
      </c>
      <c r="F29" s="29" t="n">
        <v>0</v>
      </c>
      <c r="G29" s="33" t="n">
        <v>0</v>
      </c>
      <c r="H29" s="16" t="n">
        <v>0</v>
      </c>
      <c r="I29" s="29" t="n">
        <v>0</v>
      </c>
      <c r="J29" s="33" t="n">
        <v>0</v>
      </c>
    </row>
    <row r="30">
      <c r="B30" s="16" t="n">
        <v>16100</v>
      </c>
      <c r="C30" s="29" t="n">
        <v>0.1</v>
      </c>
      <c r="D30" s="33" t="n">
        <v>0.1</v>
      </c>
      <c r="E30" s="16" t="n">
        <v>8050</v>
      </c>
      <c r="F30" s="29" t="n">
        <v>0.1</v>
      </c>
      <c r="G30" s="33" t="n">
        <v>0.1</v>
      </c>
      <c r="H30" s="16" t="n">
        <v>12075</v>
      </c>
      <c r="I30" s="29" t="n">
        <v>0.1</v>
      </c>
      <c r="J30" s="33" t="n">
        <v>0.1</v>
      </c>
    </row>
    <row r="31">
      <c r="B31" s="16" t="n">
        <v>28500</v>
      </c>
      <c r="C31" s="29" t="n">
        <v>0.12</v>
      </c>
      <c r="D31" s="33" t="n">
        <v>0.01999999999999999</v>
      </c>
      <c r="E31" s="16" t="n">
        <v>14250</v>
      </c>
      <c r="F31" s="29" t="n">
        <v>0.12</v>
      </c>
      <c r="G31" s="33" t="n">
        <v>0.01999999999999999</v>
      </c>
      <c r="H31" s="16" t="n">
        <v>20925</v>
      </c>
      <c r="I31" s="29" t="n">
        <v>0.12</v>
      </c>
      <c r="J31" s="33" t="n">
        <v>0.01999999999999999</v>
      </c>
    </row>
    <row r="32">
      <c r="B32" s="16" t="n">
        <v>66500</v>
      </c>
      <c r="C32" s="29" t="n">
        <v>0.22</v>
      </c>
      <c r="D32" s="33" t="n">
        <v>0.1</v>
      </c>
      <c r="E32" s="16" t="n">
        <v>33250</v>
      </c>
      <c r="F32" s="29" t="n">
        <v>0.22</v>
      </c>
      <c r="G32" s="33" t="n">
        <v>0.1</v>
      </c>
      <c r="H32" s="16" t="n">
        <v>45800</v>
      </c>
      <c r="I32" s="29" t="n">
        <v>0.22</v>
      </c>
      <c r="J32" s="33" t="n">
        <v>0.1</v>
      </c>
    </row>
    <row r="33">
      <c r="B33" s="16" t="n">
        <v>121800</v>
      </c>
      <c r="C33" s="29" t="n">
        <v>0.24</v>
      </c>
      <c r="D33" s="33" t="n">
        <v>0.01999999999999999</v>
      </c>
      <c r="E33" s="16" t="n">
        <v>60900</v>
      </c>
      <c r="F33" s="29" t="n">
        <v>0.24</v>
      </c>
      <c r="G33" s="33" t="n">
        <v>0.01999999999999999</v>
      </c>
      <c r="H33" s="16" t="n">
        <v>64925</v>
      </c>
      <c r="I33" s="29" t="n">
        <v>0.24</v>
      </c>
      <c r="J33" s="33" t="n">
        <v>0.01999999999999999</v>
      </c>
    </row>
    <row r="34">
      <c r="B34" s="16" t="n">
        <v>217875</v>
      </c>
      <c r="C34" s="29" t="n">
        <v>0.32</v>
      </c>
      <c r="D34" s="33" t="n">
        <v>0.08000000000000002</v>
      </c>
      <c r="E34" s="16" t="n">
        <v>108938</v>
      </c>
      <c r="F34" s="29" t="n">
        <v>0.32</v>
      </c>
      <c r="G34" s="33" t="n">
        <v>0.08000000000000002</v>
      </c>
      <c r="H34" s="16" t="n">
        <v>112950</v>
      </c>
      <c r="I34" s="29" t="n">
        <v>0.32</v>
      </c>
      <c r="J34" s="33" t="n">
        <v>0.08000000000000002</v>
      </c>
    </row>
    <row r="35">
      <c r="B35" s="16" t="n">
        <v>272325</v>
      </c>
      <c r="C35" s="29" t="n">
        <v>0.35</v>
      </c>
      <c r="D35" s="33" t="n">
        <v>0.02999999999999997</v>
      </c>
      <c r="E35" s="16" t="n">
        <v>136163</v>
      </c>
      <c r="F35" s="29" t="n">
        <v>0.35</v>
      </c>
      <c r="G35" s="33" t="n">
        <v>0.02999999999999997</v>
      </c>
      <c r="H35" s="16" t="n">
        <v>140175</v>
      </c>
      <c r="I35" s="29" t="n">
        <v>0.35</v>
      </c>
      <c r="J35" s="33" t="n">
        <v>0.02999999999999997</v>
      </c>
    </row>
    <row r="36">
      <c r="B36" s="16" t="n">
        <v>400450</v>
      </c>
      <c r="C36" s="29" t="n">
        <v>0.37</v>
      </c>
      <c r="D36" s="33" t="n">
        <v>0.02000000000000002</v>
      </c>
      <c r="E36" s="16" t="n">
        <v>328350</v>
      </c>
      <c r="F36" s="29" t="n">
        <v>0.37</v>
      </c>
      <c r="G36" s="33" t="n">
        <v>0.02000000000000002</v>
      </c>
      <c r="H36" s="16" t="n">
        <v>332375</v>
      </c>
      <c r="I36" s="29" t="n">
        <v>0.37</v>
      </c>
      <c r="J36" s="33" t="n">
        <v>0.02000000000000002</v>
      </c>
    </row>
    <row r="37">
      <c r="B37" s="10" t="inlineStr">
        <is>
          <t>California Method B brackets (EDD Tables 5/6/7)</t>
        </is>
      </c>
    </row>
    <row r="38">
      <c r="B38" s="25" t="inlineStr">
        <is>
          <t>Single floor</t>
        </is>
      </c>
      <c r="C38" s="25" t="inlineStr">
        <is>
          <t>rate</t>
        </is>
      </c>
      <c r="D38" s="25" t="inlineStr">
        <is>
          <t>diff</t>
        </is>
      </c>
      <c r="E38" s="25" t="inlineStr">
        <is>
          <t>Married floor</t>
        </is>
      </c>
      <c r="F38" s="25" t="inlineStr">
        <is>
          <t>rate</t>
        </is>
      </c>
      <c r="G38" s="25" t="inlineStr">
        <is>
          <t>diff</t>
        </is>
      </c>
      <c r="H38" s="25" t="inlineStr">
        <is>
          <t>HoH floor</t>
        </is>
      </c>
      <c r="I38" s="25" t="inlineStr">
        <is>
          <t>rate</t>
        </is>
      </c>
      <c r="J38" s="25" t="inlineStr">
        <is>
          <t>diff</t>
        </is>
      </c>
    </row>
    <row r="39">
      <c r="B39" s="16" t="n">
        <v>0</v>
      </c>
      <c r="C39" s="29" t="n">
        <v>0.011</v>
      </c>
      <c r="D39" s="33" t="n">
        <v>0.011</v>
      </c>
      <c r="E39" s="16" t="n">
        <v>0</v>
      </c>
      <c r="F39" s="29" t="n">
        <v>0.011</v>
      </c>
      <c r="G39" s="33" t="n">
        <v>0.011</v>
      </c>
      <c r="H39" s="16" t="n">
        <v>0</v>
      </c>
      <c r="I39" s="29" t="n">
        <v>0.011</v>
      </c>
      <c r="J39" s="33" t="n">
        <v>0.011</v>
      </c>
    </row>
    <row r="40">
      <c r="B40" s="16" t="n">
        <v>11079</v>
      </c>
      <c r="C40" s="29" t="n">
        <v>0.022</v>
      </c>
      <c r="D40" s="33" t="n">
        <v>0.011</v>
      </c>
      <c r="E40" s="16" t="n">
        <v>22158</v>
      </c>
      <c r="F40" s="29" t="n">
        <v>0.022</v>
      </c>
      <c r="G40" s="33" t="n">
        <v>0.011</v>
      </c>
      <c r="H40" s="16" t="n">
        <v>22173</v>
      </c>
      <c r="I40" s="29" t="n">
        <v>0.022</v>
      </c>
      <c r="J40" s="33" t="n">
        <v>0.011</v>
      </c>
    </row>
    <row r="41">
      <c r="B41" s="16" t="n">
        <v>26264</v>
      </c>
      <c r="C41" s="29" t="n">
        <v>0.044</v>
      </c>
      <c r="D41" s="33" t="n">
        <v>0.022</v>
      </c>
      <c r="E41" s="16" t="n">
        <v>52528</v>
      </c>
      <c r="F41" s="29" t="n">
        <v>0.044</v>
      </c>
      <c r="G41" s="33" t="n">
        <v>0.022</v>
      </c>
      <c r="H41" s="16" t="n">
        <v>52530</v>
      </c>
      <c r="I41" s="29" t="n">
        <v>0.044</v>
      </c>
      <c r="J41" s="33" t="n">
        <v>0.022</v>
      </c>
    </row>
    <row r="42">
      <c r="B42" s="16" t="n">
        <v>41452</v>
      </c>
      <c r="C42" s="29" t="n">
        <v>0.066</v>
      </c>
      <c r="D42" s="33" t="n">
        <v>0.02200000000000001</v>
      </c>
      <c r="E42" s="16" t="n">
        <v>82904</v>
      </c>
      <c r="F42" s="29" t="n">
        <v>0.066</v>
      </c>
      <c r="G42" s="33" t="n">
        <v>0.02200000000000001</v>
      </c>
      <c r="H42" s="16" t="n">
        <v>67716</v>
      </c>
      <c r="I42" s="29" t="n">
        <v>0.066</v>
      </c>
      <c r="J42" s="33" t="n">
        <v>0.02200000000000001</v>
      </c>
    </row>
    <row r="43">
      <c r="B43" s="16" t="n">
        <v>57542</v>
      </c>
      <c r="C43" s="29" t="n">
        <v>0.08799999999999999</v>
      </c>
      <c r="D43" s="33" t="n">
        <v>0.02199999999999999</v>
      </c>
      <c r="E43" s="16" t="n">
        <v>115084</v>
      </c>
      <c r="F43" s="29" t="n">
        <v>0.08799999999999999</v>
      </c>
      <c r="G43" s="33" t="n">
        <v>0.02199999999999999</v>
      </c>
      <c r="H43" s="16" t="n">
        <v>83805</v>
      </c>
      <c r="I43" s="29" t="n">
        <v>0.08799999999999999</v>
      </c>
      <c r="J43" s="33" t="n">
        <v>0.02199999999999999</v>
      </c>
    </row>
    <row r="44">
      <c r="B44" s="16" t="n">
        <v>72724</v>
      </c>
      <c r="C44" s="29" t="n">
        <v>0.1023</v>
      </c>
      <c r="D44" s="33" t="n">
        <v>0.01430000000000001</v>
      </c>
      <c r="E44" s="16" t="n">
        <v>145448</v>
      </c>
      <c r="F44" s="29" t="n">
        <v>0.1023</v>
      </c>
      <c r="G44" s="33" t="n">
        <v>0.01430000000000001</v>
      </c>
      <c r="H44" s="16" t="n">
        <v>98990</v>
      </c>
      <c r="I44" s="29" t="n">
        <v>0.1023</v>
      </c>
      <c r="J44" s="33" t="n">
        <v>0.01430000000000001</v>
      </c>
    </row>
    <row r="45">
      <c r="B45" s="16" t="n">
        <v>371479</v>
      </c>
      <c r="C45" s="29" t="n">
        <v>0.1133</v>
      </c>
      <c r="D45" s="33" t="n">
        <v>0.011</v>
      </c>
      <c r="E45" s="16" t="n">
        <v>742958</v>
      </c>
      <c r="F45" s="29" t="n">
        <v>0.1133</v>
      </c>
      <c r="G45" s="33" t="n">
        <v>0.011</v>
      </c>
      <c r="H45" s="16" t="n">
        <v>505208</v>
      </c>
      <c r="I45" s="29" t="n">
        <v>0.1133</v>
      </c>
      <c r="J45" s="33" t="n">
        <v>0.011</v>
      </c>
    </row>
    <row r="46">
      <c r="B46" s="16" t="n">
        <v>445771</v>
      </c>
      <c r="C46" s="29" t="n">
        <v>0.1243</v>
      </c>
      <c r="D46" s="33" t="n">
        <v>0.011</v>
      </c>
      <c r="E46" s="16" t="n">
        <v>891542</v>
      </c>
      <c r="F46" s="29" t="n">
        <v>0.1243</v>
      </c>
      <c r="G46" s="33" t="n">
        <v>0.011</v>
      </c>
      <c r="H46" s="16" t="n">
        <v>606251</v>
      </c>
      <c r="I46" s="29" t="n">
        <v>0.1243</v>
      </c>
      <c r="J46" s="33" t="n">
        <v>0.011</v>
      </c>
    </row>
    <row r="47">
      <c r="B47" s="16" t="n">
        <v>742953</v>
      </c>
      <c r="C47" s="29" t="n">
        <v>0.1353</v>
      </c>
      <c r="D47" s="33" t="n">
        <v>0.01100000000000001</v>
      </c>
      <c r="E47" s="16" t="n">
        <v>1000000</v>
      </c>
      <c r="F47" s="29" t="n">
        <v>0.1353</v>
      </c>
      <c r="G47" s="33" t="n">
        <v>0.01100000000000001</v>
      </c>
      <c r="H47" s="16" t="n">
        <v>1000000</v>
      </c>
      <c r="I47" s="29" t="n">
        <v>0.1353</v>
      </c>
      <c r="J47" s="33" t="n">
        <v>0.01100000000000001</v>
      </c>
    </row>
    <row r="48">
      <c r="B48" s="16" t="n">
        <v>1000000</v>
      </c>
      <c r="C48" s="29" t="n">
        <v>0.1463</v>
      </c>
      <c r="D48" s="33" t="n">
        <v>0.01100000000000001</v>
      </c>
      <c r="E48" s="16" t="n">
        <v>1485906</v>
      </c>
      <c r="F48" s="29" t="n">
        <v>0.1463</v>
      </c>
      <c r="G48" s="33" t="n">
        <v>0.01100000000000001</v>
      </c>
      <c r="H48" s="16" t="n">
        <v>1010417</v>
      </c>
      <c r="I48" s="29" t="n">
        <v>0.1463</v>
      </c>
      <c r="J48" s="33" t="n">
        <v>0.01100000000000001</v>
      </c>
    </row>
    <row r="49"/>
    <row r="50">
      <c r="B50" s="34" t="inlineStr">
        <is>
          <t>SOURCES</t>
        </is>
      </c>
    </row>
    <row r="51">
      <c r="B51" s="3" t="inlineStr">
        <is>
          <t>Federal withholding: IRS Publication 15-T (2026), Worksheet 1A and the Annual Percentage Method Tables for Automated Payroll Systems — https://www.irs.gov/publications/p15t</t>
        </is>
      </c>
    </row>
    <row r="52">
      <c r="B52" s="3" t="inlineStr">
        <is>
          <t>2026 brackets &amp; standard deductions: IRS Rev. Proc. 2025-32 (IR-2025-103, Oct 9, 2025) — standard deductions $32,200 MFJ / $24,150 head of household / $16,100 single. (The percentage-method tables above already embed these via Worksheet 1A line 1g.)</t>
        </is>
      </c>
    </row>
    <row r="53">
      <c r="B53" s="3" t="inlineStr">
        <is>
          <t>Social Security wage base $184,500 and 401(k) cap $24,500 (+$8,000 age 50+, +$11,250 ages 60–63): IRS/SSA 2026 releases (Nov 2025).</t>
        </is>
      </c>
    </row>
    <row r="54">
      <c r="B54" s="3" t="inlineStr">
        <is>
          <t>California: CA EDD, 2026 California Employer's Guide (DE 44) and 2026 Withholding Schedules — Method B (26methb.pdf): standard deduction $5,706/$11,412, exemption credit $168.30 per regular allowance, $1,000 per estimated-deduction allowance, low-income thresholds $18,896/$37,791, supplemental 10.23% (bonuses) — https://edd.ca.gov/siteassets/files/pdf_pub_ctr/de44.pdf</t>
        </is>
      </c>
    </row>
    <row r="55">
      <c r="B55" s="3" t="inlineStr">
        <is>
          <t>CA SDI 1.3% of all wages, no cap (SB 951): CA EDD DE 44 / DE 3395.</t>
        </is>
      </c>
    </row>
    <row r="56">
      <c r="B56" s="3" t="inlineStr">
        <is>
          <t>State methods &amp; programs for all other states: official state publications gathered in planner-build/states-*.md (Phase B verification in progress; manual entry until verified).</t>
        </is>
      </c>
    </row>
    <row r="57">
      <c r="B57" s="3" t="inlineStr">
        <is>
          <t>Phase B verification (2026-10-13): the HSA limits ($4,400 self-only / $8,750 family) were re-read from IRS Rev. Proc. 2025-19 at irs.gov; the health FSA limit ($3,400) from Rev. Proc. 2025-32 §4.15; the dependent-care exclusion ($7,500 / $3,750) from the IRS correction notice citing P.L. 119-21 §70404. All four match the parameter block — no corrections were needed.</t>
        </is>
      </c>
    </row>
    <row r="58">
      <c r="B58" s="3" t="inlineStr">
        <is>
          <t>State bracket blocks (rows 80+): transcribed from the official state publications cited per-state in StateTables and gathered in planner-build/states-*.md. States labeled MANUAL there (CT, DC, GA, ME, NC, NM, UT) have no block — their methods could not be fully verified for 2026.</t>
        </is>
      </c>
    </row>
    <row r="59">
      <c r="B59" s="34" t="inlineStr">
        <is>
          <t>METHOD NOTES</t>
        </is>
      </c>
    </row>
    <row r="60">
      <c r="B60" s="3" t="inlineStr">
        <is>
          <t>Federal: annualized percentage method (Worksheet 1A). One-off payments are withheld at the 22% flat supplemental rate and excluded from the annualized base. 401(k) deferrals do not reduce FICA wages; §125 premiums/FSA and payroll HSA do. California, New Jersey and Pennsylvania do not conform to HSAs: payroll HSA contributions stay in the state wage base there, while in conforming states the HSA reduces the state wage line like it reduces the federal one.</t>
        </is>
      </c>
    </row>
    <row r="61">
      <c r="B61" s="3" t="inlineStr">
        <is>
          <t>Semimonthly schedules assume paydays fall on the same two days each month (first date + 15 days). Per-check salary = annual salary ÷ standard periods per year, so a 27-payday biweekly year pays 27 checks.</t>
        </is>
      </c>
    </row>
    <row r="62">
      <c r="B62" s="2" t="inlineStr">
        <is>
          <t>Planner v0.3 — parameters as of 2026-10-13</t>
        </is>
      </c>
    </row>
    <row r="63"/>
    <row r="64"/>
    <row r="65"/>
    <row r="66"/>
    <row r="67"/>
    <row r="68"/>
    <row r="69"/>
    <row r="70"/>
    <row r="71"/>
    <row r="72"/>
    <row r="73"/>
    <row r="74"/>
    <row r="75"/>
    <row r="76"/>
    <row r="77"/>
    <row r="78"/>
    <row r="79"/>
    <row r="80">
      <c r="B80" s="10" t="inlineStr">
        <is>
          <t>State brackets I — AL/AR/DE/HI/KS/MD</t>
        </is>
      </c>
    </row>
    <row r="81">
      <c r="B81" s="25" t="inlineStr">
        <is>
          <t>AL_S floor</t>
        </is>
      </c>
      <c r="C81" s="25" t="inlineStr">
        <is>
          <t>rate</t>
        </is>
      </c>
      <c r="D81" s="25" t="inlineStr">
        <is>
          <t>diff</t>
        </is>
      </c>
      <c r="E81" s="25" t="inlineStr">
        <is>
          <t>AL_M floor</t>
        </is>
      </c>
      <c r="F81" s="25" t="inlineStr">
        <is>
          <t>rate</t>
        </is>
      </c>
      <c r="G81" s="25" t="inlineStr">
        <is>
          <t>diff</t>
        </is>
      </c>
      <c r="H81" s="25" t="inlineStr">
        <is>
          <t>AR floor</t>
        </is>
      </c>
      <c r="I81" s="25" t="inlineStr">
        <is>
          <t>rate</t>
        </is>
      </c>
      <c r="J81" s="25" t="inlineStr">
        <is>
          <t>diff</t>
        </is>
      </c>
    </row>
    <row r="82">
      <c r="B82" s="16" t="n">
        <v>0</v>
      </c>
      <c r="C82" s="29" t="n">
        <v>0.02</v>
      </c>
      <c r="D82" s="33" t="n">
        <v>0.02</v>
      </c>
      <c r="E82" s="16" t="n">
        <v>0</v>
      </c>
      <c r="F82" s="29" t="n">
        <v>0.02</v>
      </c>
      <c r="G82" s="33" t="n">
        <v>0.02</v>
      </c>
      <c r="H82" s="16" t="n">
        <v>0</v>
      </c>
      <c r="I82" s="29" t="n">
        <v>0</v>
      </c>
      <c r="J82" s="33" t="n">
        <v>0</v>
      </c>
    </row>
    <row r="83">
      <c r="B83" s="16" t="n">
        <v>500</v>
      </c>
      <c r="C83" s="29" t="n">
        <v>0.04</v>
      </c>
      <c r="D83" s="33" t="n">
        <v>0.02</v>
      </c>
      <c r="E83" s="16" t="n">
        <v>1000</v>
      </c>
      <c r="F83" s="29" t="n">
        <v>0.04</v>
      </c>
      <c r="G83" s="33" t="n">
        <v>0.02</v>
      </c>
      <c r="H83" s="16" t="n">
        <v>5600</v>
      </c>
      <c r="I83" s="29" t="n">
        <v>0.02</v>
      </c>
      <c r="J83" s="33" t="n">
        <v>0.02</v>
      </c>
    </row>
    <row r="84">
      <c r="B84" s="16" t="n">
        <v>3000</v>
      </c>
      <c r="C84" s="29" t="n">
        <v>0.05</v>
      </c>
      <c r="D84" s="33" t="n">
        <v>0.01</v>
      </c>
      <c r="E84" s="16" t="n">
        <v>6000</v>
      </c>
      <c r="F84" s="29" t="n">
        <v>0.05</v>
      </c>
      <c r="G84" s="33" t="n">
        <v>0.01</v>
      </c>
      <c r="H84" s="16" t="n">
        <v>11200</v>
      </c>
      <c r="I84" s="29" t="n">
        <v>0.03</v>
      </c>
      <c r="J84" s="33" t="n">
        <v>0.009999999999999998</v>
      </c>
    </row>
    <row r="85">
      <c r="H85" s="16" t="n">
        <v>16000</v>
      </c>
      <c r="I85" s="29" t="n">
        <v>0.034</v>
      </c>
      <c r="J85" s="33" t="n">
        <v>0.004000000000000004</v>
      </c>
    </row>
    <row r="86">
      <c r="H86" s="16" t="n">
        <v>26400</v>
      </c>
      <c r="I86" s="29" t="n">
        <v>0.037</v>
      </c>
      <c r="J86" s="33" t="n">
        <v>0.002999999999999996</v>
      </c>
    </row>
    <row r="87"/>
    <row r="88"/>
    <row r="89">
      <c r="B89" s="10" t="inlineStr">
        <is>
          <t>State brackets II — DE/HI/KS</t>
        </is>
      </c>
    </row>
    <row r="90">
      <c r="B90" s="25" t="inlineStr">
        <is>
          <t>DE floor</t>
        </is>
      </c>
      <c r="C90" s="25" t="inlineStr">
        <is>
          <t>rate</t>
        </is>
      </c>
      <c r="D90" s="25" t="inlineStr">
        <is>
          <t>diff</t>
        </is>
      </c>
      <c r="E90" s="25" t="inlineStr">
        <is>
          <t>HI_S floor</t>
        </is>
      </c>
      <c r="F90" s="25" t="inlineStr">
        <is>
          <t>rate</t>
        </is>
      </c>
      <c r="G90" s="25" t="inlineStr">
        <is>
          <t>diff</t>
        </is>
      </c>
      <c r="H90" s="25" t="inlineStr">
        <is>
          <t>HI_M floor</t>
        </is>
      </c>
      <c r="I90" s="25" t="inlineStr">
        <is>
          <t>rate</t>
        </is>
      </c>
      <c r="J90" s="25" t="inlineStr">
        <is>
          <t>diff</t>
        </is>
      </c>
    </row>
    <row r="91">
      <c r="B91" s="16" t="n">
        <v>0</v>
      </c>
      <c r="C91" s="29" t="n">
        <v>0</v>
      </c>
      <c r="D91" s="33" t="n">
        <v>0</v>
      </c>
      <c r="E91" s="16" t="n">
        <v>0</v>
      </c>
      <c r="F91" s="29" t="n">
        <v>0.014</v>
      </c>
      <c r="G91" s="33" t="n">
        <v>0.014</v>
      </c>
      <c r="H91" s="16" t="n">
        <v>0</v>
      </c>
      <c r="I91" s="29" t="n">
        <v>0.014</v>
      </c>
      <c r="J91" s="33" t="n">
        <v>0.014</v>
      </c>
    </row>
    <row r="92">
      <c r="B92" s="16" t="n">
        <v>2000</v>
      </c>
      <c r="C92" s="29" t="n">
        <v>0.022</v>
      </c>
      <c r="D92" s="33" t="n">
        <v>0.022</v>
      </c>
      <c r="E92" s="16" t="n">
        <v>9600</v>
      </c>
      <c r="F92" s="29" t="n">
        <v>0.032</v>
      </c>
      <c r="G92" s="33" t="n">
        <v>0.018</v>
      </c>
      <c r="H92" s="16" t="n">
        <v>19200</v>
      </c>
      <c r="I92" s="29" t="n">
        <v>0.032</v>
      </c>
      <c r="J92" s="33" t="n">
        <v>0.018</v>
      </c>
    </row>
    <row r="93">
      <c r="B93" s="16" t="n">
        <v>5000</v>
      </c>
      <c r="C93" s="29" t="n">
        <v>0.039</v>
      </c>
      <c r="D93" s="33" t="n">
        <v>0.017</v>
      </c>
      <c r="E93" s="16" t="n">
        <v>14400</v>
      </c>
      <c r="F93" s="29" t="n">
        <v>0.055</v>
      </c>
      <c r="G93" s="33" t="n">
        <v>0.023</v>
      </c>
      <c r="H93" s="16" t="n">
        <v>28800</v>
      </c>
      <c r="I93" s="29" t="n">
        <v>0.055</v>
      </c>
      <c r="J93" s="33" t="n">
        <v>0.023</v>
      </c>
    </row>
    <row r="94">
      <c r="B94" s="16" t="n">
        <v>10000</v>
      </c>
      <c r="C94" s="29" t="n">
        <v>0.048</v>
      </c>
      <c r="D94" s="33" t="n">
        <v>0.009000000000000001</v>
      </c>
      <c r="E94" s="16" t="n">
        <v>19200</v>
      </c>
      <c r="F94" s="29" t="n">
        <v>0.064</v>
      </c>
      <c r="G94" s="33" t="n">
        <v>0.009000000000000001</v>
      </c>
      <c r="H94" s="16" t="n">
        <v>38400</v>
      </c>
      <c r="I94" s="29" t="n">
        <v>0.064</v>
      </c>
      <c r="J94" s="33" t="n">
        <v>0.009000000000000001</v>
      </c>
    </row>
    <row r="95">
      <c r="B95" s="16" t="n">
        <v>20000</v>
      </c>
      <c r="C95" s="29" t="n">
        <v>0.052</v>
      </c>
      <c r="D95" s="33" t="n">
        <v>0.003999999999999997</v>
      </c>
      <c r="E95" s="16" t="n">
        <v>24000</v>
      </c>
      <c r="F95" s="29" t="n">
        <v>0.068</v>
      </c>
      <c r="G95" s="33" t="n">
        <v>0.004000000000000004</v>
      </c>
      <c r="H95" s="16" t="n">
        <v>48000</v>
      </c>
      <c r="I95" s="29" t="n">
        <v>0.068</v>
      </c>
      <c r="J95" s="33" t="n">
        <v>0.004000000000000004</v>
      </c>
    </row>
    <row r="96">
      <c r="B96" s="16" t="n">
        <v>25000</v>
      </c>
      <c r="C96" s="29" t="n">
        <v>0.0555</v>
      </c>
      <c r="D96" s="33" t="n">
        <v>0.003500000000000003</v>
      </c>
      <c r="E96" s="16" t="n">
        <v>36000</v>
      </c>
      <c r="F96" s="29" t="n">
        <v>0.07199999999999999</v>
      </c>
      <c r="G96" s="33" t="n">
        <v>0.00399999999999999</v>
      </c>
      <c r="H96" s="16" t="n">
        <v>72000</v>
      </c>
      <c r="I96" s="29" t="n">
        <v>0.07199999999999999</v>
      </c>
      <c r="J96" s="33" t="n">
        <v>0.00399999999999999</v>
      </c>
    </row>
    <row r="97">
      <c r="B97" s="16" t="n">
        <v>60000</v>
      </c>
      <c r="C97" s="29" t="n">
        <v>0.066</v>
      </c>
      <c r="D97" s="33" t="n">
        <v>0.0105</v>
      </c>
      <c r="E97" s="16" t="n">
        <v>48000</v>
      </c>
      <c r="F97" s="29" t="n">
        <v>0.076</v>
      </c>
      <c r="G97" s="33" t="n">
        <v>0.004000000000000004</v>
      </c>
      <c r="H97" s="16" t="n">
        <v>96000</v>
      </c>
      <c r="I97" s="29" t="n">
        <v>0.076</v>
      </c>
      <c r="J97" s="33" t="n">
        <v>0.004000000000000004</v>
      </c>
    </row>
    <row r="98">
      <c r="E98" s="16" t="n">
        <v>125000</v>
      </c>
      <c r="F98" s="29" t="n">
        <v>0.079</v>
      </c>
      <c r="G98" s="33" t="n">
        <v>0.003000000000000003</v>
      </c>
      <c r="H98" s="16" t="n">
        <v>250000</v>
      </c>
      <c r="I98" s="29" t="n">
        <v>0.079</v>
      </c>
      <c r="J98" s="33" t="n">
        <v>0.003000000000000003</v>
      </c>
    </row>
    <row r="99"/>
    <row r="100"/>
    <row r="101">
      <c r="B101" s="10" t="inlineStr">
        <is>
          <t>State brackets III — KS/MD/MN</t>
        </is>
      </c>
    </row>
    <row r="102">
      <c r="B102" s="25" t="inlineStr">
        <is>
          <t>KS_S floor</t>
        </is>
      </c>
      <c r="C102" s="25" t="inlineStr">
        <is>
          <t>rate</t>
        </is>
      </c>
      <c r="D102" s="25" t="inlineStr">
        <is>
          <t>diff</t>
        </is>
      </c>
      <c r="E102" s="25" t="inlineStr">
        <is>
          <t>KS_M floor</t>
        </is>
      </c>
      <c r="F102" s="25" t="inlineStr">
        <is>
          <t>rate</t>
        </is>
      </c>
      <c r="G102" s="25" t="inlineStr">
        <is>
          <t>diff</t>
        </is>
      </c>
      <c r="H102" s="25" t="inlineStr">
        <is>
          <t>MD_S floor</t>
        </is>
      </c>
      <c r="I102" s="25" t="inlineStr">
        <is>
          <t>rate</t>
        </is>
      </c>
      <c r="J102" s="25" t="inlineStr">
        <is>
          <t>diff</t>
        </is>
      </c>
    </row>
    <row r="103">
      <c r="B103" s="16" t="n">
        <v>0</v>
      </c>
      <c r="C103" s="29" t="n">
        <v>0</v>
      </c>
      <c r="D103" s="33" t="n">
        <v>0</v>
      </c>
      <c r="E103" s="16" t="n">
        <v>0</v>
      </c>
      <c r="F103" s="29" t="n">
        <v>0</v>
      </c>
      <c r="G103" s="33" t="n">
        <v>0</v>
      </c>
      <c r="H103" s="16" t="n">
        <v>0</v>
      </c>
      <c r="I103" s="29" t="n">
        <v>0.0475</v>
      </c>
      <c r="J103" s="33" t="n">
        <v>0.0475</v>
      </c>
    </row>
    <row r="104">
      <c r="B104" s="16" t="n">
        <v>3600</v>
      </c>
      <c r="C104" s="29" t="n">
        <v>0.052</v>
      </c>
      <c r="D104" s="33" t="n">
        <v>0.052</v>
      </c>
      <c r="E104" s="16" t="n">
        <v>8232</v>
      </c>
      <c r="F104" s="29" t="n">
        <v>0.052</v>
      </c>
      <c r="G104" s="33" t="n">
        <v>0.052</v>
      </c>
      <c r="H104" s="16" t="n">
        <v>100000</v>
      </c>
      <c r="I104" s="29" t="n">
        <v>0.05</v>
      </c>
      <c r="J104" s="33" t="n">
        <v>0.002500000000000002</v>
      </c>
    </row>
    <row r="105">
      <c r="B105" s="16" t="n">
        <v>26616</v>
      </c>
      <c r="C105" s="29" t="n">
        <v>0.0558</v>
      </c>
      <c r="D105" s="33" t="n">
        <v>0.003800000000000005</v>
      </c>
      <c r="E105" s="16" t="n">
        <v>54240</v>
      </c>
      <c r="F105" s="29" t="n">
        <v>0.0558</v>
      </c>
      <c r="G105" s="33" t="n">
        <v>0.003800000000000005</v>
      </c>
      <c r="H105" s="16" t="n">
        <v>125000</v>
      </c>
      <c r="I105" s="29" t="n">
        <v>0.0525</v>
      </c>
      <c r="J105" s="33" t="n">
        <v>0.002499999999999995</v>
      </c>
    </row>
    <row r="106">
      <c r="H106" s="16" t="n">
        <v>150000</v>
      </c>
      <c r="I106" s="29" t="n">
        <v>0.055</v>
      </c>
      <c r="J106" s="33" t="n">
        <v>0.002500000000000002</v>
      </c>
    </row>
    <row r="107">
      <c r="H107" s="16" t="n">
        <v>250000</v>
      </c>
      <c r="I107" s="29" t="n">
        <v>0.0575</v>
      </c>
      <c r="J107" s="33" t="n">
        <v>0.002500000000000002</v>
      </c>
    </row>
    <row r="108">
      <c r="H108" s="16" t="n">
        <v>500000</v>
      </c>
      <c r="I108" s="29" t="n">
        <v>0.0625</v>
      </c>
      <c r="J108" s="33" t="n">
        <v>0.004999999999999998</v>
      </c>
    </row>
    <row r="109">
      <c r="H109" s="16" t="n">
        <v>1000000</v>
      </c>
      <c r="I109" s="29" t="n">
        <v>0.065</v>
      </c>
      <c r="J109" s="33" t="n">
        <v>0.002500000000000002</v>
      </c>
    </row>
    <row r="110"/>
    <row r="111"/>
    <row r="112">
      <c r="B112" s="10" t="inlineStr">
        <is>
          <t>State brackets IV — MD/MN/MO</t>
        </is>
      </c>
    </row>
    <row r="113">
      <c r="B113" s="25" t="inlineStr">
        <is>
          <t>MD_J floor</t>
        </is>
      </c>
      <c r="C113" s="25" t="inlineStr">
        <is>
          <t>rate</t>
        </is>
      </c>
      <c r="D113" s="25" t="inlineStr">
        <is>
          <t>diff</t>
        </is>
      </c>
      <c r="E113" s="25" t="inlineStr">
        <is>
          <t>MN_S floor</t>
        </is>
      </c>
      <c r="F113" s="25" t="inlineStr">
        <is>
          <t>rate</t>
        </is>
      </c>
      <c r="G113" s="25" t="inlineStr">
        <is>
          <t>diff</t>
        </is>
      </c>
      <c r="H113" s="25" t="inlineStr">
        <is>
          <t>MN_M floor</t>
        </is>
      </c>
      <c r="I113" s="25" t="inlineStr">
        <is>
          <t>rate</t>
        </is>
      </c>
      <c r="J113" s="25" t="inlineStr">
        <is>
          <t>diff</t>
        </is>
      </c>
    </row>
    <row r="114">
      <c r="B114" s="16" t="n">
        <v>0</v>
      </c>
      <c r="C114" s="29" t="n">
        <v>0.0475</v>
      </c>
      <c r="D114" s="33" t="n">
        <v>0.0475</v>
      </c>
      <c r="E114" s="16" t="n">
        <v>0</v>
      </c>
      <c r="F114" s="29" t="n">
        <v>0</v>
      </c>
      <c r="G114" s="33" t="n">
        <v>0</v>
      </c>
      <c r="H114" s="16" t="n">
        <v>0</v>
      </c>
      <c r="I114" s="29" t="n">
        <v>0</v>
      </c>
      <c r="J114" s="33" t="n">
        <v>0</v>
      </c>
    </row>
    <row r="115">
      <c r="B115" s="16" t="n">
        <v>150000</v>
      </c>
      <c r="C115" s="29" t="n">
        <v>0.05</v>
      </c>
      <c r="D115" s="33" t="n">
        <v>0.002500000000000002</v>
      </c>
      <c r="E115" s="16" t="n">
        <v>4700</v>
      </c>
      <c r="F115" s="29" t="n">
        <v>0.0535</v>
      </c>
      <c r="G115" s="33" t="n">
        <v>0.0535</v>
      </c>
      <c r="H115" s="16" t="n">
        <v>14700</v>
      </c>
      <c r="I115" s="29" t="n">
        <v>0.0535</v>
      </c>
      <c r="J115" s="33" t="n">
        <v>0.0535</v>
      </c>
    </row>
    <row r="116">
      <c r="B116" s="16" t="n">
        <v>175000</v>
      </c>
      <c r="C116" s="29" t="n">
        <v>0.0525</v>
      </c>
      <c r="D116" s="33" t="n">
        <v>0.002499999999999995</v>
      </c>
      <c r="E116" s="16" t="n">
        <v>38010</v>
      </c>
      <c r="F116" s="29" t="n">
        <v>0.068</v>
      </c>
      <c r="G116" s="33" t="n">
        <v>0.01450000000000001</v>
      </c>
      <c r="H116" s="16" t="n">
        <v>63400</v>
      </c>
      <c r="I116" s="29" t="n">
        <v>0.068</v>
      </c>
      <c r="J116" s="33" t="n">
        <v>0.01450000000000001</v>
      </c>
    </row>
    <row r="117">
      <c r="B117" s="16" t="n">
        <v>225000</v>
      </c>
      <c r="C117" s="29" t="n">
        <v>0.055</v>
      </c>
      <c r="D117" s="33" t="n">
        <v>0.002500000000000002</v>
      </c>
      <c r="E117" s="16" t="n">
        <v>114130</v>
      </c>
      <c r="F117" s="29" t="n">
        <v>0.0785</v>
      </c>
      <c r="G117" s="33" t="n">
        <v>0.0105</v>
      </c>
      <c r="H117" s="16" t="n">
        <v>208180</v>
      </c>
      <c r="I117" s="29" t="n">
        <v>0.0785</v>
      </c>
      <c r="J117" s="33" t="n">
        <v>0.0105</v>
      </c>
    </row>
    <row r="118">
      <c r="B118" s="16" t="n">
        <v>300000</v>
      </c>
      <c r="C118" s="29" t="n">
        <v>0.0575</v>
      </c>
      <c r="D118" s="33" t="n">
        <v>0.002500000000000002</v>
      </c>
      <c r="E118" s="16" t="n">
        <v>207850</v>
      </c>
      <c r="F118" s="29" t="n">
        <v>0.0985</v>
      </c>
      <c r="G118" s="33" t="n">
        <v>0.02</v>
      </c>
      <c r="H118" s="16" t="n">
        <v>352630</v>
      </c>
      <c r="I118" s="29" t="n">
        <v>0.0985</v>
      </c>
      <c r="J118" s="33" t="n">
        <v>0.02</v>
      </c>
    </row>
    <row r="119">
      <c r="B119" s="16" t="n">
        <v>600000</v>
      </c>
      <c r="C119" s="29" t="n">
        <v>0.0625</v>
      </c>
      <c r="D119" s="33" t="n">
        <v>0.004999999999999998</v>
      </c>
    </row>
    <row r="120">
      <c r="B120" s="16" t="n">
        <v>1200000</v>
      </c>
      <c r="C120" s="29" t="n">
        <v>0.065</v>
      </c>
      <c r="D120" s="33" t="n">
        <v>0.002500000000000002</v>
      </c>
    </row>
    <row r="121"/>
    <row r="122"/>
    <row r="123">
      <c r="B123" s="10" t="inlineStr">
        <is>
          <t>State brackets V — MO/MT</t>
        </is>
      </c>
    </row>
    <row r="124">
      <c r="B124" s="25" t="inlineStr">
        <is>
          <t>MO floor</t>
        </is>
      </c>
      <c r="C124" s="25" t="inlineStr">
        <is>
          <t>rate</t>
        </is>
      </c>
      <c r="D124" s="25" t="inlineStr">
        <is>
          <t>diff</t>
        </is>
      </c>
      <c r="E124" s="25" t="inlineStr">
        <is>
          <t>MT_S floor</t>
        </is>
      </c>
      <c r="F124" s="25" t="inlineStr">
        <is>
          <t>rate</t>
        </is>
      </c>
      <c r="G124" s="25" t="inlineStr">
        <is>
          <t>diff</t>
        </is>
      </c>
      <c r="H124" s="25" t="inlineStr">
        <is>
          <t>MT_M floor</t>
        </is>
      </c>
      <c r="I124" s="25" t="inlineStr">
        <is>
          <t>rate</t>
        </is>
      </c>
      <c r="J124" s="25" t="inlineStr">
        <is>
          <t>diff</t>
        </is>
      </c>
    </row>
    <row r="125">
      <c r="B125" s="16" t="n">
        <v>0</v>
      </c>
      <c r="C125" s="29" t="n">
        <v>0</v>
      </c>
      <c r="D125" s="33" t="n">
        <v>0</v>
      </c>
      <c r="E125" s="16" t="n">
        <v>0</v>
      </c>
      <c r="F125" s="29" t="n">
        <v>0</v>
      </c>
      <c r="G125" s="33" t="n">
        <v>0</v>
      </c>
      <c r="H125" s="16" t="n">
        <v>0</v>
      </c>
      <c r="I125" s="29" t="n">
        <v>0</v>
      </c>
      <c r="J125" s="33" t="n">
        <v>0</v>
      </c>
    </row>
    <row r="126">
      <c r="B126" s="16" t="n">
        <v>1348</v>
      </c>
      <c r="C126" s="29" t="n">
        <v>0.02</v>
      </c>
      <c r="D126" s="33" t="n">
        <v>0.02</v>
      </c>
      <c r="E126" s="16" t="n">
        <v>16100</v>
      </c>
      <c r="F126" s="29" t="n">
        <v>0.047</v>
      </c>
      <c r="G126" s="33" t="n">
        <v>0.047</v>
      </c>
      <c r="H126" s="16" t="n">
        <v>32200</v>
      </c>
      <c r="I126" s="29" t="n">
        <v>0.047</v>
      </c>
      <c r="J126" s="33" t="n">
        <v>0.047</v>
      </c>
    </row>
    <row r="127">
      <c r="B127" s="16" t="n">
        <v>2696</v>
      </c>
      <c r="C127" s="29" t="n">
        <v>0.025</v>
      </c>
      <c r="D127" s="33" t="n">
        <v>0.005000000000000001</v>
      </c>
      <c r="E127" s="16" t="n">
        <v>63600</v>
      </c>
      <c r="F127" s="29" t="n">
        <v>0.0565</v>
      </c>
      <c r="G127" s="33" t="n">
        <v>0.009500000000000001</v>
      </c>
      <c r="H127" s="16" t="n">
        <v>127200</v>
      </c>
      <c r="I127" s="29" t="n">
        <v>0.0565</v>
      </c>
      <c r="J127" s="33" t="n">
        <v>0.009500000000000001</v>
      </c>
    </row>
    <row r="128">
      <c r="B128" s="16" t="n">
        <v>4044</v>
      </c>
      <c r="C128" s="29" t="n">
        <v>0.03</v>
      </c>
      <c r="D128" s="33" t="n">
        <v>0.004999999999999998</v>
      </c>
    </row>
    <row r="129">
      <c r="B129" s="16" t="n">
        <v>5392</v>
      </c>
      <c r="C129" s="29" t="n">
        <v>0.035</v>
      </c>
      <c r="D129" s="33" t="n">
        <v>0.005000000000000004</v>
      </c>
    </row>
    <row r="130">
      <c r="B130" s="16" t="n">
        <v>6740</v>
      </c>
      <c r="C130" s="29" t="n">
        <v>0.04</v>
      </c>
      <c r="D130" s="33" t="n">
        <v>0.004999999999999998</v>
      </c>
    </row>
    <row r="131">
      <c r="B131" s="16" t="n">
        <v>8088</v>
      </c>
      <c r="C131" s="29" t="n">
        <v>0.045</v>
      </c>
      <c r="D131" s="33" t="n">
        <v>0.004999999999999998</v>
      </c>
    </row>
    <row r="132">
      <c r="B132" s="16" t="n">
        <v>9436</v>
      </c>
      <c r="C132" s="29" t="n">
        <v>0.047</v>
      </c>
      <c r="D132" s="33" t="n">
        <v>0.002000000000000002</v>
      </c>
    </row>
    <row r="133"/>
    <row r="134"/>
    <row r="135">
      <c r="B135" s="10" t="inlineStr">
        <is>
          <t>State brackets VI — MT/ND</t>
        </is>
      </c>
    </row>
    <row r="136">
      <c r="B136" s="25" t="inlineStr">
        <is>
          <t>MT_H floor</t>
        </is>
      </c>
      <c r="C136" s="25" t="inlineStr">
        <is>
          <t>rate</t>
        </is>
      </c>
      <c r="D136" s="25" t="inlineStr">
        <is>
          <t>diff</t>
        </is>
      </c>
      <c r="E136" s="25" t="inlineStr">
        <is>
          <t>ND_S floor</t>
        </is>
      </c>
      <c r="F136" s="25" t="inlineStr">
        <is>
          <t>rate</t>
        </is>
      </c>
      <c r="G136" s="25" t="inlineStr">
        <is>
          <t>diff</t>
        </is>
      </c>
      <c r="H136" s="25" t="inlineStr">
        <is>
          <t>ND_M floor</t>
        </is>
      </c>
      <c r="I136" s="25" t="inlineStr">
        <is>
          <t>rate</t>
        </is>
      </c>
      <c r="J136" s="25" t="inlineStr">
        <is>
          <t>diff</t>
        </is>
      </c>
    </row>
    <row r="137">
      <c r="B137" s="16" t="n">
        <v>0</v>
      </c>
      <c r="C137" s="29" t="n">
        <v>0</v>
      </c>
      <c r="D137" s="33" t="n">
        <v>0</v>
      </c>
      <c r="E137" s="16" t="n">
        <v>0</v>
      </c>
      <c r="F137" s="29" t="n">
        <v>0</v>
      </c>
      <c r="G137" s="33" t="n">
        <v>0</v>
      </c>
      <c r="H137" s="16" t="n">
        <v>0</v>
      </c>
      <c r="I137" s="29" t="n">
        <v>0</v>
      </c>
      <c r="J137" s="33" t="n">
        <v>0</v>
      </c>
    </row>
    <row r="138">
      <c r="B138" s="16" t="n">
        <v>24150</v>
      </c>
      <c r="C138" s="29" t="n">
        <v>0.047</v>
      </c>
      <c r="D138" s="33" t="n">
        <v>0.047</v>
      </c>
      <c r="E138" s="16" t="n">
        <v>57625</v>
      </c>
      <c r="F138" s="29" t="n">
        <v>0.0195</v>
      </c>
      <c r="G138" s="33" t="n">
        <v>0.0195</v>
      </c>
      <c r="H138" s="16" t="n">
        <v>57500</v>
      </c>
      <c r="I138" s="29" t="n">
        <v>0.0195</v>
      </c>
      <c r="J138" s="33" t="n">
        <v>0.0195</v>
      </c>
    </row>
    <row r="139">
      <c r="B139" s="16" t="n">
        <v>95400</v>
      </c>
      <c r="C139" s="29" t="n">
        <v>0.0565</v>
      </c>
      <c r="D139" s="33" t="n">
        <v>0.009500000000000001</v>
      </c>
      <c r="E139" s="16" t="n">
        <v>258450</v>
      </c>
      <c r="F139" s="29" t="n">
        <v>0.025</v>
      </c>
      <c r="G139" s="33" t="n">
        <v>0.005500000000000001</v>
      </c>
      <c r="H139" s="16" t="n">
        <v>168525</v>
      </c>
      <c r="I139" s="29" t="n">
        <v>0.025</v>
      </c>
      <c r="J139" s="33" t="n">
        <v>0.005500000000000001</v>
      </c>
    </row>
    <row r="140"/>
    <row r="141"/>
    <row r="142">
      <c r="B142" s="10" t="inlineStr">
        <is>
          <t>State brackets VII — ND/NE</t>
        </is>
      </c>
    </row>
    <row r="143">
      <c r="B143" s="25" t="inlineStr">
        <is>
          <t>ND_H floor</t>
        </is>
      </c>
      <c r="C143" s="25" t="inlineStr">
        <is>
          <t>rate</t>
        </is>
      </c>
      <c r="D143" s="25" t="inlineStr">
        <is>
          <t>diff</t>
        </is>
      </c>
      <c r="E143" s="25" t="inlineStr">
        <is>
          <t>NE_S floor</t>
        </is>
      </c>
      <c r="F143" s="25" t="inlineStr">
        <is>
          <t>rate</t>
        </is>
      </c>
      <c r="G143" s="25" t="inlineStr">
        <is>
          <t>diff</t>
        </is>
      </c>
      <c r="H143" s="25" t="inlineStr">
        <is>
          <t>NE_M floor</t>
        </is>
      </c>
      <c r="I143" s="25" t="inlineStr">
        <is>
          <t>rate</t>
        </is>
      </c>
      <c r="J143" s="25" t="inlineStr">
        <is>
          <t>diff</t>
        </is>
      </c>
    </row>
    <row r="144">
      <c r="B144" s="16" t="n">
        <v>0</v>
      </c>
      <c r="C144" s="29" t="n">
        <v>0</v>
      </c>
      <c r="D144" s="33" t="n">
        <v>0</v>
      </c>
      <c r="E144" s="16" t="n">
        <v>0</v>
      </c>
      <c r="F144" s="29" t="n">
        <v>0</v>
      </c>
      <c r="G144" s="33" t="n">
        <v>0</v>
      </c>
      <c r="H144" s="16" t="n">
        <v>0</v>
      </c>
      <c r="I144" s="29" t="n">
        <v>0</v>
      </c>
      <c r="J144" s="33" t="n">
        <v>0</v>
      </c>
    </row>
    <row r="145">
      <c r="B145" s="16" t="n">
        <v>78475</v>
      </c>
      <c r="C145" s="29" t="n">
        <v>0.0195</v>
      </c>
      <c r="D145" s="33" t="n">
        <v>0.0195</v>
      </c>
      <c r="E145" s="16" t="n">
        <v>3430</v>
      </c>
      <c r="F145" s="29" t="n">
        <v>0.0226</v>
      </c>
      <c r="G145" s="33" t="n">
        <v>0.0226</v>
      </c>
      <c r="H145" s="16" t="n">
        <v>8190</v>
      </c>
      <c r="I145" s="29" t="n">
        <v>0.0226</v>
      </c>
      <c r="J145" s="33" t="n">
        <v>0.0226</v>
      </c>
    </row>
    <row r="146">
      <c r="B146" s="16" t="n">
        <v>289675</v>
      </c>
      <c r="C146" s="29" t="n">
        <v>0.025</v>
      </c>
      <c r="D146" s="33" t="n">
        <v>0.005500000000000001</v>
      </c>
      <c r="E146" s="16" t="n">
        <v>6710</v>
      </c>
      <c r="F146" s="29" t="n">
        <v>0.0322</v>
      </c>
      <c r="G146" s="33" t="n">
        <v>0.009600000000000001</v>
      </c>
      <c r="H146" s="16" t="n">
        <v>13010</v>
      </c>
      <c r="I146" s="29" t="n">
        <v>0.0322</v>
      </c>
      <c r="J146" s="33" t="n">
        <v>0.009600000000000001</v>
      </c>
    </row>
    <row r="147">
      <c r="E147" s="16" t="n">
        <v>21810</v>
      </c>
      <c r="F147" s="29" t="n">
        <v>0.0421</v>
      </c>
      <c r="G147" s="33" t="n">
        <v>0.009899999999999999</v>
      </c>
      <c r="H147" s="16" t="n">
        <v>32400</v>
      </c>
      <c r="I147" s="29" t="n">
        <v>0.0421</v>
      </c>
      <c r="J147" s="33" t="n">
        <v>0.009899999999999999</v>
      </c>
    </row>
    <row r="148">
      <c r="E148" s="16" t="n">
        <v>31610</v>
      </c>
      <c r="F148" s="29" t="n">
        <v>0.0435</v>
      </c>
      <c r="G148" s="33" t="n">
        <v>0.001399999999999998</v>
      </c>
      <c r="H148" s="16" t="n">
        <v>50400</v>
      </c>
      <c r="I148" s="29" t="n">
        <v>0.0435</v>
      </c>
      <c r="J148" s="33" t="n">
        <v>0.001399999999999998</v>
      </c>
    </row>
    <row r="149">
      <c r="E149" s="16" t="n">
        <v>40130</v>
      </c>
      <c r="F149" s="29" t="n">
        <v>0.0448</v>
      </c>
      <c r="G149" s="33" t="n">
        <v>0.001300000000000003</v>
      </c>
      <c r="H149" s="16" t="n">
        <v>62530</v>
      </c>
      <c r="I149" s="29" t="n">
        <v>0.0448</v>
      </c>
      <c r="J149" s="33" t="n">
        <v>0.001300000000000003</v>
      </c>
    </row>
    <row r="150">
      <c r="E150" s="16" t="n">
        <v>75370</v>
      </c>
      <c r="F150" s="29" t="n">
        <v>0.046</v>
      </c>
      <c r="G150" s="33" t="n">
        <v>0.0012</v>
      </c>
      <c r="H150" s="16" t="n">
        <v>82920</v>
      </c>
      <c r="I150" s="29" t="n">
        <v>0.046</v>
      </c>
      <c r="J150" s="33" t="n">
        <v>0.0012</v>
      </c>
    </row>
    <row r="151"/>
    <row r="152"/>
    <row r="153">
      <c r="B153" s="10" t="inlineStr">
        <is>
          <t>State brackets VIII — NJ A/B/C</t>
        </is>
      </c>
    </row>
    <row r="154">
      <c r="B154" s="25" t="inlineStr">
        <is>
          <t>NJ_A floor</t>
        </is>
      </c>
      <c r="C154" s="25" t="inlineStr">
        <is>
          <t>rate</t>
        </is>
      </c>
      <c r="D154" s="25" t="inlineStr">
        <is>
          <t>diff</t>
        </is>
      </c>
      <c r="E154" s="25" t="inlineStr">
        <is>
          <t>NJ_B floor</t>
        </is>
      </c>
      <c r="F154" s="25" t="inlineStr">
        <is>
          <t>rate</t>
        </is>
      </c>
      <c r="G154" s="25" t="inlineStr">
        <is>
          <t>diff</t>
        </is>
      </c>
      <c r="H154" s="25" t="inlineStr">
        <is>
          <t>NJ_C floor</t>
        </is>
      </c>
      <c r="I154" s="25" t="inlineStr">
        <is>
          <t>rate</t>
        </is>
      </c>
      <c r="J154" s="25" t="inlineStr">
        <is>
          <t>diff</t>
        </is>
      </c>
    </row>
    <row r="155">
      <c r="B155" s="16" t="n">
        <v>0</v>
      </c>
      <c r="C155" s="29" t="n">
        <v>0.015</v>
      </c>
      <c r="D155" s="33" t="n">
        <v>0.015</v>
      </c>
      <c r="E155" s="16" t="n">
        <v>0</v>
      </c>
      <c r="F155" s="29" t="n">
        <v>0.015</v>
      </c>
      <c r="G155" s="33" t="n">
        <v>0.015</v>
      </c>
      <c r="H155" s="16" t="n">
        <v>0</v>
      </c>
      <c r="I155" s="29" t="n">
        <v>0.015</v>
      </c>
      <c r="J155" s="33" t="n">
        <v>0.015</v>
      </c>
    </row>
    <row r="156">
      <c r="B156" s="16" t="n">
        <v>20000</v>
      </c>
      <c r="C156" s="29" t="n">
        <v>0.02</v>
      </c>
      <c r="D156" s="33" t="n">
        <v>0.005000000000000001</v>
      </c>
      <c r="E156" s="16" t="n">
        <v>20000</v>
      </c>
      <c r="F156" s="29" t="n">
        <v>0.02</v>
      </c>
      <c r="G156" s="33" t="n">
        <v>0.005000000000000001</v>
      </c>
      <c r="H156" s="16" t="n">
        <v>20000</v>
      </c>
      <c r="I156" s="29" t="n">
        <v>0.023</v>
      </c>
      <c r="J156" s="33" t="n">
        <v>0.008</v>
      </c>
    </row>
    <row r="157">
      <c r="B157" s="16" t="n">
        <v>35000</v>
      </c>
      <c r="C157" s="29" t="n">
        <v>0.039</v>
      </c>
      <c r="D157" s="33" t="n">
        <v>0.019</v>
      </c>
      <c r="E157" s="16" t="n">
        <v>50000</v>
      </c>
      <c r="F157" s="29" t="n">
        <v>0.027</v>
      </c>
      <c r="G157" s="33" t="n">
        <v>0.006999999999999999</v>
      </c>
      <c r="H157" s="16" t="n">
        <v>40000</v>
      </c>
      <c r="I157" s="29" t="n">
        <v>0.028</v>
      </c>
      <c r="J157" s="33" t="n">
        <v>0.005000000000000001</v>
      </c>
    </row>
    <row r="158">
      <c r="B158" s="16" t="n">
        <v>40000</v>
      </c>
      <c r="C158" s="29" t="n">
        <v>0.061</v>
      </c>
      <c r="D158" s="33" t="n">
        <v>0.022</v>
      </c>
      <c r="E158" s="16" t="n">
        <v>70000</v>
      </c>
      <c r="F158" s="29" t="n">
        <v>0.039</v>
      </c>
      <c r="G158" s="33" t="n">
        <v>0.012</v>
      </c>
      <c r="H158" s="16" t="n">
        <v>50000</v>
      </c>
      <c r="I158" s="29" t="n">
        <v>0.035</v>
      </c>
      <c r="J158" s="33" t="n">
        <v>0.007000000000000003</v>
      </c>
    </row>
    <row r="159">
      <c r="B159" s="16" t="n">
        <v>75000</v>
      </c>
      <c r="C159" s="29" t="n">
        <v>0.07000000000000001</v>
      </c>
      <c r="D159" s="33" t="n">
        <v>0.009000000000000008</v>
      </c>
      <c r="E159" s="16" t="n">
        <v>80000</v>
      </c>
      <c r="F159" s="29" t="n">
        <v>0.061</v>
      </c>
      <c r="G159" s="33" t="n">
        <v>0.022</v>
      </c>
      <c r="H159" s="16" t="n">
        <v>60000</v>
      </c>
      <c r="I159" s="29" t="n">
        <v>0.056</v>
      </c>
      <c r="J159" s="33" t="n">
        <v>0.021</v>
      </c>
    </row>
    <row r="160">
      <c r="B160" s="16" t="n">
        <v>500000</v>
      </c>
      <c r="C160" s="29" t="n">
        <v>0.099</v>
      </c>
      <c r="D160" s="33" t="n">
        <v>0.029</v>
      </c>
      <c r="E160" s="16" t="n">
        <v>150000</v>
      </c>
      <c r="F160" s="29" t="n">
        <v>0.07000000000000001</v>
      </c>
      <c r="G160" s="33" t="n">
        <v>0.009000000000000008</v>
      </c>
      <c r="H160" s="16" t="n">
        <v>150000</v>
      </c>
      <c r="I160" s="29" t="n">
        <v>0.066</v>
      </c>
      <c r="J160" s="33" t="n">
        <v>0.01</v>
      </c>
    </row>
    <row r="161">
      <c r="B161" s="16" t="n">
        <v>1000000</v>
      </c>
      <c r="C161" s="29" t="n">
        <v>0.118</v>
      </c>
      <c r="D161" s="33" t="n">
        <v>0.01899999999999999</v>
      </c>
      <c r="E161" s="16" t="n">
        <v>500000</v>
      </c>
      <c r="F161" s="29" t="n">
        <v>0.099</v>
      </c>
      <c r="G161" s="33" t="n">
        <v>0.029</v>
      </c>
      <c r="H161" s="16" t="n">
        <v>500000</v>
      </c>
      <c r="I161" s="29" t="n">
        <v>0.099</v>
      </c>
      <c r="J161" s="33" t="n">
        <v>0.033</v>
      </c>
    </row>
    <row r="162">
      <c r="E162" s="16" t="n">
        <v>1000000</v>
      </c>
      <c r="F162" s="29" t="n">
        <v>0.118</v>
      </c>
      <c r="G162" s="33" t="n">
        <v>0.01899999999999999</v>
      </c>
      <c r="H162" s="16" t="n">
        <v>1000000</v>
      </c>
      <c r="I162" s="29" t="n">
        <v>0.118</v>
      </c>
      <c r="J162" s="33" t="n">
        <v>0.01899999999999999</v>
      </c>
    </row>
    <row r="163"/>
    <row r="164"/>
    <row r="165">
      <c r="B165" s="10" t="inlineStr">
        <is>
          <t>State brackets IX — NJ D/E + NY Single</t>
        </is>
      </c>
    </row>
    <row r="166">
      <c r="B166" s="25" t="inlineStr">
        <is>
          <t>NJ_D floor</t>
        </is>
      </c>
      <c r="C166" s="25" t="inlineStr">
        <is>
          <t>rate</t>
        </is>
      </c>
      <c r="D166" s="25" t="inlineStr">
        <is>
          <t>diff</t>
        </is>
      </c>
      <c r="E166" s="25" t="inlineStr">
        <is>
          <t>NJ_E floor</t>
        </is>
      </c>
      <c r="F166" s="25" t="inlineStr">
        <is>
          <t>rate</t>
        </is>
      </c>
      <c r="G166" s="25" t="inlineStr">
        <is>
          <t>diff</t>
        </is>
      </c>
      <c r="H166" s="25" t="inlineStr">
        <is>
          <t>NY_S floor</t>
        </is>
      </c>
      <c r="I166" s="25" t="inlineStr">
        <is>
          <t>rate</t>
        </is>
      </c>
      <c r="J166" s="25" t="inlineStr">
        <is>
          <t>diff</t>
        </is>
      </c>
    </row>
    <row r="167">
      <c r="B167" s="16" t="n">
        <v>0</v>
      </c>
      <c r="C167" s="29" t="n">
        <v>0.015</v>
      </c>
      <c r="D167" s="33" t="n">
        <v>0.015</v>
      </c>
      <c r="E167" s="16" t="n">
        <v>0</v>
      </c>
      <c r="F167" s="29" t="n">
        <v>0.015</v>
      </c>
      <c r="G167" s="33" t="n">
        <v>0.015</v>
      </c>
      <c r="H167" s="16" t="n">
        <v>0</v>
      </c>
      <c r="I167" s="29" t="n">
        <v>0.039</v>
      </c>
      <c r="J167" s="33" t="n">
        <v>0.039</v>
      </c>
    </row>
    <row r="168">
      <c r="B168" s="16" t="n">
        <v>20000</v>
      </c>
      <c r="C168" s="29" t="n">
        <v>0.027</v>
      </c>
      <c r="D168" s="33" t="n">
        <v>0.012</v>
      </c>
      <c r="E168" s="16" t="n">
        <v>20000</v>
      </c>
      <c r="F168" s="29" t="n">
        <v>0.02</v>
      </c>
      <c r="G168" s="33" t="n">
        <v>0.005000000000000001</v>
      </c>
      <c r="H168" s="16" t="n">
        <v>8500</v>
      </c>
      <c r="I168" s="29" t="n">
        <v>0.044</v>
      </c>
      <c r="J168" s="33" t="n">
        <v>0.004999999999999998</v>
      </c>
    </row>
    <row r="169">
      <c r="B169" s="16" t="n">
        <v>40000</v>
      </c>
      <c r="C169" s="29" t="n">
        <v>0.034</v>
      </c>
      <c r="D169" s="33" t="n">
        <v>0.007000000000000003</v>
      </c>
      <c r="E169" s="16" t="n">
        <v>35000</v>
      </c>
      <c r="F169" s="29" t="n">
        <v>0.058</v>
      </c>
      <c r="G169" s="33" t="n">
        <v>0.03800000000000001</v>
      </c>
      <c r="H169" s="16" t="n">
        <v>11700</v>
      </c>
      <c r="I169" s="29" t="n">
        <v>0.0515</v>
      </c>
      <c r="J169" s="33" t="n">
        <v>0.0075</v>
      </c>
    </row>
    <row r="170">
      <c r="B170" s="16" t="n">
        <v>50000</v>
      </c>
      <c r="C170" s="29" t="n">
        <v>0.043</v>
      </c>
      <c r="D170" s="33" t="n">
        <v>0.008999999999999994</v>
      </c>
      <c r="E170" s="16" t="n">
        <v>100000</v>
      </c>
      <c r="F170" s="29" t="n">
        <v>0.065</v>
      </c>
      <c r="G170" s="33" t="n">
        <v>0.006999999999999999</v>
      </c>
      <c r="H170" s="16" t="n">
        <v>13900</v>
      </c>
      <c r="I170" s="29" t="n">
        <v>0.054</v>
      </c>
      <c r="J170" s="33" t="n">
        <v>0.002500000000000002</v>
      </c>
    </row>
    <row r="171">
      <c r="B171" s="16" t="n">
        <v>60000</v>
      </c>
      <c r="C171" s="29" t="n">
        <v>0.056</v>
      </c>
      <c r="D171" s="33" t="n">
        <v>0.013</v>
      </c>
      <c r="E171" s="16" t="n">
        <v>500000</v>
      </c>
      <c r="F171" s="29" t="n">
        <v>0.099</v>
      </c>
      <c r="G171" s="33" t="n">
        <v>0.034</v>
      </c>
      <c r="H171" s="16" t="n">
        <v>80650</v>
      </c>
      <c r="I171" s="29" t="n">
        <v>0.059</v>
      </c>
      <c r="J171" s="33" t="n">
        <v>0.004999999999999998</v>
      </c>
    </row>
    <row r="172">
      <c r="B172" s="16" t="n">
        <v>150000</v>
      </c>
      <c r="C172" s="29" t="n">
        <v>0.065</v>
      </c>
      <c r="D172" s="33" t="n">
        <v>0.009000000000000001</v>
      </c>
      <c r="E172" s="16" t="n">
        <v>1000000</v>
      </c>
      <c r="F172" s="29" t="n">
        <v>0.118</v>
      </c>
      <c r="G172" s="33" t="n">
        <v>0.01899999999999999</v>
      </c>
      <c r="H172" s="16" t="n">
        <v>96800</v>
      </c>
      <c r="I172" s="29" t="n">
        <v>0.0703</v>
      </c>
      <c r="J172" s="33" t="n">
        <v>0.0113</v>
      </c>
    </row>
    <row r="173">
      <c r="B173" s="16" t="n">
        <v>500000</v>
      </c>
      <c r="C173" s="29" t="n">
        <v>0.099</v>
      </c>
      <c r="D173" s="33" t="n">
        <v>0.034</v>
      </c>
      <c r="H173" s="16" t="n">
        <v>107650</v>
      </c>
      <c r="I173" s="29" t="n">
        <v>0.07530000000000001</v>
      </c>
      <c r="J173" s="33" t="n">
        <v>0.005000000000000004</v>
      </c>
    </row>
    <row r="174">
      <c r="B174" s="16" t="n">
        <v>1000000</v>
      </c>
      <c r="C174" s="29" t="n">
        <v>0.118</v>
      </c>
      <c r="D174" s="33" t="n">
        <v>0.01899999999999999</v>
      </c>
      <c r="H174" s="16" t="n">
        <v>157650</v>
      </c>
      <c r="I174" s="29" t="n">
        <v>0.064</v>
      </c>
      <c r="J174" s="33" t="n">
        <v>-0.0113</v>
      </c>
    </row>
    <row r="175">
      <c r="H175" s="16" t="n">
        <v>215400</v>
      </c>
      <c r="I175" s="29" t="n">
        <v>0.1144</v>
      </c>
      <c r="J175" s="33" t="n">
        <v>0.0504</v>
      </c>
    </row>
    <row r="176">
      <c r="H176" s="16" t="n">
        <v>265400</v>
      </c>
      <c r="I176" s="29" t="n">
        <v>0.0735</v>
      </c>
      <c r="J176" s="33" t="n">
        <v>-0.04090000000000001</v>
      </c>
    </row>
    <row r="177">
      <c r="H177" s="16" t="n">
        <v>1077550</v>
      </c>
      <c r="I177" s="29" t="n">
        <v>0.1045</v>
      </c>
      <c r="J177" s="33" t="n">
        <v>0.031</v>
      </c>
    </row>
    <row r="178">
      <c r="H178" s="16" t="n">
        <v>5000000</v>
      </c>
      <c r="I178" s="29" t="n">
        <v>0.111</v>
      </c>
      <c r="J178" s="33" t="n">
        <v>0.006500000000000006</v>
      </c>
    </row>
    <row r="179">
      <c r="H179" s="16" t="n">
        <v>25000000</v>
      </c>
      <c r="I179" s="29" t="n">
        <v>0.117</v>
      </c>
      <c r="J179" s="33" t="n">
        <v>0.006000000000000005</v>
      </c>
    </row>
    <row r="180"/>
    <row r="181"/>
    <row r="182">
      <c r="B182" s="10" t="inlineStr">
        <is>
          <t>State brackets X — NY Married / NYC</t>
        </is>
      </c>
    </row>
    <row r="183">
      <c r="B183" s="25" t="inlineStr">
        <is>
          <t>NY_M floor</t>
        </is>
      </c>
      <c r="C183" s="25" t="inlineStr">
        <is>
          <t>rate</t>
        </is>
      </c>
      <c r="D183" s="25" t="inlineStr">
        <is>
          <t>diff</t>
        </is>
      </c>
      <c r="E183" s="25" t="inlineStr">
        <is>
          <t>NYC floor</t>
        </is>
      </c>
      <c r="F183" s="25" t="inlineStr">
        <is>
          <t>rate</t>
        </is>
      </c>
      <c r="G183" s="25" t="inlineStr">
        <is>
          <t>diff</t>
        </is>
      </c>
      <c r="H183" s="25" t="inlineStr">
        <is>
          <t>OH_A floor</t>
        </is>
      </c>
      <c r="I183" s="25" t="inlineStr">
        <is>
          <t>rate</t>
        </is>
      </c>
      <c r="J183" s="25" t="inlineStr">
        <is>
          <t>diff</t>
        </is>
      </c>
    </row>
    <row r="184">
      <c r="B184" s="16" t="n">
        <v>0</v>
      </c>
      <c r="C184" s="29" t="n">
        <v>0.039</v>
      </c>
      <c r="D184" s="33" t="n">
        <v>0.039</v>
      </c>
      <c r="E184" s="16" t="n">
        <v>0</v>
      </c>
      <c r="F184" s="29" t="n">
        <v>0.0205</v>
      </c>
      <c r="G184" s="33" t="n">
        <v>0.0205</v>
      </c>
      <c r="H184" s="16" t="n">
        <v>0</v>
      </c>
      <c r="I184" s="29" t="n">
        <v>0.01775</v>
      </c>
      <c r="J184" s="33" t="n">
        <v>0.01775</v>
      </c>
    </row>
    <row r="185">
      <c r="B185" s="16" t="n">
        <v>8500</v>
      </c>
      <c r="C185" s="29" t="n">
        <v>0.044</v>
      </c>
      <c r="D185" s="33" t="n">
        <v>0.004999999999999998</v>
      </c>
      <c r="E185" s="16" t="n">
        <v>8000</v>
      </c>
      <c r="F185" s="29" t="n">
        <v>0.028</v>
      </c>
      <c r="G185" s="33" t="n">
        <v>0.0075</v>
      </c>
      <c r="H185" s="16" t="n">
        <v>26050</v>
      </c>
      <c r="I185" s="29" t="n">
        <v>0.0299</v>
      </c>
      <c r="J185" s="33" t="n">
        <v>0.01215</v>
      </c>
    </row>
    <row r="186">
      <c r="B186" s="16" t="n">
        <v>11700</v>
      </c>
      <c r="C186" s="29" t="n">
        <v>0.0515</v>
      </c>
      <c r="D186" s="33" t="n">
        <v>0.0075</v>
      </c>
      <c r="E186" s="16" t="n">
        <v>8700</v>
      </c>
      <c r="F186" s="29" t="n">
        <v>0.0325</v>
      </c>
      <c r="G186" s="33" t="n">
        <v>0.004500000000000001</v>
      </c>
      <c r="H186" s="16" t="n">
        <v>100000</v>
      </c>
      <c r="I186" s="29" t="n">
        <v>0.0364</v>
      </c>
      <c r="J186" s="33" t="n">
        <v>0.006500000000000002</v>
      </c>
    </row>
    <row r="187">
      <c r="B187" s="16" t="n">
        <v>13900</v>
      </c>
      <c r="C187" s="29" t="n">
        <v>0.054</v>
      </c>
      <c r="D187" s="33" t="n">
        <v>0.002500000000000002</v>
      </c>
      <c r="E187" s="16" t="n">
        <v>15000</v>
      </c>
      <c r="F187" s="29" t="n">
        <v>0.0395</v>
      </c>
      <c r="G187" s="33" t="n">
        <v>0.006999999999999999</v>
      </c>
    </row>
    <row r="188">
      <c r="B188" s="16" t="n">
        <v>80650</v>
      </c>
      <c r="C188" s="29" t="n">
        <v>0.059</v>
      </c>
      <c r="D188" s="33" t="n">
        <v>0.004999999999999998</v>
      </c>
      <c r="E188" s="16" t="n">
        <v>25000</v>
      </c>
      <c r="F188" s="29" t="n">
        <v>0.0415</v>
      </c>
      <c r="G188" s="33" t="n">
        <v>0.002000000000000002</v>
      </c>
    </row>
    <row r="189">
      <c r="B189" s="16" t="n">
        <v>96800</v>
      </c>
      <c r="C189" s="29" t="n">
        <v>0.06569999999999999</v>
      </c>
      <c r="D189" s="33" t="n">
        <v>0.006699999999999998</v>
      </c>
      <c r="E189" s="16" t="n">
        <v>60000</v>
      </c>
      <c r="F189" s="29" t="n">
        <v>0.0425</v>
      </c>
      <c r="G189" s="33" t="n">
        <v>0.001000000000000001</v>
      </c>
    </row>
    <row r="190">
      <c r="B190" s="16" t="n">
        <v>107650</v>
      </c>
      <c r="C190" s="29" t="n">
        <v>0.0707</v>
      </c>
      <c r="D190" s="33" t="n">
        <v>0.005000000000000004</v>
      </c>
    </row>
    <row r="191">
      <c r="B191" s="16" t="n">
        <v>157650</v>
      </c>
      <c r="C191" s="29" t="n">
        <v>0.0801</v>
      </c>
      <c r="D191" s="33" t="n">
        <v>0.009400000000000006</v>
      </c>
    </row>
    <row r="192">
      <c r="B192" s="16" t="n">
        <v>211550</v>
      </c>
      <c r="C192" s="29" t="n">
        <v>0.064</v>
      </c>
      <c r="D192" s="33" t="n">
        <v>-0.0161</v>
      </c>
    </row>
    <row r="193">
      <c r="B193" s="16" t="n">
        <v>323200</v>
      </c>
      <c r="C193" s="29" t="n">
        <v>0.1349</v>
      </c>
      <c r="D193" s="33" t="n">
        <v>0.07089999999999999</v>
      </c>
    </row>
    <row r="194">
      <c r="B194" s="16" t="n">
        <v>373200</v>
      </c>
      <c r="C194" s="29" t="n">
        <v>0.0735</v>
      </c>
      <c r="D194" s="33" t="n">
        <v>-0.0614</v>
      </c>
    </row>
    <row r="195">
      <c r="B195" s="16" t="n">
        <v>1077550</v>
      </c>
      <c r="C195" s="29" t="n">
        <v>0.0765</v>
      </c>
      <c r="D195" s="33" t="n">
        <v>0.003000000000000003</v>
      </c>
    </row>
    <row r="196">
      <c r="B196" s="16" t="n">
        <v>2155350</v>
      </c>
      <c r="C196" s="29" t="n">
        <v>0.1045</v>
      </c>
      <c r="D196" s="33" t="n">
        <v>0.028</v>
      </c>
    </row>
    <row r="197">
      <c r="B197" s="16" t="n">
        <v>5000000</v>
      </c>
      <c r="C197" s="29" t="n">
        <v>0.111</v>
      </c>
      <c r="D197" s="33" t="n">
        <v>0.006500000000000006</v>
      </c>
    </row>
    <row r="198">
      <c r="B198" s="16" t="n">
        <v>25000000</v>
      </c>
      <c r="C198" s="29" t="n">
        <v>0.117</v>
      </c>
      <c r="D198" s="33" t="n">
        <v>0.006000000000000005</v>
      </c>
    </row>
    <row r="199"/>
    <row r="200"/>
    <row r="201">
      <c r="B201" s="10" t="inlineStr">
        <is>
          <t>State brackets XI — OH Aug+ / OK</t>
        </is>
      </c>
    </row>
    <row r="202">
      <c r="B202" s="25" t="inlineStr">
        <is>
          <t>OH_B floor</t>
        </is>
      </c>
      <c r="C202" s="25" t="inlineStr">
        <is>
          <t>rate</t>
        </is>
      </c>
      <c r="D202" s="25" t="inlineStr">
        <is>
          <t>diff</t>
        </is>
      </c>
      <c r="E202" s="25" t="inlineStr">
        <is>
          <t>OK_S floor</t>
        </is>
      </c>
      <c r="F202" s="25" t="inlineStr">
        <is>
          <t>rate</t>
        </is>
      </c>
      <c r="G202" s="25" t="inlineStr">
        <is>
          <t>diff</t>
        </is>
      </c>
      <c r="H202" s="25" t="inlineStr">
        <is>
          <t>OK_M floor</t>
        </is>
      </c>
      <c r="I202" s="25" t="inlineStr">
        <is>
          <t>rate</t>
        </is>
      </c>
      <c r="J202" s="25" t="inlineStr">
        <is>
          <t>diff</t>
        </is>
      </c>
    </row>
    <row r="203">
      <c r="B203" s="16" t="n">
        <v>0</v>
      </c>
      <c r="C203" s="29" t="n">
        <v>0.016</v>
      </c>
      <c r="D203" s="33" t="n">
        <v>0.016</v>
      </c>
      <c r="E203" s="16" t="n">
        <v>0</v>
      </c>
      <c r="F203" s="29" t="n">
        <v>0</v>
      </c>
      <c r="G203" s="33" t="n">
        <v>0</v>
      </c>
      <c r="H203" s="16" t="n">
        <v>0</v>
      </c>
      <c r="I203" s="29" t="n">
        <v>0</v>
      </c>
      <c r="J203" s="33" t="n">
        <v>0</v>
      </c>
    </row>
    <row r="204">
      <c r="B204" s="16" t="n">
        <v>26050</v>
      </c>
      <c r="C204" s="29" t="n">
        <v>0.0299</v>
      </c>
      <c r="D204" s="33" t="n">
        <v>0.0139</v>
      </c>
      <c r="E204" s="16" t="n">
        <v>10100</v>
      </c>
      <c r="F204" s="29" t="n">
        <v>0.025</v>
      </c>
      <c r="G204" s="33" t="n">
        <v>0.025</v>
      </c>
      <c r="H204" s="16" t="n">
        <v>20200</v>
      </c>
      <c r="I204" s="29" t="n">
        <v>0.025</v>
      </c>
      <c r="J204" s="33" t="n">
        <v>0.025</v>
      </c>
    </row>
    <row r="205">
      <c r="B205" s="16" t="n">
        <v>100000</v>
      </c>
      <c r="C205" s="29" t="n">
        <v>0.034</v>
      </c>
      <c r="D205" s="33" t="n">
        <v>0.004100000000000003</v>
      </c>
      <c r="E205" s="16" t="n">
        <v>11250</v>
      </c>
      <c r="F205" s="29" t="n">
        <v>0.035</v>
      </c>
      <c r="G205" s="33" t="n">
        <v>0.01</v>
      </c>
      <c r="H205" s="16" t="n">
        <v>22500</v>
      </c>
      <c r="I205" s="29" t="n">
        <v>0.035</v>
      </c>
      <c r="J205" s="33" t="n">
        <v>0.01</v>
      </c>
    </row>
    <row r="206">
      <c r="E206" s="16" t="n">
        <v>13550</v>
      </c>
      <c r="F206" s="29" t="n">
        <v>0.045</v>
      </c>
      <c r="G206" s="33" t="n">
        <v>0.009999999999999995</v>
      </c>
      <c r="H206" s="16" t="n">
        <v>27100</v>
      </c>
      <c r="I206" s="29" t="n">
        <v>0.045</v>
      </c>
      <c r="J206" s="33" t="n">
        <v>0.009999999999999995</v>
      </c>
    </row>
    <row r="207"/>
    <row r="208"/>
    <row r="209">
      <c r="B209" s="10" t="inlineStr">
        <is>
          <t>State brackets XII — OR/RI/SC</t>
        </is>
      </c>
    </row>
    <row r="210">
      <c r="B210" s="25" t="inlineStr">
        <is>
          <t>OR_S floor</t>
        </is>
      </c>
      <c r="C210" s="25" t="inlineStr">
        <is>
          <t>rate</t>
        </is>
      </c>
      <c r="D210" s="25" t="inlineStr">
        <is>
          <t>diff</t>
        </is>
      </c>
      <c r="E210" s="25" t="inlineStr">
        <is>
          <t>OR_M floor</t>
        </is>
      </c>
      <c r="F210" s="25" t="inlineStr">
        <is>
          <t>rate</t>
        </is>
      </c>
      <c r="G210" s="25" t="inlineStr">
        <is>
          <t>diff</t>
        </is>
      </c>
      <c r="H210" s="25" t="inlineStr">
        <is>
          <t>RI floor</t>
        </is>
      </c>
      <c r="I210" s="25" t="inlineStr">
        <is>
          <t>rate</t>
        </is>
      </c>
      <c r="J210" s="25" t="inlineStr">
        <is>
          <t>diff</t>
        </is>
      </c>
    </row>
    <row r="211">
      <c r="B211" s="16" t="n">
        <v>0</v>
      </c>
      <c r="C211" s="29" t="n">
        <v>0.0475</v>
      </c>
      <c r="D211" s="33" t="n">
        <v>0.0475</v>
      </c>
      <c r="E211" s="16" t="n">
        <v>0</v>
      </c>
      <c r="F211" s="29" t="n">
        <v>0.0475</v>
      </c>
      <c r="G211" s="33" t="n">
        <v>0.0475</v>
      </c>
      <c r="H211" s="16" t="n">
        <v>0</v>
      </c>
      <c r="I211" s="29" t="n">
        <v>0.0375</v>
      </c>
      <c r="J211" s="33" t="n">
        <v>0.0375</v>
      </c>
    </row>
    <row r="212">
      <c r="B212" s="16" t="n">
        <v>4550</v>
      </c>
      <c r="C212" s="29" t="n">
        <v>0.0675</v>
      </c>
      <c r="D212" s="33" t="n">
        <v>0.02</v>
      </c>
      <c r="E212" s="16" t="n">
        <v>9100</v>
      </c>
      <c r="F212" s="29" t="n">
        <v>0.0675</v>
      </c>
      <c r="G212" s="33" t="n">
        <v>0.02</v>
      </c>
      <c r="H212" s="16" t="n">
        <v>82050</v>
      </c>
      <c r="I212" s="29" t="n">
        <v>0.0475</v>
      </c>
      <c r="J212" s="33" t="n">
        <v>0.01</v>
      </c>
    </row>
    <row r="213">
      <c r="B213" s="16" t="n">
        <v>11400</v>
      </c>
      <c r="C213" s="29" t="n">
        <v>0.08749999999999999</v>
      </c>
      <c r="D213" s="33" t="n">
        <v>0.01999999999999999</v>
      </c>
      <c r="E213" s="16" t="n">
        <v>22800</v>
      </c>
      <c r="F213" s="29" t="n">
        <v>0.08749999999999999</v>
      </c>
      <c r="G213" s="33" t="n">
        <v>0.01999999999999999</v>
      </c>
      <c r="H213" s="16" t="n">
        <v>186450</v>
      </c>
      <c r="I213" s="29" t="n">
        <v>0.0599</v>
      </c>
      <c r="J213" s="33" t="n">
        <v>0.0124</v>
      </c>
    </row>
    <row r="214">
      <c r="B214" s="16" t="n">
        <v>125000</v>
      </c>
      <c r="C214" s="29" t="n">
        <v>0.099</v>
      </c>
      <c r="D214" s="33" t="n">
        <v>0.01150000000000001</v>
      </c>
      <c r="E214" s="16" t="n">
        <v>250000</v>
      </c>
      <c r="F214" s="29" t="n">
        <v>0.099</v>
      </c>
      <c r="G214" s="33" t="n">
        <v>0.01150000000000001</v>
      </c>
    </row>
    <row r="215"/>
    <row r="216"/>
    <row r="217">
      <c r="B217" s="10" t="inlineStr">
        <is>
          <t>State brackets XIII — SC/VA/VT</t>
        </is>
      </c>
    </row>
    <row r="218">
      <c r="B218" s="25" t="inlineStr">
        <is>
          <t>SC floor</t>
        </is>
      </c>
      <c r="C218" s="25" t="inlineStr">
        <is>
          <t>rate</t>
        </is>
      </c>
      <c r="D218" s="25" t="inlineStr">
        <is>
          <t>diff</t>
        </is>
      </c>
      <c r="E218" s="25" t="inlineStr">
        <is>
          <t>VA floor</t>
        </is>
      </c>
      <c r="F218" s="25" t="inlineStr">
        <is>
          <t>rate</t>
        </is>
      </c>
      <c r="G218" s="25" t="inlineStr">
        <is>
          <t>diff</t>
        </is>
      </c>
      <c r="H218" s="25" t="inlineStr">
        <is>
          <t>VT_S floor</t>
        </is>
      </c>
      <c r="I218" s="25" t="inlineStr">
        <is>
          <t>rate</t>
        </is>
      </c>
      <c r="J218" s="25" t="inlineStr">
        <is>
          <t>diff</t>
        </is>
      </c>
    </row>
    <row r="219">
      <c r="B219" s="16" t="n">
        <v>0</v>
      </c>
      <c r="C219" s="29" t="n">
        <v>0</v>
      </c>
      <c r="D219" s="33" t="n">
        <v>0</v>
      </c>
      <c r="E219" s="16" t="n">
        <v>0</v>
      </c>
      <c r="F219" s="29" t="n">
        <v>0.02</v>
      </c>
      <c r="G219" s="33" t="n">
        <v>0.02</v>
      </c>
      <c r="H219" s="16" t="n">
        <v>0</v>
      </c>
      <c r="I219" s="29" t="n">
        <v>0</v>
      </c>
      <c r="J219" s="33" t="n">
        <v>0</v>
      </c>
    </row>
    <row r="220">
      <c r="B220" s="16" t="n">
        <v>3640</v>
      </c>
      <c r="C220" s="29" t="n">
        <v>0.03</v>
      </c>
      <c r="D220" s="33" t="n">
        <v>0.03</v>
      </c>
      <c r="E220" s="16" t="n">
        <v>3000</v>
      </c>
      <c r="F220" s="29" t="n">
        <v>0.03</v>
      </c>
      <c r="G220" s="33" t="n">
        <v>0.009999999999999998</v>
      </c>
      <c r="H220" s="16" t="n">
        <v>3925</v>
      </c>
      <c r="I220" s="29" t="n">
        <v>0.0335</v>
      </c>
      <c r="J220" s="33" t="n">
        <v>0.0335</v>
      </c>
    </row>
    <row r="221">
      <c r="B221" s="16" t="n">
        <v>18230</v>
      </c>
      <c r="C221" s="29" t="n">
        <v>0.06</v>
      </c>
      <c r="D221" s="33" t="n">
        <v>0.03</v>
      </c>
      <c r="E221" s="16" t="n">
        <v>5000</v>
      </c>
      <c r="F221" s="29" t="n">
        <v>0.05</v>
      </c>
      <c r="G221" s="33" t="n">
        <v>0.02</v>
      </c>
      <c r="H221" s="16" t="n">
        <v>54675</v>
      </c>
      <c r="I221" s="29" t="n">
        <v>0.066</v>
      </c>
      <c r="J221" s="33" t="n">
        <v>0.0325</v>
      </c>
    </row>
    <row r="222">
      <c r="E222" s="16" t="n">
        <v>17000</v>
      </c>
      <c r="F222" s="29" t="n">
        <v>0.0575</v>
      </c>
      <c r="G222" s="33" t="n">
        <v>0.0075</v>
      </c>
      <c r="H222" s="16" t="n">
        <v>126775</v>
      </c>
      <c r="I222" s="29" t="n">
        <v>0.076</v>
      </c>
      <c r="J222" s="33" t="n">
        <v>0.009999999999999995</v>
      </c>
    </row>
    <row r="223">
      <c r="H223" s="16" t="n">
        <v>260225</v>
      </c>
      <c r="I223" s="29" t="n">
        <v>0.08749999999999999</v>
      </c>
      <c r="J223" s="33" t="n">
        <v>0.0115</v>
      </c>
    </row>
    <row r="224"/>
    <row r="225"/>
    <row r="226">
      <c r="B226" s="10" t="inlineStr">
        <is>
          <t>State brackets XIV — VT/WI/WV</t>
        </is>
      </c>
    </row>
    <row r="227">
      <c r="B227" s="25" t="inlineStr">
        <is>
          <t>VT_M floor</t>
        </is>
      </c>
      <c r="C227" s="25" t="inlineStr">
        <is>
          <t>rate</t>
        </is>
      </c>
      <c r="D227" s="25" t="inlineStr">
        <is>
          <t>diff</t>
        </is>
      </c>
      <c r="E227" s="25" t="inlineStr">
        <is>
          <t>WI floor</t>
        </is>
      </c>
      <c r="F227" s="25" t="inlineStr">
        <is>
          <t>rate</t>
        </is>
      </c>
      <c r="G227" s="25" t="inlineStr">
        <is>
          <t>diff</t>
        </is>
      </c>
      <c r="H227" s="25" t="inlineStr">
        <is>
          <t>WV_1 floor</t>
        </is>
      </c>
      <c r="I227" s="25" t="inlineStr">
        <is>
          <t>rate</t>
        </is>
      </c>
      <c r="J227" s="25" t="inlineStr">
        <is>
          <t>diff</t>
        </is>
      </c>
    </row>
    <row r="228">
      <c r="B228" s="16" t="n">
        <v>0</v>
      </c>
      <c r="C228" s="29" t="n">
        <v>0</v>
      </c>
      <c r="D228" s="33" t="n">
        <v>0</v>
      </c>
      <c r="E228" s="16" t="n">
        <v>0</v>
      </c>
      <c r="F228" s="29" t="n">
        <v>0.0354</v>
      </c>
      <c r="G228" s="33" t="n">
        <v>0.0354</v>
      </c>
      <c r="H228" s="16" t="n">
        <v>0</v>
      </c>
      <c r="I228" s="29" t="n">
        <v>0.0211</v>
      </c>
      <c r="J228" s="33" t="n">
        <v>0.0211</v>
      </c>
    </row>
    <row r="229">
      <c r="B229" s="16" t="n">
        <v>11775</v>
      </c>
      <c r="C229" s="29" t="n">
        <v>0.0335</v>
      </c>
      <c r="D229" s="33" t="n">
        <v>0.0335</v>
      </c>
      <c r="E229" s="16" t="n">
        <v>12760</v>
      </c>
      <c r="F229" s="29" t="n">
        <v>0.0465</v>
      </c>
      <c r="G229" s="33" t="n">
        <v>0.0111</v>
      </c>
      <c r="H229" s="16" t="n">
        <v>10000</v>
      </c>
      <c r="I229" s="29" t="n">
        <v>0.0281</v>
      </c>
      <c r="J229" s="33" t="n">
        <v>0.006999999999999999</v>
      </c>
    </row>
    <row r="230">
      <c r="B230" s="16" t="n">
        <v>96475</v>
      </c>
      <c r="C230" s="29" t="n">
        <v>0.066</v>
      </c>
      <c r="D230" s="33" t="n">
        <v>0.0325</v>
      </c>
      <c r="E230" s="16" t="n">
        <v>25520</v>
      </c>
      <c r="F230" s="29" t="n">
        <v>0.053</v>
      </c>
      <c r="G230" s="33" t="n">
        <v>0.006499999999999999</v>
      </c>
      <c r="H230" s="16" t="n">
        <v>25000</v>
      </c>
      <c r="I230" s="29" t="n">
        <v>0.0316</v>
      </c>
      <c r="J230" s="33" t="n">
        <v>0.003500000000000003</v>
      </c>
    </row>
    <row r="231">
      <c r="B231" s="16" t="n">
        <v>216525</v>
      </c>
      <c r="C231" s="29" t="n">
        <v>0.076</v>
      </c>
      <c r="D231" s="33" t="n">
        <v>0.009999999999999995</v>
      </c>
      <c r="E231" s="16" t="n">
        <v>280950</v>
      </c>
      <c r="F231" s="29" t="n">
        <v>0.0765</v>
      </c>
      <c r="G231" s="33" t="n">
        <v>0.0235</v>
      </c>
      <c r="H231" s="16" t="n">
        <v>40000</v>
      </c>
      <c r="I231" s="29" t="n">
        <v>0.0422</v>
      </c>
      <c r="J231" s="33" t="n">
        <v>0.0106</v>
      </c>
    </row>
    <row r="232">
      <c r="B232" s="16" t="n">
        <v>323825</v>
      </c>
      <c r="C232" s="29" t="n">
        <v>0.08749999999999999</v>
      </c>
      <c r="D232" s="33" t="n">
        <v>0.0115</v>
      </c>
      <c r="H232" s="16" t="n">
        <v>60000</v>
      </c>
      <c r="I232" s="29" t="n">
        <v>0.0458</v>
      </c>
      <c r="J232" s="33" t="n">
        <v>0.003599999999999999</v>
      </c>
    </row>
    <row r="233"/>
    <row r="234"/>
    <row r="235">
      <c r="B235" s="10" t="inlineStr">
        <is>
          <t>State brackets XV — WV two-earner</t>
        </is>
      </c>
    </row>
    <row r="236">
      <c r="B236" s="25" t="inlineStr">
        <is>
          <t>WV_2 floor</t>
        </is>
      </c>
      <c r="C236" s="25" t="inlineStr">
        <is>
          <t>rate</t>
        </is>
      </c>
      <c r="D236" s="25" t="inlineStr">
        <is>
          <t>diff</t>
        </is>
      </c>
      <c r="E236" s="25" t="inlineStr">
        <is>
          <t>WV_2 floor</t>
        </is>
      </c>
      <c r="F236" s="25" t="inlineStr">
        <is>
          <t>rate</t>
        </is>
      </c>
      <c r="G236" s="25" t="inlineStr">
        <is>
          <t>diff</t>
        </is>
      </c>
      <c r="H236" s="25" t="inlineStr">
        <is>
          <t>WV_2 floor</t>
        </is>
      </c>
      <c r="I236" s="25" t="inlineStr">
        <is>
          <t>rate</t>
        </is>
      </c>
      <c r="J236" s="25" t="inlineStr">
        <is>
          <t>diff</t>
        </is>
      </c>
    </row>
    <row r="237">
      <c r="B237" s="16" t="n">
        <v>0</v>
      </c>
      <c r="C237" s="29" t="n">
        <v>0.0211</v>
      </c>
      <c r="D237" s="33" t="n">
        <v>0.0211</v>
      </c>
      <c r="E237" s="16" t="n">
        <v>0</v>
      </c>
      <c r="F237" s="29" t="n">
        <v>0.0211</v>
      </c>
      <c r="G237" s="33" t="n">
        <v>0.0211</v>
      </c>
      <c r="H237" s="16" t="n">
        <v>0</v>
      </c>
      <c r="I237" s="29" t="n">
        <v>0.0211</v>
      </c>
      <c r="J237" s="33" t="n">
        <v>0.0211</v>
      </c>
    </row>
    <row r="238">
      <c r="B238" s="16" t="n">
        <v>7500</v>
      </c>
      <c r="C238" s="29" t="n">
        <v>0.0281</v>
      </c>
      <c r="D238" s="33" t="n">
        <v>0.006999999999999999</v>
      </c>
      <c r="E238" s="16" t="n">
        <v>7500</v>
      </c>
      <c r="F238" s="29" t="n">
        <v>0.0281</v>
      </c>
      <c r="G238" s="33" t="n">
        <v>0.006999999999999999</v>
      </c>
      <c r="H238" s="16" t="n">
        <v>7500</v>
      </c>
      <c r="I238" s="29" t="n">
        <v>0.0281</v>
      </c>
      <c r="J238" s="33" t="n">
        <v>0.006999999999999999</v>
      </c>
    </row>
    <row r="239">
      <c r="B239" s="16" t="n">
        <v>18750</v>
      </c>
      <c r="C239" s="29" t="n">
        <v>0.0316</v>
      </c>
      <c r="D239" s="33" t="n">
        <v>0.003500000000000003</v>
      </c>
      <c r="E239" s="16" t="n">
        <v>18750</v>
      </c>
      <c r="F239" s="29" t="n">
        <v>0.0316</v>
      </c>
      <c r="G239" s="33" t="n">
        <v>0.003500000000000003</v>
      </c>
      <c r="H239" s="16" t="n">
        <v>18750</v>
      </c>
      <c r="I239" s="29" t="n">
        <v>0.0316</v>
      </c>
      <c r="J239" s="33" t="n">
        <v>0.003500000000000003</v>
      </c>
    </row>
    <row r="240">
      <c r="B240" s="16" t="n">
        <v>30000</v>
      </c>
      <c r="C240" s="29" t="n">
        <v>0.0422</v>
      </c>
      <c r="D240" s="33" t="n">
        <v>0.0106</v>
      </c>
      <c r="E240" s="16" t="n">
        <v>30000</v>
      </c>
      <c r="F240" s="29" t="n">
        <v>0.0422</v>
      </c>
      <c r="G240" s="33" t="n">
        <v>0.0106</v>
      </c>
      <c r="H240" s="16" t="n">
        <v>30000</v>
      </c>
      <c r="I240" s="29" t="n">
        <v>0.0422</v>
      </c>
      <c r="J240" s="33" t="n">
        <v>0.0106</v>
      </c>
    </row>
    <row r="241">
      <c r="B241" s="16" t="n">
        <v>45000</v>
      </c>
      <c r="C241" s="29" t="n">
        <v>0.0458</v>
      </c>
      <c r="D241" s="33" t="n">
        <v>0.003599999999999999</v>
      </c>
      <c r="E241" s="16" t="n">
        <v>45000</v>
      </c>
      <c r="F241" s="29" t="n">
        <v>0.0458</v>
      </c>
      <c r="G241" s="33" t="n">
        <v>0.003599999999999999</v>
      </c>
      <c r="H241" s="16" t="n">
        <v>45000</v>
      </c>
      <c r="I241" s="29" t="n">
        <v>0.0458</v>
      </c>
      <c r="J241" s="33" t="n">
        <v>0.003599999999999999</v>
      </c>
    </row>
    <row r="243">
      <c r="B243" s="82" t="inlineStr">
        <is>
          <t>Workbook layout — where things live (D3)</t>
        </is>
      </c>
    </row>
    <row r="244" ht="28" customHeight="1">
      <c r="B244" s="61" t="inlineStr">
        <is>
          <t>Start Here — the front door: the quick six (the only numbers a new user must enter) and the results strip (first check / biggest regular / biggest overall / year total), with every default assumption listed and a path to change it.</t>
        </is>
      </c>
    </row>
    <row r="245" ht="28" customHeight="1">
      <c r="B245" s="61" t="inlineStr">
        <is>
          <t>Your Pay &amp; Benefits (Earner 1) — the detail behind the quick six: W-4, state certificate, deductions, starting balances, one-off payments, state-specific settings, and the section 9 paystub check. The six quick-six cells appear here in blue and are set on Start Here.</t>
        </is>
      </c>
    </row>
    <row r="246" ht="28" customHeight="1">
      <c r="B246" s="61" t="inlineStr">
        <is>
          <t>Your Year — the full paycheck-by-paycheck schedule for Earner 1 (the engine columns still compute; they are hidden from view, and the ★ notes column explains every unusual check).</t>
        </is>
      </c>
    </row>
    <row r="247" ht="28" customHeight="1">
      <c r="B247" s="61" t="inlineStr">
        <is>
          <t>Changes &amp; Events — mid-year raises, 401(k) changes, state moves, employer changes, W-4 changes.</t>
        </is>
      </c>
    </row>
    <row r="248" ht="28" customHeight="1">
      <c r="B248" s="61" t="inlineStr">
        <is>
          <t>Second Earner / Your Year — Earner 2 / Changes — Earner 2 — the same three tabs for a second earner, switched on by the Yes/No cell at the top of Second Earner.</t>
        </is>
      </c>
    </row>
    <row r="249" ht="28" customHeight="1">
      <c r="B249" s="61" t="inlineStr">
        <is>
          <t>Household — the two calendars merged. Your Goals — per-check set-aside planning against the paycheck stream. Tax Levers — what each tax break is worth. Year-End True-Up — withholding vs. the estimated actual bill. W-4 Guide — the forms in plain English.</t>
        </is>
      </c>
    </row>
    <row r="250" ht="28" customHeight="1">
      <c r="B250" s="61" t="inlineStr">
        <is>
          <t>The calculation engine is the certified fixbv3 line: same inputs, same tables (StateTables, hidden), and values identical to build FM-YP-2026-1013-D2 on every path — with one wiring repair: the schedule reads the 401(k) value from the labeled value cell (row 31); the D2 engine read the mode row's D cell, so a 401(k) entered there never landed. D3 changed the presentation — where things sit, what is shown first, and how inputs are grouped.</t>
        </is>
      </c>
    </row>
  </sheetData>
  <sheetProtection selectLockedCells="0" selectUnlockedCells="0" sheet="1" objects="0" insertRows="1" insertHyperlinks="1" autoFilter="1" scenarios="0" formatColumns="1" deleteColumns="1" insertColumns="1" pivotTables="1" deleteRows="1" formatCells="1" formatRows="1" sort="1"/>
  <mergeCells count="7">
    <mergeCell ref="B244:J244"/>
    <mergeCell ref="B245:J245"/>
    <mergeCell ref="B246:J246"/>
    <mergeCell ref="B250:J250"/>
    <mergeCell ref="B247:J247"/>
    <mergeCell ref="B248:J248"/>
    <mergeCell ref="B249:J249"/>
  </mergeCells>
  <pageMargins left="0.75" right="0.75" top="1" bottom="1" header="0.5" footer="0.5"/>
</worksheet>
</file>

<file path=xl/worksheets/sheet14.xml><?xml version="1.0" encoding="utf-8"?>
<worksheet xmlns="http://schemas.openxmlformats.org/spreadsheetml/2006/main">
  <sheetPr>
    <tabColor rgb="0070AD47"/>
    <outlinePr summaryBelow="1" summaryRight="1"/>
    <pageSetUpPr/>
  </sheetPr>
  <dimension ref="A1:AB56"/>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26" customWidth="1" min="3" max="3"/>
    <col width="24" customWidth="1" min="4" max="4"/>
    <col width="30" customWidth="1" min="5" max="5"/>
    <col width="9" customWidth="1" min="6" max="6"/>
    <col width="14" customWidth="1" min="7" max="7"/>
    <col width="14" customWidth="1" min="8" max="8"/>
    <col width="14" customWidth="1" min="9" max="9"/>
    <col width="14" customWidth="1" min="10" max="10"/>
    <col width="13" customWidth="1" min="11" max="11"/>
    <col width="13" customWidth="1" min="12" max="12"/>
    <col width="10" customWidth="1" min="13" max="13"/>
    <col width="30" customWidth="1" min="14" max="14"/>
    <col width="9" customWidth="1" min="15" max="15"/>
    <col width="11" customWidth="1" min="16" max="16"/>
    <col width="26" customWidth="1" min="17" max="17"/>
    <col width="9" customWidth="1" min="18" max="18"/>
    <col width="11" customWidth="1" min="19" max="19"/>
    <col width="44" customWidth="1" min="20" max="20"/>
    <col width="11" customWidth="1" min="21" max="21"/>
    <col width="52" customWidth="1" min="22" max="22"/>
    <col width="11" customWidth="1" min="23" max="23"/>
    <col width="8" customWidth="1" min="24" max="24"/>
    <col width="10" customWidth="1" min="25" max="25"/>
    <col width="11" customWidth="1" min="26" max="26"/>
    <col width="8" customWidth="1" min="27" max="27"/>
    <col width="10" customWidth="1" min="28" max="28"/>
  </cols>
  <sheetData>
    <row r="1">
      <c r="A1" s="9" t="inlineStr">
        <is>
          <t>StateTables — the annual-maintenance surface</t>
        </is>
      </c>
    </row>
    <row r="2">
      <c r="A2" s="2" t="inlineStr">
        <is>
          <t>One row per state: method, parameters, employee-paid programs, source, and verification date. Rows marked LIVE compute withholding by formula; rows marked MANUAL ENTRY use the per-check amount on Your Pay &amp; Benefits (spec §6 integrity rule — no unverified formulas).</t>
        </is>
      </c>
    </row>
    <row r="3"/>
    <row r="4"/>
    <row r="5">
      <c r="A5" s="19" t="inlineStr">
        <is>
          <t>Code</t>
        </is>
      </c>
      <c r="B5" s="19" t="inlineStr">
        <is>
          <t>State</t>
        </is>
      </c>
      <c r="C5" s="19" t="inlineStr">
        <is>
          <t>Withholding certificate</t>
        </is>
      </c>
      <c r="D5" s="19" t="inlineStr">
        <is>
          <t>Method</t>
        </is>
      </c>
      <c r="E5" s="19" t="inlineStr">
        <is>
          <t>Live in v0.2?</t>
        </is>
      </c>
      <c r="F5" s="19" t="inlineStr">
        <is>
          <t>Table key</t>
        </is>
      </c>
      <c r="G5" s="19" t="inlineStr">
        <is>
          <t>Std deduction (&lt;2 allow.)</t>
        </is>
      </c>
      <c r="H5" s="19" t="inlineStr">
        <is>
          <t>Std deduction (2+ allow.)</t>
        </is>
      </c>
      <c r="I5" s="19" t="inlineStr">
        <is>
          <t>Low-income threshold (&lt;2)</t>
        </is>
      </c>
      <c r="J5" s="19" t="inlineStr">
        <is>
          <t>Low-income threshold (2+)</t>
        </is>
      </c>
      <c r="K5" s="19" t="inlineStr">
        <is>
          <t>Exemption credit / allowance</t>
        </is>
      </c>
      <c r="L5" s="19" t="inlineStr">
        <is>
          <t>Est.-deduction per allowance</t>
        </is>
      </c>
      <c r="M5" s="19" t="inlineStr">
        <is>
          <t>Supplemental rate</t>
        </is>
      </c>
      <c r="N5" s="19" t="inlineStr">
        <is>
          <t>Program 1</t>
        </is>
      </c>
      <c r="O5" s="19" t="inlineStr">
        <is>
          <t>P1 rate</t>
        </is>
      </c>
      <c r="P5" s="19" t="inlineStr">
        <is>
          <t>P1 wage cap</t>
        </is>
      </c>
      <c r="Q5" s="19" t="inlineStr">
        <is>
          <t>Program 2</t>
        </is>
      </c>
      <c r="R5" s="19" t="inlineStr">
        <is>
          <t>P2 rate</t>
        </is>
      </c>
      <c r="S5" s="19" t="inlineStr">
        <is>
          <t>P2 wage cap</t>
        </is>
      </c>
      <c r="T5" s="19" t="inlineStr">
        <is>
          <t>Source (official publication)</t>
        </is>
      </c>
      <c r="U5" s="19" t="inlineStr">
        <is>
          <t>Date verified</t>
        </is>
      </c>
      <c r="V5" s="19" t="inlineStr">
        <is>
          <t>Notes / QA status</t>
        </is>
      </c>
      <c r="W5" s="19" t="inlineStr">
        <is>
          <t>P1 annual $ cap</t>
        </is>
      </c>
      <c r="X5" s="19" t="inlineStr">
        <is>
          <t>P1 type</t>
        </is>
      </c>
      <c r="Y5" s="19" t="inlineStr">
        <is>
          <t>P1 flat $/qtr</t>
        </is>
      </c>
      <c r="Z5" s="19" t="inlineStr">
        <is>
          <t>P2 annual $ cap</t>
        </is>
      </c>
      <c r="AA5" s="19" t="inlineStr">
        <is>
          <t>P2 type</t>
        </is>
      </c>
      <c r="AB5" s="19" t="inlineStr">
        <is>
          <t>P2 flat $/qtr</t>
        </is>
      </c>
    </row>
    <row r="6">
      <c r="A6" s="13" t="inlineStr">
        <is>
          <t>AK</t>
        </is>
      </c>
      <c r="B6" s="13" t="inlineStr">
        <is>
          <t>Alaska</t>
        </is>
      </c>
      <c r="C6" s="13" t="inlineStr">
        <is>
          <t>— (no income tax)</t>
        </is>
      </c>
      <c r="D6" s="13" t="inlineStr">
        <is>
          <t>None</t>
        </is>
      </c>
      <c r="E6" s="13" t="inlineStr">
        <is>
          <t>LIVE — $0 (no wage income tax)</t>
        </is>
      </c>
      <c r="F6" s="13" t="inlineStr">
        <is>
          <t>None</t>
        </is>
      </c>
      <c r="G6" s="13" t="n"/>
      <c r="H6" s="13" t="n"/>
      <c r="I6" s="13" t="n"/>
      <c r="J6" s="13" t="n"/>
      <c r="K6" s="13" t="n"/>
      <c r="L6" s="13" t="n"/>
      <c r="M6" s="13" t="n"/>
      <c r="N6" s="13" t="inlineStr">
        <is>
          <t>AK Employment Security Tax</t>
        </is>
      </c>
      <c r="O6" s="27" t="n">
        <v>0.005</v>
      </c>
      <c r="P6" s="16" t="n">
        <v>54200</v>
      </c>
      <c r="Q6" s="13" t="n"/>
      <c r="R6" s="13" t="n"/>
      <c r="S6" s="13" t="n"/>
      <c r="T6" s="28" t="inlineStr">
        <is>
          <t>State law — no wage income tax (regional research files, planner-build/states-*.md)</t>
        </is>
      </c>
      <c r="U6" s="13" t="inlineStr">
        <is>
          <t>2026-10-13</t>
        </is>
      </c>
      <c r="V6" s="28" t="inlineStr">
        <is>
          <t>Employee-paid programs at left still apply where listed.</t>
        </is>
      </c>
      <c r="W6" s="13" t="n"/>
      <c r="X6" s="13" t="inlineStr">
        <is>
          <t>rate</t>
        </is>
      </c>
      <c r="Y6" s="13" t="n"/>
      <c r="Z6" s="13" t="n"/>
      <c r="AA6" s="13" t="n"/>
      <c r="AB6" s="13" t="n"/>
    </row>
    <row r="7">
      <c r="A7" s="13" t="inlineStr">
        <is>
          <t>AL</t>
        </is>
      </c>
      <c r="B7" s="13" t="inlineStr">
        <is>
          <t>Alabama</t>
        </is>
      </c>
      <c r="C7" s="13" t="inlineStr">
        <is>
          <t>Form A-4</t>
        </is>
      </c>
      <c r="D7" s="13" t="inlineStr">
        <is>
          <t>Graduated</t>
        </is>
      </c>
      <c r="E7" s="13" t="inlineStr">
        <is>
          <t>LIVE — formula (Phase B)</t>
        </is>
      </c>
      <c r="F7" s="13" t="inlineStr">
        <is>
          <t>GEN</t>
        </is>
      </c>
      <c r="G7" s="13" t="n"/>
      <c r="H7" s="13" t="n"/>
      <c r="I7" s="13" t="n"/>
      <c r="J7" s="13" t="n"/>
      <c r="K7" s="13" t="n"/>
      <c r="L7" s="13" t="n"/>
      <c r="M7" s="29" t="n">
        <v>0.05</v>
      </c>
      <c r="N7" s="13" t="n"/>
      <c r="O7" s="13" t="n"/>
      <c r="P7" s="13" t="n"/>
      <c r="Q7" s="13" t="n"/>
      <c r="R7" s="13" t="n"/>
      <c r="S7" s="13" t="n"/>
      <c r="T7" s="28" t="inlineStr">
        <is>
          <t>ALDOR Withholding Tax Tables &amp; Instructions, Rev. Jan 2026 (read via mirror of the official booklet)</t>
        </is>
      </c>
      <c r="U7" s="13" t="inlineStr">
        <is>
          <t>2026-10-13</t>
        </is>
      </c>
      <c r="V7" s="28" t="inlineStr">
        <is>
          <t>Graduated 2/4/5%; sliding standard deduction; deducts annualized federal withholding from the state base; $1,500/$3,000 personal exemption; dependent amount steps down with income. QA: booklet formula example verified arithmetically (fed WH is an exogenous input there).</t>
        </is>
      </c>
      <c r="W7" s="13" t="n"/>
      <c r="X7" s="13" t="n"/>
      <c r="Y7" s="13" t="n"/>
      <c r="Z7" s="13" t="n"/>
      <c r="AA7" s="13" t="n"/>
      <c r="AB7" s="13" t="n"/>
    </row>
    <row r="8">
      <c r="A8" s="13" t="inlineStr">
        <is>
          <t>AR</t>
        </is>
      </c>
      <c r="B8" s="13" t="inlineStr">
        <is>
          <t>Arkansas</t>
        </is>
      </c>
      <c r="C8" s="13" t="inlineStr">
        <is>
          <t>Form AR4EC</t>
        </is>
      </c>
      <c r="D8" s="13" t="inlineStr">
        <is>
          <t>Graduated</t>
        </is>
      </c>
      <c r="E8" s="13" t="inlineStr">
        <is>
          <t>LIVE — formula (Phase B)</t>
        </is>
      </c>
      <c r="F8" s="13" t="inlineStr">
        <is>
          <t>GEN</t>
        </is>
      </c>
      <c r="G8" s="13" t="n"/>
      <c r="H8" s="13" t="n"/>
      <c r="I8" s="13" t="n"/>
      <c r="J8" s="13" t="n"/>
      <c r="K8" s="13" t="n"/>
      <c r="L8" s="13" t="n"/>
      <c r="M8" s="29" t="n">
        <v>0.039</v>
      </c>
      <c r="N8" s="13" t="n"/>
      <c r="O8" s="13" t="n"/>
      <c r="P8" s="13" t="n"/>
      <c r="Q8" s="13" t="n"/>
      <c r="R8" s="13" t="n"/>
      <c r="S8" s="13" t="n"/>
      <c r="T8" s="28" t="inlineStr">
        <is>
          <t>AR DFA Withholding Tax Formula, eff. 01/01/2026 (post-HB 1001 top rate 3.7%)</t>
        </is>
      </c>
      <c r="U8" s="13" t="inlineStr">
        <is>
          <t>2026-10-13</t>
        </is>
      </c>
      <c r="V8" s="28" t="inlineStr">
        <is>
          <t>SD $2,470; $50-midrange rounding under $97,701; $29 credit per exemption. Supplemental 3.9% as printed in the Jan 2026 DFA instructions (post-cut supplemental rate not re-published — flagged). QA: DFA 'Gary' example PASS (−$0.02, guide rounds annual tax to whole dollars).</t>
        </is>
      </c>
      <c r="W8" s="13" t="n"/>
      <c r="X8" s="13" t="n"/>
      <c r="Y8" s="13" t="n"/>
      <c r="Z8" s="13" t="n"/>
      <c r="AA8" s="13" t="n"/>
      <c r="AB8" s="13" t="n"/>
    </row>
    <row r="9">
      <c r="A9" s="13" t="inlineStr">
        <is>
          <t>AZ</t>
        </is>
      </c>
      <c r="B9" s="13" t="inlineStr">
        <is>
          <t>Arizona</t>
        </is>
      </c>
      <c r="C9" s="13" t="inlineStr">
        <is>
          <t>Form A-4</t>
        </is>
      </c>
      <c r="D9" s="13" t="inlineStr">
        <is>
          <t>Percent-of-gross (elected %)</t>
        </is>
      </c>
      <c r="E9" s="13" t="inlineStr">
        <is>
          <t>LIVE — formula (Phase B)</t>
        </is>
      </c>
      <c r="F9" s="13" t="inlineStr">
        <is>
          <t>DIR</t>
        </is>
      </c>
      <c r="G9" s="13" t="n"/>
      <c r="H9" s="13" t="n"/>
      <c r="I9" s="13" t="n"/>
      <c r="J9" s="13" t="n"/>
      <c r="K9" s="13" t="n"/>
      <c r="L9" s="13" t="n"/>
      <c r="M9" s="13" t="n"/>
      <c r="N9" s="13" t="n"/>
      <c r="O9" s="13" t="n"/>
      <c r="P9" s="13" t="n"/>
      <c r="Q9" s="13" t="n"/>
      <c r="R9" s="13" t="n"/>
      <c r="S9" s="13" t="n"/>
      <c r="T9" s="28" t="inlineStr">
        <is>
          <t>ADOR Form A-4 (2026) + azdor.gov withholding pages</t>
        </is>
      </c>
      <c r="U9" s="13" t="inlineStr">
        <is>
          <t>2026-10-13</t>
        </is>
      </c>
      <c r="V9" s="28" t="inlineStr">
        <is>
          <t>Employee-elected % of federal taxable wages (Your Pay &amp; Benefits row 82; default 2.0%). Bonuses are wages at the same elected %. QA: 2.0% x $2,000 = $40.00 anchor PASS.</t>
        </is>
      </c>
      <c r="W9" s="13" t="n"/>
      <c r="X9" s="13" t="n"/>
      <c r="Y9" s="13" t="n"/>
      <c r="Z9" s="13" t="n"/>
      <c r="AA9" s="13" t="n"/>
      <c r="AB9" s="13" t="n"/>
    </row>
    <row r="10">
      <c r="A10" s="13" t="inlineStr">
        <is>
          <t>CA</t>
        </is>
      </c>
      <c r="B10" s="13" t="inlineStr">
        <is>
          <t>California</t>
        </is>
      </c>
      <c r="C10" s="13" t="inlineStr">
        <is>
          <t>Form DE 4</t>
        </is>
      </c>
      <c r="D10" s="13" t="inlineStr">
        <is>
          <t>Graduated — Method B</t>
        </is>
      </c>
      <c r="E10" s="13" t="inlineStr">
        <is>
          <t>LIVE — Method B (annualized)</t>
        </is>
      </c>
      <c r="F10" s="13" t="inlineStr">
        <is>
          <t>CA-B</t>
        </is>
      </c>
      <c r="G10" s="16" t="n">
        <v>5706</v>
      </c>
      <c r="H10" s="16" t="n">
        <v>11412</v>
      </c>
      <c r="I10" s="16" t="n">
        <v>18896</v>
      </c>
      <c r="J10" s="16" t="n">
        <v>37791</v>
      </c>
      <c r="K10" s="16" t="n">
        <v>168.3</v>
      </c>
      <c r="L10" s="16" t="n">
        <v>1000</v>
      </c>
      <c r="M10" s="29" t="n">
        <v>0.1023</v>
      </c>
      <c r="N10" s="13" t="inlineStr">
        <is>
          <t>CA SDI</t>
        </is>
      </c>
      <c r="O10" s="27" t="n">
        <v>0.013</v>
      </c>
      <c r="P10" s="13" t="n"/>
      <c r="Q10" s="13" t="n"/>
      <c r="R10" s="13" t="n"/>
      <c r="S10" s="13" t="n"/>
      <c r="T10" s="28" t="inlineStr">
        <is>
          <t>CA EDD DE 44 (2026) + 2026 Withholding Schedules Method B (26methb.pdf), Tables 1–7; SDI 1.3% per DE 44 / DE 3395</t>
        </is>
      </c>
      <c r="U10" s="13" t="inlineStr">
        <is>
          <t>2026-10-13</t>
        </is>
      </c>
      <c r="V10" s="28" t="inlineStr">
        <is>
          <t>Validated against EDD worked Examples B &amp; E and the Profile R-1 stub (SDI exact; PIT within payroll-method variance).</t>
        </is>
      </c>
      <c r="W10" s="13" t="n"/>
      <c r="X10" s="13" t="inlineStr">
        <is>
          <t>rate</t>
        </is>
      </c>
      <c r="Y10" s="13" t="n"/>
      <c r="Z10" s="13" t="n"/>
      <c r="AA10" s="13" t="n"/>
      <c r="AB10" s="13" t="n"/>
    </row>
    <row r="11">
      <c r="A11" s="13" t="inlineStr">
        <is>
          <t>CO</t>
        </is>
      </c>
      <c r="B11" s="13" t="inlineStr">
        <is>
          <t>Colorado</t>
        </is>
      </c>
      <c r="C11" s="13" t="inlineStr">
        <is>
          <t>Form DR 0004 (optional)</t>
        </is>
      </c>
      <c r="D11" s="13" t="inlineStr">
        <is>
          <t>Flat</t>
        </is>
      </c>
      <c r="E11" s="13" t="inlineStr">
        <is>
          <t>LIVE — formula (Phase B)</t>
        </is>
      </c>
      <c r="F11" s="13" t="inlineStr">
        <is>
          <t>DIR</t>
        </is>
      </c>
      <c r="G11" s="13" t="n"/>
      <c r="H11" s="13" t="n"/>
      <c r="I11" s="13" t="n"/>
      <c r="J11" s="13" t="n"/>
      <c r="K11" s="13" t="n"/>
      <c r="L11" s="13" t="n"/>
      <c r="M11" s="13" t="n"/>
      <c r="N11" s="13" t="inlineStr">
        <is>
          <t>CO FAMLI (employee share)</t>
        </is>
      </c>
      <c r="O11" s="27" t="n">
        <v>0.0044</v>
      </c>
      <c r="P11" s="16" t="n">
        <v>184500</v>
      </c>
      <c r="Q11" s="13" t="n"/>
      <c r="R11" s="13" t="n"/>
      <c r="S11" s="13" t="n"/>
      <c r="T11" s="28" t="inlineStr">
        <is>
          <t>CO DOR DR 1098 Withholding Worksheet; Wage Withholding Tax Guide (Jan 2026)</t>
        </is>
      </c>
      <c r="U11" s="13" t="inlineStr">
        <is>
          <t>2026-10-13</t>
        </is>
      </c>
      <c r="V11" s="28" t="inlineStr">
        <is>
          <t>Flat 4.40% over a $5,000 allowance ($10,000 MFJ). No separate supplemental rate is published — one-offs run through the formula. No official dollar example exists (formula arithmetic QA).</t>
        </is>
      </c>
      <c r="W11" s="13" t="n"/>
      <c r="X11" s="13" t="inlineStr">
        <is>
          <t>rate</t>
        </is>
      </c>
      <c r="Y11" s="13" t="n"/>
      <c r="Z11" s="13" t="n"/>
      <c r="AA11" s="13" t="n"/>
      <c r="AB11" s="13" t="n"/>
    </row>
    <row r="12">
      <c r="A12" s="13" t="inlineStr">
        <is>
          <t>CT</t>
        </is>
      </c>
      <c r="B12" s="13" t="inlineStr">
        <is>
          <t>Connecticut</t>
        </is>
      </c>
      <c r="C12" s="13" t="inlineStr">
        <is>
          <t>Form CT-W4</t>
        </is>
      </c>
      <c r="D12" s="13" t="inlineStr">
        <is>
          <t>Graduated</t>
        </is>
      </c>
      <c r="E12" s="13" t="inlineStr">
        <is>
          <t>MANUAL ENTRY — see Notes</t>
        </is>
      </c>
      <c r="F12" s="13" t="inlineStr">
        <is>
          <t>—</t>
        </is>
      </c>
      <c r="G12" s="13" t="n"/>
      <c r="H12" s="13" t="n"/>
      <c r="I12" s="13" t="n"/>
      <c r="J12" s="13" t="n"/>
      <c r="K12" s="13" t="n"/>
      <c r="L12" s="13" t="n"/>
      <c r="M12" s="13" t="n"/>
      <c r="N12" s="13" t="inlineStr">
        <is>
          <t>CT Paid Leave</t>
        </is>
      </c>
      <c r="O12" s="27" t="n">
        <v>0.005</v>
      </c>
      <c r="P12" s="16" t="n">
        <v>184500</v>
      </c>
      <c r="Q12" s="13" t="n"/>
      <c r="R12" s="13" t="n"/>
      <c r="S12" s="13" t="n"/>
      <c r="T12" s="28" t="inlineStr">
        <is>
          <t>CT DRS IP 2025(1) / TPG-211 Withholding Calculation Rules (2026 unchanged)</t>
        </is>
      </c>
      <c r="U12" s="13" t="inlineStr">
        <is>
          <t>2026-10-13</t>
        </is>
      </c>
      <c r="V12" s="28" t="inlineStr">
        <is>
          <t>MANUAL — integrity rule: the TPG-211 Tables A/C/D/E stepped grids were not transcribed in the research, and the three published examples ($39.97 / $78.82 / $17.65) cannot be reproduced exactly from the verified anchors alone. CT Paid Leave program at left IS live. Revisit when the grids are transcribed and the examples reproduce.</t>
        </is>
      </c>
      <c r="W12" s="13" t="n"/>
      <c r="X12" s="13" t="inlineStr">
        <is>
          <t>rate</t>
        </is>
      </c>
      <c r="Y12" s="13" t="n"/>
      <c r="Z12" s="13" t="n"/>
      <c r="AA12" s="13" t="n"/>
      <c r="AB12" s="13" t="n"/>
    </row>
    <row r="13">
      <c r="A13" s="13" t="inlineStr">
        <is>
          <t>DC</t>
        </is>
      </c>
      <c r="B13" s="13" t="inlineStr">
        <is>
          <t>District of Columbia</t>
        </is>
      </c>
      <c r="C13" s="13" t="inlineStr">
        <is>
          <t>Form D-4</t>
        </is>
      </c>
      <c r="D13" s="13" t="inlineStr">
        <is>
          <t>Graduated</t>
        </is>
      </c>
      <c r="E13" s="13" t="inlineStr">
        <is>
          <t>MANUAL ENTRY — see Notes</t>
        </is>
      </c>
      <c r="F13" s="13" t="inlineStr">
        <is>
          <t>—</t>
        </is>
      </c>
      <c r="G13" s="13" t="n"/>
      <c r="H13" s="13" t="n"/>
      <c r="I13" s="13" t="n"/>
      <c r="J13" s="13" t="n"/>
      <c r="K13" s="13" t="n"/>
      <c r="L13" s="13" t="n"/>
      <c r="M13" s="13" t="n"/>
      <c r="N13" s="13" t="n"/>
      <c r="O13" s="13" t="n"/>
      <c r="P13" s="13" t="n"/>
      <c r="Q13" s="13" t="n"/>
      <c r="R13" s="13" t="n"/>
      <c r="S13" s="13" t="n"/>
      <c r="T13" s="28" t="inlineStr">
        <is>
          <t>DC OTR FR-230 (latest located edition: 2017); DC Code 47-1806.03 rate schedule</t>
        </is>
      </c>
      <c r="U13" s="13" t="inlineStr">
        <is>
          <t>2026-10-13</t>
        </is>
      </c>
      <c r="V13" s="28" t="inlineStr">
        <is>
          <t>MANUAL — integrity rule: the statutory brackets are verified, but the 2026 withholding allowance value is UNVERIFIED (FR-230 not reissued since 2017; secondary sources conflict $1,675 vs $1,775). A core method parameter cannot be guessed.</t>
        </is>
      </c>
      <c r="W13" s="13" t="n"/>
      <c r="X13" s="13" t="n"/>
      <c r="Y13" s="13" t="n"/>
      <c r="Z13" s="13" t="n"/>
      <c r="AA13" s="13" t="n"/>
      <c r="AB13" s="13" t="n"/>
    </row>
    <row r="14">
      <c r="A14" s="13" t="inlineStr">
        <is>
          <t>DE</t>
        </is>
      </c>
      <c r="B14" s="13" t="inlineStr">
        <is>
          <t>Delaware</t>
        </is>
      </c>
      <c r="C14" s="13" t="inlineStr">
        <is>
          <t>Federal W-4 / W-4A worksheet</t>
        </is>
      </c>
      <c r="D14" s="13" t="inlineStr">
        <is>
          <t>Graduated</t>
        </is>
      </c>
      <c r="E14" s="13" t="inlineStr">
        <is>
          <t>LIVE — formula (Phase B)</t>
        </is>
      </c>
      <c r="F14" s="13" t="inlineStr">
        <is>
          <t>GEN</t>
        </is>
      </c>
      <c r="G14" s="13" t="n"/>
      <c r="H14" s="13" t="n"/>
      <c r="I14" s="13" t="n"/>
      <c r="J14" s="13" t="n"/>
      <c r="K14" s="13" t="n"/>
      <c r="L14" s="13" t="n"/>
      <c r="M14" s="13" t="n"/>
      <c r="N14" s="13" t="inlineStr">
        <is>
          <t>DE Paid Leave (employee share, up to)</t>
        </is>
      </c>
      <c r="O14" s="27" t="n">
        <v>0.004</v>
      </c>
      <c r="P14" s="13" t="n"/>
      <c r="Q14" s="13" t="n"/>
      <c r="R14" s="13" t="n"/>
      <c r="S14" s="13" t="n"/>
      <c r="T14" s="28" t="inlineStr">
        <is>
          <t>Delaware Division of Revenue / Dept. of Finance PIT schedule; Form W-4A worksheet</t>
        </is>
      </c>
      <c r="U14" s="13" t="inlineStr">
        <is>
          <t>2026-10-13</t>
        </is>
      </c>
      <c r="V14" s="28" t="inlineStr">
        <is>
          <t>Graduated schedule (top 6.6% over $60,000); $3,250 worksheet standard deduction (single verified; joint $6,500 unverified — engine uses $3,250 for all statuses); $110 credit per exemption. No official supplemental rate — one-offs aggregate. Wilmington 1.25% via Your Pay &amp; Benefits row 81 if applicable.</t>
        </is>
      </c>
      <c r="W14" s="13" t="n"/>
      <c r="X14" s="13" t="inlineStr">
        <is>
          <t>rate</t>
        </is>
      </c>
      <c r="Y14" s="13" t="n"/>
      <c r="Z14" s="13" t="n"/>
      <c r="AA14" s="13" t="n"/>
      <c r="AB14" s="13" t="n"/>
    </row>
    <row r="15">
      <c r="A15" s="13" t="inlineStr">
        <is>
          <t>FL</t>
        </is>
      </c>
      <c r="B15" s="13" t="inlineStr">
        <is>
          <t>Florida</t>
        </is>
      </c>
      <c r="C15" s="13" t="inlineStr">
        <is>
          <t>— (no income tax)</t>
        </is>
      </c>
      <c r="D15" s="13" t="inlineStr">
        <is>
          <t>None</t>
        </is>
      </c>
      <c r="E15" s="13" t="inlineStr">
        <is>
          <t>LIVE — $0 (no wage income tax)</t>
        </is>
      </c>
      <c r="F15" s="13" t="inlineStr">
        <is>
          <t>None</t>
        </is>
      </c>
      <c r="G15" s="13" t="n"/>
      <c r="H15" s="13" t="n"/>
      <c r="I15" s="13" t="n"/>
      <c r="J15" s="13" t="n"/>
      <c r="K15" s="13" t="n"/>
      <c r="L15" s="13" t="n"/>
      <c r="M15" s="13" t="n"/>
      <c r="N15" s="13" t="n"/>
      <c r="O15" s="13" t="n"/>
      <c r="P15" s="13" t="n"/>
      <c r="Q15" s="13" t="n"/>
      <c r="R15" s="13" t="n"/>
      <c r="S15" s="13" t="n"/>
      <c r="T15" s="28" t="inlineStr">
        <is>
          <t>State law — no wage income tax (regional research files, planner-build/states-*.md)</t>
        </is>
      </c>
      <c r="U15" s="13" t="inlineStr">
        <is>
          <t>2026-10-13</t>
        </is>
      </c>
      <c r="V15" s="28" t="inlineStr">
        <is>
          <t>Employee-paid programs at left still apply where listed.</t>
        </is>
      </c>
      <c r="W15" s="13" t="n"/>
      <c r="X15" s="13" t="n"/>
      <c r="Y15" s="13" t="n"/>
      <c r="Z15" s="13" t="n"/>
      <c r="AA15" s="13" t="n"/>
      <c r="AB15" s="13" t="n"/>
    </row>
    <row r="16">
      <c r="A16" s="13" t="inlineStr">
        <is>
          <t>GA</t>
        </is>
      </c>
      <c r="B16" s="13" t="inlineStr">
        <is>
          <t>Georgia</t>
        </is>
      </c>
      <c r="C16" s="13" t="inlineStr">
        <is>
          <t>Form G-4</t>
        </is>
      </c>
      <c r="D16" s="13" t="inlineStr">
        <is>
          <t>Flat</t>
        </is>
      </c>
      <c r="E16" s="13" t="inlineStr">
        <is>
          <t>MANUAL ENTRY — see Notes</t>
        </is>
      </c>
      <c r="F16" s="13" t="inlineStr">
        <is>
          <t>—</t>
        </is>
      </c>
      <c r="G16" s="13" t="n"/>
      <c r="H16" s="13" t="n"/>
      <c r="I16" s="13" t="n"/>
      <c r="J16" s="13" t="n"/>
      <c r="K16" s="13" t="n"/>
      <c r="L16" s="13" t="n"/>
      <c r="M16" s="13" t="n"/>
      <c r="N16" s="13" t="n"/>
      <c r="O16" s="13" t="n"/>
      <c r="P16" s="13" t="n"/>
      <c r="Q16" s="13" t="n"/>
      <c r="R16" s="13" t="n"/>
      <c r="S16" s="13" t="n"/>
      <c r="T16" s="28" t="inlineStr">
        <is>
          <t>GA DOR Form G-4 (Rev. 06/03/26); Employer's Withholding Tax Guide</t>
        </is>
      </c>
      <c r="U16" s="13" t="inlineStr">
        <is>
          <t>2026-10-13</t>
        </is>
      </c>
      <c r="V16" s="28" t="inlineStr">
        <is>
          <t>MANUAL — integrity rule: standard deductions ($15,000/$30,000) and $5,000 dependent allowance are verified on the official G-4, but the revised 4.99% rate and its May 11, 2026 start are UNVERIFIED from an official DOR page (secondary reports only); the prior verified rate (5.19%) was superseded. Shipping either would be a guess.</t>
        </is>
      </c>
      <c r="W16" s="13" t="n"/>
      <c r="X16" s="13" t="n"/>
      <c r="Y16" s="13" t="n"/>
      <c r="Z16" s="13" t="n"/>
      <c r="AA16" s="13" t="n"/>
      <c r="AB16" s="13" t="n"/>
    </row>
    <row r="17">
      <c r="A17" s="13" t="inlineStr">
        <is>
          <t>HI</t>
        </is>
      </c>
      <c r="B17" s="13" t="inlineStr">
        <is>
          <t>Hawaii</t>
        </is>
      </c>
      <c r="C17" s="13" t="inlineStr">
        <is>
          <t>Form HW-4</t>
        </is>
      </c>
      <c r="D17" s="13" t="inlineStr">
        <is>
          <t>Graduated</t>
        </is>
      </c>
      <c r="E17" s="13" t="inlineStr">
        <is>
          <t>LIVE — formula (Phase B)</t>
        </is>
      </c>
      <c r="F17" s="13" t="inlineStr">
        <is>
          <t>GEN</t>
        </is>
      </c>
      <c r="G17" s="13" t="n"/>
      <c r="H17" s="13" t="n"/>
      <c r="I17" s="13" t="n"/>
      <c r="J17" s="13" t="n"/>
      <c r="K17" s="13" t="n"/>
      <c r="L17" s="13" t="n"/>
      <c r="M17" s="13" t="n"/>
      <c r="N17" s="13" t="n"/>
      <c r="O17" s="13" t="n"/>
      <c r="P17" s="13" t="n"/>
      <c r="Q17" s="13" t="n"/>
      <c r="R17" s="13" t="n"/>
      <c r="S17" s="13" t="n"/>
      <c r="T17" s="28" t="inlineStr">
        <is>
          <t>HI DOTAX Booklet A, Employer's Tax Guide (Rev. 2025), Appendix eff. 1/1/2026</t>
        </is>
      </c>
      <c r="U17" s="13" t="inlineStr">
        <is>
          <t>2026-10-13</t>
        </is>
      </c>
      <c r="V17" s="28" t="inlineStr">
        <is>
          <t>Graduated withholding schedules (top 7.9% — NOT the 11% return rates); $1,144/allowance + $4,350 lump sum. No flat supplemental — one-offs aggregate. HI TDI has no statewide employee rate (min(50% of premium, 0.5% of weekly wages, DLIR max); 2026 DLIR $ max unverified) — enter any TDI deduction as a flat deduction instead. QA: Booklet A example PASS (exact).</t>
        </is>
      </c>
      <c r="W17" s="13" t="n"/>
      <c r="X17" s="13" t="n"/>
      <c r="Y17" s="13" t="n"/>
      <c r="Z17" s="13" t="n"/>
      <c r="AA17" s="13" t="n"/>
      <c r="AB17" s="13" t="n"/>
    </row>
    <row r="18">
      <c r="A18" s="13" t="inlineStr">
        <is>
          <t>IA</t>
        </is>
      </c>
      <c r="B18" s="13" t="inlineStr">
        <is>
          <t>Iowa</t>
        </is>
      </c>
      <c r="C18" s="13" t="inlineStr">
        <is>
          <t>IA W-4</t>
        </is>
      </c>
      <c r="D18" s="13" t="inlineStr">
        <is>
          <t>Flat (formula)</t>
        </is>
      </c>
      <c r="E18" s="13" t="inlineStr">
        <is>
          <t>LIVE — formula (Phase B)</t>
        </is>
      </c>
      <c r="F18" s="13" t="inlineStr">
        <is>
          <t>DIR</t>
        </is>
      </c>
      <c r="G18" s="13" t="n"/>
      <c r="H18" s="13" t="n"/>
      <c r="I18" s="13" t="n"/>
      <c r="J18" s="13" t="n"/>
      <c r="K18" s="13" t="n"/>
      <c r="L18" s="13" t="n"/>
      <c r="M18" s="13" t="n"/>
      <c r="N18" s="13" t="n"/>
      <c r="O18" s="13" t="n"/>
      <c r="P18" s="13" t="n"/>
      <c r="Q18" s="13" t="n"/>
      <c r="R18" s="13" t="n"/>
      <c r="S18" s="13" t="n"/>
      <c r="T18" s="28" t="inlineStr">
        <is>
          <t>Iowa DOR, Iowa Withholding Formula eff. 1/1/2026</t>
        </is>
      </c>
      <c r="U18" s="13" t="inlineStr">
        <is>
          <t>2026-10-13</t>
        </is>
      </c>
      <c r="V18" s="28" t="inlineStr">
        <is>
          <t>Flat 3.80% over a status deduction ($13,000 other / $19,500 HoH / $26,000 MFJ — MFJ figure assumes spouse has no earned income), minus a $40-per-unit allowance credit (row 23 = units). Supplemental treatment UNVERIFIED in the official formula — one-offs aggregate. QA: Formula Examples 1 &amp; 2 PASS (exact).</t>
        </is>
      </c>
      <c r="W18" s="13" t="n"/>
      <c r="X18" s="13" t="n"/>
      <c r="Y18" s="13" t="n"/>
      <c r="Z18" s="13" t="n"/>
      <c r="AA18" s="13" t="n"/>
      <c r="AB18" s="13" t="n"/>
    </row>
    <row r="19">
      <c r="A19" s="13" t="inlineStr">
        <is>
          <t>ID</t>
        </is>
      </c>
      <c r="B19" s="13" t="inlineStr">
        <is>
          <t>Idaho</t>
        </is>
      </c>
      <c r="C19" s="13" t="inlineStr">
        <is>
          <t>Form ID W-4</t>
        </is>
      </c>
      <c r="D19" s="13" t="inlineStr">
        <is>
          <t>Flat</t>
        </is>
      </c>
      <c r="E19" s="13" t="inlineStr">
        <is>
          <t>LIVE — formula (Phase B)</t>
        </is>
      </c>
      <c r="F19" s="13" t="inlineStr">
        <is>
          <t>DIR</t>
        </is>
      </c>
      <c r="G19" s="13" t="n"/>
      <c r="H19" s="13" t="n"/>
      <c r="I19" s="13" t="n"/>
      <c r="J19" s="13" t="n"/>
      <c r="K19" s="13" t="n"/>
      <c r="L19" s="13" t="n"/>
      <c r="M19" s="29" t="n">
        <v>0.053</v>
      </c>
      <c r="N19" s="13" t="n"/>
      <c r="O19" s="13" t="n"/>
      <c r="P19" s="13" t="n"/>
      <c r="Q19" s="13" t="n"/>
      <c r="R19" s="13" t="n"/>
      <c r="S19" s="13" t="n"/>
      <c r="T19" s="28" t="inlineStr">
        <is>
          <t>ID Tax Commission, Computing Withholding page + revised 2026 tables (July 31, 2026 notice; Child Tax Credit sunset)</t>
        </is>
      </c>
      <c r="U19" s="13" t="inlineStr">
        <is>
          <t>2026-10-13</t>
        </is>
      </c>
      <c r="V19" s="28" t="inlineStr">
        <is>
          <t>Flat 5.3% over the status threshold (Married $32,000 verified in the official example; Single $16,094 derived from the verified $619 biweekly figure). Allowance value is $0 under the revised tables. QA: both official examples PASS within guide rounding.</t>
        </is>
      </c>
      <c r="W19" s="13" t="n"/>
      <c r="X19" s="13" t="n"/>
      <c r="Y19" s="13" t="n"/>
      <c r="Z19" s="13" t="n"/>
      <c r="AA19" s="13" t="n"/>
      <c r="AB19" s="13" t="n"/>
    </row>
    <row r="20">
      <c r="A20" s="13" t="inlineStr">
        <is>
          <t>IL</t>
        </is>
      </c>
      <c r="B20" s="13" t="inlineStr">
        <is>
          <t>Illinois</t>
        </is>
      </c>
      <c r="C20" s="13" t="inlineStr">
        <is>
          <t>Form IL-W-4</t>
        </is>
      </c>
      <c r="D20" s="13" t="inlineStr">
        <is>
          <t>Flat</t>
        </is>
      </c>
      <c r="E20" s="13" t="inlineStr">
        <is>
          <t>LIVE — formula (Phase B)</t>
        </is>
      </c>
      <c r="F20" s="13" t="inlineStr">
        <is>
          <t>DIR</t>
        </is>
      </c>
      <c r="G20" s="13" t="n"/>
      <c r="H20" s="13" t="n"/>
      <c r="I20" s="13" t="n"/>
      <c r="J20" s="13" t="n"/>
      <c r="K20" s="13" t="n"/>
      <c r="L20" s="13" t="n"/>
      <c r="M20" s="13" t="n"/>
      <c r="N20" s="13" t="n"/>
      <c r="O20" s="13" t="n"/>
      <c r="P20" s="13" t="n"/>
      <c r="Q20" s="13" t="n"/>
      <c r="R20" s="13" t="n"/>
      <c r="S20" s="13" t="n"/>
      <c r="T20" s="28" t="inlineStr">
        <is>
          <t>IL DOR Booklet IL-700-T (R-12/25), eff. 1/1/2026</t>
        </is>
      </c>
      <c r="U20" s="13" t="inlineStr">
        <is>
          <t>2026-10-13</t>
        </is>
      </c>
      <c r="V20" s="28" t="inlineStr">
        <is>
          <t>Flat 4.95%; Line 1 allowances $2,925 (row 23), Line 2 $1,000 (row 24). No separate supplemental rate — same computation. QA: automated-method example PASS (exact); the $8.38 example uses the wage tables, not the formula.</t>
        </is>
      </c>
      <c r="W20" s="13" t="n"/>
      <c r="X20" s="13" t="n"/>
      <c r="Y20" s="13" t="n"/>
      <c r="Z20" s="13" t="n"/>
      <c r="AA20" s="13" t="n"/>
      <c r="AB20" s="13" t="n"/>
    </row>
    <row r="21">
      <c r="A21" s="13" t="inlineStr">
        <is>
          <t>IN</t>
        </is>
      </c>
      <c r="B21" s="13" t="inlineStr">
        <is>
          <t>Indiana</t>
        </is>
      </c>
      <c r="C21" s="13" t="inlineStr">
        <is>
          <t>Form WH-4</t>
        </is>
      </c>
      <c r="D21" s="13" t="inlineStr">
        <is>
          <t>Flat + county</t>
        </is>
      </c>
      <c r="E21" s="13" t="inlineStr">
        <is>
          <t>LIVE — formula (Phase B)</t>
        </is>
      </c>
      <c r="F21" s="13" t="inlineStr">
        <is>
          <t>DIR</t>
        </is>
      </c>
      <c r="G21" s="13" t="n"/>
      <c r="H21" s="13" t="n"/>
      <c r="I21" s="13" t="n"/>
      <c r="J21" s="13" t="n"/>
      <c r="K21" s="13" t="n"/>
      <c r="L21" s="13" t="n"/>
      <c r="M21" s="13" t="n"/>
      <c r="N21" s="13" t="n"/>
      <c r="O21" s="13" t="n"/>
      <c r="P21" s="13" t="n"/>
      <c r="Q21" s="13" t="n"/>
      <c r="R21" s="13" t="n"/>
      <c r="S21" s="13" t="n"/>
      <c r="T21" s="28" t="inlineStr">
        <is>
          <t>IN DOR Departmental Notice #1 (R46/01-26), eff. 1/1/2026</t>
        </is>
      </c>
      <c r="U21" s="13" t="inlineStr">
        <is>
          <t>2026-10-13</t>
        </is>
      </c>
      <c r="V21" s="28" t="inlineStr">
        <is>
          <t>State 2.95% + your county rate (row 76), on wages minus $1,000 personal (row 23), $1,500 dependent (row 24), $3,000 adopted-child (row 86) exemptions. Bonuses: same rates with NO exemptions. QA: DN1 example PASS (state $13.96 + county $4.73).</t>
        </is>
      </c>
      <c r="W21" s="13" t="n"/>
      <c r="X21" s="13" t="n"/>
      <c r="Y21" s="13" t="n"/>
      <c r="Z21" s="13" t="n"/>
      <c r="AA21" s="13" t="n"/>
      <c r="AB21" s="13" t="n"/>
    </row>
    <row r="22">
      <c r="A22" s="13" t="inlineStr">
        <is>
          <t>KS</t>
        </is>
      </c>
      <c r="B22" s="13" t="inlineStr">
        <is>
          <t>Kansas</t>
        </is>
      </c>
      <c r="C22" s="13" t="inlineStr">
        <is>
          <t>Form K-4</t>
        </is>
      </c>
      <c r="D22" s="13" t="inlineStr">
        <is>
          <t>Graduated</t>
        </is>
      </c>
      <c r="E22" s="13" t="inlineStr">
        <is>
          <t>LIVE — formula (Phase B)</t>
        </is>
      </c>
      <c r="F22" s="13" t="inlineStr">
        <is>
          <t>GEN</t>
        </is>
      </c>
      <c r="G22" s="13" t="n"/>
      <c r="H22" s="13" t="n"/>
      <c r="I22" s="13" t="n"/>
      <c r="J22" s="13" t="n"/>
      <c r="K22" s="13" t="n"/>
      <c r="L22" s="13" t="n"/>
      <c r="M22" s="29" t="n">
        <v>0.05</v>
      </c>
      <c r="N22" s="13" t="n"/>
      <c r="O22" s="13" t="n"/>
      <c r="P22" s="13" t="n"/>
      <c r="Q22" s="13" t="n"/>
      <c r="R22" s="13" t="n"/>
      <c r="S22" s="13" t="n"/>
      <c r="T22" s="28" t="inlineStr">
        <is>
          <t>KS DOR KW-100 Withholding Tax Guide (Rev. 10-24; current for 2026)</t>
        </is>
      </c>
      <c r="U22" s="13" t="inlineStr">
        <is>
          <t>2026-10-13</t>
        </is>
      </c>
      <c r="V22" s="28" t="inlineStr">
        <is>
          <t>Exemption $9,160 (x2 MFJ built in) + $2,320 per dependent (row 24; +1 for HoH). QA: KW-100 example PASS within guide's whole-dollar rounding (+$0.44).</t>
        </is>
      </c>
      <c r="W22" s="13" t="n"/>
      <c r="X22" s="13" t="n"/>
      <c r="Y22" s="13" t="n"/>
      <c r="Z22" s="13" t="n"/>
      <c r="AA22" s="13" t="n"/>
      <c r="AB22" s="13" t="n"/>
    </row>
    <row r="23">
      <c r="A23" s="13" t="inlineStr">
        <is>
          <t>KY</t>
        </is>
      </c>
      <c r="B23" s="13" t="inlineStr">
        <is>
          <t>Kentucky</t>
        </is>
      </c>
      <c r="C23" s="13" t="inlineStr">
        <is>
          <t>Form K-4 (exempt/extra only)</t>
        </is>
      </c>
      <c r="D23" s="13" t="inlineStr">
        <is>
          <t>Flat</t>
        </is>
      </c>
      <c r="E23" s="13" t="inlineStr">
        <is>
          <t>LIVE — formula (Phase B)</t>
        </is>
      </c>
      <c r="F23" s="13" t="inlineStr">
        <is>
          <t>DIR</t>
        </is>
      </c>
      <c r="G23" s="13" t="n"/>
      <c r="H23" s="13" t="n"/>
      <c r="I23" s="13" t="n"/>
      <c r="J23" s="13" t="n"/>
      <c r="K23" s="13" t="n"/>
      <c r="L23" s="13" t="n"/>
      <c r="M23" s="13" t="n"/>
      <c r="N23" s="13" t="n"/>
      <c r="O23" s="13" t="n"/>
      <c r="P23" s="13" t="n"/>
      <c r="Q23" s="13" t="n"/>
      <c r="R23" s="13" t="n"/>
      <c r="S23" s="13" t="n"/>
      <c r="T23" s="28" t="inlineStr">
        <is>
          <t>KY DOR Form 42A003 (TCF) 2026 Withholding Tax Formula; Employer Payroll Withholding page (rate 3.5%)</t>
        </is>
      </c>
      <c r="U23" s="13" t="inlineStr">
        <is>
          <t>2026-10-13</t>
        </is>
      </c>
      <c r="V23" s="28" t="inlineStr">
        <is>
          <t>Flat 3.5% over a $3,360 standard deduction; no personal exemptions. Local occupational taxes (Louisville, Lexington, many others) via Your Pay &amp; Benefits row 81/27. QA: 42A003 monthly example PASS (exact). The same sheet's biweekly example contains two printed misprints — not used.</t>
        </is>
      </c>
      <c r="W23" s="13" t="n"/>
      <c r="X23" s="13" t="n"/>
      <c r="Y23" s="13" t="n"/>
      <c r="Z23" s="13" t="n"/>
      <c r="AA23" s="13" t="n"/>
      <c r="AB23" s="13" t="n"/>
    </row>
    <row r="24">
      <c r="A24" s="13" t="inlineStr">
        <is>
          <t>LA</t>
        </is>
      </c>
      <c r="B24" s="13" t="inlineStr">
        <is>
          <t>Louisiana</t>
        </is>
      </c>
      <c r="C24" s="13" t="inlineStr">
        <is>
          <t>Form R-1300 (L-4)</t>
        </is>
      </c>
      <c r="D24" s="13" t="inlineStr">
        <is>
          <t>Flat</t>
        </is>
      </c>
      <c r="E24" s="13" t="inlineStr">
        <is>
          <t>LIVE — formula (Phase B)</t>
        </is>
      </c>
      <c r="F24" s="13" t="inlineStr">
        <is>
          <t>DIR</t>
        </is>
      </c>
      <c r="G24" s="13" t="n"/>
      <c r="H24" s="13" t="n"/>
      <c r="I24" s="13" t="n"/>
      <c r="J24" s="13" t="n"/>
      <c r="K24" s="13" t="n"/>
      <c r="L24" s="13" t="n"/>
      <c r="M24" s="13" t="n"/>
      <c r="N24" s="13" t="n"/>
      <c r="O24" s="13" t="n"/>
      <c r="P24" s="13" t="n"/>
      <c r="Q24" s="13" t="n"/>
      <c r="R24" s="13" t="n"/>
      <c r="S24" s="13" t="n"/>
      <c r="T24" s="28" t="inlineStr">
        <is>
          <t>LA LDR Form R-1306 (1/26) formulas; LAC 61:I.1501 NOI (2026 SDs $12,875/$25,750)</t>
        </is>
      </c>
      <c r="U24" s="13" t="inlineStr">
        <is>
          <t>2026-10-13</t>
        </is>
      </c>
      <c r="V24" s="28" t="inlineStr">
        <is>
          <t>Flat 3.09% (3.0% statute + 0.09% cushion) over the L-4 standard-deduction claim (row 84). No separate supplemental rate — same formula. QA: both R-1306 examples PASS (exact).</t>
        </is>
      </c>
      <c r="W24" s="13" t="n"/>
      <c r="X24" s="13" t="n"/>
      <c r="Y24" s="13" t="n"/>
      <c r="Z24" s="13" t="n"/>
      <c r="AA24" s="13" t="n"/>
      <c r="AB24" s="13" t="n"/>
    </row>
    <row r="25">
      <c r="A25" s="13" t="inlineStr">
        <is>
          <t>MA</t>
        </is>
      </c>
      <c r="B25" s="13" t="inlineStr">
        <is>
          <t>Massachusetts</t>
        </is>
      </c>
      <c r="C25" s="13" t="inlineStr">
        <is>
          <t>Form M-4</t>
        </is>
      </c>
      <c r="D25" s="13" t="inlineStr">
        <is>
          <t>Flat</t>
        </is>
      </c>
      <c r="E25" s="13" t="inlineStr">
        <is>
          <t>LIVE — formula (Phase B)</t>
        </is>
      </c>
      <c r="F25" s="13" t="inlineStr">
        <is>
          <t>DIR</t>
        </is>
      </c>
      <c r="G25" s="13" t="n"/>
      <c r="H25" s="13" t="n"/>
      <c r="I25" s="13" t="n"/>
      <c r="J25" s="13" t="n"/>
      <c r="K25" s="13" t="n"/>
      <c r="L25" s="13" t="n"/>
      <c r="M25" s="13" t="n"/>
      <c r="N25" s="13" t="inlineStr">
        <is>
          <t>MA PFML (employee max)</t>
        </is>
      </c>
      <c r="O25" s="27" t="n">
        <v>0.0046</v>
      </c>
      <c r="P25" s="16" t="n">
        <v>184500</v>
      </c>
      <c r="Q25" s="13" t="n"/>
      <c r="R25" s="13" t="n"/>
      <c r="S25" s="13" t="n"/>
      <c r="T25" s="28" t="inlineStr">
        <is>
          <t>MA DOR Circular M (eff. 1/1/2026), percentage method p.12 + section G</t>
        </is>
      </c>
      <c r="U25" s="13" t="inlineStr">
        <is>
          <t>2026-10-13</t>
        </is>
      </c>
      <c r="V25" s="28" t="inlineStr">
        <is>
          <t>5.0% (9.0% over $1,107,750) on wages minus cumulative FICA (capped $2,000/yr) minus the exemption factor ($4,400 for 1; $1,000n + $3,400 for more); minus $120/yr HoH value and $110/yr per blind person (row 75). One-offs use the Circular M section G method. Spouse counts as 4 exemptions on the M-4. QA: section G bonus example PASS (exact, $24,854).</t>
        </is>
      </c>
      <c r="W25" s="13" t="n"/>
      <c r="X25" s="13" t="inlineStr">
        <is>
          <t>rate</t>
        </is>
      </c>
      <c r="Y25" s="13" t="n"/>
      <c r="Z25" s="13" t="n"/>
      <c r="AA25" s="13" t="n"/>
      <c r="AB25" s="13" t="n"/>
    </row>
    <row r="26">
      <c r="A26" s="13" t="inlineStr">
        <is>
          <t>MD</t>
        </is>
      </c>
      <c r="B26" s="13" t="inlineStr">
        <is>
          <t>Maryland</t>
        </is>
      </c>
      <c r="C26" s="13" t="inlineStr">
        <is>
          <t>Form MW507</t>
        </is>
      </c>
      <c r="D26" s="13" t="inlineStr">
        <is>
          <t>Graduated + county</t>
        </is>
      </c>
      <c r="E26" s="13" t="inlineStr">
        <is>
          <t>LIVE — formula (Phase B)</t>
        </is>
      </c>
      <c r="F26" s="13" t="inlineStr">
        <is>
          <t>GEN</t>
        </is>
      </c>
      <c r="G26" s="13" t="n"/>
      <c r="H26" s="13" t="n"/>
      <c r="I26" s="13" t="n"/>
      <c r="J26" s="13" t="n"/>
      <c r="K26" s="13" t="n"/>
      <c r="L26" s="13" t="n"/>
      <c r="M26" s="13" t="n"/>
      <c r="N26" s="13" t="n"/>
      <c r="O26" s="13" t="n"/>
      <c r="P26" s="13" t="n"/>
      <c r="Q26" s="13" t="n"/>
      <c r="R26" s="13" t="n"/>
      <c r="S26" s="13" t="n"/>
      <c r="T26" s="28" t="inlineStr">
        <is>
          <t>Comptroller of Maryland, 2026 Employer Withholding Guide (Rev. Dec 2025)</t>
        </is>
      </c>
      <c r="U26" s="13" t="inlineStr">
        <is>
          <t>2026-10-13</t>
        </is>
      </c>
      <c r="V26" s="28" t="inlineStr">
        <is>
          <t>State schedule on wages minus $3,400 SD and $3,200/exemption, PLUS your county's flat rate (row 74) on the same base. Anne Arundel &amp; Frederick counties are graduated — the flat-rate entry is an approximation there. Lump-sum bonus: 6.50% + county rate. No narrative worked example is published (QA = combined-table anchors). Nonresidents: use county rate 2.25%.</t>
        </is>
      </c>
      <c r="W26" s="13" t="n"/>
      <c r="X26" s="13" t="n"/>
      <c r="Y26" s="13" t="n"/>
      <c r="Z26" s="13" t="n"/>
      <c r="AA26" s="13" t="n"/>
      <c r="AB26" s="13" t="n"/>
    </row>
    <row r="27">
      <c r="A27" s="13" t="inlineStr">
        <is>
          <t>ME</t>
        </is>
      </c>
      <c r="B27" s="13" t="inlineStr">
        <is>
          <t>Maine</t>
        </is>
      </c>
      <c r="C27" s="13" t="inlineStr">
        <is>
          <t>Form W-4ME</t>
        </is>
      </c>
      <c r="D27" s="13" t="inlineStr">
        <is>
          <t>Graduated</t>
        </is>
      </c>
      <c r="E27" s="13" t="inlineStr">
        <is>
          <t>MANUAL ENTRY — see Notes</t>
        </is>
      </c>
      <c r="F27" s="13" t="inlineStr">
        <is>
          <t>—</t>
        </is>
      </c>
      <c r="G27" s="13" t="n"/>
      <c r="H27" s="13" t="n"/>
      <c r="I27" s="13" t="n"/>
      <c r="J27" s="13" t="n"/>
      <c r="K27" s="13" t="n"/>
      <c r="L27" s="13" t="n"/>
      <c r="M27" s="29" t="n">
        <v>0.05</v>
      </c>
      <c r="N27" s="13" t="inlineStr">
        <is>
          <t>ME Paid Family &amp; Medical Leave (employee share)</t>
        </is>
      </c>
      <c r="O27" s="27" t="n">
        <v>0.005</v>
      </c>
      <c r="P27" s="16" t="n">
        <v>184500</v>
      </c>
      <c r="Q27" s="13" t="n"/>
      <c r="R27" s="13" t="n"/>
      <c r="S27" s="13" t="n"/>
      <c r="T27" s="28" t="inlineStr">
        <is>
          <t>Maine Revenue Services, Withholding Tables for Individual Income Tax (2026 booklet)</t>
        </is>
      </c>
      <c r="U27" s="13" t="inlineStr">
        <is>
          <t>2026-10-13</t>
        </is>
      </c>
      <c r="V27" s="28" t="inlineStr">
        <is>
          <t>MANUAL — per spec: the 2026 withholding standard-deduction table could not be verified (secondary reports conflict: $12,850/$28,550 vs $15,700/$31,400). Allowance ($5,300) and rate schedules are verified but the deduction is a core parameter. ME PFML program at left IS live.</t>
        </is>
      </c>
      <c r="W27" s="13" t="n"/>
      <c r="X27" s="13" t="inlineStr">
        <is>
          <t>rate</t>
        </is>
      </c>
      <c r="Y27" s="13" t="n"/>
      <c r="Z27" s="13" t="n"/>
      <c r="AA27" s="13" t="n"/>
      <c r="AB27" s="13" t="n"/>
    </row>
    <row r="28">
      <c r="A28" s="13" t="inlineStr">
        <is>
          <t>MI</t>
        </is>
      </c>
      <c r="B28" s="13" t="inlineStr">
        <is>
          <t>Michigan</t>
        </is>
      </c>
      <c r="C28" s="13" t="inlineStr">
        <is>
          <t>Form MI-W4</t>
        </is>
      </c>
      <c r="D28" s="13" t="inlineStr">
        <is>
          <t>Flat</t>
        </is>
      </c>
      <c r="E28" s="13" t="inlineStr">
        <is>
          <t>LIVE — formula (Phase B)</t>
        </is>
      </c>
      <c r="F28" s="13" t="inlineStr">
        <is>
          <t>DIR</t>
        </is>
      </c>
      <c r="G28" s="13" t="n"/>
      <c r="H28" s="13" t="n"/>
      <c r="I28" s="13" t="n"/>
      <c r="J28" s="13" t="n"/>
      <c r="K28" s="13" t="n"/>
      <c r="L28" s="13" t="n"/>
      <c r="M28" s="29" t="n">
        <v>0.0425</v>
      </c>
      <c r="N28" s="13" t="n"/>
      <c r="O28" s="13" t="n"/>
      <c r="P28" s="13" t="n"/>
      <c r="Q28" s="13" t="n"/>
      <c r="R28" s="13" t="n"/>
      <c r="S28" s="13" t="n"/>
      <c r="T28" s="28" t="inlineStr">
        <is>
          <t>MI Treasury Form 446 (Rev. 10-25), 2026 Withholding Guide</t>
        </is>
      </c>
      <c r="U28" s="13" t="inlineStr">
        <is>
          <t>2026-10-13</t>
        </is>
      </c>
      <c r="V28" s="28" t="inlineStr">
        <is>
          <t>Flat 4.25%; $5,900 per exemption. Bonuses paid separately: 4.25% with no exemptions. City income taxes (Detroit etc.) via Your Pay &amp; Benefits row 81/27. No official wage worked example is published.</t>
        </is>
      </c>
      <c r="W28" s="13" t="n"/>
      <c r="X28" s="13" t="n"/>
      <c r="Y28" s="13" t="n"/>
      <c r="Z28" s="13" t="n"/>
      <c r="AA28" s="13" t="n"/>
      <c r="AB28" s="13" t="n"/>
    </row>
    <row r="29">
      <c r="A29" s="13" t="inlineStr">
        <is>
          <t>MN</t>
        </is>
      </c>
      <c r="B29" s="13" t="inlineStr">
        <is>
          <t>Minnesota</t>
        </is>
      </c>
      <c r="C29" s="13" t="inlineStr">
        <is>
          <t>Form W-4MN</t>
        </is>
      </c>
      <c r="D29" s="13" t="inlineStr">
        <is>
          <t>Graduated</t>
        </is>
      </c>
      <c r="E29" s="13" t="inlineStr">
        <is>
          <t>LIVE — formula (Phase B)</t>
        </is>
      </c>
      <c r="F29" s="13" t="inlineStr">
        <is>
          <t>GEN</t>
        </is>
      </c>
      <c r="G29" s="13" t="n"/>
      <c r="H29" s="13" t="n"/>
      <c r="I29" s="13" t="n"/>
      <c r="J29" s="13" t="n"/>
      <c r="K29" s="13" t="n"/>
      <c r="L29" s="13" t="n"/>
      <c r="M29" s="29" t="n">
        <v>0.0625</v>
      </c>
      <c r="N29" s="13" t="inlineStr">
        <is>
          <t>MN Paid Leave (employee share)</t>
        </is>
      </c>
      <c r="O29" s="27" t="n">
        <v>0.0044</v>
      </c>
      <c r="P29" s="16" t="n">
        <v>185000</v>
      </c>
      <c r="Q29" s="13" t="n"/>
      <c r="R29" s="13" t="n"/>
      <c r="S29" s="13" t="n"/>
      <c r="T29" s="28" t="inlineStr">
        <is>
          <t>MN DOR 2026 Withholding Instruction Booklet &amp; Tax Tables (Computer Formula, p.34)</t>
        </is>
      </c>
      <c r="U29" s="13" t="inlineStr">
        <is>
          <t>2026-10-13</t>
        </is>
      </c>
      <c r="V29" s="28" t="inlineStr">
        <is>
          <t>$5,300 per allowance; Step-5 exclusion $4,700 single / $14,700 married is built into the bracket floors. Engine keeps cents (booklet permits whole-dollar rounding). No official worked example — derived formula check PASS.</t>
        </is>
      </c>
      <c r="W29" s="13" t="n"/>
      <c r="X29" s="13" t="inlineStr">
        <is>
          <t>rate</t>
        </is>
      </c>
      <c r="Y29" s="13" t="n"/>
      <c r="Z29" s="13" t="n"/>
      <c r="AA29" s="13" t="n"/>
      <c r="AB29" s="13" t="n"/>
    </row>
    <row r="30">
      <c r="A30" s="13" t="inlineStr">
        <is>
          <t>MO</t>
        </is>
      </c>
      <c r="B30" s="13" t="inlineStr">
        <is>
          <t>Missouri</t>
        </is>
      </c>
      <c r="C30" s="13" t="inlineStr">
        <is>
          <t>Form MO W-4</t>
        </is>
      </c>
      <c r="D30" s="13" t="inlineStr">
        <is>
          <t>Graduated</t>
        </is>
      </c>
      <c r="E30" s="13" t="inlineStr">
        <is>
          <t>LIVE — formula (Phase B)</t>
        </is>
      </c>
      <c r="F30" s="13" t="inlineStr">
        <is>
          <t>GEN</t>
        </is>
      </c>
      <c r="G30" s="13" t="n"/>
      <c r="H30" s="13" t="n"/>
      <c r="I30" s="13" t="n"/>
      <c r="J30" s="13" t="n"/>
      <c r="K30" s="13" t="n"/>
      <c r="L30" s="13" t="n"/>
      <c r="M30" s="29" t="n">
        <v>0.047</v>
      </c>
      <c r="N30" s="13" t="n"/>
      <c r="O30" s="13" t="n"/>
      <c r="P30" s="13" t="n"/>
      <c r="Q30" s="13" t="n"/>
      <c r="R30" s="13" t="n"/>
      <c r="S30" s="13" t="n"/>
      <c r="T30" s="28" t="inlineStr">
        <is>
          <t>MO DOR 2026 Withholding Tax Formula; Form 4282 Employer's Tax Guide</t>
        </is>
      </c>
      <c r="U30" s="13" t="inlineStr">
        <is>
          <t>2026-10-13</t>
        </is>
      </c>
      <c r="V30" s="28" t="inlineStr">
        <is>
          <t>Standard deduction by status/spouse-works (row 83): $16,100 / $24,150 HoH / $32,200. Nine $1,348 bands to 4.7%. Kansas City &amp; St. Louis 1% earnings taxes via Your Pay &amp; Benefits row 81. QA: formula-sheet example PASS (−$0.02; guide rounds to whole dollars).</t>
        </is>
      </c>
      <c r="W30" s="13" t="n"/>
      <c r="X30" s="13" t="n"/>
      <c r="Y30" s="13" t="n"/>
      <c r="Z30" s="13" t="n"/>
      <c r="AA30" s="13" t="n"/>
      <c r="AB30" s="13" t="n"/>
    </row>
    <row r="31">
      <c r="A31" s="13" t="inlineStr">
        <is>
          <t>MS</t>
        </is>
      </c>
      <c r="B31" s="13" t="inlineStr">
        <is>
          <t>Mississippi</t>
        </is>
      </c>
      <c r="C31" s="13" t="inlineStr">
        <is>
          <t>Form 89-350</t>
        </is>
      </c>
      <c r="D31" s="13" t="inlineStr">
        <is>
          <t>Flat</t>
        </is>
      </c>
      <c r="E31" s="13" t="inlineStr">
        <is>
          <t>LIVE — formula (Phase B)</t>
        </is>
      </c>
      <c r="F31" s="13" t="inlineStr">
        <is>
          <t>DIR</t>
        </is>
      </c>
      <c r="G31" s="13" t="n"/>
      <c r="H31" s="13" t="n"/>
      <c r="I31" s="13" t="n"/>
      <c r="J31" s="13" t="n"/>
      <c r="K31" s="13" t="n"/>
      <c r="L31" s="13" t="n"/>
      <c r="M31" s="13" t="n"/>
      <c r="N31" s="13" t="n"/>
      <c r="O31" s="13" t="n"/>
      <c r="P31" s="13" t="n"/>
      <c r="Q31" s="13" t="n"/>
      <c r="R31" s="13" t="n"/>
      <c r="S31" s="13" t="n"/>
      <c r="T31" s="28" t="inlineStr">
        <is>
          <t>MS DOR Computer Payroll Accounting — For Periods In 2026 (Rev. 8/13/25)</t>
        </is>
      </c>
      <c r="U31" s="13" t="inlineStr">
        <is>
          <t>2026-10-13</t>
        </is>
      </c>
      <c r="V31" s="28" t="inlineStr">
        <is>
          <t>4.0% of taxable income over $10,000; TI = wages − standard deduction (Single $2,300 / Married $4,600 / HoH $3,400) − your Form 89-350 exemption total (row 85). Married-both-employed uses $2,300 — engine uses $4,600 for 'Married' (note). No official worked example — derived formula check PASS.</t>
        </is>
      </c>
      <c r="W31" s="13" t="n"/>
      <c r="X31" s="13" t="n"/>
      <c r="Y31" s="13" t="n"/>
      <c r="Z31" s="13" t="n"/>
      <c r="AA31" s="13" t="n"/>
      <c r="AB31" s="13" t="n"/>
    </row>
    <row r="32">
      <c r="A32" s="13" t="inlineStr">
        <is>
          <t>MT</t>
        </is>
      </c>
      <c r="B32" s="13" t="inlineStr">
        <is>
          <t>Montana</t>
        </is>
      </c>
      <c r="C32" s="13" t="inlineStr">
        <is>
          <t>Form MW-4</t>
        </is>
      </c>
      <c r="D32" s="13" t="inlineStr">
        <is>
          <t>Graduated</t>
        </is>
      </c>
      <c r="E32" s="13" t="inlineStr">
        <is>
          <t>LIVE — formula (Phase B)</t>
        </is>
      </c>
      <c r="F32" s="13" t="inlineStr">
        <is>
          <t>GEN</t>
        </is>
      </c>
      <c r="G32" s="13" t="n"/>
      <c r="H32" s="13" t="n"/>
      <c r="I32" s="13" t="n"/>
      <c r="J32" s="13" t="n"/>
      <c r="K32" s="13" t="n"/>
      <c r="L32" s="13" t="n"/>
      <c r="M32" s="29" t="n">
        <v>0.05</v>
      </c>
      <c r="N32" s="13" t="n"/>
      <c r="O32" s="13" t="n"/>
      <c r="P32" s="13" t="n"/>
      <c r="Q32" s="13" t="n"/>
      <c r="R32" s="13" t="n"/>
      <c r="S32" s="13" t="n"/>
      <c r="T32" s="28" t="inlineStr">
        <is>
          <t>MT DOR Employer &amp; Information Agent Guide with Withholding Tax Tables, V4 Nov 2025</t>
        </is>
      </c>
      <c r="U32" s="13" t="inlineStr">
        <is>
          <t>2026-10-13</t>
        </is>
      </c>
      <c r="V32" s="28" t="inlineStr">
        <is>
          <t>0% / 4.7% / 5.65% by status family (MFJ both-working uses the Single family — select 'Single'). No separate deduction — the 0% bracket is the deduction. Guide examples round to the nearest dollar. QA: all three published examples PASS within rounding.</t>
        </is>
      </c>
      <c r="W32" s="13" t="n"/>
      <c r="X32" s="13" t="n"/>
      <c r="Y32" s="13" t="n"/>
      <c r="Z32" s="13" t="n"/>
      <c r="AA32" s="13" t="n"/>
      <c r="AB32" s="13" t="n"/>
    </row>
    <row r="33">
      <c r="A33" s="13" t="inlineStr">
        <is>
          <t>NC</t>
        </is>
      </c>
      <c r="B33" s="13" t="inlineStr">
        <is>
          <t>North Carolina</t>
        </is>
      </c>
      <c r="C33" s="13" t="inlineStr">
        <is>
          <t>Form NC-4</t>
        </is>
      </c>
      <c r="D33" s="13" t="inlineStr">
        <is>
          <t>Flat</t>
        </is>
      </c>
      <c r="E33" s="13" t="inlineStr">
        <is>
          <t>MANUAL ENTRY — see Notes</t>
        </is>
      </c>
      <c r="F33" s="13" t="inlineStr">
        <is>
          <t>—</t>
        </is>
      </c>
      <c r="G33" s="13" t="n"/>
      <c r="H33" s="13" t="n"/>
      <c r="I33" s="13" t="n"/>
      <c r="J33" s="13" t="n"/>
      <c r="K33" s="13" t="n"/>
      <c r="L33" s="13" t="n"/>
      <c r="M33" s="29" t="n">
        <v>0.0409</v>
      </c>
      <c r="N33" s="13" t="n"/>
      <c r="O33" s="13" t="n"/>
      <c r="P33" s="13" t="n"/>
      <c r="Q33" s="13" t="n"/>
      <c r="R33" s="13" t="n"/>
      <c r="S33" s="13" t="n"/>
      <c r="T33" s="28" t="inlineStr">
        <is>
          <t>NCDOR NC-30 (2026) — not readable in the research session; NC tax rate schedules (statutory 3.99%)</t>
        </is>
      </c>
      <c r="U33" s="13" t="inlineStr">
        <is>
          <t>2026-10-13</t>
        </is>
      </c>
      <c r="V33" s="28" t="inlineStr">
        <is>
          <t>MANUAL — integrity rule: the 4.09% withholding rate, $2,500 allowance and withholding standard deductions are consistent in secondary sources but were UNVERIFIED from the 2026 NC-30 itself. The supplemental rule (rate + 0.10%) is verified in 17 NCAC 06C .0117 but the base rate for the formula is not.</t>
        </is>
      </c>
      <c r="W33" s="13" t="n"/>
      <c r="X33" s="13" t="n"/>
      <c r="Y33" s="13" t="n"/>
      <c r="Z33" s="13" t="n"/>
      <c r="AA33" s="13" t="n"/>
      <c r="AB33" s="13" t="n"/>
    </row>
    <row r="34">
      <c r="A34" s="13" t="inlineStr">
        <is>
          <t>ND</t>
        </is>
      </c>
      <c r="B34" s="13" t="inlineStr">
        <is>
          <t>North Dakota</t>
        </is>
      </c>
      <c r="C34" s="13" t="inlineStr">
        <is>
          <t>Federal W-4</t>
        </is>
      </c>
      <c r="D34" s="13" t="inlineStr">
        <is>
          <t>Graduated</t>
        </is>
      </c>
      <c r="E34" s="13" t="inlineStr">
        <is>
          <t>LIVE — formula (Phase B)</t>
        </is>
      </c>
      <c r="F34" s="13" t="inlineStr">
        <is>
          <t>GEN</t>
        </is>
      </c>
      <c r="G34" s="13" t="n"/>
      <c r="H34" s="13" t="n"/>
      <c r="I34" s="13" t="n"/>
      <c r="J34" s="13" t="n"/>
      <c r="K34" s="13" t="n"/>
      <c r="L34" s="13" t="n"/>
      <c r="M34" s="29" t="n">
        <v>0.015</v>
      </c>
      <c r="N34" s="13" t="n"/>
      <c r="O34" s="13" t="n"/>
      <c r="P34" s="13" t="n"/>
      <c r="Q34" s="13" t="n"/>
      <c r="R34" s="13" t="n"/>
      <c r="S34" s="13" t="n"/>
      <c r="T34" s="28" t="inlineStr">
        <is>
          <t>ND Tax Commissioner, Income Tax Withholding Rates &amp; Instructions (2026), Section 2 (2020+ W-4)</t>
        </is>
      </c>
      <c r="U34" s="13" t="inlineStr">
        <is>
          <t>2026-10-13</t>
        </is>
      </c>
      <c r="V34" s="28" t="inlineStr">
        <is>
          <t>Zero bracket built into the schedule (Single $57,625 / MFJ $57,500 / HoH $78,475); 1.95% / 2.50%. Engine implements Section 2 (current W-4s). QA: the guide's Section 2 example is a stale prior-year carryover (research-verified) — engine matches the 2026 TABLE ($13.49/wk). Section 1 (pre-2020 W-4) example reproduces but is not the engine's method.</t>
        </is>
      </c>
      <c r="W34" s="13" t="n"/>
      <c r="X34" s="13" t="n"/>
      <c r="Y34" s="13" t="n"/>
      <c r="Z34" s="13" t="n"/>
      <c r="AA34" s="13" t="n"/>
      <c r="AB34" s="13" t="n"/>
    </row>
    <row r="35">
      <c r="A35" s="13" t="inlineStr">
        <is>
          <t>NE</t>
        </is>
      </c>
      <c r="B35" s="13" t="inlineStr">
        <is>
          <t>Nebraska</t>
        </is>
      </c>
      <c r="C35" s="13" t="inlineStr">
        <is>
          <t>Form W-4N</t>
        </is>
      </c>
      <c r="D35" s="13" t="inlineStr">
        <is>
          <t>Graduated</t>
        </is>
      </c>
      <c r="E35" s="13" t="inlineStr">
        <is>
          <t>LIVE — formula (Phase B)</t>
        </is>
      </c>
      <c r="F35" s="13" t="inlineStr">
        <is>
          <t>GEN</t>
        </is>
      </c>
      <c r="G35" s="13" t="n"/>
      <c r="H35" s="13" t="n"/>
      <c r="I35" s="13" t="n"/>
      <c r="J35" s="13" t="n"/>
      <c r="K35" s="13" t="n"/>
      <c r="L35" s="13" t="n"/>
      <c r="M35" s="29" t="n">
        <v>0.035</v>
      </c>
      <c r="N35" s="13" t="n"/>
      <c r="O35" s="13" t="n"/>
      <c r="P35" s="13" t="n"/>
      <c r="Q35" s="13" t="n"/>
      <c r="R35" s="13" t="n"/>
      <c r="S35" s="13" t="n"/>
      <c r="T35" s="28" t="inlineStr">
        <is>
          <t>NE DOR Circular EN (Rev. 11-2025), percentage method Table 7</t>
        </is>
      </c>
      <c r="U35" s="13" t="inlineStr">
        <is>
          <t>2026-10-13</t>
        </is>
      </c>
      <c r="V35" s="28" t="inlineStr">
        <is>
          <t>$2,440 per allowance; withholding-specific rates 2.26%–4.60%; the 1.5%-of-taxable-wages floor is applied in the engine. No narrative example — derived formula check PASS ($147.17/mo).</t>
        </is>
      </c>
      <c r="W35" s="13" t="n"/>
      <c r="X35" s="13" t="n"/>
      <c r="Y35" s="13" t="n"/>
      <c r="Z35" s="13" t="n"/>
      <c r="AA35" s="13" t="n"/>
      <c r="AB35" s="13" t="n"/>
    </row>
    <row r="36">
      <c r="A36" s="13" t="inlineStr">
        <is>
          <t>NH</t>
        </is>
      </c>
      <c r="B36" s="13" t="inlineStr">
        <is>
          <t>New Hampshire</t>
        </is>
      </c>
      <c r="C36" s="13" t="inlineStr">
        <is>
          <t>— (no income tax)</t>
        </is>
      </c>
      <c r="D36" s="13" t="inlineStr">
        <is>
          <t>None</t>
        </is>
      </c>
      <c r="E36" s="13" t="inlineStr">
        <is>
          <t>LIVE — $0 (no wage income tax)</t>
        </is>
      </c>
      <c r="F36" s="13" t="inlineStr">
        <is>
          <t>None</t>
        </is>
      </c>
      <c r="G36" s="13" t="n"/>
      <c r="H36" s="13" t="n"/>
      <c r="I36" s="13" t="n"/>
      <c r="J36" s="13" t="n"/>
      <c r="K36" s="13" t="n"/>
      <c r="L36" s="13" t="n"/>
      <c r="M36" s="13" t="n"/>
      <c r="N36" s="13" t="n"/>
      <c r="O36" s="13" t="n"/>
      <c r="P36" s="13" t="n"/>
      <c r="Q36" s="13" t="n"/>
      <c r="R36" s="13" t="n"/>
      <c r="S36" s="13" t="n"/>
      <c r="T36" s="28" t="inlineStr">
        <is>
          <t>State law — no wage income tax (regional research files, planner-build/states-*.md)</t>
        </is>
      </c>
      <c r="U36" s="13" t="inlineStr">
        <is>
          <t>2026-10-13</t>
        </is>
      </c>
      <c r="V36" s="28" t="inlineStr">
        <is>
          <t>Employee-paid programs at left still apply where listed.</t>
        </is>
      </c>
      <c r="W36" s="13" t="n"/>
      <c r="X36" s="13" t="n"/>
      <c r="Y36" s="13" t="n"/>
      <c r="Z36" s="13" t="n"/>
      <c r="AA36" s="13" t="n"/>
      <c r="AB36" s="13" t="n"/>
    </row>
    <row r="37">
      <c r="A37" s="13" t="inlineStr">
        <is>
          <t>NJ</t>
        </is>
      </c>
      <c r="B37" s="13" t="inlineStr">
        <is>
          <t>New Jersey</t>
        </is>
      </c>
      <c r="C37" s="13" t="inlineStr">
        <is>
          <t>Form NJ-W4</t>
        </is>
      </c>
      <c r="D37" s="13" t="inlineStr">
        <is>
          <t>Graduated</t>
        </is>
      </c>
      <c r="E37" s="13" t="inlineStr">
        <is>
          <t>LIVE — formula (Phase B)</t>
        </is>
      </c>
      <c r="F37" s="13" t="inlineStr">
        <is>
          <t>GEN</t>
        </is>
      </c>
      <c r="G37" s="13" t="n"/>
      <c r="H37" s="13" t="n"/>
      <c r="I37" s="13" t="n"/>
      <c r="J37" s="13" t="n"/>
      <c r="K37" s="13" t="n"/>
      <c r="L37" s="13" t="n"/>
      <c r="M37" s="13" t="n"/>
      <c r="N37" s="13" t="inlineStr">
        <is>
          <t>NJ Temporary Disability (TDI)</t>
        </is>
      </c>
      <c r="O37" s="27" t="n">
        <v>0.0019</v>
      </c>
      <c r="P37" s="16" t="n">
        <v>171100</v>
      </c>
      <c r="Q37" s="13" t="inlineStr">
        <is>
          <t>NJ Family Leave Insurance (FLI)</t>
        </is>
      </c>
      <c r="R37" s="27" t="n">
        <v>0.0023</v>
      </c>
      <c r="S37" s="16" t="n">
        <v>171100</v>
      </c>
      <c r="T37" s="28" t="inlineStr">
        <is>
          <t>NJ Division of Taxation, NJ-WT (Sept 2025 ed.) + Withholding Rate Tables (post-10/1/2020)</t>
        </is>
      </c>
      <c r="U37" s="13" t="inlineStr">
        <is>
          <t>2026-10-13</t>
        </is>
      </c>
      <c r="V37" s="28" t="inlineStr">
        <is>
          <t>Rate tables A–E; $1,000 per exemption. Select your table letter (row 77) from your NJ-W4 — the status-to-letter mapping is printed on the NJ-W4 and was not transcribed in the research. One-offs paid separately use the tables WITHOUT exemptions. QA: NJ-WT's percentage-method examples are image-only in the PDF — not extractable; tables transcribed from the official rate-table publication.</t>
        </is>
      </c>
      <c r="W37" s="13" t="n"/>
      <c r="X37" s="13" t="inlineStr">
        <is>
          <t>rate</t>
        </is>
      </c>
      <c r="Y37" s="13" t="n"/>
      <c r="Z37" s="13" t="n"/>
      <c r="AA37" s="13" t="inlineStr">
        <is>
          <t>rate</t>
        </is>
      </c>
      <c r="AB37" s="13" t="n"/>
    </row>
    <row r="38">
      <c r="A38" s="13" t="inlineStr">
        <is>
          <t>NM</t>
        </is>
      </c>
      <c r="B38" s="13" t="inlineStr">
        <is>
          <t>New Mexico</t>
        </is>
      </c>
      <c r="C38" s="13" t="inlineStr">
        <is>
          <t>Federal W-4 (NM copy)</t>
        </is>
      </c>
      <c r="D38" s="13" t="inlineStr">
        <is>
          <t>Graduated</t>
        </is>
      </c>
      <c r="E38" s="13" t="inlineStr">
        <is>
          <t>MANUAL ENTRY — see Notes</t>
        </is>
      </c>
      <c r="F38" s="13" t="inlineStr">
        <is>
          <t>—</t>
        </is>
      </c>
      <c r="G38" s="13" t="n"/>
      <c r="H38" s="13" t="n"/>
      <c r="I38" s="13" t="n"/>
      <c r="J38" s="13" t="n"/>
      <c r="K38" s="13" t="n"/>
      <c r="L38" s="13" t="n"/>
      <c r="M38" s="29" t="n">
        <v>0.059</v>
      </c>
      <c r="N38" s="13" t="inlineStr">
        <is>
          <t>NM Workers' Comp fee (employee share)</t>
        </is>
      </c>
      <c r="O38" s="13" t="n"/>
      <c r="P38" s="13" t="n"/>
      <c r="Q38" s="13" t="n"/>
      <c r="R38" s="13" t="n"/>
      <c r="S38" s="13" t="n"/>
      <c r="T38" s="28" t="inlineStr">
        <is>
          <t>NM TRD FYI-104 (Rev. 11/2025), Withholding Tax</t>
        </is>
      </c>
      <c r="U38" s="13" t="inlineStr">
        <is>
          <t>2026-10-13</t>
        </is>
      </c>
      <c r="V38" s="28" t="inlineStr">
        <is>
          <t>MANUAL — integrity rule: FYI-104's stated annual rate order (1.5/3.2/4.3/4.7/4.9/5.9%) contradicts its own published worked example (married, weekly $1,000 + $20 extra -&gt; $41.80; the table portion implies different band rates), and the upper bands cannot be determined unambiguously from the research. The verified supplemental rate (5.9%) and the workers-comp fee (program at left, live) are unaffected.</t>
        </is>
      </c>
      <c r="W38" s="13" t="n"/>
      <c r="X38" s="13" t="inlineStr">
        <is>
          <t>flatq</t>
        </is>
      </c>
      <c r="Y38" s="16" t="n">
        <v>2.25</v>
      </c>
      <c r="Z38" s="13" t="n"/>
      <c r="AA38" s="13" t="n"/>
      <c r="AB38" s="13" t="n"/>
    </row>
    <row r="39">
      <c r="A39" s="13" t="inlineStr">
        <is>
          <t>NV</t>
        </is>
      </c>
      <c r="B39" s="13" t="inlineStr">
        <is>
          <t>Nevada</t>
        </is>
      </c>
      <c r="C39" s="13" t="inlineStr">
        <is>
          <t>— (no income tax)</t>
        </is>
      </c>
      <c r="D39" s="13" t="inlineStr">
        <is>
          <t>None</t>
        </is>
      </c>
      <c r="E39" s="13" t="inlineStr">
        <is>
          <t>LIVE — $0 (no wage income tax)</t>
        </is>
      </c>
      <c r="F39" s="13" t="inlineStr">
        <is>
          <t>None</t>
        </is>
      </c>
      <c r="G39" s="13" t="n"/>
      <c r="H39" s="13" t="n"/>
      <c r="I39" s="13" t="n"/>
      <c r="J39" s="13" t="n"/>
      <c r="K39" s="13" t="n"/>
      <c r="L39" s="13" t="n"/>
      <c r="M39" s="13" t="n"/>
      <c r="N39" s="13" t="n"/>
      <c r="O39" s="13" t="n"/>
      <c r="P39" s="13" t="n"/>
      <c r="Q39" s="13" t="n"/>
      <c r="R39" s="13" t="n"/>
      <c r="S39" s="13" t="n"/>
      <c r="T39" s="28" t="inlineStr">
        <is>
          <t>State law — no wage income tax (regional research files, planner-build/states-*.md)</t>
        </is>
      </c>
      <c r="U39" s="13" t="inlineStr">
        <is>
          <t>2026-10-13</t>
        </is>
      </c>
      <c r="V39" s="28" t="inlineStr">
        <is>
          <t>Employee-paid programs at left still apply where listed.</t>
        </is>
      </c>
      <c r="W39" s="13" t="n"/>
      <c r="X39" s="13" t="n"/>
      <c r="Y39" s="13" t="n"/>
      <c r="Z39" s="13" t="n"/>
      <c r="AA39" s="13" t="n"/>
      <c r="AB39" s="13" t="n"/>
    </row>
    <row r="40">
      <c r="A40" s="13" t="inlineStr">
        <is>
          <t>NY</t>
        </is>
      </c>
      <c r="B40" s="13" t="inlineStr">
        <is>
          <t>New York</t>
        </is>
      </c>
      <c r="C40" s="13" t="inlineStr">
        <is>
          <t>Form IT-2104</t>
        </is>
      </c>
      <c r="D40" s="13" t="inlineStr">
        <is>
          <t>Graduated</t>
        </is>
      </c>
      <c r="E40" s="13" t="inlineStr">
        <is>
          <t>LIVE — formula (Phase B)</t>
        </is>
      </c>
      <c r="F40" s="13" t="inlineStr">
        <is>
          <t>GEN</t>
        </is>
      </c>
      <c r="G40" s="13" t="n"/>
      <c r="H40" s="13" t="n"/>
      <c r="I40" s="13" t="n"/>
      <c r="J40" s="13" t="n"/>
      <c r="K40" s="13" t="n"/>
      <c r="L40" s="13" t="n"/>
      <c r="M40" s="29" t="n">
        <v>0.117</v>
      </c>
      <c r="N40" s="13" t="inlineStr">
        <is>
          <t>NY Paid Family Leave (PFL)</t>
        </is>
      </c>
      <c r="O40" s="27" t="n">
        <v>0.00432</v>
      </c>
      <c r="P40" s="16" t="n">
        <v>95349.07000000001</v>
      </c>
      <c r="Q40" s="13" t="inlineStr">
        <is>
          <t>NY Disability (DBL, employee max)</t>
        </is>
      </c>
      <c r="R40" s="27" t="n">
        <v>0.005</v>
      </c>
      <c r="S40" s="13" t="n"/>
      <c r="T40" s="28" t="inlineStr">
        <is>
          <t>NY Tax Dept NYS-50-T-NYS / -NYC / -Y (1/26), Method II exact calculation</t>
        </is>
      </c>
      <c r="U40" s="13" t="inlineStr">
        <is>
          <t>2026-10-13</t>
        </is>
      </c>
      <c r="V40" s="28" t="inlineStr">
        <is>
          <t>Table A allowance $7,400 single / $7,950 married + $1,000/exemption; Method III top rates apply at $1,077,550+ single / $2,155,350+ married (built into the schedule). NYC and Yonkers compute on the Local line (rows 78–79). The engine includes the Method II tables' printed bracket-base amounts, which are rounded in the publication and differ from pure rate accumulation by up to ~$4.29/yr (band adjustments in the formula). QA: monthly examples PASS (within $0.01); weekly examples −$0.02/−$0.03 — the published examples use Method I per-period tables, whose rounding differs from annualized Method II by design.</t>
        </is>
      </c>
      <c r="W40" s="16" t="n">
        <v>411.91</v>
      </c>
      <c r="X40" s="13" t="inlineStr">
        <is>
          <t>rate</t>
        </is>
      </c>
      <c r="Y40" s="13" t="n"/>
      <c r="Z40" s="13" t="n"/>
      <c r="AA40" s="13" t="inlineStr">
        <is>
          <t>dbl</t>
        </is>
      </c>
      <c r="AB40" s="13" t="n"/>
    </row>
    <row r="41">
      <c r="A41" s="13" t="inlineStr">
        <is>
          <t>OH</t>
        </is>
      </c>
      <c r="B41" s="13" t="inlineStr">
        <is>
          <t>Ohio</t>
        </is>
      </c>
      <c r="C41" s="13" t="inlineStr">
        <is>
          <t>Form IT 4</t>
        </is>
      </c>
      <c r="D41" s="13" t="inlineStr">
        <is>
          <t>Graduated</t>
        </is>
      </c>
      <c r="E41" s="13" t="inlineStr">
        <is>
          <t>LIVE — formula (Phase B)</t>
        </is>
      </c>
      <c r="F41" s="13" t="inlineStr">
        <is>
          <t>GEN</t>
        </is>
      </c>
      <c r="G41" s="13" t="n"/>
      <c r="H41" s="13" t="n"/>
      <c r="I41" s="13" t="n"/>
      <c r="J41" s="13" t="n"/>
      <c r="K41" s="13" t="n"/>
      <c r="L41" s="13" t="n"/>
      <c r="M41" s="29" t="n">
        <v>0.0275</v>
      </c>
      <c r="N41" s="13" t="n"/>
      <c r="O41" s="13" t="n"/>
      <c r="P41" s="13" t="n"/>
      <c r="Q41" s="13" t="n"/>
      <c r="R41" s="13" t="n"/>
      <c r="S41" s="13" t="n"/>
      <c r="T41" s="28" t="inlineStr">
        <is>
          <t>ODT Optional Computer Formula (Rev. 09/25; Rev. 07/26 eff. 8/1/2026); OAC 5703-7-10</t>
        </is>
      </c>
      <c r="U41" s="13" t="inlineStr">
        <is>
          <t>2026-10-13</t>
        </is>
      </c>
      <c r="V41" s="28" t="inlineStr">
        <is>
          <t>Period-aware: pay dates Jan 1–Jul 31, 2026 use 1.775%/2.99%/3.64%; Aug 1+ use 1.6%/2.99%/3.4% (thresholds $26,050/$100,000; $650/exemption). Municipal &amp; school-district taxes via Your Pay &amp; Benefits row 81/27. No official worked example — derived formula check PASS ($34.92).</t>
        </is>
      </c>
      <c r="W41" s="13" t="n"/>
      <c r="X41" s="13" t="n"/>
      <c r="Y41" s="13" t="n"/>
      <c r="Z41" s="13" t="n"/>
      <c r="AA41" s="13" t="n"/>
      <c r="AB41" s="13" t="n"/>
    </row>
    <row r="42">
      <c r="A42" s="13" t="inlineStr">
        <is>
          <t>OK</t>
        </is>
      </c>
      <c r="B42" s="13" t="inlineStr">
        <is>
          <t>Oklahoma</t>
        </is>
      </c>
      <c r="C42" s="13" t="inlineStr">
        <is>
          <t>Form OK-W-4</t>
        </is>
      </c>
      <c r="D42" s="13" t="inlineStr">
        <is>
          <t>Graduated</t>
        </is>
      </c>
      <c r="E42" s="13" t="inlineStr">
        <is>
          <t>LIVE — formula (Phase B)</t>
        </is>
      </c>
      <c r="F42" s="13" t="inlineStr">
        <is>
          <t>GEN</t>
        </is>
      </c>
      <c r="G42" s="13" t="n"/>
      <c r="H42" s="13" t="n"/>
      <c r="I42" s="13" t="n"/>
      <c r="J42" s="13" t="n"/>
      <c r="K42" s="13" t="n"/>
      <c r="L42" s="13" t="n"/>
      <c r="M42" s="29" t="n">
        <v>0.045</v>
      </c>
      <c r="N42" s="13" t="n"/>
      <c r="O42" s="13" t="n"/>
      <c r="P42" s="13" t="n"/>
      <c r="Q42" s="13" t="n"/>
      <c r="R42" s="13" t="n"/>
      <c r="S42" s="13" t="n"/>
      <c r="T42" s="28" t="inlineStr">
        <is>
          <t>OK Tax Commission Packet OW-2 (2026), Percentage Formula Method (Table 7 annualized)</t>
        </is>
      </c>
      <c r="U42" s="13" t="inlineStr">
        <is>
          <t>2026-10-13</t>
        </is>
      </c>
      <c r="V42" s="28" t="inlineStr">
        <is>
          <t>$1,000 per allowance; zero bracket $10,100 single / $20,200 married (standard deduction embedded in thresholds). Results rounded to cents (packet rounds to whole dollars). QA: OW-2 sample computation PASS (−$0.33 rounding; the packet's prose '$12.19' is a misprint for its table's $9.10 base).</t>
        </is>
      </c>
      <c r="W42" s="13" t="n"/>
      <c r="X42" s="13" t="n"/>
      <c r="Y42" s="13" t="n"/>
      <c r="Z42" s="13" t="n"/>
      <c r="AA42" s="13" t="n"/>
      <c r="AB42" s="13" t="n"/>
    </row>
    <row r="43">
      <c r="A43" s="13" t="inlineStr">
        <is>
          <t>OR</t>
        </is>
      </c>
      <c r="B43" s="13" t="inlineStr">
        <is>
          <t>Oregon</t>
        </is>
      </c>
      <c r="C43" s="13" t="inlineStr">
        <is>
          <t>Form OR-W-4</t>
        </is>
      </c>
      <c r="D43" s="13" t="inlineStr">
        <is>
          <t>Graduated</t>
        </is>
      </c>
      <c r="E43" s="13" t="inlineStr">
        <is>
          <t>LIVE — formula (Phase B)</t>
        </is>
      </c>
      <c r="F43" s="13" t="inlineStr">
        <is>
          <t>DIR</t>
        </is>
      </c>
      <c r="G43" s="13" t="n"/>
      <c r="H43" s="13" t="n"/>
      <c r="I43" s="13" t="n"/>
      <c r="J43" s="13" t="n"/>
      <c r="K43" s="13" t="n"/>
      <c r="L43" s="13" t="n"/>
      <c r="M43" s="29" t="n">
        <v>0.08</v>
      </c>
      <c r="N43" s="13" t="inlineStr">
        <is>
          <t>Paid Leave Oregon (employee share)</t>
        </is>
      </c>
      <c r="O43" s="27" t="n">
        <v>0.006</v>
      </c>
      <c r="P43" s="16" t="n">
        <v>184500</v>
      </c>
      <c r="Q43" s="13" t="inlineStr">
        <is>
          <t>OR statewide transit tax</t>
        </is>
      </c>
      <c r="R43" s="27" t="n">
        <v>0.001</v>
      </c>
      <c r="S43" s="13" t="n"/>
      <c r="T43" s="28" t="inlineStr">
        <is>
          <t>OR DOR Pub. 150-206-436, Withholding Tax Formulas (Rev. 12-11-25), eff. 1/1/2026</t>
        </is>
      </c>
      <c r="U43" s="13" t="inlineStr">
        <is>
          <t>2026-10-13</t>
        </is>
      </c>
      <c r="V43" s="28" t="inlineStr">
        <is>
          <t>BASE = wages − federal withholding (capped $8,750, phased out at high wages) − standard deduction ($2,910 S / $5,820 M; single with 3+ allowances uses the married formula); minus $263 per allowance after the brackets; allowances forced to 0 over $100K (S) / $200K (M) wages. High-BASE (&gt;$125K/$250K) bracket constants were partly illegible in the research — the 8.75%/9.9% split at those floors is verified, intermediate constants are not; treat very-high-income OR results with care. QA: Examples 1–2 verified arithmetically (booklet's federal WH is an exogenous input).</t>
        </is>
      </c>
      <c r="W43" s="13" t="n"/>
      <c r="X43" s="13" t="inlineStr">
        <is>
          <t>rate</t>
        </is>
      </c>
      <c r="Y43" s="13" t="n"/>
      <c r="Z43" s="13" t="n"/>
      <c r="AA43" s="13" t="inlineStr">
        <is>
          <t>rate</t>
        </is>
      </c>
      <c r="AB43" s="13" t="n"/>
    </row>
    <row r="44">
      <c r="A44" s="13" t="inlineStr">
        <is>
          <t>PA</t>
        </is>
      </c>
      <c r="B44" s="13" t="inlineStr">
        <is>
          <t>Pennsylvania</t>
        </is>
      </c>
      <c r="C44" s="13" t="inlineStr">
        <is>
          <t>Federal W-4 (no state form)</t>
        </is>
      </c>
      <c r="D44" s="13" t="inlineStr">
        <is>
          <t>Flat</t>
        </is>
      </c>
      <c r="E44" s="13" t="inlineStr">
        <is>
          <t>LIVE — formula (Phase B)</t>
        </is>
      </c>
      <c r="F44" s="13" t="inlineStr">
        <is>
          <t>DIR</t>
        </is>
      </c>
      <c r="G44" s="13" t="n"/>
      <c r="H44" s="13" t="n"/>
      <c r="I44" s="13" t="n"/>
      <c r="J44" s="13" t="n"/>
      <c r="K44" s="13" t="n"/>
      <c r="L44" s="13" t="n"/>
      <c r="M44" s="13" t="n"/>
      <c r="N44" s="13" t="n"/>
      <c r="O44" s="13" t="n"/>
      <c r="P44" s="13" t="n"/>
      <c r="Q44" s="13" t="n"/>
      <c r="R44" s="13" t="n"/>
      <c r="S44" s="13" t="n"/>
      <c r="T44" s="28" t="inlineStr">
        <is>
          <t>PA DOR REV-415, Employer's Guide to Withholding PA Personal Income Tax</t>
        </is>
      </c>
      <c r="U44" s="13" t="inlineStr">
        <is>
          <t>2026-10-13</t>
        </is>
      </c>
      <c r="V44" s="28" t="inlineStr">
        <is>
          <t>Flat 3.07% on PA-taxable compensation — PA does NOT exclude pre-tax 401(k) deferrals, so the engine adds them back for PA, and PA does not conform to HSAs either: payroll HSA contributions are added back as well (the Levers tab prices this). Philadelphia computes on the Local line (row 80); other Act 32 EIT via row 81. PA employee UC (historically 0.07%) is NOT modeled — the 2026 rate was unverified.</t>
        </is>
      </c>
      <c r="W44" s="13" t="n"/>
      <c r="X44" s="13" t="n"/>
      <c r="Y44" s="13" t="n"/>
      <c r="Z44" s="13" t="n"/>
      <c r="AA44" s="13" t="n"/>
      <c r="AB44" s="13" t="n"/>
    </row>
    <row r="45">
      <c r="A45" s="13" t="inlineStr">
        <is>
          <t>RI</t>
        </is>
      </c>
      <c r="B45" s="13" t="inlineStr">
        <is>
          <t>Rhode Island</t>
        </is>
      </c>
      <c r="C45" s="13" t="inlineStr">
        <is>
          <t>Form RI W-4</t>
        </is>
      </c>
      <c r="D45" s="13" t="inlineStr">
        <is>
          <t>Graduated</t>
        </is>
      </c>
      <c r="E45" s="13" t="inlineStr">
        <is>
          <t>LIVE — formula (Phase B)</t>
        </is>
      </c>
      <c r="F45" s="13" t="inlineStr">
        <is>
          <t>GEN</t>
        </is>
      </c>
      <c r="G45" s="13" t="n"/>
      <c r="H45" s="13" t="n"/>
      <c r="I45" s="13" t="n"/>
      <c r="J45" s="13" t="n"/>
      <c r="K45" s="13" t="n"/>
      <c r="L45" s="13" t="n"/>
      <c r="M45" s="13" t="n"/>
      <c r="N45" s="13" t="inlineStr">
        <is>
          <t>RI Temporary Disability (TDI)</t>
        </is>
      </c>
      <c r="O45" s="27" t="n">
        <v>0.011</v>
      </c>
      <c r="P45" s="16" t="n">
        <v>100000</v>
      </c>
      <c r="Q45" s="13" t="n"/>
      <c r="R45" s="13" t="n"/>
      <c r="S45" s="13" t="n"/>
      <c r="T45" s="28" t="inlineStr">
        <is>
          <t>RI Division of Taxation, 2026 Withholding Tables booklet (percentage method); RI DLT (TDI)</t>
        </is>
      </c>
      <c r="U45" s="13" t="inlineStr">
        <is>
          <t>2026-10-13</t>
        </is>
      </c>
      <c r="V45" s="28" t="inlineStr">
        <is>
          <t>Brackets 3.75/4.75/5.99% (floors $82,050/$186,450, all statuses) on wages minus $1,000 per exemption. The exemption phase-out above $290,800 of wages is secondary-sourced only and is NOT modeled (flagged). Supplemental rate UNVERIFIED — one-offs aggregate. No extractable worked example.</t>
        </is>
      </c>
      <c r="W45" s="13" t="n"/>
      <c r="X45" s="13" t="inlineStr">
        <is>
          <t>rate</t>
        </is>
      </c>
      <c r="Y45" s="13" t="n"/>
      <c r="Z45" s="13" t="n"/>
      <c r="AA45" s="13" t="n"/>
      <c r="AB45" s="13" t="n"/>
    </row>
    <row r="46">
      <c r="A46" s="13" t="inlineStr">
        <is>
          <t>SC</t>
        </is>
      </c>
      <c r="B46" s="13" t="inlineStr">
        <is>
          <t>South Carolina</t>
        </is>
      </c>
      <c r="C46" s="13" t="inlineStr">
        <is>
          <t>Form SC W-4</t>
        </is>
      </c>
      <c r="D46" s="13" t="inlineStr">
        <is>
          <t>Graduated</t>
        </is>
      </c>
      <c r="E46" s="13" t="inlineStr">
        <is>
          <t>LIVE — formula (Phase B)</t>
        </is>
      </c>
      <c r="F46" s="13" t="inlineStr">
        <is>
          <t>GEN</t>
        </is>
      </c>
      <c r="G46" s="13" t="n"/>
      <c r="H46" s="13" t="n"/>
      <c r="I46" s="13" t="n"/>
      <c r="J46" s="13" t="n"/>
      <c r="K46" s="13" t="n"/>
      <c r="L46" s="13" t="n"/>
      <c r="M46" s="13" t="n"/>
      <c r="N46" s="13" t="n"/>
      <c r="O46" s="13" t="n"/>
      <c r="P46" s="13" t="n"/>
      <c r="Q46" s="13" t="n"/>
      <c r="R46" s="13" t="n"/>
      <c r="S46" s="13" t="n"/>
      <c r="T46" s="28" t="inlineStr">
        <is>
          <t>SCDOR Form WH-1603F (Rev. 11/4/25), Formula for Computing SC Withholding</t>
        </is>
      </c>
      <c r="U46" s="13" t="inlineStr">
        <is>
          <t>2026-10-13</t>
        </is>
      </c>
      <c r="V46" s="28" t="inlineStr">
        <is>
          <t>$5,000 per allowance; standard deduction = 10% of wages capped at $7,500 ($0 with zero allowances). QA: WH-1603F example PASS (exact, $10.58/wk).</t>
        </is>
      </c>
      <c r="W46" s="13" t="n"/>
      <c r="X46" s="13" t="n"/>
      <c r="Y46" s="13" t="n"/>
      <c r="Z46" s="13" t="n"/>
      <c r="AA46" s="13" t="n"/>
      <c r="AB46" s="13" t="n"/>
    </row>
    <row r="47">
      <c r="A47" s="13" t="inlineStr">
        <is>
          <t>SD</t>
        </is>
      </c>
      <c r="B47" s="13" t="inlineStr">
        <is>
          <t>South Dakota</t>
        </is>
      </c>
      <c r="C47" s="13" t="inlineStr">
        <is>
          <t>— (no income tax)</t>
        </is>
      </c>
      <c r="D47" s="13" t="inlineStr">
        <is>
          <t>None</t>
        </is>
      </c>
      <c r="E47" s="13" t="inlineStr">
        <is>
          <t>LIVE — $0 (no wage income tax)</t>
        </is>
      </c>
      <c r="F47" s="13" t="inlineStr">
        <is>
          <t>None</t>
        </is>
      </c>
      <c r="G47" s="13" t="n"/>
      <c r="H47" s="13" t="n"/>
      <c r="I47" s="13" t="n"/>
      <c r="J47" s="13" t="n"/>
      <c r="K47" s="13" t="n"/>
      <c r="L47" s="13" t="n"/>
      <c r="M47" s="13" t="n"/>
      <c r="N47" s="13" t="n"/>
      <c r="O47" s="13" t="n"/>
      <c r="P47" s="13" t="n"/>
      <c r="Q47" s="13" t="n"/>
      <c r="R47" s="13" t="n"/>
      <c r="S47" s="13" t="n"/>
      <c r="T47" s="28" t="inlineStr">
        <is>
          <t>State law — no wage income tax (regional research files, planner-build/states-*.md)</t>
        </is>
      </c>
      <c r="U47" s="13" t="inlineStr">
        <is>
          <t>2026-10-13</t>
        </is>
      </c>
      <c r="V47" s="28" t="inlineStr">
        <is>
          <t>Employee-paid programs at left still apply where listed.</t>
        </is>
      </c>
      <c r="W47" s="13" t="n"/>
      <c r="X47" s="13" t="n"/>
      <c r="Y47" s="13" t="n"/>
      <c r="Z47" s="13" t="n"/>
      <c r="AA47" s="13" t="n"/>
      <c r="AB47" s="13" t="n"/>
    </row>
    <row r="48">
      <c r="A48" s="13" t="inlineStr">
        <is>
          <t>TN</t>
        </is>
      </c>
      <c r="B48" s="13" t="inlineStr">
        <is>
          <t>Tennessee</t>
        </is>
      </c>
      <c r="C48" s="13" t="inlineStr">
        <is>
          <t>— (no income tax)</t>
        </is>
      </c>
      <c r="D48" s="13" t="inlineStr">
        <is>
          <t>None</t>
        </is>
      </c>
      <c r="E48" s="13" t="inlineStr">
        <is>
          <t>LIVE — $0 (no wage income tax)</t>
        </is>
      </c>
      <c r="F48" s="13" t="inlineStr">
        <is>
          <t>None</t>
        </is>
      </c>
      <c r="G48" s="13" t="n"/>
      <c r="H48" s="13" t="n"/>
      <c r="I48" s="13" t="n"/>
      <c r="J48" s="13" t="n"/>
      <c r="K48" s="13" t="n"/>
      <c r="L48" s="13" t="n"/>
      <c r="M48" s="13" t="n"/>
      <c r="N48" s="13" t="n"/>
      <c r="O48" s="13" t="n"/>
      <c r="P48" s="13" t="n"/>
      <c r="Q48" s="13" t="n"/>
      <c r="R48" s="13" t="n"/>
      <c r="S48" s="13" t="n"/>
      <c r="T48" s="28" t="inlineStr">
        <is>
          <t>State law — no wage income tax (regional research files, planner-build/states-*.md)</t>
        </is>
      </c>
      <c r="U48" s="13" t="inlineStr">
        <is>
          <t>2026-10-13</t>
        </is>
      </c>
      <c r="V48" s="28" t="inlineStr">
        <is>
          <t>Employee-paid programs at left still apply where listed.</t>
        </is>
      </c>
      <c r="W48" s="13" t="n"/>
      <c r="X48" s="13" t="n"/>
      <c r="Y48" s="13" t="n"/>
      <c r="Z48" s="13" t="n"/>
      <c r="AA48" s="13" t="n"/>
      <c r="AB48" s="13" t="n"/>
    </row>
    <row r="49">
      <c r="A49" s="13" t="inlineStr">
        <is>
          <t>TX</t>
        </is>
      </c>
      <c r="B49" s="13" t="inlineStr">
        <is>
          <t>Texas</t>
        </is>
      </c>
      <c r="C49" s="13" t="inlineStr">
        <is>
          <t>— (no income tax)</t>
        </is>
      </c>
      <c r="D49" s="13" t="inlineStr">
        <is>
          <t>None</t>
        </is>
      </c>
      <c r="E49" s="13" t="inlineStr">
        <is>
          <t>LIVE — $0 (no wage income tax)</t>
        </is>
      </c>
      <c r="F49" s="13" t="inlineStr">
        <is>
          <t>None</t>
        </is>
      </c>
      <c r="G49" s="13" t="n"/>
      <c r="H49" s="13" t="n"/>
      <c r="I49" s="13" t="n"/>
      <c r="J49" s="13" t="n"/>
      <c r="K49" s="13" t="n"/>
      <c r="L49" s="13" t="n"/>
      <c r="M49" s="13" t="n"/>
      <c r="N49" s="13" t="n"/>
      <c r="O49" s="13" t="n"/>
      <c r="P49" s="13" t="n"/>
      <c r="Q49" s="13" t="n"/>
      <c r="R49" s="13" t="n"/>
      <c r="S49" s="13" t="n"/>
      <c r="T49" s="28" t="inlineStr">
        <is>
          <t>State law — no wage income tax (regional research files, planner-build/states-*.md)</t>
        </is>
      </c>
      <c r="U49" s="13" t="inlineStr">
        <is>
          <t>2026-10-13</t>
        </is>
      </c>
      <c r="V49" s="28" t="inlineStr">
        <is>
          <t>Employee-paid programs at left still apply where listed.</t>
        </is>
      </c>
      <c r="W49" s="13" t="n"/>
      <c r="X49" s="13" t="n"/>
      <c r="Y49" s="13" t="n"/>
      <c r="Z49" s="13" t="n"/>
      <c r="AA49" s="13" t="n"/>
      <c r="AB49" s="13" t="n"/>
    </row>
    <row r="50">
      <c r="A50" s="13" t="inlineStr">
        <is>
          <t>UT</t>
        </is>
      </c>
      <c r="B50" s="13" t="inlineStr">
        <is>
          <t>Utah</t>
        </is>
      </c>
      <c r="C50" s="13" t="inlineStr">
        <is>
          <t>Federal W-4</t>
        </is>
      </c>
      <c r="D50" s="13" t="inlineStr">
        <is>
          <t>Flat</t>
        </is>
      </c>
      <c r="E50" s="13" t="inlineStr">
        <is>
          <t>MANUAL ENTRY — see Notes</t>
        </is>
      </c>
      <c r="F50" s="13" t="inlineStr">
        <is>
          <t>—</t>
        </is>
      </c>
      <c r="G50" s="13" t="n"/>
      <c r="H50" s="13" t="n"/>
      <c r="I50" s="13" t="n"/>
      <c r="J50" s="13" t="n"/>
      <c r="K50" s="13" t="n"/>
      <c r="L50" s="13" t="n"/>
      <c r="M50" s="13" t="n"/>
      <c r="N50" s="13" t="n"/>
      <c r="O50" s="13" t="n"/>
      <c r="P50" s="13" t="n"/>
      <c r="Q50" s="13" t="n"/>
      <c r="R50" s="13" t="n"/>
      <c r="S50" s="13" t="n"/>
      <c r="T50" s="28" t="inlineStr">
        <is>
          <t>UT Tax Commission Publication 14 (last verified edition: Rev. 4/25, 2025 parameters)</t>
        </is>
      </c>
      <c r="U50" s="13" t="inlineStr">
        <is>
          <t>2026-10-13</t>
        </is>
      </c>
      <c r="V50" s="28" t="inlineStr">
        <is>
          <t>MANUAL — integrity rule: the 2026 rate is UNVERIFIED from an official source (last verified: 4.5% with $450/$900 base allowance and 1.3% phase-out; a secondary report claims 4.45% + $485/$970 from 2026-06-01, unconfirmed). Shipping either vintage as '2026' would be a guess.</t>
        </is>
      </c>
      <c r="W50" s="13" t="n"/>
      <c r="X50" s="13" t="n"/>
      <c r="Y50" s="13" t="n"/>
      <c r="Z50" s="13" t="n"/>
      <c r="AA50" s="13" t="n"/>
      <c r="AB50" s="13" t="n"/>
    </row>
    <row r="51">
      <c r="A51" s="13" t="inlineStr">
        <is>
          <t>VA</t>
        </is>
      </c>
      <c r="B51" s="13" t="inlineStr">
        <is>
          <t>Virginia</t>
        </is>
      </c>
      <c r="C51" s="13" t="inlineStr">
        <is>
          <t>Form VA-4</t>
        </is>
      </c>
      <c r="D51" s="13" t="inlineStr">
        <is>
          <t>Graduated</t>
        </is>
      </c>
      <c r="E51" s="13" t="inlineStr">
        <is>
          <t>LIVE — formula (Phase B)</t>
        </is>
      </c>
      <c r="F51" s="13" t="inlineStr">
        <is>
          <t>GEN</t>
        </is>
      </c>
      <c r="G51" s="13" t="n"/>
      <c r="H51" s="13" t="n"/>
      <c r="I51" s="13" t="n"/>
      <c r="J51" s="13" t="n"/>
      <c r="K51" s="13" t="n"/>
      <c r="L51" s="13" t="n"/>
      <c r="M51" s="13" t="n"/>
      <c r="N51" s="13" t="n"/>
      <c r="O51" s="13" t="n"/>
      <c r="P51" s="13" t="n"/>
      <c r="Q51" s="13" t="n"/>
      <c r="R51" s="13" t="n"/>
      <c r="S51" s="13" t="n"/>
      <c r="T51" s="28" t="inlineStr">
        <is>
          <t>Virginia Tax, Employer Withholding Instructions (Rev. 05/25; formula eff. 7/1/2025)</t>
        </is>
      </c>
      <c r="U51" s="13" t="inlineStr">
        <is>
          <t>2026-10-13</t>
        </is>
      </c>
      <c r="V51" s="28" t="inlineStr">
        <is>
          <t>SD $8,750 single / $17,500 MFJ; $930 per exemption (row 23); $800 per age-65/blind exemption (row 24). No official supplemental rate — one-offs aggregate. No narrative example; the research file's derived anchor contains a $2.50 arithmetic slip — the engine follows the verified schedule (bases $60/$120/$720).</t>
        </is>
      </c>
      <c r="W51" s="13" t="n"/>
      <c r="X51" s="13" t="n"/>
      <c r="Y51" s="13" t="n"/>
      <c r="Z51" s="13" t="n"/>
      <c r="AA51" s="13" t="n"/>
      <c r="AB51" s="13" t="n"/>
    </row>
    <row r="52">
      <c r="A52" s="13" t="inlineStr">
        <is>
          <t>VT</t>
        </is>
      </c>
      <c r="B52" s="13" t="inlineStr">
        <is>
          <t>Vermont</t>
        </is>
      </c>
      <c r="C52" s="13" t="inlineStr">
        <is>
          <t>Form W-4VT</t>
        </is>
      </c>
      <c r="D52" s="13" t="inlineStr">
        <is>
          <t>Graduated</t>
        </is>
      </c>
      <c r="E52" s="13" t="inlineStr">
        <is>
          <t>LIVE — formula (Phase B)</t>
        </is>
      </c>
      <c r="F52" s="13" t="inlineStr">
        <is>
          <t>GEN</t>
        </is>
      </c>
      <c r="G52" s="13" t="n"/>
      <c r="H52" s="13" t="n"/>
      <c r="I52" s="13" t="n"/>
      <c r="J52" s="13" t="n"/>
      <c r="K52" s="13" t="n"/>
      <c r="L52" s="13" t="n"/>
      <c r="M52" s="13" t="n"/>
      <c r="N52" s="13" t="n"/>
      <c r="O52" s="13" t="n"/>
      <c r="P52" s="13" t="n"/>
      <c r="Q52" s="13" t="n"/>
      <c r="R52" s="13" t="n"/>
      <c r="S52" s="13" t="n"/>
      <c r="T52" s="28" t="inlineStr">
        <is>
          <t>VT Dept. of Taxes, GB-1210 (2026) Income Tax Withholding Instructions, Tables &amp; Charts</t>
        </is>
      </c>
      <c r="U52" s="13" t="inlineStr">
        <is>
          <t>2026-10-13</t>
        </is>
      </c>
      <c r="V52" s="28" t="inlineStr">
        <is>
          <t>$5,400 per allowance subtracted from wages; Single/Married annual tables. No flat supplemental rate — one-offs aggregate. QA: GB-1210 example PASS (−$0.01, per-period table rounding). VT Child Care Contribution is an employer tax (employee share 0–0.11% at employer election) — not modeled.</t>
        </is>
      </c>
      <c r="W52" s="13" t="n"/>
      <c r="X52" s="13" t="n"/>
      <c r="Y52" s="13" t="n"/>
      <c r="Z52" s="13" t="n"/>
      <c r="AA52" s="13" t="n"/>
      <c r="AB52" s="13" t="n"/>
    </row>
    <row r="53">
      <c r="A53" s="13" t="inlineStr">
        <is>
          <t>WA</t>
        </is>
      </c>
      <c r="B53" s="13" t="inlineStr">
        <is>
          <t>Washington</t>
        </is>
      </c>
      <c r="C53" s="13" t="inlineStr">
        <is>
          <t>— (no income tax)</t>
        </is>
      </c>
      <c r="D53" s="13" t="inlineStr">
        <is>
          <t>None</t>
        </is>
      </c>
      <c r="E53" s="13" t="inlineStr">
        <is>
          <t>LIVE — $0 (no wage income tax)</t>
        </is>
      </c>
      <c r="F53" s="13" t="inlineStr">
        <is>
          <t>None</t>
        </is>
      </c>
      <c r="G53" s="13" t="n"/>
      <c r="H53" s="13" t="n"/>
      <c r="I53" s="13" t="n"/>
      <c r="J53" s="13" t="n"/>
      <c r="K53" s="13" t="n"/>
      <c r="L53" s="13" t="n"/>
      <c r="M53" s="13" t="n"/>
      <c r="N53" s="13" t="inlineStr">
        <is>
          <t>WA Paid Leave (PFML)</t>
        </is>
      </c>
      <c r="O53" s="27" t="n">
        <v>0.008071</v>
      </c>
      <c r="P53" s="16" t="n">
        <v>184500</v>
      </c>
      <c r="Q53" s="13" t="inlineStr">
        <is>
          <t>WA Cares (LTC)</t>
        </is>
      </c>
      <c r="R53" s="27" t="n">
        <v>0.0058</v>
      </c>
      <c r="S53" s="13" t="n"/>
      <c r="T53" s="28" t="inlineStr">
        <is>
          <t>State law — no wage income tax (regional research files, planner-build/states-*.md)</t>
        </is>
      </c>
      <c r="U53" s="13" t="inlineStr">
        <is>
          <t>2026-10-13</t>
        </is>
      </c>
      <c r="V53" s="28" t="inlineStr">
        <is>
          <t>Employee-paid programs at left still apply where listed.</t>
        </is>
      </c>
      <c r="W53" s="13" t="n"/>
      <c r="X53" s="13" t="inlineStr">
        <is>
          <t>rate</t>
        </is>
      </c>
      <c r="Y53" s="13" t="n"/>
      <c r="Z53" s="13" t="n"/>
      <c r="AA53" s="13" t="inlineStr">
        <is>
          <t>rate</t>
        </is>
      </c>
      <c r="AB53" s="13" t="n"/>
    </row>
    <row r="54">
      <c r="A54" s="13" t="inlineStr">
        <is>
          <t>WI</t>
        </is>
      </c>
      <c r="B54" s="13" t="inlineStr">
        <is>
          <t>Wisconsin</t>
        </is>
      </c>
      <c r="C54" s="13" t="inlineStr">
        <is>
          <t>Form WT-4</t>
        </is>
      </c>
      <c r="D54" s="13" t="inlineStr">
        <is>
          <t>Graduated</t>
        </is>
      </c>
      <c r="E54" s="13" t="inlineStr">
        <is>
          <t>LIVE — formula (Phase B)</t>
        </is>
      </c>
      <c r="F54" s="13" t="inlineStr">
        <is>
          <t>GEN</t>
        </is>
      </c>
      <c r="G54" s="13" t="n"/>
      <c r="H54" s="13" t="n"/>
      <c r="I54" s="13" t="n"/>
      <c r="J54" s="13" t="n"/>
      <c r="K54" s="13" t="n"/>
      <c r="L54" s="13" t="n"/>
      <c r="M54" s="13" t="n"/>
      <c r="N54" s="13" t="n"/>
      <c r="O54" s="13" t="n"/>
      <c r="P54" s="13" t="n"/>
      <c r="Q54" s="13" t="n"/>
      <c r="R54" s="13" t="n"/>
      <c r="S54" s="13" t="n"/>
      <c r="T54" s="28" t="inlineStr">
        <is>
          <t>WI DOR Publication W-166 (Jan 2026), Alternate Method pp. 25–26</t>
        </is>
      </c>
      <c r="U54" s="13" t="inlineStr">
        <is>
          <t>2026-10-13</t>
        </is>
      </c>
      <c r="V54" s="28" t="inlineStr">
        <is>
          <t>Sliding standard deduction (Single $6,702 phased at 12% over $17,780; Married $9,461 at 20% over $25,727) and $400 per exemption; withholding schedule 3.54/4.65/5.30/7.65% (NOT the return brackets). HoH uses the Single formula (the alternate method publishes no HoH formula — flagged). One-off flat rate follows your salary band. QA: W-166 Examples 1 &amp; 3 PASS (exact).</t>
        </is>
      </c>
      <c r="W54" s="13" t="n"/>
      <c r="X54" s="13" t="n"/>
      <c r="Y54" s="13" t="n"/>
      <c r="Z54" s="13" t="n"/>
      <c r="AA54" s="13" t="n"/>
      <c r="AB54" s="13" t="n"/>
    </row>
    <row r="55">
      <c r="A55" s="13" t="inlineStr">
        <is>
          <t>WV</t>
        </is>
      </c>
      <c r="B55" s="13" t="inlineStr">
        <is>
          <t>West Virginia</t>
        </is>
      </c>
      <c r="C55" s="13" t="inlineStr">
        <is>
          <t>Form WV/IT-104</t>
        </is>
      </c>
      <c r="D55" s="13" t="inlineStr">
        <is>
          <t>Graduated</t>
        </is>
      </c>
      <c r="E55" s="13" t="inlineStr">
        <is>
          <t>LIVE — formula (Phase B)</t>
        </is>
      </c>
      <c r="F55" s="13" t="inlineStr">
        <is>
          <t>GEN</t>
        </is>
      </c>
      <c r="G55" s="13" t="n"/>
      <c r="H55" s="13" t="n"/>
      <c r="I55" s="13" t="n"/>
      <c r="J55" s="13" t="n"/>
      <c r="K55" s="13" t="n"/>
      <c r="L55" s="13" t="n"/>
      <c r="M55" s="13" t="n"/>
      <c r="N55" s="13" t="n"/>
      <c r="O55" s="13" t="n"/>
      <c r="P55" s="13" t="n"/>
      <c r="Q55" s="13" t="n"/>
      <c r="R55" s="13" t="n"/>
      <c r="S55" s="13" t="n"/>
      <c r="T55" s="28" t="inlineStr">
        <is>
          <t>WV Tax Division Forms IT-100.2A / IT-100.2B (March 2026)</t>
        </is>
      </c>
      <c r="U55" s="13" t="inlineStr">
        <is>
          <t>2026-10-13</t>
        </is>
      </c>
      <c r="V55" s="28" t="inlineStr">
        <is>
          <t>$2,000 per exemption. Table family: 'Married' status uses the two-earner tables; check the WV/IT-104 lower-rate box = select 'Head of household' here to use the one-earner/one-job tables (engine mapping — the one-earner family covers single/HoH too). No separate supplemental rate — bonuses are wages. Municipal city service fees are flat local amounts (row 27) where applicable.</t>
        </is>
      </c>
      <c r="W55" s="13" t="n"/>
      <c r="X55" s="13" t="n"/>
      <c r="Y55" s="13" t="n"/>
      <c r="Z55" s="13" t="n"/>
      <c r="AA55" s="13" t="n"/>
      <c r="AB55" s="13" t="n"/>
    </row>
    <row r="56">
      <c r="A56" s="13" t="inlineStr">
        <is>
          <t>WY</t>
        </is>
      </c>
      <c r="B56" s="13" t="inlineStr">
        <is>
          <t>Wyoming</t>
        </is>
      </c>
      <c r="C56" s="13" t="inlineStr">
        <is>
          <t>— (no income tax)</t>
        </is>
      </c>
      <c r="D56" s="13" t="inlineStr">
        <is>
          <t>None</t>
        </is>
      </c>
      <c r="E56" s="13" t="inlineStr">
        <is>
          <t>LIVE — $0 (no wage income tax)</t>
        </is>
      </c>
      <c r="F56" s="13" t="inlineStr">
        <is>
          <t>None</t>
        </is>
      </c>
      <c r="G56" s="13" t="n"/>
      <c r="H56" s="13" t="n"/>
      <c r="I56" s="13" t="n"/>
      <c r="J56" s="13" t="n"/>
      <c r="K56" s="13" t="n"/>
      <c r="L56" s="13" t="n"/>
      <c r="M56" s="13" t="n"/>
      <c r="N56" s="13" t="n"/>
      <c r="O56" s="13" t="n"/>
      <c r="P56" s="13" t="n"/>
      <c r="Q56" s="13" t="n"/>
      <c r="R56" s="13" t="n"/>
      <c r="S56" s="13" t="n"/>
      <c r="T56" s="28" t="inlineStr">
        <is>
          <t>State law — no wage income tax (regional research files, planner-build/states-*.md)</t>
        </is>
      </c>
      <c r="U56" s="13" t="inlineStr">
        <is>
          <t>2026-10-13</t>
        </is>
      </c>
      <c r="V56" s="28" t="inlineStr">
        <is>
          <t>Employee-paid programs at left still apply where listed.</t>
        </is>
      </c>
      <c r="W56" s="13" t="n"/>
      <c r="X56" s="13" t="n"/>
      <c r="Y56" s="13" t="n"/>
      <c r="Z56" s="13" t="n"/>
      <c r="AA56" s="13" t="n"/>
      <c r="AB56" s="13" t="n"/>
    </row>
  </sheetData>
  <sheetProtection selectLockedCells="0" selectUnlockedCells="0" sheet="1" objects="0" insertRows="1" insertHyperlinks="1" autoFilter="1" scenarios="0" formatColumns="1" deleteColumns="1" insertColumns="1" pivotTables="1" deleteRows="1" formatCells="1" formatRows="1" sort="1"/>
  <mergeCells count="1">
    <mergeCell ref="A2:AB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2026-10-13T21:03:26Z</dcterms:created>
  <dcterms:modified xmlns:dcterms="http://purl.org/dc/terms/" xmlns:xsi="http://www.w3.org/2001/XMLSchema-instance" xsi:type="dcterms:W3CDTF">2026-10-14T01:20:23Z</dcterms:modified>
</cp:coreProperties>
</file>